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freemansgrattanholdings-my.sharepoint.com/personal/snl007_fgh-uk_com/Documents/Documents/"/>
    </mc:Choice>
  </mc:AlternateContent>
  <xr:revisionPtr revIDLastSave="0" documentId="8_{CD6B33F9-D43A-4129-BEF1-BB9E66AC6852}" xr6:coauthVersionLast="45" xr6:coauthVersionMax="45" xr10:uidLastSave="{00000000-0000-0000-0000-000000000000}"/>
  <bookViews>
    <workbookView xWindow="22932" yWindow="-108" windowWidth="23256" windowHeight="12576" activeTab="3" xr2:uid="{50B03D6C-E2AA-4AF2-BBA9-1437EBC60FE0}"/>
  </bookViews>
  <sheets>
    <sheet name="Coverpage" sheetId="2" r:id="rId1"/>
    <sheet name="General" sheetId="3" r:id="rId2"/>
    <sheet name="Sites" sheetId="44" r:id="rId3"/>
    <sheet name="Network Services" sheetId="10" r:id="rId4"/>
    <sheet name="Network Security" sheetId="11" r:id="rId5"/>
    <sheet name="Monitoring &amp; Logging" sheetId="12" r:id="rId6"/>
    <sheet name="How To Add a Device" sheetId="43" r:id="rId7"/>
    <sheet name="Networks" sheetId="4" r:id="rId8"/>
    <sheet name="Devices" sheetId="6" r:id="rId9"/>
    <sheet name="Switches" sheetId="7" r:id="rId10"/>
    <sheet name="Components" sheetId="5" r:id="rId11"/>
    <sheet name="Connections" sheetId="8" r:id="rId12"/>
    <sheet name="VDI SVI Builder" sheetId="41" r:id="rId13"/>
    <sheet name="Device Port Builder" sheetId="42" r:id="rId14"/>
    <sheet name="Active Directory" sheetId="9" r:id="rId15"/>
    <sheet name="DNAC Platform" sheetId="13" r:id="rId16"/>
    <sheet name="ISE Platform" sheetId="14" r:id="rId17"/>
    <sheet name="ISE Policy" sheetId="15" r:id="rId18"/>
    <sheet name="FGHLHN01-1" sheetId="17" r:id="rId19"/>
    <sheet name="FGHLHN01-2" sheetId="18" r:id="rId20"/>
    <sheet name="FGHLHN32" sheetId="46" r:id="rId21"/>
    <sheet name="FGHLHN33" sheetId="47" r:id="rId22"/>
    <sheet name="FGHLHN41-1" sheetId="19" r:id="rId23"/>
    <sheet name="FGHLHN41-2" sheetId="20" r:id="rId24"/>
    <sheet name="FGHLHN42-1" sheetId="21" r:id="rId25"/>
    <sheet name="FGHLHN42-2" sheetId="22" r:id="rId26"/>
    <sheet name="FGHLHN43-1" sheetId="23" r:id="rId27"/>
    <sheet name="FGHLHN43-2" sheetId="24" r:id="rId28"/>
    <sheet name="FGHLHN141-1" sheetId="25" r:id="rId29"/>
    <sheet name="FGHLHN141-2" sheetId="26" r:id="rId30"/>
    <sheet name="FGHLHN142-1" sheetId="27" r:id="rId31"/>
    <sheet name="FGHLHN142-2" sheetId="28" r:id="rId32"/>
    <sheet name="FGHLHN143" sheetId="45" r:id="rId33"/>
    <sheet name="FGHLHN144" sheetId="48" r:id="rId34"/>
    <sheet name="FGHLHN171" sheetId="29" r:id="rId35"/>
    <sheet name="FGHLHN172" sheetId="30" r:id="rId36"/>
    <sheet name="FGHLHN71" sheetId="31" r:id="rId37"/>
    <sheet name="FGHLHN72" sheetId="32" r:id="rId38"/>
    <sheet name="FGHVLN43-1" sheetId="33" r:id="rId39"/>
    <sheet name="FGHVLN43-2" sheetId="34" r:id="rId40"/>
    <sheet name="FGHVLN71-1" sheetId="35" r:id="rId41"/>
    <sheet name="FGHVLN71-2" sheetId="36" r:id="rId42"/>
    <sheet name="FGHSDN71" sheetId="37" r:id="rId43"/>
    <sheet name="FGHSDN72" sheetId="38" r:id="rId44"/>
    <sheet name="FGHGDN71" sheetId="39" r:id="rId45"/>
    <sheet name="Lookups" sheetId="16" r:id="rId46"/>
    <sheet name="(Copyright)" sheetId="40" r:id="rId47"/>
  </sheets>
  <definedNames>
    <definedName name="_xlnm._FilterDatabase" localSheetId="7" hidden="1">Networks!$B$3:$M$160</definedName>
    <definedName name="_xlnm._FilterDatabase" localSheetId="2" hidden="1">Sites!$E$1:$J$1</definedName>
    <definedName name="CHANGE_HISTORY">General!$C$31</definedName>
    <definedName name="CLIENT">General!$C$16</definedName>
    <definedName name="CLIENT_ID">General!$C$17</definedName>
    <definedName name="CONFIG_STATUS_LIST">Lookups!$B$61:$B$64</definedName>
    <definedName name="CONTENT_STATUS">General!$C$22</definedName>
    <definedName name="CREATED_BY">General!$C$27</definedName>
    <definedName name="DOCUMENT_NUMBER">General!$C$25</definedName>
    <definedName name="DOCUMENT_STATUS">General!$C$22</definedName>
    <definedName name="DOCUMENT_TITLE">General!$C$18</definedName>
    <definedName name="DOCUMENT_TYPE">General!$C$15</definedName>
    <definedName name="DOCUMENT_VERSION">General!$C$24</definedName>
    <definedName name="EXTERNAL_GATEWAY" localSheetId="12">'VDI SVI Builder'!$C$25</definedName>
    <definedName name="LAST_CHANGE">General!$C$30</definedName>
    <definedName name="LAST_EDITOR">General!$C$28</definedName>
    <definedName name="LAST_SAVED">General!$C$29</definedName>
    <definedName name="PORT_TYPE_LIST">Lookups!$B$20:$B$29</definedName>
    <definedName name="POSTCODE_LIST">Sites!$F$4:$F$14</definedName>
    <definedName name="_xlnm.Print_Area" localSheetId="44">FGHGDN71!$A$1:$K$81</definedName>
    <definedName name="_xlnm.Print_Area" localSheetId="18">'FGHLHN01-1'!$A$1:$I$73</definedName>
    <definedName name="_xlnm.Print_Area" localSheetId="19">'FGHLHN01-2'!$A$1:$I$73</definedName>
    <definedName name="_xlnm.Print_Area" localSheetId="34">FGHLHN171!$A$1:$K$81</definedName>
    <definedName name="_xlnm.Print_Area" localSheetId="35">FGHLHN172!$A$1:$K$81</definedName>
    <definedName name="_xlnm.Print_Area" localSheetId="36">FGHLHN71!$A$1:$K$81</definedName>
    <definedName name="_xlnm.Print_Area" localSheetId="37">FGHLHN72!$A$1:$K$81</definedName>
    <definedName name="_xlnm.Print_Area" localSheetId="42">FGHSDN71!$A$1:$K$81</definedName>
    <definedName name="_xlnm.Print_Area" localSheetId="43">FGHSDN72!$A$1:$K$81</definedName>
    <definedName name="_xlnm.Print_Area" localSheetId="40">'FGHVLN71-1'!$A$1:$K$81</definedName>
    <definedName name="_xlnm.Print_Area" localSheetId="41">'FGHVLN71-2'!$A$1:$K$81</definedName>
    <definedName name="_xlnm.Print_Area" localSheetId="1">General!$A$1:$C$34</definedName>
    <definedName name="_xlnm.Print_Titles" localSheetId="44">FGHGDN71!$1:$14</definedName>
    <definedName name="_xlnm.Print_Titles" localSheetId="18">'FGHLHN01-1'!$1:$14</definedName>
    <definedName name="_xlnm.Print_Titles" localSheetId="19">'FGHLHN01-2'!$1:$14</definedName>
    <definedName name="_xlnm.Print_Titles" localSheetId="28">'FGHLHN141-1'!$1:$14</definedName>
    <definedName name="_xlnm.Print_Titles" localSheetId="29">'FGHLHN141-2'!$1:$14</definedName>
    <definedName name="_xlnm.Print_Titles" localSheetId="30">'FGHLHN142-1'!$1:$14</definedName>
    <definedName name="_xlnm.Print_Titles" localSheetId="31">'FGHLHN142-2'!$1:$14</definedName>
    <definedName name="_xlnm.Print_Titles" localSheetId="34">FGHLHN171!$1:$14</definedName>
    <definedName name="_xlnm.Print_Titles" localSheetId="35">FGHLHN172!$1:$14</definedName>
    <definedName name="_xlnm.Print_Titles" localSheetId="22">'FGHLHN41-1'!$1:$14</definedName>
    <definedName name="_xlnm.Print_Titles" localSheetId="23">'FGHLHN41-2'!$1:$14</definedName>
    <definedName name="_xlnm.Print_Titles" localSheetId="24">'FGHLHN42-1'!$1:$14</definedName>
    <definedName name="_xlnm.Print_Titles" localSheetId="25">'FGHLHN42-2'!$1:$14</definedName>
    <definedName name="_xlnm.Print_Titles" localSheetId="26">'FGHLHN43-1'!$1:$14</definedName>
    <definedName name="_xlnm.Print_Titles" localSheetId="27">'FGHLHN43-2'!$1:$14</definedName>
    <definedName name="_xlnm.Print_Titles" localSheetId="36">FGHLHN71!$1:$14</definedName>
    <definedName name="_xlnm.Print_Titles" localSheetId="37">FGHLHN72!$1:$14</definedName>
    <definedName name="_xlnm.Print_Titles" localSheetId="42">FGHSDN71!$1:$14</definedName>
    <definedName name="_xlnm.Print_Titles" localSheetId="43">FGHSDN72!$1:$14</definedName>
    <definedName name="_xlnm.Print_Titles" localSheetId="38">'FGHVLN43-1'!$1:$14</definedName>
    <definedName name="_xlnm.Print_Titles" localSheetId="39">'FGHVLN43-2'!$1:$14</definedName>
    <definedName name="_xlnm.Print_Titles" localSheetId="40">'FGHVLN71-1'!$1:$14</definedName>
    <definedName name="_xlnm.Print_Titles" localSheetId="41">'FGHVLN71-2'!$1:$14</definedName>
    <definedName name="PROJECT">General!$C$18</definedName>
    <definedName name="REVISION_NUMBER">General!$C$26</definedName>
    <definedName name="SHEET_NAME" localSheetId="14">'Active Directory'!$A$1</definedName>
    <definedName name="SHEET_NAME" localSheetId="10">Components!$A$1</definedName>
    <definedName name="SHEET_NAME" localSheetId="11">Connections!$A$1</definedName>
    <definedName name="SHEET_NAME" localSheetId="13">'Device Port Builder'!$A$1</definedName>
    <definedName name="SHEET_NAME" localSheetId="8">Devices!$A$1</definedName>
    <definedName name="SHEET_NAME" localSheetId="15">'DNAC Platform'!$A$1</definedName>
    <definedName name="SHEET_NAME" localSheetId="44">FGHGDN71!$A$1</definedName>
    <definedName name="SHEET_NAME" localSheetId="18">'FGHLHN01-1'!$A$1</definedName>
    <definedName name="SHEET_NAME" localSheetId="19">'FGHLHN01-2'!$A$1</definedName>
    <definedName name="SHEET_NAME" localSheetId="28">'FGHLHN141-1'!$A$1</definedName>
    <definedName name="SHEET_NAME" localSheetId="29">'FGHLHN141-2'!$A$1</definedName>
    <definedName name="SHEET_NAME" localSheetId="30">'FGHLHN142-1'!$A$1</definedName>
    <definedName name="SHEET_NAME" localSheetId="31">'FGHLHN142-2'!$A$1</definedName>
    <definedName name="SHEET_NAME" localSheetId="32">FGHLHN143!$A$1</definedName>
    <definedName name="SHEET_NAME" localSheetId="33">FGHLHN144!$A$1</definedName>
    <definedName name="SHEET_NAME" localSheetId="34">FGHLHN171!$A$1</definedName>
    <definedName name="SHEET_NAME" localSheetId="35">FGHLHN172!$A$1</definedName>
    <definedName name="SHEET_NAME" localSheetId="20">FGHLHN32!$A$1</definedName>
    <definedName name="SHEET_NAME" localSheetId="21">FGHLHN33!$A$1</definedName>
    <definedName name="SHEET_NAME" localSheetId="22">'FGHLHN41-1'!$A$1</definedName>
    <definedName name="SHEET_NAME" localSheetId="23">'FGHLHN41-2'!$A$1</definedName>
    <definedName name="SHEET_NAME" localSheetId="24">'FGHLHN42-1'!$A$1</definedName>
    <definedName name="SHEET_NAME" localSheetId="25">'FGHLHN42-2'!$A$1</definedName>
    <definedName name="SHEET_NAME" localSheetId="26">'FGHLHN43-1'!$A$1</definedName>
    <definedName name="SHEET_NAME" localSheetId="27">'FGHLHN43-2'!$A$1</definedName>
    <definedName name="SHEET_NAME" localSheetId="36">FGHLHN71!$A$1</definedName>
    <definedName name="SHEET_NAME" localSheetId="37">FGHLHN72!$A$1</definedName>
    <definedName name="SHEET_NAME" localSheetId="42">FGHSDN71!$A$1</definedName>
    <definedName name="SHEET_NAME" localSheetId="43">FGHSDN72!$A$1</definedName>
    <definedName name="SHEET_NAME" localSheetId="38">'FGHVLN43-1'!$A$1</definedName>
    <definedName name="SHEET_NAME" localSheetId="39">'FGHVLN43-2'!$A$1</definedName>
    <definedName name="SHEET_NAME" localSheetId="40">'FGHVLN71-1'!$A$1</definedName>
    <definedName name="SHEET_NAME" localSheetId="41">'FGHVLN71-2'!$A$1</definedName>
    <definedName name="SHEET_NAME" localSheetId="1">General!$A$1</definedName>
    <definedName name="SHEET_NAME" localSheetId="6">'How To Add a Device'!$A$1</definedName>
    <definedName name="SHEET_NAME" localSheetId="16">'ISE Platform'!$A$1</definedName>
    <definedName name="SHEET_NAME" localSheetId="17">'ISE Policy'!$A$1</definedName>
    <definedName name="SHEET_NAME" localSheetId="5">'Monitoring &amp; Logging'!$A$1</definedName>
    <definedName name="SHEET_NAME" localSheetId="4">'Network Security'!$A$1</definedName>
    <definedName name="SHEET_NAME" localSheetId="3">'Network Services'!$A$1</definedName>
    <definedName name="SHEET_NAME" localSheetId="7">Networks!$A$1</definedName>
    <definedName name="SHEET_NAME" localSheetId="2">Sites!$A$1</definedName>
    <definedName name="SHEET_NAME" localSheetId="9">Switches!$A$1</definedName>
    <definedName name="SHEET_NAME" localSheetId="12">'VDI SVI Builder'!$A$1</definedName>
    <definedName name="SITE_ID_LIST">Sites!$C$4:$C$14</definedName>
    <definedName name="SITE_INDEX_LIST">Sites!$D$4:$D$14</definedName>
    <definedName name="SITE_LIST">Sites!$B$4:$B$14</definedName>
    <definedName name="SUMMARY">General!$C$19</definedName>
    <definedName name="SWITCH_NAME_LIST">SWITCH_TABLE[Device Name]</definedName>
    <definedName name="VALIDATE_BEFORE_SAVE">General!$C$23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8" l="1"/>
  <c r="D13" i="48" s="1"/>
  <c r="A80" i="48"/>
  <c r="A79" i="48"/>
  <c r="A75" i="48"/>
  <c r="A74" i="48"/>
  <c r="A73" i="48"/>
  <c r="A72" i="48"/>
  <c r="A71" i="48"/>
  <c r="A70" i="48"/>
  <c r="A69" i="48"/>
  <c r="A68" i="48"/>
  <c r="A64" i="48"/>
  <c r="A63" i="48"/>
  <c r="A62" i="48"/>
  <c r="A61" i="48"/>
  <c r="A60" i="48"/>
  <c r="A59" i="48"/>
  <c r="A58" i="48"/>
  <c r="A57" i="48"/>
  <c r="A56" i="48"/>
  <c r="A55" i="48"/>
  <c r="A54" i="48"/>
  <c r="A53" i="48"/>
  <c r="A52" i="48"/>
  <c r="A51" i="48"/>
  <c r="A50" i="48"/>
  <c r="A49" i="48"/>
  <c r="A48" i="48"/>
  <c r="A47" i="48"/>
  <c r="A46" i="48"/>
  <c r="A45" i="48"/>
  <c r="A44" i="48"/>
  <c r="A43" i="48"/>
  <c r="A42" i="48"/>
  <c r="A41" i="48"/>
  <c r="A40" i="48"/>
  <c r="A39" i="48"/>
  <c r="A38" i="48"/>
  <c r="A37" i="48"/>
  <c r="A36" i="48"/>
  <c r="A35" i="48"/>
  <c r="A34" i="48"/>
  <c r="A33" i="48"/>
  <c r="A32" i="48"/>
  <c r="A31" i="48"/>
  <c r="A30" i="48"/>
  <c r="A29" i="48"/>
  <c r="A28" i="48"/>
  <c r="A27" i="48"/>
  <c r="A26" i="48"/>
  <c r="A25" i="48"/>
  <c r="A24" i="48"/>
  <c r="A23" i="48"/>
  <c r="A22" i="48"/>
  <c r="A21" i="48"/>
  <c r="A20" i="48"/>
  <c r="A19" i="48"/>
  <c r="A18" i="48"/>
  <c r="A17" i="48"/>
  <c r="G8" i="48" l="1" a="1"/>
  <c r="G8" i="48" s="1"/>
  <c r="G11" i="48" a="1"/>
  <c r="G11" i="48" s="1"/>
  <c r="C12" i="48"/>
  <c r="D14" i="48"/>
  <c r="H1" i="48"/>
  <c r="G4" i="48" a="1"/>
  <c r="G4" i="48" s="1"/>
  <c r="G13" i="48" a="1"/>
  <c r="G13" i="48" s="1"/>
  <c r="H13" i="48" s="1" a="1"/>
  <c r="H13" i="48" s="1"/>
  <c r="C4" i="48" a="1"/>
  <c r="C4" i="48" s="1"/>
  <c r="C6" i="48" a="1"/>
  <c r="C6" i="48" s="1"/>
  <c r="G12" i="48" a="1"/>
  <c r="G12" i="48" s="1"/>
  <c r="H12" i="48" s="1" a="1"/>
  <c r="H12" i="48" s="1"/>
  <c r="C13" i="48"/>
  <c r="H79" i="48" s="1"/>
  <c r="G14" i="48" a="1"/>
  <c r="G14" i="48" s="1"/>
  <c r="H14" i="48" s="1" a="1"/>
  <c r="H14" i="48" s="1"/>
  <c r="G5" i="48" a="1"/>
  <c r="G5" i="48" s="1"/>
  <c r="C11" i="48"/>
  <c r="C14" i="48"/>
  <c r="C5" i="48" a="1"/>
  <c r="C5" i="48" s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6" i="8"/>
  <c r="H307" i="8"/>
  <c r="H308" i="8"/>
  <c r="H309" i="8"/>
  <c r="H310" i="8"/>
  <c r="H311" i="8"/>
  <c r="H312" i="8"/>
  <c r="H313" i="8"/>
  <c r="H314" i="8"/>
  <c r="H315" i="8"/>
  <c r="H316" i="8"/>
  <c r="H318" i="8"/>
  <c r="H320" i="8"/>
  <c r="H321" i="8"/>
  <c r="H322" i="8"/>
  <c r="H323" i="8"/>
  <c r="H324" i="8"/>
  <c r="H325" i="8"/>
  <c r="H326" i="8"/>
  <c r="H329" i="8"/>
  <c r="H330" i="8"/>
  <c r="H331" i="8"/>
  <c r="H335" i="8"/>
  <c r="H337" i="8"/>
  <c r="H338" i="8"/>
  <c r="H339" i="8"/>
  <c r="H340" i="8"/>
  <c r="H341" i="8"/>
  <c r="H342" i="8"/>
  <c r="H343" i="8"/>
  <c r="H344" i="8"/>
  <c r="L301" i="8"/>
  <c r="L302" i="8"/>
  <c r="Q302" i="8" s="1"/>
  <c r="L303" i="8"/>
  <c r="Q303" i="8" s="1"/>
  <c r="L304" i="8"/>
  <c r="Q304" i="8" s="1"/>
  <c r="L305" i="8"/>
  <c r="Q305" i="8" s="1"/>
  <c r="L306" i="8"/>
  <c r="Q306" i="8" s="1"/>
  <c r="L307" i="8"/>
  <c r="Q307" i="8" s="1"/>
  <c r="L308" i="8"/>
  <c r="Q308" i="8" s="1"/>
  <c r="L309" i="8"/>
  <c r="Q309" i="8" s="1"/>
  <c r="L310" i="8"/>
  <c r="Q310" i="8" s="1"/>
  <c r="L311" i="8"/>
  <c r="Q311" i="8" s="1"/>
  <c r="L312" i="8"/>
  <c r="Q312" i="8" s="1"/>
  <c r="L313" i="8"/>
  <c r="Q313" i="8" s="1"/>
  <c r="L314" i="8"/>
  <c r="Q314" i="8" s="1"/>
  <c r="L315" i="8"/>
  <c r="Q315" i="8" s="1"/>
  <c r="L316" i="8"/>
  <c r="Q316" i="8" s="1"/>
  <c r="L317" i="8"/>
  <c r="Q317" i="8" s="1"/>
  <c r="L318" i="8"/>
  <c r="Q318" i="8" s="1"/>
  <c r="L319" i="8"/>
  <c r="Q319" i="8" s="1"/>
  <c r="L320" i="8"/>
  <c r="Q320" i="8" s="1"/>
  <c r="L321" i="8"/>
  <c r="Q321" i="8" s="1"/>
  <c r="L322" i="8"/>
  <c r="Q322" i="8" s="1"/>
  <c r="L323" i="8"/>
  <c r="Q323" i="8" s="1"/>
  <c r="L324" i="8"/>
  <c r="Q324" i="8" s="1"/>
  <c r="L325" i="8"/>
  <c r="L326" i="8"/>
  <c r="Q326" i="8" s="1"/>
  <c r="L327" i="8"/>
  <c r="L328" i="8"/>
  <c r="Q328" i="8" s="1"/>
  <c r="L329" i="8"/>
  <c r="L330" i="8"/>
  <c r="Q330" i="8" s="1"/>
  <c r="L331" i="8"/>
  <c r="Q331" i="8" s="1"/>
  <c r="L332" i="8"/>
  <c r="Q332" i="8" s="1"/>
  <c r="L333" i="8"/>
  <c r="Q333" i="8" s="1"/>
  <c r="L334" i="8"/>
  <c r="Q334" i="8" s="1"/>
  <c r="L335" i="8"/>
  <c r="Q335" i="8" s="1"/>
  <c r="L336" i="8"/>
  <c r="Q336" i="8" s="1"/>
  <c r="L337" i="8"/>
  <c r="L338" i="8"/>
  <c r="Q338" i="8" s="1"/>
  <c r="L339" i="8"/>
  <c r="L340" i="8"/>
  <c r="Q340" i="8" s="1"/>
  <c r="L341" i="8"/>
  <c r="Q341" i="8" s="1"/>
  <c r="L342" i="8"/>
  <c r="Q342" i="8" s="1"/>
  <c r="L343" i="8"/>
  <c r="L344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Q301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Q325" i="8"/>
  <c r="R325" i="8"/>
  <c r="R326" i="8"/>
  <c r="Q327" i="8"/>
  <c r="R327" i="8"/>
  <c r="R328" i="8"/>
  <c r="Q329" i="8"/>
  <c r="R329" i="8"/>
  <c r="R330" i="8"/>
  <c r="R331" i="8"/>
  <c r="R332" i="8"/>
  <c r="R333" i="8"/>
  <c r="R334" i="8"/>
  <c r="R335" i="8"/>
  <c r="R336" i="8"/>
  <c r="Q337" i="8"/>
  <c r="R337" i="8"/>
  <c r="R338" i="8"/>
  <c r="Q339" i="8"/>
  <c r="R339" i="8"/>
  <c r="R340" i="8"/>
  <c r="R341" i="8"/>
  <c r="R342" i="8"/>
  <c r="Q187" i="6"/>
  <c r="R187" i="6"/>
  <c r="Q188" i="6"/>
  <c r="R188" i="6"/>
  <c r="Q189" i="6"/>
  <c r="R189" i="6"/>
  <c r="Q190" i="6"/>
  <c r="R190" i="6"/>
  <c r="Q191" i="6"/>
  <c r="R191" i="6"/>
  <c r="Q192" i="6"/>
  <c r="R192" i="6"/>
  <c r="Q193" i="6"/>
  <c r="R193" i="6"/>
  <c r="Q194" i="6"/>
  <c r="R194" i="6"/>
  <c r="Q195" i="6"/>
  <c r="R195" i="6"/>
  <c r="Q196" i="6"/>
  <c r="R196" i="6"/>
  <c r="Q197" i="6"/>
  <c r="R197" i="6"/>
  <c r="Q198" i="6"/>
  <c r="R198" i="6"/>
  <c r="Q199" i="6"/>
  <c r="R199" i="6"/>
  <c r="Q200" i="6"/>
  <c r="R200" i="6"/>
  <c r="Q201" i="6"/>
  <c r="R201" i="6"/>
  <c r="Q202" i="6"/>
  <c r="R202" i="6"/>
  <c r="Q203" i="6"/>
  <c r="R203" i="6"/>
  <c r="Q204" i="6"/>
  <c r="R204" i="6"/>
  <c r="D8" i="48" l="1"/>
  <c r="D7" i="48"/>
  <c r="C8" i="48"/>
  <c r="C7" i="48"/>
  <c r="G80" i="48" a="1"/>
  <c r="G80" i="48" s="1"/>
  <c r="B80" i="48" a="1"/>
  <c r="B80" i="48" s="1"/>
  <c r="G79" i="48" a="1"/>
  <c r="G79" i="48" s="1"/>
  <c r="B79" i="48" a="1"/>
  <c r="B79" i="48" s="1"/>
  <c r="C10" i="48"/>
  <c r="H80" i="48"/>
  <c r="J76" i="48" a="1"/>
  <c r="J76" i="48" s="1"/>
  <c r="G76" i="48" a="1"/>
  <c r="G76" i="48" s="1"/>
  <c r="D76" i="48" a="1"/>
  <c r="D76" i="48" s="1"/>
  <c r="H76" i="48" a="1"/>
  <c r="H76" i="48" s="1"/>
  <c r="H11" i="48" a="1"/>
  <c r="H11" i="48" s="1"/>
  <c r="G10" i="48"/>
  <c r="L294" i="8"/>
  <c r="Q294" i="8" s="1"/>
  <c r="E294" i="8"/>
  <c r="E293" i="8"/>
  <c r="L293" i="8"/>
  <c r="Q293" i="8" s="1"/>
  <c r="L295" i="8"/>
  <c r="Q295" i="8" s="1"/>
  <c r="L296" i="8"/>
  <c r="Q296" i="8" s="1"/>
  <c r="L297" i="8"/>
  <c r="Q297" i="8" s="1"/>
  <c r="L298" i="8"/>
  <c r="Q298" i="8" s="1"/>
  <c r="L299" i="8"/>
  <c r="Q299" i="8" s="1"/>
  <c r="L300" i="8"/>
  <c r="Q300" i="8" s="1"/>
  <c r="E295" i="8"/>
  <c r="E296" i="8"/>
  <c r="E297" i="8"/>
  <c r="E298" i="8"/>
  <c r="E299" i="8"/>
  <c r="E300" i="8"/>
  <c r="L266" i="8"/>
  <c r="Q266" i="8" s="1"/>
  <c r="R292" i="8"/>
  <c r="L292" i="8"/>
  <c r="Q292" i="8" s="1"/>
  <c r="E292" i="8"/>
  <c r="R291" i="8"/>
  <c r="L291" i="8"/>
  <c r="Q291" i="8" s="1"/>
  <c r="E291" i="8"/>
  <c r="R290" i="8"/>
  <c r="L290" i="8"/>
  <c r="Q290" i="8" s="1"/>
  <c r="E290" i="8"/>
  <c r="R289" i="8"/>
  <c r="L289" i="8"/>
  <c r="Q289" i="8" s="1"/>
  <c r="E289" i="8"/>
  <c r="R288" i="8"/>
  <c r="L288" i="8"/>
  <c r="Q288" i="8" s="1"/>
  <c r="E288" i="8"/>
  <c r="R287" i="8"/>
  <c r="L287" i="8"/>
  <c r="Q287" i="8" s="1"/>
  <c r="E287" i="8"/>
  <c r="R286" i="8"/>
  <c r="L286" i="8"/>
  <c r="Q286" i="8" s="1"/>
  <c r="E286" i="8"/>
  <c r="R285" i="8"/>
  <c r="L285" i="8"/>
  <c r="Q285" i="8" s="1"/>
  <c r="E285" i="8"/>
  <c r="R284" i="8"/>
  <c r="L284" i="8"/>
  <c r="Q284" i="8" s="1"/>
  <c r="E284" i="8"/>
  <c r="R283" i="8"/>
  <c r="L283" i="8"/>
  <c r="Q283" i="8" s="1"/>
  <c r="E283" i="8"/>
  <c r="R282" i="8"/>
  <c r="L282" i="8"/>
  <c r="Q282" i="8" s="1"/>
  <c r="E282" i="8"/>
  <c r="R281" i="8"/>
  <c r="L281" i="8"/>
  <c r="Q281" i="8" s="1"/>
  <c r="E281" i="8"/>
  <c r="R280" i="8"/>
  <c r="L280" i="8"/>
  <c r="Q280" i="8" s="1"/>
  <c r="E280" i="8"/>
  <c r="R279" i="8"/>
  <c r="L279" i="8"/>
  <c r="Q279" i="8" s="1"/>
  <c r="E279" i="8"/>
  <c r="R278" i="8"/>
  <c r="L278" i="8"/>
  <c r="Q278" i="8" s="1"/>
  <c r="E278" i="8"/>
  <c r="R277" i="8"/>
  <c r="L277" i="8"/>
  <c r="Q277" i="8" s="1"/>
  <c r="E277" i="8"/>
  <c r="R276" i="8"/>
  <c r="L276" i="8"/>
  <c r="Q276" i="8" s="1"/>
  <c r="E276" i="8"/>
  <c r="R275" i="8"/>
  <c r="L275" i="8"/>
  <c r="Q275" i="8" s="1"/>
  <c r="E275" i="8"/>
  <c r="R274" i="8"/>
  <c r="L274" i="8"/>
  <c r="Q274" i="8" s="1"/>
  <c r="E274" i="8"/>
  <c r="R273" i="8"/>
  <c r="L273" i="8"/>
  <c r="Q273" i="8" s="1"/>
  <c r="E273" i="8"/>
  <c r="R272" i="8"/>
  <c r="L272" i="8"/>
  <c r="Q272" i="8" s="1"/>
  <c r="E272" i="8"/>
  <c r="R293" i="8"/>
  <c r="R294" i="8"/>
  <c r="R295" i="8"/>
  <c r="R296" i="8"/>
  <c r="R297" i="8"/>
  <c r="R298" i="8"/>
  <c r="R299" i="8"/>
  <c r="R271" i="8"/>
  <c r="L271" i="8"/>
  <c r="Q271" i="8" s="1"/>
  <c r="E271" i="8"/>
  <c r="R270" i="8"/>
  <c r="L270" i="8"/>
  <c r="Q270" i="8" s="1"/>
  <c r="E270" i="8"/>
  <c r="R269" i="8"/>
  <c r="L269" i="8"/>
  <c r="Q269" i="8" s="1"/>
  <c r="E269" i="8"/>
  <c r="R268" i="8"/>
  <c r="L268" i="8"/>
  <c r="Q268" i="8" s="1"/>
  <c r="E268" i="8"/>
  <c r="R267" i="8"/>
  <c r="L267" i="8"/>
  <c r="Q267" i="8" s="1"/>
  <c r="E267" i="8"/>
  <c r="R266" i="8"/>
  <c r="E266" i="8"/>
  <c r="R265" i="8"/>
  <c r="L265" i="8"/>
  <c r="Q265" i="8" s="1"/>
  <c r="E265" i="8"/>
  <c r="R264" i="8"/>
  <c r="L264" i="8"/>
  <c r="Q264" i="8" s="1"/>
  <c r="E264" i="8"/>
  <c r="R263" i="8"/>
  <c r="L263" i="8"/>
  <c r="Q263" i="8" s="1"/>
  <c r="E263" i="8"/>
  <c r="L262" i="8"/>
  <c r="Q262" i="8" s="1"/>
  <c r="R262" i="8"/>
  <c r="E262" i="8"/>
  <c r="L261" i="8"/>
  <c r="Q261" i="8" s="1"/>
  <c r="L260" i="8"/>
  <c r="E260" i="8"/>
  <c r="A80" i="47"/>
  <c r="A79" i="47"/>
  <c r="A64" i="47"/>
  <c r="A63" i="47"/>
  <c r="A62" i="47"/>
  <c r="A61" i="47"/>
  <c r="A60" i="47"/>
  <c r="A59" i="47"/>
  <c r="A58" i="47"/>
  <c r="A57" i="47"/>
  <c r="A56" i="47"/>
  <c r="A55" i="47"/>
  <c r="A54" i="47"/>
  <c r="A53" i="47"/>
  <c r="A52" i="47"/>
  <c r="A51" i="47"/>
  <c r="A50" i="47"/>
  <c r="A49" i="47"/>
  <c r="A48" i="47"/>
  <c r="A47" i="47"/>
  <c r="A46" i="47"/>
  <c r="A45" i="47"/>
  <c r="A44" i="47"/>
  <c r="A43" i="47"/>
  <c r="A42" i="47"/>
  <c r="A41" i="47"/>
  <c r="A40" i="47"/>
  <c r="A39" i="47"/>
  <c r="A38" i="47"/>
  <c r="A37" i="47"/>
  <c r="A36" i="47"/>
  <c r="A35" i="47"/>
  <c r="A34" i="47"/>
  <c r="A33" i="47"/>
  <c r="A32" i="47"/>
  <c r="A31" i="47"/>
  <c r="A30" i="47"/>
  <c r="A29" i="47"/>
  <c r="A28" i="47"/>
  <c r="A27" i="47"/>
  <c r="A26" i="47"/>
  <c r="A25" i="47"/>
  <c r="A24" i="47"/>
  <c r="A23" i="47"/>
  <c r="A22" i="47"/>
  <c r="A21" i="47"/>
  <c r="A20" i="47"/>
  <c r="A19" i="47"/>
  <c r="A18" i="47"/>
  <c r="A17" i="47"/>
  <c r="H3" i="47"/>
  <c r="C14" i="47" s="1"/>
  <c r="A80" i="46"/>
  <c r="A79" i="46"/>
  <c r="A64" i="46"/>
  <c r="A63" i="46"/>
  <c r="A62" i="46"/>
  <c r="A61" i="46"/>
  <c r="A60" i="46"/>
  <c r="A59" i="46"/>
  <c r="A58" i="46"/>
  <c r="A57" i="46"/>
  <c r="A56" i="46"/>
  <c r="A55" i="46"/>
  <c r="A54" i="46"/>
  <c r="A53" i="46"/>
  <c r="A52" i="46"/>
  <c r="A51" i="46"/>
  <c r="A50" i="46"/>
  <c r="A49" i="46"/>
  <c r="A48" i="46"/>
  <c r="A47" i="46"/>
  <c r="A46" i="46"/>
  <c r="A45" i="46"/>
  <c r="A44" i="46"/>
  <c r="A43" i="46"/>
  <c r="A42" i="46"/>
  <c r="A41" i="46"/>
  <c r="A40" i="46"/>
  <c r="A39" i="46"/>
  <c r="A38" i="46"/>
  <c r="A37" i="46"/>
  <c r="A36" i="46"/>
  <c r="A35" i="46"/>
  <c r="A34" i="46"/>
  <c r="A33" i="46"/>
  <c r="A32" i="46"/>
  <c r="A31" i="46"/>
  <c r="A30" i="46"/>
  <c r="A29" i="46"/>
  <c r="A28" i="46"/>
  <c r="A27" i="46"/>
  <c r="A26" i="46"/>
  <c r="A25" i="46"/>
  <c r="A24" i="46"/>
  <c r="A23" i="46"/>
  <c r="A22" i="46"/>
  <c r="A21" i="46"/>
  <c r="A20" i="46"/>
  <c r="A19" i="46"/>
  <c r="A18" i="46"/>
  <c r="A17" i="46"/>
  <c r="H3" i="46"/>
  <c r="G14" i="46" s="1" a="1"/>
  <c r="G14" i="46" s="1"/>
  <c r="H14" i="46" s="1" a="1"/>
  <c r="H14" i="46" s="1"/>
  <c r="E261" i="8"/>
  <c r="R260" i="8"/>
  <c r="R261" i="8"/>
  <c r="R300" i="8"/>
  <c r="F76" i="48" l="1" a="1"/>
  <c r="F76" i="48" s="1"/>
  <c r="C79" i="48"/>
  <c r="F79" i="48"/>
  <c r="C76" i="48" a="1"/>
  <c r="C76" i="48" s="1"/>
  <c r="B64" i="48"/>
  <c r="B62" i="48"/>
  <c r="B60" i="48"/>
  <c r="B58" i="48"/>
  <c r="B56" i="48"/>
  <c r="B54" i="48"/>
  <c r="B52" i="48"/>
  <c r="B51" i="48"/>
  <c r="B47" i="48"/>
  <c r="B33" i="48"/>
  <c r="B34" i="48"/>
  <c r="B50" i="48"/>
  <c r="B41" i="48"/>
  <c r="B37" i="48"/>
  <c r="B31" i="48"/>
  <c r="B24" i="48"/>
  <c r="B22" i="48"/>
  <c r="B26" i="48"/>
  <c r="B25" i="48"/>
  <c r="B29" i="48"/>
  <c r="B21" i="48"/>
  <c r="B20" i="48"/>
  <c r="B19" i="48"/>
  <c r="B35" i="48"/>
  <c r="B44" i="48"/>
  <c r="B32" i="48"/>
  <c r="B38" i="48"/>
  <c r="B46" i="48"/>
  <c r="B57" i="48"/>
  <c r="B48" i="48"/>
  <c r="B39" i="48"/>
  <c r="B45" i="48"/>
  <c r="B17" i="48"/>
  <c r="B23" i="48"/>
  <c r="B49" i="48"/>
  <c r="B42" i="48"/>
  <c r="B53" i="48"/>
  <c r="B61" i="48"/>
  <c r="B59" i="48"/>
  <c r="B18" i="48"/>
  <c r="B27" i="48"/>
  <c r="B40" i="48"/>
  <c r="B30" i="48"/>
  <c r="B36" i="48"/>
  <c r="B43" i="48"/>
  <c r="B55" i="48"/>
  <c r="B63" i="48"/>
  <c r="B28" i="48"/>
  <c r="B68" i="48"/>
  <c r="B72" i="48"/>
  <c r="B69" i="48"/>
  <c r="B73" i="48"/>
  <c r="B70" i="48"/>
  <c r="B74" i="48"/>
  <c r="B71" i="48"/>
  <c r="B75" i="48"/>
  <c r="C80" i="48"/>
  <c r="F80" i="48"/>
  <c r="G11" i="47" a="1"/>
  <c r="G11" i="47" s="1"/>
  <c r="C12" i="47"/>
  <c r="D14" i="47"/>
  <c r="H80" i="47" s="1"/>
  <c r="C4" i="47" a="1"/>
  <c r="C4" i="47" s="1"/>
  <c r="C5" i="47" a="1"/>
  <c r="C5" i="47" s="1"/>
  <c r="C6" i="47" a="1"/>
  <c r="C6" i="47" s="1"/>
  <c r="G12" i="47" a="1"/>
  <c r="G12" i="47" s="1"/>
  <c r="H12" i="47" s="1" a="1"/>
  <c r="H12" i="47" s="1"/>
  <c r="C13" i="47"/>
  <c r="G14" i="47" a="1"/>
  <c r="G14" i="47" s="1"/>
  <c r="H14" i="47" s="1" a="1"/>
  <c r="H14" i="47" s="1"/>
  <c r="D13" i="47"/>
  <c r="H1" i="47"/>
  <c r="G4" i="47" a="1"/>
  <c r="G4" i="47" s="1"/>
  <c r="G5" i="47" a="1"/>
  <c r="G5" i="47" s="1"/>
  <c r="G6" i="47" a="1"/>
  <c r="G6" i="47" s="1"/>
  <c r="G7" i="47" a="1"/>
  <c r="G7" i="47" s="1"/>
  <c r="G8" i="47" a="1"/>
  <c r="G8" i="47" s="1"/>
  <c r="C11" i="47"/>
  <c r="G13" i="47" a="1"/>
  <c r="G13" i="47" s="1"/>
  <c r="H13" i="47" s="1" a="1"/>
  <c r="H13" i="47" s="1"/>
  <c r="H1" i="46"/>
  <c r="G4" i="46" a="1"/>
  <c r="G4" i="46" s="1"/>
  <c r="G5" i="46" a="1"/>
  <c r="G5" i="46" s="1"/>
  <c r="G6" i="46" a="1"/>
  <c r="G6" i="46" s="1"/>
  <c r="G7" i="46" a="1"/>
  <c r="G7" i="46" s="1"/>
  <c r="C11" i="46"/>
  <c r="G13" i="46" a="1"/>
  <c r="G13" i="46" s="1"/>
  <c r="H13" i="46" s="1" a="1"/>
  <c r="H13" i="46" s="1"/>
  <c r="D13" i="46"/>
  <c r="G8" i="46" a="1"/>
  <c r="G8" i="46" s="1"/>
  <c r="G11" i="46" a="1"/>
  <c r="G11" i="46" s="1"/>
  <c r="C12" i="46"/>
  <c r="D14" i="46"/>
  <c r="C14" i="46"/>
  <c r="C4" i="46" a="1"/>
  <c r="C4" i="46" s="1"/>
  <c r="C5" i="46" a="1"/>
  <c r="C5" i="46" s="1"/>
  <c r="C6" i="46" a="1"/>
  <c r="C6" i="46" s="1"/>
  <c r="G12" i="46" a="1"/>
  <c r="G12" i="46" s="1"/>
  <c r="H12" i="46" s="1" a="1"/>
  <c r="H12" i="46" s="1"/>
  <c r="C13" i="46"/>
  <c r="R343" i="8"/>
  <c r="R344" i="8"/>
  <c r="R248" i="8"/>
  <c r="Q248" i="8"/>
  <c r="R250" i="8"/>
  <c r="Q250" i="8"/>
  <c r="R252" i="8"/>
  <c r="Q252" i="8"/>
  <c r="R258" i="8"/>
  <c r="Q258" i="8"/>
  <c r="Q259" i="8"/>
  <c r="R153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R177" i="6"/>
  <c r="R178" i="6"/>
  <c r="R179" i="6"/>
  <c r="R180" i="6"/>
  <c r="R181" i="6"/>
  <c r="R182" i="6"/>
  <c r="R183" i="6"/>
  <c r="R184" i="6"/>
  <c r="R185" i="6"/>
  <c r="R186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Q152" i="6"/>
  <c r="R152" i="6"/>
  <c r="R151" i="6"/>
  <c r="Q151" i="6"/>
  <c r="R150" i="6"/>
  <c r="Q150" i="6"/>
  <c r="R145" i="6"/>
  <c r="Q145" i="6"/>
  <c r="E259" i="8"/>
  <c r="E256" i="8"/>
  <c r="E258" i="8"/>
  <c r="E257" i="8"/>
  <c r="E255" i="8"/>
  <c r="E254" i="8"/>
  <c r="E253" i="8"/>
  <c r="E252" i="8"/>
  <c r="E251" i="8"/>
  <c r="E250" i="8"/>
  <c r="E249" i="8"/>
  <c r="E247" i="8"/>
  <c r="A80" i="45"/>
  <c r="A79" i="45"/>
  <c r="A75" i="45"/>
  <c r="A74" i="45"/>
  <c r="A73" i="45"/>
  <c r="A72" i="45"/>
  <c r="A71" i="45"/>
  <c r="A70" i="45"/>
  <c r="A69" i="45"/>
  <c r="A68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A37" i="45"/>
  <c r="A36" i="45"/>
  <c r="A35" i="45"/>
  <c r="A34" i="45"/>
  <c r="A33" i="45"/>
  <c r="A32" i="45"/>
  <c r="A31" i="45"/>
  <c r="A30" i="45"/>
  <c r="A29" i="45"/>
  <c r="A28" i="45"/>
  <c r="A27" i="45"/>
  <c r="A26" i="45"/>
  <c r="A25" i="45"/>
  <c r="A24" i="45"/>
  <c r="A23" i="45"/>
  <c r="A22" i="45"/>
  <c r="A21" i="45"/>
  <c r="A20" i="45"/>
  <c r="A19" i="45"/>
  <c r="A18" i="45"/>
  <c r="A17" i="45"/>
  <c r="H3" i="45"/>
  <c r="D13" i="45" s="1"/>
  <c r="H79" i="46" l="1"/>
  <c r="H79" i="47"/>
  <c r="H80" i="46"/>
  <c r="G70" i="48" a="1"/>
  <c r="G70" i="48" s="1"/>
  <c r="C70" i="48" a="1"/>
  <c r="C70" i="48" s="1"/>
  <c r="F70" i="48" a="1"/>
  <c r="F70" i="48" s="1"/>
  <c r="H70" i="48" a="1"/>
  <c r="H70" i="48" s="1"/>
  <c r="D70" i="48" a="1"/>
  <c r="D70" i="48" s="1"/>
  <c r="J70" i="48" a="1"/>
  <c r="J70" i="48" s="1"/>
  <c r="E70" i="48" a="1"/>
  <c r="E70" i="48" s="1"/>
  <c r="G68" i="48" a="1"/>
  <c r="G68" i="48" s="1"/>
  <c r="C68" i="48" a="1"/>
  <c r="C68" i="48" s="1"/>
  <c r="F68" i="48" a="1"/>
  <c r="F68" i="48" s="1"/>
  <c r="H68" i="48" a="1"/>
  <c r="H68" i="48" s="1"/>
  <c r="D68" i="48" a="1"/>
  <c r="D68" i="48" s="1"/>
  <c r="J68" i="48" a="1"/>
  <c r="J68" i="48" s="1"/>
  <c r="E68" i="48" a="1"/>
  <c r="E68" i="48" s="1"/>
  <c r="J75" i="48" a="1"/>
  <c r="J75" i="48" s="1"/>
  <c r="G75" i="48" a="1"/>
  <c r="G75" i="48" s="1"/>
  <c r="C75" i="48" a="1"/>
  <c r="C75" i="48" s="1"/>
  <c r="F75" i="48" a="1"/>
  <c r="F75" i="48" s="1"/>
  <c r="E75" i="48" a="1"/>
  <c r="E75" i="48" s="1"/>
  <c r="H75" i="48" a="1"/>
  <c r="H75" i="48" s="1"/>
  <c r="D75" i="48" a="1"/>
  <c r="D75" i="48" s="1"/>
  <c r="G73" i="48" a="1"/>
  <c r="G73" i="48" s="1"/>
  <c r="C73" i="48" a="1"/>
  <c r="C73" i="48" s="1"/>
  <c r="F73" i="48" a="1"/>
  <c r="F73" i="48" s="1"/>
  <c r="H73" i="48" a="1"/>
  <c r="H73" i="48" s="1"/>
  <c r="D73" i="48" a="1"/>
  <c r="D73" i="48" s="1"/>
  <c r="J73" i="48" a="1"/>
  <c r="J73" i="48" s="1"/>
  <c r="E73" i="48" a="1"/>
  <c r="E73" i="48" s="1"/>
  <c r="G71" i="48" a="1"/>
  <c r="G71" i="48" s="1"/>
  <c r="C71" i="48" a="1"/>
  <c r="C71" i="48" s="1"/>
  <c r="F71" i="48" a="1"/>
  <c r="F71" i="48" s="1"/>
  <c r="H71" i="48" a="1"/>
  <c r="H71" i="48" s="1"/>
  <c r="D71" i="48" a="1"/>
  <c r="D71" i="48" s="1"/>
  <c r="E71" i="48" a="1"/>
  <c r="E71" i="48" s="1"/>
  <c r="J71" i="48" a="1"/>
  <c r="J71" i="48" s="1"/>
  <c r="G69" i="48" a="1"/>
  <c r="G69" i="48" s="1"/>
  <c r="C69" i="48" a="1"/>
  <c r="C69" i="48" s="1"/>
  <c r="F69" i="48" a="1"/>
  <c r="F69" i="48" s="1"/>
  <c r="H69" i="48" a="1"/>
  <c r="H69" i="48" s="1"/>
  <c r="D69" i="48" a="1"/>
  <c r="D69" i="48" s="1"/>
  <c r="J69" i="48" a="1"/>
  <c r="J69" i="48" s="1"/>
  <c r="E69" i="48" a="1"/>
  <c r="E69" i="48" s="1"/>
  <c r="G74" i="48" a="1"/>
  <c r="G74" i="48" s="1"/>
  <c r="C74" i="48" a="1"/>
  <c r="C74" i="48" s="1"/>
  <c r="F74" i="48" a="1"/>
  <c r="F74" i="48" s="1"/>
  <c r="J74" i="48" a="1"/>
  <c r="J74" i="48" s="1"/>
  <c r="H74" i="48" a="1"/>
  <c r="H74" i="48" s="1"/>
  <c r="D74" i="48" a="1"/>
  <c r="D74" i="48" s="1"/>
  <c r="E74" i="48" a="1"/>
  <c r="E74" i="48" s="1"/>
  <c r="G72" i="48" a="1"/>
  <c r="G72" i="48" s="1"/>
  <c r="C72" i="48" a="1"/>
  <c r="C72" i="48" s="1"/>
  <c r="F72" i="48" a="1"/>
  <c r="F72" i="48" s="1"/>
  <c r="H72" i="48" a="1"/>
  <c r="H72" i="48" s="1"/>
  <c r="D72" i="48" a="1"/>
  <c r="D72" i="48" s="1"/>
  <c r="J72" i="48" a="1"/>
  <c r="J72" i="48" s="1"/>
  <c r="E72" i="48" a="1"/>
  <c r="E72" i="48" s="1"/>
  <c r="A67" i="47"/>
  <c r="D8" i="47"/>
  <c r="D7" i="47"/>
  <c r="C8" i="47"/>
  <c r="C7" i="47"/>
  <c r="J76" i="47" a="1"/>
  <c r="J76" i="47" s="1"/>
  <c r="G76" i="47" a="1"/>
  <c r="G76" i="47" s="1"/>
  <c r="D76" i="47" a="1"/>
  <c r="D76" i="47" s="1"/>
  <c r="H76" i="47" a="1"/>
  <c r="H76" i="47" s="1"/>
  <c r="H11" i="47" a="1"/>
  <c r="H11" i="47" s="1"/>
  <c r="G10" i="47"/>
  <c r="G80" i="47" a="1"/>
  <c r="G80" i="47" s="1"/>
  <c r="B80" i="47" a="1"/>
  <c r="B80" i="47" s="1"/>
  <c r="G79" i="47" a="1"/>
  <c r="G79" i="47" s="1"/>
  <c r="B79" i="47" a="1"/>
  <c r="B79" i="47" s="1"/>
  <c r="C10" i="47"/>
  <c r="A67" i="46"/>
  <c r="C8" i="46"/>
  <c r="C7" i="46"/>
  <c r="D8" i="46"/>
  <c r="D7" i="46"/>
  <c r="J76" i="46" a="1"/>
  <c r="J76" i="46" s="1"/>
  <c r="G76" i="46" a="1"/>
  <c r="G76" i="46" s="1"/>
  <c r="D76" i="46" a="1"/>
  <c r="D76" i="46" s="1"/>
  <c r="H76" i="46" a="1"/>
  <c r="H76" i="46" s="1"/>
  <c r="H11" i="46" a="1"/>
  <c r="H11" i="46" s="1"/>
  <c r="G10" i="46"/>
  <c r="G80" i="46" a="1"/>
  <c r="G80" i="46" s="1"/>
  <c r="B80" i="46" a="1"/>
  <c r="B80" i="46" s="1"/>
  <c r="G79" i="46" a="1"/>
  <c r="G79" i="46" s="1"/>
  <c r="B79" i="46" a="1"/>
  <c r="B79" i="46" s="1"/>
  <c r="C10" i="46"/>
  <c r="G12" i="45" a="1"/>
  <c r="G12" i="45" s="1"/>
  <c r="H12" i="45" s="1" a="1"/>
  <c r="H12" i="45" s="1"/>
  <c r="G5" i="45" a="1"/>
  <c r="G5" i="45" s="1"/>
  <c r="C4" i="45" a="1"/>
  <c r="C4" i="45" s="1"/>
  <c r="C5" i="45" a="1"/>
  <c r="C5" i="45" s="1"/>
  <c r="H1" i="45"/>
  <c r="G4" i="45" a="1"/>
  <c r="G4" i="45" s="1"/>
  <c r="G6" i="45" a="1"/>
  <c r="G6" i="45" s="1"/>
  <c r="G7" i="45" a="1"/>
  <c r="G7" i="45" s="1"/>
  <c r="G8" i="45" a="1"/>
  <c r="G8" i="45" s="1"/>
  <c r="C11" i="45"/>
  <c r="G13" i="45" a="1"/>
  <c r="G13" i="45" s="1"/>
  <c r="H13" i="45" s="1" a="1"/>
  <c r="H13" i="45" s="1"/>
  <c r="C14" i="45"/>
  <c r="C12" i="45"/>
  <c r="D14" i="45"/>
  <c r="G11" i="45" a="1"/>
  <c r="G11" i="45" s="1"/>
  <c r="C13" i="45"/>
  <c r="H79" i="45" s="1"/>
  <c r="G14" i="45" a="1"/>
  <c r="G14" i="45" s="1"/>
  <c r="H14" i="45" s="1" a="1"/>
  <c r="H14" i="45" s="1"/>
  <c r="C6" i="45" a="1"/>
  <c r="C6" i="45" s="1"/>
  <c r="R140" i="6"/>
  <c r="Q140" i="6"/>
  <c r="R139" i="6"/>
  <c r="Q139" i="6"/>
  <c r="R138" i="6"/>
  <c r="Q138" i="6"/>
  <c r="R137" i="6"/>
  <c r="Q137" i="6"/>
  <c r="R136" i="6"/>
  <c r="Q136" i="6"/>
  <c r="G237" i="8"/>
  <c r="R237" i="8" s="1"/>
  <c r="D237" i="8"/>
  <c r="E237" i="8" s="1"/>
  <c r="G236" i="8"/>
  <c r="R236" i="8" s="1"/>
  <c r="D236" i="8"/>
  <c r="E236" i="8" s="1"/>
  <c r="G235" i="8"/>
  <c r="R235" i="8" s="1"/>
  <c r="D235" i="8"/>
  <c r="E235" i="8" s="1"/>
  <c r="E233" i="8"/>
  <c r="E231" i="8"/>
  <c r="C79" i="47" l="1"/>
  <c r="F79" i="47"/>
  <c r="C76" i="47" a="1"/>
  <c r="C76" i="47" s="1"/>
  <c r="C80" i="47"/>
  <c r="F80" i="47"/>
  <c r="F76" i="47" a="1"/>
  <c r="F76" i="47" s="1"/>
  <c r="B64" i="47"/>
  <c r="B62" i="47"/>
  <c r="B56" i="47"/>
  <c r="B63" i="47"/>
  <c r="B60" i="47"/>
  <c r="B52" i="47"/>
  <c r="B32" i="47"/>
  <c r="B28" i="47"/>
  <c r="B39" i="47"/>
  <c r="B35" i="47"/>
  <c r="B29" i="47"/>
  <c r="B25" i="47"/>
  <c r="B58" i="47"/>
  <c r="B43" i="47"/>
  <c r="B44" i="47"/>
  <c r="B41" i="47"/>
  <c r="B31" i="47"/>
  <c r="B47" i="47"/>
  <c r="B22" i="47"/>
  <c r="B18" i="47"/>
  <c r="B48" i="47"/>
  <c r="B37" i="47"/>
  <c r="B27" i="47"/>
  <c r="B19" i="47"/>
  <c r="B20" i="47"/>
  <c r="B45" i="47"/>
  <c r="B33" i="47"/>
  <c r="B57" i="47"/>
  <c r="B23" i="47"/>
  <c r="B24" i="47"/>
  <c r="B50" i="47"/>
  <c r="B30" i="47"/>
  <c r="B46" i="47"/>
  <c r="B34" i="47"/>
  <c r="B55" i="47"/>
  <c r="B17" i="47"/>
  <c r="B21" i="47"/>
  <c r="B38" i="47"/>
  <c r="B54" i="47"/>
  <c r="B40" i="47"/>
  <c r="B49" i="47"/>
  <c r="B36" i="47"/>
  <c r="B53" i="47"/>
  <c r="B42" i="47"/>
  <c r="B51" i="47"/>
  <c r="B26" i="47"/>
  <c r="B59" i="47"/>
  <c r="B61" i="47"/>
  <c r="A72" i="47"/>
  <c r="B72" i="47" s="1"/>
  <c r="A71" i="47"/>
  <c r="B71" i="47" s="1"/>
  <c r="A70" i="47"/>
  <c r="B70" i="47" s="1"/>
  <c r="A69" i="47"/>
  <c r="B69" i="47" s="1"/>
  <c r="A68" i="47"/>
  <c r="B68" i="47" s="1"/>
  <c r="A75" i="47"/>
  <c r="B75" i="47" s="1"/>
  <c r="A74" i="47"/>
  <c r="B74" i="47" s="1"/>
  <c r="A73" i="47"/>
  <c r="B73" i="47" s="1"/>
  <c r="C79" i="46"/>
  <c r="F79" i="46"/>
  <c r="C76" i="46" a="1"/>
  <c r="C76" i="46" s="1"/>
  <c r="B64" i="46"/>
  <c r="B62" i="46"/>
  <c r="B56" i="46"/>
  <c r="B54" i="46"/>
  <c r="B50" i="46"/>
  <c r="B63" i="46"/>
  <c r="B52" i="46"/>
  <c r="B51" i="46"/>
  <c r="B49" i="46"/>
  <c r="B46" i="46"/>
  <c r="B42" i="46"/>
  <c r="B60" i="46"/>
  <c r="B59" i="46"/>
  <c r="B41" i="46"/>
  <c r="B37" i="46"/>
  <c r="B31" i="46"/>
  <c r="B27" i="46"/>
  <c r="B22" i="46"/>
  <c r="B19" i="46"/>
  <c r="B23" i="46"/>
  <c r="B17" i="46"/>
  <c r="B18" i="46"/>
  <c r="B20" i="46"/>
  <c r="B32" i="46"/>
  <c r="B45" i="46"/>
  <c r="B30" i="46"/>
  <c r="B58" i="46"/>
  <c r="B47" i="46"/>
  <c r="B57" i="46"/>
  <c r="B34" i="46"/>
  <c r="B39" i="46"/>
  <c r="B55" i="46"/>
  <c r="B38" i="46"/>
  <c r="B43" i="46"/>
  <c r="B53" i="46"/>
  <c r="B28" i="46"/>
  <c r="B26" i="46"/>
  <c r="B48" i="46"/>
  <c r="B44" i="46"/>
  <c r="B61" i="46"/>
  <c r="B24" i="46"/>
  <c r="B21" i="46"/>
  <c r="B36" i="46"/>
  <c r="B35" i="46"/>
  <c r="B25" i="46"/>
  <c r="B40" i="46"/>
  <c r="B29" i="46"/>
  <c r="B33" i="46"/>
  <c r="C80" i="46"/>
  <c r="F80" i="46"/>
  <c r="F76" i="46" a="1"/>
  <c r="F76" i="46" s="1"/>
  <c r="A75" i="46"/>
  <c r="B75" i="46" s="1"/>
  <c r="A74" i="46"/>
  <c r="B74" i="46" s="1"/>
  <c r="A73" i="46"/>
  <c r="B73" i="46" s="1"/>
  <c r="A72" i="46"/>
  <c r="B72" i="46" s="1"/>
  <c r="A71" i="46"/>
  <c r="B71" i="46" s="1"/>
  <c r="A70" i="46"/>
  <c r="B70" i="46" s="1"/>
  <c r="A69" i="46"/>
  <c r="B69" i="46" s="1"/>
  <c r="A68" i="46"/>
  <c r="B68" i="46" s="1"/>
  <c r="H80" i="45"/>
  <c r="D8" i="45"/>
  <c r="C7" i="45"/>
  <c r="D7" i="45"/>
  <c r="C8" i="45"/>
  <c r="J76" i="45" a="1"/>
  <c r="J76" i="45" s="1"/>
  <c r="G76" i="45" a="1"/>
  <c r="G76" i="45" s="1"/>
  <c r="D76" i="45" a="1"/>
  <c r="D76" i="45" s="1"/>
  <c r="H76" i="45" a="1"/>
  <c r="H76" i="45" s="1"/>
  <c r="H11" i="45" a="1"/>
  <c r="H11" i="45" s="1"/>
  <c r="G10" i="45"/>
  <c r="G80" i="45" a="1"/>
  <c r="G80" i="45" s="1"/>
  <c r="B80" i="45" a="1"/>
  <c r="B80" i="45" s="1"/>
  <c r="G79" i="45" a="1"/>
  <c r="G79" i="45" s="1"/>
  <c r="B79" i="45" a="1"/>
  <c r="B79" i="45" s="1"/>
  <c r="C10" i="45"/>
  <c r="Q237" i="8"/>
  <c r="Q236" i="8"/>
  <c r="Q235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3" i="8"/>
  <c r="L212" i="8"/>
  <c r="J62" i="47" l="1" a="1"/>
  <c r="J62" i="47" s="1"/>
  <c r="C62" i="47" s="1" a="1"/>
  <c r="C62" i="47" s="1"/>
  <c r="G71" i="47" a="1"/>
  <c r="G71" i="47" s="1"/>
  <c r="C71" i="47" a="1"/>
  <c r="C71" i="47" s="1"/>
  <c r="F71" i="47" a="1"/>
  <c r="F71" i="47" s="1"/>
  <c r="J71" i="47" a="1"/>
  <c r="J71" i="47" s="1"/>
  <c r="E71" i="47" a="1"/>
  <c r="E71" i="47" s="1"/>
  <c r="H71" i="47" a="1"/>
  <c r="H71" i="47" s="1"/>
  <c r="D71" i="47" a="1"/>
  <c r="D71" i="47" s="1"/>
  <c r="G68" i="47" a="1"/>
  <c r="G68" i="47" s="1"/>
  <c r="C68" i="47" a="1"/>
  <c r="C68" i="47" s="1"/>
  <c r="F68" i="47" a="1"/>
  <c r="F68" i="47" s="1"/>
  <c r="J68" i="47" a="1"/>
  <c r="J68" i="47" s="1"/>
  <c r="E68" i="47" a="1"/>
  <c r="E68" i="47" s="1"/>
  <c r="H68" i="47" a="1"/>
  <c r="H68" i="47" s="1"/>
  <c r="D68" i="47" a="1"/>
  <c r="D68" i="47" s="1"/>
  <c r="J72" i="47" a="1"/>
  <c r="J72" i="47" s="1"/>
  <c r="G72" i="47" a="1"/>
  <c r="G72" i="47" s="1"/>
  <c r="C72" i="47" a="1"/>
  <c r="C72" i="47" s="1"/>
  <c r="F72" i="47" a="1"/>
  <c r="F72" i="47" s="1"/>
  <c r="E72" i="47" a="1"/>
  <c r="E72" i="47" s="1"/>
  <c r="H72" i="47" a="1"/>
  <c r="H72" i="47" s="1"/>
  <c r="D72" i="47" a="1"/>
  <c r="D72" i="47" s="1"/>
  <c r="J64" i="47" a="1"/>
  <c r="J64" i="47" s="1"/>
  <c r="C64" i="47" s="1" a="1"/>
  <c r="C64" i="47" s="1"/>
  <c r="J63" i="47" a="1"/>
  <c r="J63" i="47" s="1"/>
  <c r="C63" i="47" s="1" a="1"/>
  <c r="C63" i="47" s="1"/>
  <c r="J75" i="47" a="1"/>
  <c r="J75" i="47" s="1"/>
  <c r="G75" i="47" a="1"/>
  <c r="G75" i="47" s="1"/>
  <c r="E75" i="47" a="1"/>
  <c r="E75" i="47" s="1"/>
  <c r="C75" i="47" a="1"/>
  <c r="C75" i="47" s="1"/>
  <c r="F75" i="47" a="1"/>
  <c r="F75" i="47" s="1"/>
  <c r="D75" i="47" a="1"/>
  <c r="D75" i="47" s="1"/>
  <c r="H75" i="47" a="1"/>
  <c r="H75" i="47" s="1"/>
  <c r="J73" i="47" a="1"/>
  <c r="J73" i="47" s="1"/>
  <c r="G73" i="47" a="1"/>
  <c r="G73" i="47" s="1"/>
  <c r="E73" i="47" a="1"/>
  <c r="E73" i="47" s="1"/>
  <c r="C73" i="47" a="1"/>
  <c r="C73" i="47" s="1"/>
  <c r="F73" i="47" a="1"/>
  <c r="F73" i="47" s="1"/>
  <c r="D73" i="47" a="1"/>
  <c r="D73" i="47" s="1"/>
  <c r="H73" i="47" a="1"/>
  <c r="H73" i="47" s="1"/>
  <c r="G69" i="47" a="1"/>
  <c r="G69" i="47" s="1"/>
  <c r="C69" i="47" a="1"/>
  <c r="C69" i="47" s="1"/>
  <c r="F69" i="47" a="1"/>
  <c r="F69" i="47" s="1"/>
  <c r="J69" i="47" a="1"/>
  <c r="J69" i="47" s="1"/>
  <c r="E69" i="47" a="1"/>
  <c r="E69" i="47" s="1"/>
  <c r="H69" i="47" a="1"/>
  <c r="H69" i="47" s="1"/>
  <c r="D69" i="47" a="1"/>
  <c r="D69" i="47" s="1"/>
  <c r="J74" i="47" a="1"/>
  <c r="J74" i="47" s="1"/>
  <c r="G74" i="47" a="1"/>
  <c r="G74" i="47" s="1"/>
  <c r="E74" i="47" a="1"/>
  <c r="E74" i="47" s="1"/>
  <c r="C74" i="47" a="1"/>
  <c r="C74" i="47" s="1"/>
  <c r="F74" i="47" a="1"/>
  <c r="F74" i="47" s="1"/>
  <c r="D74" i="47" a="1"/>
  <c r="D74" i="47" s="1"/>
  <c r="H74" i="47" a="1"/>
  <c r="H74" i="47" s="1"/>
  <c r="G70" i="47" a="1"/>
  <c r="G70" i="47" s="1"/>
  <c r="C70" i="47" a="1"/>
  <c r="C70" i="47" s="1"/>
  <c r="F70" i="47" a="1"/>
  <c r="F70" i="47" s="1"/>
  <c r="J70" i="47" a="1"/>
  <c r="J70" i="47" s="1"/>
  <c r="E70" i="47" a="1"/>
  <c r="E70" i="47" s="1"/>
  <c r="H70" i="47" a="1"/>
  <c r="H70" i="47" s="1"/>
  <c r="D70" i="47" a="1"/>
  <c r="D70" i="47" s="1"/>
  <c r="G71" i="46" a="1"/>
  <c r="G71" i="46" s="1"/>
  <c r="C71" i="46" a="1"/>
  <c r="C71" i="46" s="1"/>
  <c r="F71" i="46" a="1"/>
  <c r="F71" i="46" s="1"/>
  <c r="J71" i="46" a="1"/>
  <c r="J71" i="46" s="1"/>
  <c r="E71" i="46" a="1"/>
  <c r="E71" i="46" s="1"/>
  <c r="H71" i="46" a="1"/>
  <c r="H71" i="46" s="1"/>
  <c r="D71" i="46" a="1"/>
  <c r="D71" i="46" s="1"/>
  <c r="J75" i="46" a="1"/>
  <c r="J75" i="46" s="1"/>
  <c r="G75" i="46" a="1"/>
  <c r="G75" i="46" s="1"/>
  <c r="C75" i="46" a="1"/>
  <c r="C75" i="46" s="1"/>
  <c r="F75" i="46" a="1"/>
  <c r="F75" i="46" s="1"/>
  <c r="E75" i="46" a="1"/>
  <c r="E75" i="46" s="1"/>
  <c r="H75" i="46" a="1"/>
  <c r="H75" i="46" s="1"/>
  <c r="D75" i="46" a="1"/>
  <c r="D75" i="46" s="1"/>
  <c r="G68" i="46" a="1"/>
  <c r="G68" i="46" s="1"/>
  <c r="C68" i="46" a="1"/>
  <c r="C68" i="46" s="1"/>
  <c r="F68" i="46" a="1"/>
  <c r="F68" i="46" s="1"/>
  <c r="J68" i="46" a="1"/>
  <c r="J68" i="46" s="1"/>
  <c r="H68" i="46" a="1"/>
  <c r="H68" i="46" s="1"/>
  <c r="D68" i="46" a="1"/>
  <c r="D68" i="46" s="1"/>
  <c r="E68" i="46" a="1"/>
  <c r="E68" i="46" s="1"/>
  <c r="G72" i="46" a="1"/>
  <c r="G72" i="46" s="1"/>
  <c r="C72" i="46" a="1"/>
  <c r="C72" i="46" s="1"/>
  <c r="F72" i="46" a="1"/>
  <c r="F72" i="46" s="1"/>
  <c r="J72" i="46" a="1"/>
  <c r="J72" i="46" s="1"/>
  <c r="E72" i="46" a="1"/>
  <c r="E72" i="46" s="1"/>
  <c r="H72" i="46" a="1"/>
  <c r="H72" i="46" s="1"/>
  <c r="D72" i="46" a="1"/>
  <c r="D72" i="46" s="1"/>
  <c r="G69" i="46" a="1"/>
  <c r="G69" i="46" s="1"/>
  <c r="C69" i="46" a="1"/>
  <c r="C69" i="46" s="1"/>
  <c r="F69" i="46" a="1"/>
  <c r="F69" i="46" s="1"/>
  <c r="J69" i="46" a="1"/>
  <c r="J69" i="46" s="1"/>
  <c r="E69" i="46" a="1"/>
  <c r="E69" i="46" s="1"/>
  <c r="H69" i="46" a="1"/>
  <c r="H69" i="46" s="1"/>
  <c r="D69" i="46" a="1"/>
  <c r="D69" i="46" s="1"/>
  <c r="G73" i="46" a="1"/>
  <c r="G73" i="46" s="1"/>
  <c r="C73" i="46" a="1"/>
  <c r="C73" i="46" s="1"/>
  <c r="F73" i="46" a="1"/>
  <c r="F73" i="46" s="1"/>
  <c r="J73" i="46" a="1"/>
  <c r="J73" i="46" s="1"/>
  <c r="E73" i="46" a="1"/>
  <c r="E73" i="46" s="1"/>
  <c r="H73" i="46" a="1"/>
  <c r="H73" i="46" s="1"/>
  <c r="D73" i="46" a="1"/>
  <c r="D73" i="46" s="1"/>
  <c r="G70" i="46" a="1"/>
  <c r="G70" i="46" s="1"/>
  <c r="C70" i="46" a="1"/>
  <c r="C70" i="46" s="1"/>
  <c r="F70" i="46" a="1"/>
  <c r="F70" i="46" s="1"/>
  <c r="J70" i="46" a="1"/>
  <c r="J70" i="46" s="1"/>
  <c r="E70" i="46" a="1"/>
  <c r="E70" i="46" s="1"/>
  <c r="H70" i="46" a="1"/>
  <c r="H70" i="46" s="1"/>
  <c r="D70" i="46" a="1"/>
  <c r="D70" i="46" s="1"/>
  <c r="G74" i="46" a="1"/>
  <c r="G74" i="46" s="1"/>
  <c r="C74" i="46" a="1"/>
  <c r="C74" i="46" s="1"/>
  <c r="F74" i="46" a="1"/>
  <c r="F74" i="46" s="1"/>
  <c r="J74" i="46" a="1"/>
  <c r="J74" i="46" s="1"/>
  <c r="E74" i="46" a="1"/>
  <c r="E74" i="46" s="1"/>
  <c r="H74" i="46" a="1"/>
  <c r="H74" i="46" s="1"/>
  <c r="D74" i="46" a="1"/>
  <c r="D74" i="46" s="1"/>
  <c r="J64" i="46" a="1"/>
  <c r="J64" i="46" s="1"/>
  <c r="C64" i="46" s="1" a="1"/>
  <c r="C64" i="46" s="1"/>
  <c r="J63" i="46" a="1"/>
  <c r="J63" i="46" s="1"/>
  <c r="C63" i="46" s="1" a="1"/>
  <c r="C63" i="46" s="1"/>
  <c r="J62" i="46" a="1"/>
  <c r="J62" i="46" s="1"/>
  <c r="B69" i="45"/>
  <c r="B73" i="45"/>
  <c r="B70" i="45"/>
  <c r="B74" i="45"/>
  <c r="B75" i="45"/>
  <c r="B68" i="45"/>
  <c r="B72" i="45"/>
  <c r="B71" i="45"/>
  <c r="C79" i="45"/>
  <c r="F79" i="45"/>
  <c r="C76" i="45" a="1"/>
  <c r="C76" i="45" s="1"/>
  <c r="B64" i="45"/>
  <c r="B62" i="45"/>
  <c r="B60" i="45"/>
  <c r="B58" i="45"/>
  <c r="B56" i="45"/>
  <c r="B54" i="45"/>
  <c r="B52" i="45"/>
  <c r="B51" i="45"/>
  <c r="B47" i="45"/>
  <c r="B45" i="45"/>
  <c r="B41" i="45"/>
  <c r="B40" i="45"/>
  <c r="B39" i="45"/>
  <c r="B35" i="45"/>
  <c r="B33" i="45"/>
  <c r="B25" i="45"/>
  <c r="B19" i="45"/>
  <c r="B29" i="45"/>
  <c r="B21" i="45"/>
  <c r="B23" i="45"/>
  <c r="B32" i="45"/>
  <c r="B27" i="45"/>
  <c r="B42" i="45"/>
  <c r="B50" i="45"/>
  <c r="B59" i="45"/>
  <c r="B22" i="45"/>
  <c r="B48" i="45"/>
  <c r="B53" i="45"/>
  <c r="B61" i="45"/>
  <c r="B34" i="45"/>
  <c r="B55" i="45"/>
  <c r="B63" i="45"/>
  <c r="B20" i="45"/>
  <c r="B17" i="45"/>
  <c r="B30" i="45"/>
  <c r="B24" i="45"/>
  <c r="B18" i="45"/>
  <c r="B31" i="45"/>
  <c r="B36" i="45"/>
  <c r="B28" i="45"/>
  <c r="B26" i="45"/>
  <c r="B43" i="45"/>
  <c r="B44" i="45"/>
  <c r="B37" i="45"/>
  <c r="B38" i="45"/>
  <c r="B46" i="45"/>
  <c r="B57" i="45"/>
  <c r="B49" i="45"/>
  <c r="C80" i="45"/>
  <c r="F80" i="45"/>
  <c r="F76" i="45" a="1"/>
  <c r="F76" i="45" s="1"/>
  <c r="Q98" i="6"/>
  <c r="R98" i="6"/>
  <c r="D64" i="47" l="1"/>
  <c r="G64" i="47" a="1"/>
  <c r="G64" i="47" s="1"/>
  <c r="E64" i="47" a="1"/>
  <c r="E64" i="47" s="1"/>
  <c r="H64" i="47"/>
  <c r="D63" i="47"/>
  <c r="E63" i="47" a="1"/>
  <c r="E63" i="47" s="1"/>
  <c r="H63" i="47"/>
  <c r="G63" i="47" a="1"/>
  <c r="G63" i="47" s="1"/>
  <c r="D62" i="47"/>
  <c r="G62" i="47" a="1"/>
  <c r="G62" i="47" s="1"/>
  <c r="H62" i="47"/>
  <c r="E62" i="47" a="1"/>
  <c r="E62" i="47" s="1"/>
  <c r="D62" i="46"/>
  <c r="E62" i="46" a="1"/>
  <c r="E62" i="46" s="1"/>
  <c r="G62" i="46" a="1"/>
  <c r="G62" i="46" s="1"/>
  <c r="H62" i="46"/>
  <c r="D64" i="46"/>
  <c r="G64" i="46" a="1"/>
  <c r="G64" i="46" s="1"/>
  <c r="E64" i="46" a="1"/>
  <c r="E64" i="46" s="1"/>
  <c r="H64" i="46"/>
  <c r="D63" i="46"/>
  <c r="H63" i="46"/>
  <c r="G63" i="46" a="1"/>
  <c r="G63" i="46" s="1"/>
  <c r="E63" i="46" a="1"/>
  <c r="E63" i="46" s="1"/>
  <c r="C62" i="46" a="1"/>
  <c r="C62" i="46" s="1"/>
  <c r="G71" i="45" a="1"/>
  <c r="G71" i="45" s="1"/>
  <c r="C71" i="45" a="1"/>
  <c r="C71" i="45" s="1"/>
  <c r="F71" i="45" a="1"/>
  <c r="F71" i="45" s="1"/>
  <c r="H71" i="45" a="1"/>
  <c r="H71" i="45" s="1"/>
  <c r="D71" i="45" a="1"/>
  <c r="D71" i="45" s="1"/>
  <c r="J71" i="45" a="1"/>
  <c r="J71" i="45" s="1"/>
  <c r="E71" i="45" a="1"/>
  <c r="E71" i="45" s="1"/>
  <c r="G74" i="45" a="1"/>
  <c r="G74" i="45" s="1"/>
  <c r="C74" i="45" a="1"/>
  <c r="C74" i="45" s="1"/>
  <c r="F74" i="45" a="1"/>
  <c r="F74" i="45" s="1"/>
  <c r="J74" i="45" a="1"/>
  <c r="J74" i="45" s="1"/>
  <c r="E74" i="45" a="1"/>
  <c r="E74" i="45" s="1"/>
  <c r="H74" i="45" a="1"/>
  <c r="H74" i="45" s="1"/>
  <c r="D74" i="45" a="1"/>
  <c r="D74" i="45" s="1"/>
  <c r="G72" i="45" a="1"/>
  <c r="G72" i="45" s="1"/>
  <c r="C72" i="45" a="1"/>
  <c r="C72" i="45" s="1"/>
  <c r="F72" i="45" a="1"/>
  <c r="F72" i="45" s="1"/>
  <c r="H72" i="45" a="1"/>
  <c r="H72" i="45" s="1"/>
  <c r="D72" i="45" a="1"/>
  <c r="D72" i="45" s="1"/>
  <c r="E72" i="45" a="1"/>
  <c r="E72" i="45" s="1"/>
  <c r="J72" i="45" a="1"/>
  <c r="J72" i="45" s="1"/>
  <c r="G70" i="45" a="1"/>
  <c r="G70" i="45" s="1"/>
  <c r="C70" i="45" a="1"/>
  <c r="C70" i="45" s="1"/>
  <c r="F70" i="45" a="1"/>
  <c r="F70" i="45" s="1"/>
  <c r="H70" i="45" a="1"/>
  <c r="H70" i="45" s="1"/>
  <c r="D70" i="45" a="1"/>
  <c r="D70" i="45" s="1"/>
  <c r="J70" i="45" a="1"/>
  <c r="J70" i="45" s="1"/>
  <c r="E70" i="45" a="1"/>
  <c r="E70" i="45" s="1"/>
  <c r="G68" i="45" a="1"/>
  <c r="G68" i="45" s="1"/>
  <c r="C68" i="45" a="1"/>
  <c r="C68" i="45" s="1"/>
  <c r="F68" i="45" a="1"/>
  <c r="F68" i="45" s="1"/>
  <c r="H68" i="45" a="1"/>
  <c r="H68" i="45" s="1"/>
  <c r="D68" i="45" a="1"/>
  <c r="D68" i="45" s="1"/>
  <c r="E68" i="45" a="1"/>
  <c r="E68" i="45" s="1"/>
  <c r="J68" i="45" a="1"/>
  <c r="J68" i="45" s="1"/>
  <c r="G73" i="45" a="1"/>
  <c r="G73" i="45" s="1"/>
  <c r="C73" i="45" a="1"/>
  <c r="C73" i="45" s="1"/>
  <c r="F73" i="45" a="1"/>
  <c r="F73" i="45" s="1"/>
  <c r="H73" i="45" a="1"/>
  <c r="H73" i="45" s="1"/>
  <c r="D73" i="45" a="1"/>
  <c r="D73" i="45" s="1"/>
  <c r="J73" i="45" a="1"/>
  <c r="J73" i="45" s="1"/>
  <c r="E73" i="45" a="1"/>
  <c r="E73" i="45" s="1"/>
  <c r="J75" i="45" a="1"/>
  <c r="J75" i="45" s="1"/>
  <c r="G75" i="45" a="1"/>
  <c r="G75" i="45" s="1"/>
  <c r="C75" i="45" a="1"/>
  <c r="C75" i="45" s="1"/>
  <c r="F75" i="45" a="1"/>
  <c r="F75" i="45" s="1"/>
  <c r="E75" i="45" a="1"/>
  <c r="E75" i="45" s="1"/>
  <c r="H75" i="45" a="1"/>
  <c r="H75" i="45" s="1"/>
  <c r="D75" i="45" a="1"/>
  <c r="D75" i="45" s="1"/>
  <c r="G69" i="45" a="1"/>
  <c r="G69" i="45" s="1"/>
  <c r="C69" i="45" a="1"/>
  <c r="C69" i="45" s="1"/>
  <c r="F69" i="45" a="1"/>
  <c r="F69" i="45" s="1"/>
  <c r="H69" i="45" a="1"/>
  <c r="H69" i="45" s="1"/>
  <c r="D69" i="45" a="1"/>
  <c r="D69" i="45" s="1"/>
  <c r="J69" i="45" a="1"/>
  <c r="J69" i="45" s="1"/>
  <c r="E69" i="45" a="1"/>
  <c r="E69" i="45" s="1"/>
  <c r="R135" i="6"/>
  <c r="Q135" i="6"/>
  <c r="R134" i="6"/>
  <c r="Q134" i="6"/>
  <c r="R133" i="6"/>
  <c r="Q133" i="6"/>
  <c r="R132" i="6"/>
  <c r="Q132" i="6"/>
  <c r="R131" i="6"/>
  <c r="Q131" i="6"/>
  <c r="R130" i="6"/>
  <c r="Q130" i="6"/>
  <c r="R129" i="6"/>
  <c r="Q129" i="6"/>
  <c r="R128" i="6"/>
  <c r="Q128" i="6"/>
  <c r="R127" i="6"/>
  <c r="Q127" i="6"/>
  <c r="R142" i="6"/>
  <c r="Q142" i="6"/>
  <c r="R141" i="6"/>
  <c r="Q141" i="6"/>
  <c r="R35" i="6"/>
  <c r="Q35" i="6"/>
  <c r="R34" i="6"/>
  <c r="Q34" i="6"/>
  <c r="R33" i="6"/>
  <c r="Q33" i="6"/>
  <c r="R32" i="6"/>
  <c r="Q32" i="6"/>
  <c r="R31" i="6"/>
  <c r="Q31" i="6"/>
  <c r="R30" i="6"/>
  <c r="Q30" i="6"/>
  <c r="R29" i="6"/>
  <c r="Q29" i="6"/>
  <c r="R28" i="6"/>
  <c r="Q28" i="6"/>
  <c r="R27" i="6"/>
  <c r="Q27" i="6"/>
  <c r="R26" i="6"/>
  <c r="Q26" i="6"/>
  <c r="R25" i="6"/>
  <c r="Q25" i="6"/>
  <c r="R24" i="6"/>
  <c r="Q24" i="6"/>
  <c r="R23" i="6"/>
  <c r="Q23" i="6"/>
  <c r="R22" i="6"/>
  <c r="Q22" i="6"/>
  <c r="R21" i="6"/>
  <c r="Q21" i="6"/>
  <c r="R20" i="6"/>
  <c r="Q20" i="6"/>
  <c r="R19" i="6"/>
  <c r="Q19" i="6"/>
  <c r="R18" i="6"/>
  <c r="Q18" i="6"/>
  <c r="R17" i="6"/>
  <c r="Q17" i="6"/>
  <c r="R16" i="6"/>
  <c r="Q16" i="6"/>
  <c r="R15" i="6"/>
  <c r="Q15" i="6"/>
  <c r="R14" i="6"/>
  <c r="Q14" i="6"/>
  <c r="R13" i="6"/>
  <c r="Q13" i="6"/>
  <c r="R12" i="6"/>
  <c r="Q12" i="6"/>
  <c r="R11" i="6"/>
  <c r="Q11" i="6"/>
  <c r="R10" i="6"/>
  <c r="Q10" i="6"/>
  <c r="R9" i="6"/>
  <c r="Q9" i="6"/>
  <c r="R8" i="6"/>
  <c r="Q8" i="6"/>
  <c r="R7" i="6"/>
  <c r="Q7" i="6"/>
  <c r="R6" i="6"/>
  <c r="Q6" i="6"/>
  <c r="R5" i="6"/>
  <c r="Q5" i="6"/>
  <c r="R4" i="6"/>
  <c r="Q4" i="6"/>
  <c r="R149" i="6"/>
  <c r="Q149" i="6"/>
  <c r="R148" i="6"/>
  <c r="Q148" i="6"/>
  <c r="R97" i="6"/>
  <c r="Q97" i="6"/>
  <c r="R96" i="6"/>
  <c r="Q96" i="6"/>
  <c r="R95" i="6"/>
  <c r="Q95" i="6"/>
  <c r="R94" i="6"/>
  <c r="Q94" i="6"/>
  <c r="R93" i="6"/>
  <c r="Q93" i="6"/>
  <c r="R92" i="6"/>
  <c r="Q92" i="6"/>
  <c r="R91" i="6"/>
  <c r="Q91" i="6"/>
  <c r="R90" i="6"/>
  <c r="Q90" i="6"/>
  <c r="R89" i="6"/>
  <c r="Q89" i="6"/>
  <c r="R88" i="6"/>
  <c r="Q88" i="6"/>
  <c r="R87" i="6"/>
  <c r="Q87" i="6"/>
  <c r="R86" i="6"/>
  <c r="Q86" i="6"/>
  <c r="R85" i="6"/>
  <c r="Q85" i="6"/>
  <c r="R84" i="6"/>
  <c r="Q84" i="6"/>
  <c r="R83" i="6"/>
  <c r="Q83" i="6"/>
  <c r="R147" i="6"/>
  <c r="Q147" i="6"/>
  <c r="R146" i="6"/>
  <c r="Q146" i="6"/>
  <c r="R144" i="6"/>
  <c r="Q144" i="6"/>
  <c r="R143" i="6"/>
  <c r="Q143" i="6"/>
  <c r="R125" i="6"/>
  <c r="Q125" i="6"/>
  <c r="R124" i="6"/>
  <c r="Q124" i="6"/>
  <c r="R123" i="6"/>
  <c r="Q123" i="6"/>
  <c r="R122" i="6"/>
  <c r="Q122" i="6"/>
  <c r="R121" i="6"/>
  <c r="Q121" i="6"/>
  <c r="R120" i="6"/>
  <c r="Q120" i="6"/>
  <c r="R119" i="6"/>
  <c r="Q119" i="6"/>
  <c r="R118" i="6"/>
  <c r="Q118" i="6"/>
  <c r="R117" i="6"/>
  <c r="Q117" i="6"/>
  <c r="R116" i="6"/>
  <c r="Q116" i="6"/>
  <c r="R115" i="6"/>
  <c r="Q115" i="6"/>
  <c r="R114" i="6"/>
  <c r="Q114" i="6"/>
  <c r="R113" i="6"/>
  <c r="Q113" i="6"/>
  <c r="R112" i="6"/>
  <c r="Q112" i="6"/>
  <c r="R111" i="6"/>
  <c r="Q111" i="6"/>
  <c r="R110" i="6"/>
  <c r="Q110" i="6"/>
  <c r="R109" i="6"/>
  <c r="Q109" i="6"/>
  <c r="R108" i="6"/>
  <c r="Q108" i="6"/>
  <c r="R107" i="6"/>
  <c r="Q107" i="6"/>
  <c r="R106" i="6"/>
  <c r="Q106" i="6"/>
  <c r="R105" i="6"/>
  <c r="Q105" i="6"/>
  <c r="R104" i="6"/>
  <c r="Q104" i="6"/>
  <c r="R103" i="6"/>
  <c r="Q103" i="6"/>
  <c r="R102" i="6"/>
  <c r="Q102" i="6"/>
  <c r="R101" i="6"/>
  <c r="Q101" i="6"/>
  <c r="R100" i="6"/>
  <c r="Q100" i="6"/>
  <c r="R99" i="6"/>
  <c r="Q99" i="6"/>
  <c r="R82" i="6"/>
  <c r="Q82" i="6"/>
  <c r="R81" i="6"/>
  <c r="Q81" i="6"/>
  <c r="R80" i="6"/>
  <c r="Q80" i="6"/>
  <c r="R79" i="6"/>
  <c r="Q79" i="6"/>
  <c r="R78" i="6"/>
  <c r="Q78" i="6"/>
  <c r="R77" i="6"/>
  <c r="Q77" i="6"/>
  <c r="R76" i="6"/>
  <c r="Q76" i="6"/>
  <c r="R75" i="6"/>
  <c r="Q75" i="6"/>
  <c r="R74" i="6"/>
  <c r="Q74" i="6"/>
  <c r="R73" i="6"/>
  <c r="Q73" i="6"/>
  <c r="R72" i="6"/>
  <c r="Q72" i="6"/>
  <c r="R71" i="6"/>
  <c r="Q71" i="6"/>
  <c r="R70" i="6"/>
  <c r="Q70" i="6"/>
  <c r="R69" i="6"/>
  <c r="Q69" i="6"/>
  <c r="R68" i="6"/>
  <c r="Q68" i="6"/>
  <c r="R67" i="6"/>
  <c r="Q67" i="6"/>
  <c r="R66" i="6"/>
  <c r="Q66" i="6"/>
  <c r="R65" i="6"/>
  <c r="Q65" i="6"/>
  <c r="R64" i="6"/>
  <c r="Q64" i="6"/>
  <c r="R63" i="6"/>
  <c r="Q63" i="6"/>
  <c r="R62" i="6"/>
  <c r="Q62" i="6"/>
  <c r="R61" i="6"/>
  <c r="Q61" i="6"/>
  <c r="R60" i="6"/>
  <c r="Q60" i="6"/>
  <c r="R59" i="6"/>
  <c r="Q59" i="6"/>
  <c r="R58" i="6"/>
  <c r="Q58" i="6"/>
  <c r="R57" i="6"/>
  <c r="Q57" i="6"/>
  <c r="R56" i="6"/>
  <c r="Q56" i="6"/>
  <c r="R55" i="6"/>
  <c r="Q55" i="6"/>
  <c r="R54" i="6"/>
  <c r="Q54" i="6"/>
  <c r="R53" i="6"/>
  <c r="Q53" i="6"/>
  <c r="R52" i="6"/>
  <c r="Q52" i="6"/>
  <c r="R51" i="6"/>
  <c r="Q51" i="6"/>
  <c r="R50" i="6"/>
  <c r="Q50" i="6"/>
  <c r="R49" i="6"/>
  <c r="Q49" i="6"/>
  <c r="R48" i="6"/>
  <c r="Q48" i="6"/>
  <c r="R47" i="6"/>
  <c r="Q47" i="6"/>
  <c r="R46" i="6"/>
  <c r="Q46" i="6"/>
  <c r="R45" i="6"/>
  <c r="Q45" i="6"/>
  <c r="R44" i="6"/>
  <c r="Q44" i="6"/>
  <c r="R43" i="6"/>
  <c r="Q43" i="6"/>
  <c r="R42" i="6"/>
  <c r="Q42" i="6"/>
  <c r="R41" i="6"/>
  <c r="Q41" i="6"/>
  <c r="R40" i="6"/>
  <c r="Q40" i="6"/>
  <c r="R39" i="6"/>
  <c r="Q39" i="6"/>
  <c r="R38" i="6"/>
  <c r="Q38" i="6"/>
  <c r="Q37" i="6"/>
  <c r="R37" i="6"/>
  <c r="C13" i="44"/>
  <c r="C12" i="44"/>
  <c r="C11" i="44"/>
  <c r="C10" i="44"/>
  <c r="C9" i="44"/>
  <c r="C8" i="44"/>
  <c r="C7" i="44"/>
  <c r="C6" i="44"/>
  <c r="A1" i="44"/>
  <c r="H41" i="42"/>
  <c r="G344" i="8"/>
  <c r="Q344" i="8" s="1"/>
  <c r="G343" i="8"/>
  <c r="Q343" i="8" s="1"/>
  <c r="G245" i="8"/>
  <c r="G244" i="8"/>
  <c r="G243" i="8"/>
  <c r="G242" i="8"/>
  <c r="G241" i="8"/>
  <c r="G240" i="8"/>
  <c r="G239" i="8"/>
  <c r="G238" i="8"/>
  <c r="G234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D344" i="8"/>
  <c r="D343" i="8"/>
  <c r="E248" i="8"/>
  <c r="E246" i="8"/>
  <c r="E245" i="8"/>
  <c r="D245" i="8"/>
  <c r="D244" i="8"/>
  <c r="E244" i="8" s="1"/>
  <c r="D243" i="8"/>
  <c r="E243" i="8" s="1"/>
  <c r="D242" i="8"/>
  <c r="E242" i="8" s="1"/>
  <c r="D241" i="8"/>
  <c r="E241" i="8" s="1"/>
  <c r="D240" i="8"/>
  <c r="E240" i="8" s="1"/>
  <c r="D239" i="8"/>
  <c r="E239" i="8" s="1"/>
  <c r="D238" i="8"/>
  <c r="E238" i="8" s="1"/>
  <c r="D234" i="8"/>
  <c r="E234" i="8" s="1"/>
  <c r="E232" i="8"/>
  <c r="E230" i="8"/>
  <c r="E229" i="8"/>
  <c r="E228" i="8"/>
  <c r="D228" i="8"/>
  <c r="D227" i="8"/>
  <c r="E227" i="8" s="1"/>
  <c r="D226" i="8"/>
  <c r="E226" i="8" s="1"/>
  <c r="D225" i="8"/>
  <c r="E225" i="8" s="1"/>
  <c r="D224" i="8"/>
  <c r="E224" i="8" s="1"/>
  <c r="D223" i="8"/>
  <c r="E223" i="8" s="1"/>
  <c r="D222" i="8"/>
  <c r="E222" i="8" s="1"/>
  <c r="E221" i="8"/>
  <c r="D221" i="8"/>
  <c r="E220" i="8"/>
  <c r="D220" i="8"/>
  <c r="D219" i="8"/>
  <c r="E219" i="8" s="1"/>
  <c r="E218" i="8"/>
  <c r="D218" i="8"/>
  <c r="D217" i="8"/>
  <c r="E217" i="8" s="1"/>
  <c r="D216" i="8"/>
  <c r="E216" i="8" s="1"/>
  <c r="D215" i="8"/>
  <c r="E215" i="8" s="1"/>
  <c r="E214" i="8"/>
  <c r="D214" i="8"/>
  <c r="D213" i="8"/>
  <c r="E213" i="8" s="1"/>
  <c r="D212" i="8"/>
  <c r="E212" i="8" s="1"/>
  <c r="D211" i="8"/>
  <c r="E211" i="8" s="1"/>
  <c r="D210" i="8"/>
  <c r="E210" i="8" s="1"/>
  <c r="E209" i="8"/>
  <c r="D209" i="8"/>
  <c r="D208" i="8"/>
  <c r="E208" i="8" s="1"/>
  <c r="D207" i="8"/>
  <c r="E207" i="8" s="1"/>
  <c r="E206" i="8"/>
  <c r="D206" i="8"/>
  <c r="D205" i="8"/>
  <c r="E205" i="8" s="1"/>
  <c r="D204" i="8"/>
  <c r="E204" i="8" s="1"/>
  <c r="D203" i="8"/>
  <c r="E203" i="8" s="1"/>
  <c r="D202" i="8"/>
  <c r="E202" i="8" s="1"/>
  <c r="D201" i="8"/>
  <c r="E201" i="8" s="1"/>
  <c r="D200" i="8"/>
  <c r="E200" i="8" s="1"/>
  <c r="D199" i="8"/>
  <c r="E199" i="8" s="1"/>
  <c r="D198" i="8"/>
  <c r="E198" i="8" s="1"/>
  <c r="D197" i="8"/>
  <c r="E197" i="8" s="1"/>
  <c r="D196" i="8"/>
  <c r="E196" i="8" s="1"/>
  <c r="D195" i="8"/>
  <c r="E195" i="8" s="1"/>
  <c r="D194" i="8"/>
  <c r="E194" i="8" s="1"/>
  <c r="E193" i="8"/>
  <c r="D193" i="8"/>
  <c r="D192" i="8"/>
  <c r="E192" i="8" s="1"/>
  <c r="D191" i="8"/>
  <c r="E191" i="8" s="1"/>
  <c r="D190" i="8"/>
  <c r="E190" i="8" s="1"/>
  <c r="D189" i="8"/>
  <c r="E189" i="8" s="1"/>
  <c r="D188" i="8"/>
  <c r="E188" i="8" s="1"/>
  <c r="D187" i="8"/>
  <c r="E187" i="8" s="1"/>
  <c r="D186" i="8"/>
  <c r="E186" i="8" s="1"/>
  <c r="D185" i="8"/>
  <c r="E185" i="8" s="1"/>
  <c r="D184" i="8"/>
  <c r="E184" i="8" s="1"/>
  <c r="D183" i="8"/>
  <c r="E183" i="8" s="1"/>
  <c r="D182" i="8"/>
  <c r="E182" i="8" s="1"/>
  <c r="D181" i="8"/>
  <c r="E181" i="8" s="1"/>
  <c r="E180" i="8"/>
  <c r="D180" i="8"/>
  <c r="D179" i="8"/>
  <c r="E179" i="8" s="1"/>
  <c r="D178" i="8"/>
  <c r="E178" i="8" s="1"/>
  <c r="E177" i="8"/>
  <c r="D177" i="8"/>
  <c r="D176" i="8"/>
  <c r="E176" i="8" s="1"/>
  <c r="D175" i="8"/>
  <c r="E175" i="8" s="1"/>
  <c r="E174" i="8"/>
  <c r="D174" i="8"/>
  <c r="D173" i="8"/>
  <c r="E173" i="8" s="1"/>
  <c r="D172" i="8"/>
  <c r="E172" i="8" s="1"/>
  <c r="D171" i="8"/>
  <c r="E171" i="8" s="1"/>
  <c r="D170" i="8"/>
  <c r="E170" i="8" s="1"/>
  <c r="D169" i="8"/>
  <c r="E169" i="8" s="1"/>
  <c r="D168" i="8"/>
  <c r="E168" i="8" s="1"/>
  <c r="D167" i="8"/>
  <c r="E167" i="8" s="1"/>
  <c r="E166" i="8"/>
  <c r="D166" i="8"/>
  <c r="D165" i="8"/>
  <c r="E165" i="8" s="1"/>
  <c r="D164" i="8"/>
  <c r="E164" i="8" s="1"/>
  <c r="D163" i="8"/>
  <c r="E163" i="8" s="1"/>
  <c r="D162" i="8"/>
  <c r="E162" i="8" s="1"/>
  <c r="D161" i="8"/>
  <c r="E161" i="8" s="1"/>
  <c r="D160" i="8"/>
  <c r="E160" i="8" s="1"/>
  <c r="D159" i="8"/>
  <c r="E159" i="8" s="1"/>
  <c r="E158" i="8"/>
  <c r="D158" i="8"/>
  <c r="D157" i="8"/>
  <c r="E157" i="8" s="1"/>
  <c r="D156" i="8"/>
  <c r="E156" i="8" s="1"/>
  <c r="D155" i="8"/>
  <c r="E155" i="8" s="1"/>
  <c r="D154" i="8"/>
  <c r="E154" i="8" s="1"/>
  <c r="D153" i="8"/>
  <c r="E153" i="8" s="1"/>
  <c r="D152" i="8"/>
  <c r="E152" i="8" s="1"/>
  <c r="D151" i="8"/>
  <c r="E151" i="8" s="1"/>
  <c r="E150" i="8"/>
  <c r="D150" i="8"/>
  <c r="D149" i="8"/>
  <c r="E149" i="8" s="1"/>
  <c r="D148" i="8"/>
  <c r="E148" i="8" s="1"/>
  <c r="D147" i="8"/>
  <c r="E147" i="8" s="1"/>
  <c r="D146" i="8"/>
  <c r="E146" i="8" s="1"/>
  <c r="D145" i="8"/>
  <c r="E145" i="8" s="1"/>
  <c r="D144" i="8"/>
  <c r="E144" i="8" s="1"/>
  <c r="D143" i="8"/>
  <c r="E143" i="8" s="1"/>
  <c r="E142" i="8"/>
  <c r="D142" i="8"/>
  <c r="D141" i="8"/>
  <c r="E141" i="8" s="1"/>
  <c r="D140" i="8"/>
  <c r="E140" i="8" s="1"/>
  <c r="D139" i="8"/>
  <c r="E139" i="8" s="1"/>
  <c r="E138" i="8"/>
  <c r="D138" i="8"/>
  <c r="D137" i="8"/>
  <c r="E137" i="8" s="1"/>
  <c r="D136" i="8"/>
  <c r="E136" i="8" s="1"/>
  <c r="D135" i="8"/>
  <c r="E135" i="8" s="1"/>
  <c r="D134" i="8"/>
  <c r="E134" i="8" s="1"/>
  <c r="D133" i="8"/>
  <c r="E133" i="8" s="1"/>
  <c r="D132" i="8"/>
  <c r="E132" i="8" s="1"/>
  <c r="D131" i="8"/>
  <c r="E131" i="8" s="1"/>
  <c r="D130" i="8"/>
  <c r="E130" i="8" s="1"/>
  <c r="D129" i="8"/>
  <c r="E129" i="8" s="1"/>
  <c r="D128" i="8"/>
  <c r="E128" i="8" s="1"/>
  <c r="E127" i="8"/>
  <c r="D127" i="8"/>
  <c r="D126" i="8"/>
  <c r="E126" i="8" s="1"/>
  <c r="D125" i="8"/>
  <c r="E125" i="8" s="1"/>
  <c r="D124" i="8"/>
  <c r="E124" i="8" s="1"/>
  <c r="D123" i="8"/>
  <c r="E123" i="8" s="1"/>
  <c r="D122" i="8"/>
  <c r="E122" i="8" s="1"/>
  <c r="E121" i="8"/>
  <c r="D121" i="8"/>
  <c r="D120" i="8"/>
  <c r="E120" i="8" s="1"/>
  <c r="D119" i="8"/>
  <c r="E119" i="8" s="1"/>
  <c r="D118" i="8"/>
  <c r="E118" i="8" s="1"/>
  <c r="D117" i="8"/>
  <c r="E117" i="8" s="1"/>
  <c r="D116" i="8"/>
  <c r="E116" i="8" s="1"/>
  <c r="E115" i="8"/>
  <c r="D115" i="8"/>
  <c r="E114" i="8"/>
  <c r="D114" i="8"/>
  <c r="E113" i="8"/>
  <c r="D113" i="8"/>
  <c r="E112" i="8"/>
  <c r="D112" i="8"/>
  <c r="D111" i="8"/>
  <c r="E111" i="8" s="1"/>
  <c r="D110" i="8"/>
  <c r="E110" i="8" s="1"/>
  <c r="D109" i="8"/>
  <c r="E109" i="8" s="1"/>
  <c r="D108" i="8"/>
  <c r="E108" i="8" s="1"/>
  <c r="D107" i="8"/>
  <c r="E107" i="8" s="1"/>
  <c r="D106" i="8"/>
  <c r="E106" i="8" s="1"/>
  <c r="E105" i="8"/>
  <c r="D105" i="8"/>
  <c r="D104" i="8"/>
  <c r="E104" i="8" s="1"/>
  <c r="D103" i="8"/>
  <c r="E103" i="8" s="1"/>
  <c r="D102" i="8"/>
  <c r="E102" i="8" s="1"/>
  <c r="D101" i="8"/>
  <c r="E101" i="8" s="1"/>
  <c r="D100" i="8"/>
  <c r="E100" i="8" s="1"/>
  <c r="D99" i="8"/>
  <c r="E99" i="8" s="1"/>
  <c r="E98" i="8"/>
  <c r="D98" i="8"/>
  <c r="D97" i="8"/>
  <c r="E97" i="8" s="1"/>
  <c r="D96" i="8"/>
  <c r="E96" i="8" s="1"/>
  <c r="D95" i="8"/>
  <c r="E95" i="8" s="1"/>
  <c r="D94" i="8"/>
  <c r="E94" i="8" s="1"/>
  <c r="D93" i="8"/>
  <c r="E93" i="8" s="1"/>
  <c r="D92" i="8"/>
  <c r="E92" i="8" s="1"/>
  <c r="E91" i="8"/>
  <c r="D91" i="8"/>
  <c r="D90" i="8"/>
  <c r="E90" i="8" s="1"/>
  <c r="D89" i="8"/>
  <c r="E89" i="8" s="1"/>
  <c r="D88" i="8"/>
  <c r="E88" i="8" s="1"/>
  <c r="D87" i="8"/>
  <c r="E87" i="8" s="1"/>
  <c r="D86" i="8"/>
  <c r="E86" i="8" s="1"/>
  <c r="D85" i="8"/>
  <c r="E85" i="8" s="1"/>
  <c r="E84" i="8"/>
  <c r="D84" i="8"/>
  <c r="D83" i="8"/>
  <c r="E83" i="8" s="1"/>
  <c r="D82" i="8"/>
  <c r="E82" i="8" s="1"/>
  <c r="D81" i="8"/>
  <c r="E81" i="8" s="1"/>
  <c r="D80" i="8"/>
  <c r="E80" i="8" s="1"/>
  <c r="D79" i="8"/>
  <c r="E79" i="8" s="1"/>
  <c r="D78" i="8"/>
  <c r="E78" i="8" s="1"/>
  <c r="E77" i="8"/>
  <c r="D77" i="8"/>
  <c r="D76" i="8"/>
  <c r="E76" i="8" s="1"/>
  <c r="D75" i="8"/>
  <c r="E75" i="8" s="1"/>
  <c r="D74" i="8"/>
  <c r="E74" i="8" s="1"/>
  <c r="D73" i="8"/>
  <c r="E73" i="8" s="1"/>
  <c r="D72" i="8"/>
  <c r="E72" i="8" s="1"/>
  <c r="D71" i="8"/>
  <c r="E71" i="8" s="1"/>
  <c r="E70" i="8"/>
  <c r="D70" i="8"/>
  <c r="D69" i="8"/>
  <c r="E69" i="8" s="1"/>
  <c r="D68" i="8"/>
  <c r="E68" i="8" s="1"/>
  <c r="D67" i="8"/>
  <c r="E67" i="8" s="1"/>
  <c r="D66" i="8"/>
  <c r="E66" i="8" s="1"/>
  <c r="D65" i="8"/>
  <c r="E65" i="8" s="1"/>
  <c r="D64" i="8"/>
  <c r="E64" i="8" s="1"/>
  <c r="E63" i="8"/>
  <c r="D63" i="8"/>
  <c r="D62" i="8"/>
  <c r="E62" i="8" s="1"/>
  <c r="D61" i="8"/>
  <c r="E61" i="8" s="1"/>
  <c r="D60" i="8"/>
  <c r="E60" i="8" s="1"/>
  <c r="D59" i="8"/>
  <c r="E59" i="8" s="1"/>
  <c r="D58" i="8"/>
  <c r="E58" i="8" s="1"/>
  <c r="D57" i="8"/>
  <c r="E57" i="8" s="1"/>
  <c r="E56" i="8"/>
  <c r="D56" i="8"/>
  <c r="D55" i="8"/>
  <c r="E55" i="8" s="1"/>
  <c r="D54" i="8"/>
  <c r="E54" i="8" s="1"/>
  <c r="D53" i="8"/>
  <c r="E53" i="8" s="1"/>
  <c r="D52" i="8"/>
  <c r="E52" i="8" s="1"/>
  <c r="D51" i="8"/>
  <c r="E51" i="8" s="1"/>
  <c r="D50" i="8"/>
  <c r="E50" i="8" s="1"/>
  <c r="E49" i="8"/>
  <c r="D49" i="8"/>
  <c r="D48" i="8"/>
  <c r="E48" i="8" s="1"/>
  <c r="D47" i="8"/>
  <c r="E47" i="8" s="1"/>
  <c r="D46" i="8"/>
  <c r="E46" i="8" s="1"/>
  <c r="D45" i="8"/>
  <c r="E45" i="8" s="1"/>
  <c r="D44" i="8"/>
  <c r="E44" i="8" s="1"/>
  <c r="D43" i="8"/>
  <c r="E43" i="8" s="1"/>
  <c r="E42" i="8"/>
  <c r="D42" i="8"/>
  <c r="D41" i="8"/>
  <c r="E41" i="8" s="1"/>
  <c r="D40" i="8"/>
  <c r="E40" i="8" s="1"/>
  <c r="D39" i="8"/>
  <c r="E39" i="8" s="1"/>
  <c r="D38" i="8"/>
  <c r="E38" i="8" s="1"/>
  <c r="D37" i="8"/>
  <c r="E37" i="8" s="1"/>
  <c r="D36" i="8"/>
  <c r="E36" i="8" s="1"/>
  <c r="E35" i="8"/>
  <c r="D35" i="8"/>
  <c r="D34" i="8"/>
  <c r="E34" i="8" s="1"/>
  <c r="D33" i="8"/>
  <c r="E33" i="8" s="1"/>
  <c r="D32" i="8"/>
  <c r="E32" i="8" s="1"/>
  <c r="D31" i="8"/>
  <c r="E31" i="8" s="1"/>
  <c r="D30" i="8"/>
  <c r="E30" i="8" s="1"/>
  <c r="D29" i="8"/>
  <c r="E29" i="8" s="1"/>
  <c r="E28" i="8"/>
  <c r="D28" i="8"/>
  <c r="D27" i="8"/>
  <c r="E27" i="8" s="1"/>
  <c r="D26" i="8"/>
  <c r="E26" i="8" s="1"/>
  <c r="D25" i="8"/>
  <c r="E25" i="8" s="1"/>
  <c r="D24" i="8"/>
  <c r="E24" i="8" s="1"/>
  <c r="D23" i="8"/>
  <c r="E23" i="8" s="1"/>
  <c r="D22" i="8"/>
  <c r="E22" i="8" s="1"/>
  <c r="E21" i="8"/>
  <c r="D21" i="8"/>
  <c r="D20" i="8"/>
  <c r="E20" i="8" s="1"/>
  <c r="D19" i="8"/>
  <c r="E19" i="8" s="1"/>
  <c r="D18" i="8"/>
  <c r="E18" i="8" s="1"/>
  <c r="D17" i="8"/>
  <c r="E17" i="8" s="1"/>
  <c r="D16" i="8"/>
  <c r="E16" i="8" s="1"/>
  <c r="D15" i="8"/>
  <c r="E15" i="8" s="1"/>
  <c r="E14" i="8"/>
  <c r="D14" i="8"/>
  <c r="D13" i="8"/>
  <c r="E13" i="8" s="1"/>
  <c r="D12" i="8"/>
  <c r="E12" i="8" s="1"/>
  <c r="D11" i="8"/>
  <c r="E11" i="8" s="1"/>
  <c r="D10" i="8"/>
  <c r="E10" i="8" s="1"/>
  <c r="D9" i="8"/>
  <c r="E9" i="8" s="1"/>
  <c r="E8" i="8"/>
  <c r="D8" i="8"/>
  <c r="D7" i="8"/>
  <c r="E7" i="8" s="1"/>
  <c r="D6" i="8"/>
  <c r="E6" i="8" s="1"/>
  <c r="D5" i="8"/>
  <c r="E5" i="8" s="1"/>
  <c r="D4" i="8"/>
  <c r="E4" i="8" s="1"/>
  <c r="L71" i="42"/>
  <c r="L70" i="42"/>
  <c r="L60" i="42"/>
  <c r="L52" i="42"/>
  <c r="L44" i="42"/>
  <c r="L41" i="42"/>
  <c r="L40" i="42"/>
  <c r="L39" i="42"/>
  <c r="L21" i="42"/>
  <c r="L20" i="42"/>
  <c r="L34" i="41"/>
  <c r="L33" i="41"/>
  <c r="F32" i="41"/>
  <c r="L31" i="41"/>
  <c r="L30" i="41"/>
  <c r="L28" i="41"/>
  <c r="L27" i="41"/>
  <c r="L26" i="41"/>
  <c r="A26" i="41"/>
  <c r="A25" i="41"/>
  <c r="L25" i="41" s="1"/>
  <c r="A24" i="41"/>
  <c r="L24" i="41" s="1"/>
  <c r="A23" i="41"/>
  <c r="L23" i="41" s="1"/>
  <c r="L20" i="41"/>
  <c r="L18" i="41"/>
  <c r="L14" i="41"/>
  <c r="C5" i="41" l="1"/>
  <c r="C6" i="41" s="1" a="1"/>
  <c r="C6" i="41" s="1"/>
  <c r="C7" i="41" s="1"/>
  <c r="C11" i="41" s="1" a="1"/>
  <c r="C11" i="41" s="1"/>
  <c r="C5" i="42"/>
  <c r="C13" i="42" s="1" a="1"/>
  <c r="C13" i="42" s="1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259" i="8"/>
  <c r="R257" i="8"/>
  <c r="R256" i="8"/>
  <c r="R255" i="8"/>
  <c r="R254" i="8"/>
  <c r="R253" i="8"/>
  <c r="R251" i="8"/>
  <c r="R249" i="8"/>
  <c r="R247" i="8"/>
  <c r="R246" i="8"/>
  <c r="R245" i="8"/>
  <c r="R244" i="8"/>
  <c r="R243" i="8"/>
  <c r="R242" i="8"/>
  <c r="R241" i="8"/>
  <c r="R240" i="8"/>
  <c r="R239" i="8"/>
  <c r="R238" i="8"/>
  <c r="R234" i="8"/>
  <c r="R233" i="8"/>
  <c r="R232" i="8"/>
  <c r="R231" i="8"/>
  <c r="R230" i="8"/>
  <c r="R207" i="8"/>
  <c r="Q257" i="8"/>
  <c r="Q256" i="8"/>
  <c r="Q255" i="8"/>
  <c r="Q254" i="8"/>
  <c r="Q253" i="8"/>
  <c r="Q251" i="8"/>
  <c r="Q249" i="8"/>
  <c r="Q247" i="8"/>
  <c r="Q246" i="8"/>
  <c r="Q245" i="8"/>
  <c r="Q244" i="8"/>
  <c r="Q243" i="8"/>
  <c r="Q242" i="8"/>
  <c r="Q241" i="8"/>
  <c r="Q240" i="8"/>
  <c r="Q239" i="8"/>
  <c r="Q238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L214" i="8"/>
  <c r="Q214" i="8" s="1"/>
  <c r="Q213" i="8"/>
  <c r="Q212" i="8"/>
  <c r="L211" i="8"/>
  <c r="Q211" i="8" s="1"/>
  <c r="L210" i="8"/>
  <c r="Q210" i="8" s="1"/>
  <c r="L209" i="8"/>
  <c r="Q209" i="8" s="1"/>
  <c r="L208" i="8"/>
  <c r="Q208" i="8" s="1"/>
  <c r="L207" i="8"/>
  <c r="Q207" i="8" s="1"/>
  <c r="L206" i="8"/>
  <c r="Q206" i="8" s="1"/>
  <c r="L205" i="8"/>
  <c r="Q205" i="8" s="1"/>
  <c r="L204" i="8"/>
  <c r="Q204" i="8" s="1"/>
  <c r="L203" i="8"/>
  <c r="Q203" i="8" s="1"/>
  <c r="L202" i="8"/>
  <c r="Q202" i="8" s="1"/>
  <c r="L201" i="8"/>
  <c r="Q201" i="8" s="1"/>
  <c r="L200" i="8"/>
  <c r="Q200" i="8" s="1"/>
  <c r="L199" i="8"/>
  <c r="Q199" i="8" s="1"/>
  <c r="L198" i="8"/>
  <c r="Q198" i="8" s="1"/>
  <c r="L197" i="8"/>
  <c r="Q197" i="8" s="1"/>
  <c r="L196" i="8"/>
  <c r="Q196" i="8" s="1"/>
  <c r="L195" i="8"/>
  <c r="Q195" i="8" s="1"/>
  <c r="L194" i="8"/>
  <c r="Q194" i="8" s="1"/>
  <c r="L193" i="8"/>
  <c r="Q193" i="8" s="1"/>
  <c r="L192" i="8"/>
  <c r="Q192" i="8" s="1"/>
  <c r="L191" i="8"/>
  <c r="Q191" i="8" s="1"/>
  <c r="L190" i="8"/>
  <c r="Q190" i="8" s="1"/>
  <c r="L189" i="8"/>
  <c r="Q189" i="8" s="1"/>
  <c r="L188" i="8"/>
  <c r="Q188" i="8" s="1"/>
  <c r="L187" i="8"/>
  <c r="Q187" i="8" s="1"/>
  <c r="L186" i="8"/>
  <c r="Q186" i="8" s="1"/>
  <c r="L185" i="8"/>
  <c r="Q185" i="8" s="1"/>
  <c r="L184" i="8"/>
  <c r="Q184" i="8" s="1"/>
  <c r="L183" i="8"/>
  <c r="Q183" i="8" s="1"/>
  <c r="L182" i="8"/>
  <c r="Q182" i="8" s="1"/>
  <c r="L181" i="8"/>
  <c r="Q181" i="8" s="1"/>
  <c r="L180" i="8"/>
  <c r="Q180" i="8" s="1"/>
  <c r="L179" i="8"/>
  <c r="Q179" i="8" s="1"/>
  <c r="L178" i="8"/>
  <c r="Q178" i="8" s="1"/>
  <c r="L177" i="8"/>
  <c r="Q177" i="8" s="1"/>
  <c r="L176" i="8"/>
  <c r="Q176" i="8" s="1"/>
  <c r="L175" i="8"/>
  <c r="Q175" i="8" s="1"/>
  <c r="L174" i="8"/>
  <c r="Q174" i="8" s="1"/>
  <c r="L173" i="8"/>
  <c r="Q173" i="8" s="1"/>
  <c r="L172" i="8"/>
  <c r="Q172" i="8" s="1"/>
  <c r="L171" i="8"/>
  <c r="Q171" i="8" s="1"/>
  <c r="L170" i="8"/>
  <c r="Q170" i="8" s="1"/>
  <c r="L169" i="8"/>
  <c r="Q169" i="8" s="1"/>
  <c r="L168" i="8"/>
  <c r="Q168" i="8" s="1"/>
  <c r="L167" i="8"/>
  <c r="Q167" i="8" s="1"/>
  <c r="L166" i="8"/>
  <c r="Q166" i="8" s="1"/>
  <c r="L165" i="8"/>
  <c r="Q165" i="8" s="1"/>
  <c r="L164" i="8"/>
  <c r="Q164" i="8" s="1"/>
  <c r="L163" i="8"/>
  <c r="Q163" i="8" s="1"/>
  <c r="L162" i="8"/>
  <c r="Q162" i="8" s="1"/>
  <c r="L161" i="8"/>
  <c r="Q161" i="8" s="1"/>
  <c r="L160" i="8"/>
  <c r="Q160" i="8" s="1"/>
  <c r="L159" i="8"/>
  <c r="Q159" i="8" s="1"/>
  <c r="L158" i="8"/>
  <c r="Q158" i="8" s="1"/>
  <c r="L157" i="8"/>
  <c r="Q157" i="8" s="1"/>
  <c r="L156" i="8"/>
  <c r="Q156" i="8" s="1"/>
  <c r="L155" i="8"/>
  <c r="Q155" i="8" s="1"/>
  <c r="L154" i="8"/>
  <c r="Q154" i="8" s="1"/>
  <c r="L153" i="8"/>
  <c r="Q153" i="8" s="1"/>
  <c r="L152" i="8"/>
  <c r="Q152" i="8" s="1"/>
  <c r="L151" i="8"/>
  <c r="Q151" i="8" s="1"/>
  <c r="L150" i="8"/>
  <c r="Q150" i="8" s="1"/>
  <c r="L149" i="8"/>
  <c r="Q149" i="8" s="1"/>
  <c r="L148" i="8"/>
  <c r="Q148" i="8" s="1"/>
  <c r="L147" i="8"/>
  <c r="Q147" i="8" s="1"/>
  <c r="L146" i="8"/>
  <c r="Q146" i="8" s="1"/>
  <c r="L145" i="8"/>
  <c r="Q145" i="8" s="1"/>
  <c r="L144" i="8"/>
  <c r="Q144" i="8" s="1"/>
  <c r="L143" i="8"/>
  <c r="Q143" i="8" s="1"/>
  <c r="L142" i="8"/>
  <c r="Q142" i="8" s="1"/>
  <c r="L141" i="8"/>
  <c r="Q141" i="8" s="1"/>
  <c r="L140" i="8"/>
  <c r="Q140" i="8" s="1"/>
  <c r="L139" i="8"/>
  <c r="Q139" i="8" s="1"/>
  <c r="L138" i="8"/>
  <c r="Q138" i="8" s="1"/>
  <c r="L137" i="8"/>
  <c r="Q137" i="8" s="1"/>
  <c r="L136" i="8"/>
  <c r="Q136" i="8" s="1"/>
  <c r="L135" i="8"/>
  <c r="Q135" i="8" s="1"/>
  <c r="L134" i="8"/>
  <c r="Q134" i="8" s="1"/>
  <c r="L133" i="8"/>
  <c r="Q133" i="8" s="1"/>
  <c r="L132" i="8"/>
  <c r="Q132" i="8" s="1"/>
  <c r="L131" i="8"/>
  <c r="Q131" i="8" s="1"/>
  <c r="L130" i="8"/>
  <c r="Q130" i="8" s="1"/>
  <c r="L129" i="8"/>
  <c r="Q129" i="8" s="1"/>
  <c r="L128" i="8"/>
  <c r="Q128" i="8" s="1"/>
  <c r="L127" i="8"/>
  <c r="Q127" i="8" s="1"/>
  <c r="L126" i="8"/>
  <c r="Q126" i="8" s="1"/>
  <c r="L125" i="8"/>
  <c r="Q125" i="8" s="1"/>
  <c r="L124" i="8"/>
  <c r="Q124" i="8" s="1"/>
  <c r="L123" i="8"/>
  <c r="Q123" i="8" s="1"/>
  <c r="L122" i="8"/>
  <c r="Q122" i="8" s="1"/>
  <c r="L121" i="8"/>
  <c r="Q121" i="8" s="1"/>
  <c r="L120" i="8"/>
  <c r="Q120" i="8" s="1"/>
  <c r="L119" i="8"/>
  <c r="Q119" i="8" s="1"/>
  <c r="L118" i="8"/>
  <c r="Q118" i="8" s="1"/>
  <c r="L117" i="8"/>
  <c r="Q117" i="8" s="1"/>
  <c r="L116" i="8"/>
  <c r="Q116" i="8" s="1"/>
  <c r="L115" i="8"/>
  <c r="Q115" i="8" s="1"/>
  <c r="L114" i="8"/>
  <c r="Q114" i="8" s="1"/>
  <c r="L113" i="8"/>
  <c r="Q113" i="8" s="1"/>
  <c r="L112" i="8"/>
  <c r="Q112" i="8" s="1"/>
  <c r="L111" i="8"/>
  <c r="Q111" i="8" s="1"/>
  <c r="L110" i="8"/>
  <c r="Q110" i="8" s="1"/>
  <c r="L109" i="8"/>
  <c r="Q109" i="8" s="1"/>
  <c r="L108" i="8"/>
  <c r="Q108" i="8" s="1"/>
  <c r="L107" i="8"/>
  <c r="Q107" i="8" s="1"/>
  <c r="L106" i="8"/>
  <c r="Q106" i="8" s="1"/>
  <c r="L105" i="8"/>
  <c r="Q105" i="8" s="1"/>
  <c r="L104" i="8"/>
  <c r="Q104" i="8" s="1"/>
  <c r="L103" i="8"/>
  <c r="Q103" i="8" s="1"/>
  <c r="L102" i="8"/>
  <c r="Q102" i="8" s="1"/>
  <c r="L101" i="8"/>
  <c r="Q101" i="8" s="1"/>
  <c r="L100" i="8"/>
  <c r="Q100" i="8" s="1"/>
  <c r="L99" i="8"/>
  <c r="Q99" i="8" s="1"/>
  <c r="L98" i="8"/>
  <c r="Q98" i="8" s="1"/>
  <c r="L97" i="8"/>
  <c r="Q97" i="8" s="1"/>
  <c r="L96" i="8"/>
  <c r="Q96" i="8" s="1"/>
  <c r="L95" i="8"/>
  <c r="Q95" i="8" s="1"/>
  <c r="L94" i="8"/>
  <c r="Q94" i="8" s="1"/>
  <c r="L93" i="8"/>
  <c r="Q93" i="8" s="1"/>
  <c r="L92" i="8"/>
  <c r="Q92" i="8" s="1"/>
  <c r="L91" i="8"/>
  <c r="Q91" i="8" s="1"/>
  <c r="L90" i="8"/>
  <c r="Q90" i="8" s="1"/>
  <c r="L89" i="8"/>
  <c r="Q89" i="8" s="1"/>
  <c r="L88" i="8"/>
  <c r="Q88" i="8" s="1"/>
  <c r="L87" i="8"/>
  <c r="Q87" i="8" s="1"/>
  <c r="L86" i="8"/>
  <c r="Q86" i="8" s="1"/>
  <c r="L85" i="8"/>
  <c r="Q85" i="8" s="1"/>
  <c r="L84" i="8"/>
  <c r="Q84" i="8" s="1"/>
  <c r="L83" i="8"/>
  <c r="Q83" i="8" s="1"/>
  <c r="L82" i="8"/>
  <c r="Q82" i="8" s="1"/>
  <c r="L81" i="8"/>
  <c r="Q81" i="8" s="1"/>
  <c r="L80" i="8"/>
  <c r="Q80" i="8" s="1"/>
  <c r="L79" i="8"/>
  <c r="Q79" i="8" s="1"/>
  <c r="L78" i="8"/>
  <c r="Q78" i="8" s="1"/>
  <c r="L77" i="8"/>
  <c r="Q77" i="8" s="1"/>
  <c r="L76" i="8"/>
  <c r="Q76" i="8" s="1"/>
  <c r="L75" i="8"/>
  <c r="Q75" i="8" s="1"/>
  <c r="L74" i="8"/>
  <c r="Q74" i="8" s="1"/>
  <c r="L73" i="8"/>
  <c r="Q73" i="8" s="1"/>
  <c r="L72" i="8"/>
  <c r="Q72" i="8" s="1"/>
  <c r="L71" i="8"/>
  <c r="Q71" i="8" s="1"/>
  <c r="L70" i="8"/>
  <c r="Q70" i="8" s="1"/>
  <c r="L69" i="8"/>
  <c r="Q69" i="8" s="1"/>
  <c r="L68" i="8"/>
  <c r="Q68" i="8" s="1"/>
  <c r="L67" i="8"/>
  <c r="Q67" i="8" s="1"/>
  <c r="L66" i="8"/>
  <c r="Q66" i="8" s="1"/>
  <c r="L65" i="8"/>
  <c r="Q65" i="8" s="1"/>
  <c r="L64" i="8"/>
  <c r="Q64" i="8" s="1"/>
  <c r="L63" i="8"/>
  <c r="Q63" i="8" s="1"/>
  <c r="L62" i="8"/>
  <c r="Q62" i="8" s="1"/>
  <c r="L61" i="8"/>
  <c r="Q61" i="8" s="1"/>
  <c r="L60" i="8"/>
  <c r="Q60" i="8" s="1"/>
  <c r="L59" i="8"/>
  <c r="Q59" i="8" s="1"/>
  <c r="L58" i="8"/>
  <c r="Q58" i="8" s="1"/>
  <c r="L57" i="8"/>
  <c r="Q57" i="8" s="1"/>
  <c r="L56" i="8"/>
  <c r="Q56" i="8" s="1"/>
  <c r="L55" i="8"/>
  <c r="Q55" i="8" s="1"/>
  <c r="L54" i="8"/>
  <c r="Q54" i="8" s="1"/>
  <c r="L53" i="8"/>
  <c r="Q53" i="8" s="1"/>
  <c r="L52" i="8"/>
  <c r="Q52" i="8" s="1"/>
  <c r="L51" i="8"/>
  <c r="Q51" i="8" s="1"/>
  <c r="L50" i="8"/>
  <c r="Q50" i="8" s="1"/>
  <c r="L49" i="8"/>
  <c r="Q49" i="8" s="1"/>
  <c r="L48" i="8"/>
  <c r="Q48" i="8" s="1"/>
  <c r="L47" i="8"/>
  <c r="Q47" i="8" s="1"/>
  <c r="L46" i="8"/>
  <c r="Q46" i="8" s="1"/>
  <c r="L45" i="8"/>
  <c r="Q45" i="8" s="1"/>
  <c r="L44" i="8"/>
  <c r="Q44" i="8" s="1"/>
  <c r="L43" i="8"/>
  <c r="Q43" i="8" s="1"/>
  <c r="L42" i="8"/>
  <c r="Q42" i="8" s="1"/>
  <c r="L41" i="8"/>
  <c r="Q41" i="8" s="1"/>
  <c r="L40" i="8"/>
  <c r="Q40" i="8" s="1"/>
  <c r="L39" i="8"/>
  <c r="Q39" i="8" s="1"/>
  <c r="L38" i="8"/>
  <c r="Q38" i="8" s="1"/>
  <c r="L37" i="8"/>
  <c r="Q37" i="8" s="1"/>
  <c r="L36" i="8"/>
  <c r="Q36" i="8" s="1"/>
  <c r="L35" i="8"/>
  <c r="Q35" i="8" s="1"/>
  <c r="L34" i="8"/>
  <c r="Q34" i="8" s="1"/>
  <c r="L33" i="8"/>
  <c r="Q33" i="8" s="1"/>
  <c r="L32" i="8"/>
  <c r="Q32" i="8" s="1"/>
  <c r="L31" i="8"/>
  <c r="Q31" i="8" s="1"/>
  <c r="L30" i="8"/>
  <c r="Q30" i="8" s="1"/>
  <c r="L29" i="8"/>
  <c r="Q29" i="8" s="1"/>
  <c r="L28" i="8"/>
  <c r="Q28" i="8" s="1"/>
  <c r="L27" i="8"/>
  <c r="Q27" i="8" s="1"/>
  <c r="L26" i="8"/>
  <c r="Q26" i="8" s="1"/>
  <c r="L25" i="8"/>
  <c r="Q25" i="8" s="1"/>
  <c r="L24" i="8"/>
  <c r="Q24" i="8" s="1"/>
  <c r="L23" i="8"/>
  <c r="Q23" i="8" s="1"/>
  <c r="L22" i="8"/>
  <c r="Q22" i="8" s="1"/>
  <c r="L21" i="8"/>
  <c r="Q21" i="8" s="1"/>
  <c r="L20" i="8"/>
  <c r="Q20" i="8" s="1"/>
  <c r="L19" i="8"/>
  <c r="Q19" i="8" s="1"/>
  <c r="L18" i="8"/>
  <c r="Q18" i="8" s="1"/>
  <c r="L17" i="8"/>
  <c r="Q17" i="8" s="1"/>
  <c r="L16" i="8"/>
  <c r="Q16" i="8" s="1"/>
  <c r="L15" i="8"/>
  <c r="Q15" i="8" s="1"/>
  <c r="L14" i="8"/>
  <c r="Q14" i="8" s="1"/>
  <c r="L13" i="8"/>
  <c r="Q13" i="8" s="1"/>
  <c r="L12" i="8"/>
  <c r="Q12" i="8" s="1"/>
  <c r="L11" i="8"/>
  <c r="Q11" i="8" s="1"/>
  <c r="L10" i="8"/>
  <c r="Q10" i="8" s="1"/>
  <c r="L9" i="8"/>
  <c r="Q9" i="8" s="1"/>
  <c r="L8" i="8"/>
  <c r="Q8" i="8" s="1"/>
  <c r="L7" i="8"/>
  <c r="Q7" i="8" s="1"/>
  <c r="L6" i="8"/>
  <c r="Q6" i="8" s="1"/>
  <c r="L5" i="8"/>
  <c r="Q5" i="8" s="1"/>
  <c r="L4" i="8"/>
  <c r="J36" i="48" l="1"/>
  <c r="J46" i="48"/>
  <c r="J27" i="48"/>
  <c r="J47" i="48"/>
  <c r="J51" i="48"/>
  <c r="J28" i="48"/>
  <c r="J35" i="48"/>
  <c r="J44" i="48"/>
  <c r="J53" i="48"/>
  <c r="J21" i="48"/>
  <c r="J56" i="48"/>
  <c r="J29" i="48"/>
  <c r="J58" i="48"/>
  <c r="J18" i="48"/>
  <c r="J49" i="48"/>
  <c r="J25" i="48"/>
  <c r="J55" i="48"/>
  <c r="J48" i="48"/>
  <c r="J37" i="48"/>
  <c r="J33" i="48"/>
  <c r="J34" i="48"/>
  <c r="J17" i="48"/>
  <c r="J22" i="48"/>
  <c r="J64" i="48"/>
  <c r="J24" i="48"/>
  <c r="J52" i="48"/>
  <c r="J42" i="48"/>
  <c r="J63" i="48"/>
  <c r="J39" i="48"/>
  <c r="J31" i="48"/>
  <c r="J40" i="48"/>
  <c r="J32" i="48"/>
  <c r="J45" i="48"/>
  <c r="J43" i="48"/>
  <c r="J57" i="48"/>
  <c r="J41" i="48"/>
  <c r="J50" i="48"/>
  <c r="J60" i="48"/>
  <c r="J30" i="48"/>
  <c r="J38" i="48"/>
  <c r="J61" i="48"/>
  <c r="J20" i="48"/>
  <c r="J54" i="48"/>
  <c r="J59" i="48"/>
  <c r="J19" i="48"/>
  <c r="J23" i="48"/>
  <c r="J26" i="48"/>
  <c r="J62" i="48"/>
  <c r="Q4" i="8"/>
  <c r="J20" i="45"/>
  <c r="J19" i="45"/>
  <c r="J17" i="45"/>
  <c r="J24" i="45"/>
  <c r="J23" i="45"/>
  <c r="J25" i="45"/>
  <c r="J21" i="45"/>
  <c r="J22" i="45"/>
  <c r="J18" i="45"/>
  <c r="C12" i="42" a="1"/>
  <c r="C12" i="42" s="1"/>
  <c r="F66" i="42" s="1"/>
  <c r="C8" i="42" a="1"/>
  <c r="C8" i="42" s="1"/>
  <c r="G42" i="42" s="1"/>
  <c r="C19" i="41"/>
  <c r="L19" i="41" s="1"/>
  <c r="C8" i="41" a="1"/>
  <c r="C8" i="41" s="1"/>
  <c r="D32" i="41" s="1"/>
  <c r="C9" i="41" a="1"/>
  <c r="C9" i="41" s="1"/>
  <c r="D22" i="41" s="1"/>
  <c r="C11" i="42" a="1"/>
  <c r="C11" i="42" s="1"/>
  <c r="H42" i="42" s="1"/>
  <c r="F65" i="42" s="1"/>
  <c r="C16" i="41"/>
  <c r="L16" i="41" s="1"/>
  <c r="C10" i="42" a="1"/>
  <c r="C10" i="42" s="1"/>
  <c r="E42" i="42" s="1"/>
  <c r="C10" i="41" a="1"/>
  <c r="C10" i="41" s="1"/>
  <c r="C9" i="42" a="1"/>
  <c r="C9" i="42" s="1"/>
  <c r="C15" i="42" a="1"/>
  <c r="C15" i="42" s="1"/>
  <c r="C6" i="42" a="1"/>
  <c r="C6" i="42" s="1"/>
  <c r="C7" i="42" s="1"/>
  <c r="E33" i="42" s="1"/>
  <c r="C29" i="41"/>
  <c r="L29" i="41" s="1"/>
  <c r="C14" i="42" a="1"/>
  <c r="C14" i="42" s="1"/>
  <c r="H3" i="39"/>
  <c r="H1" i="39" s="1"/>
  <c r="C7" i="39" s="1"/>
  <c r="H3" i="38"/>
  <c r="D14" i="38" s="1"/>
  <c r="H3" i="37"/>
  <c r="H1" i="37" s="1"/>
  <c r="D7" i="37" s="1"/>
  <c r="H3" i="36"/>
  <c r="H3" i="35"/>
  <c r="H3" i="32"/>
  <c r="H3" i="31"/>
  <c r="H1" i="31" s="1"/>
  <c r="C7" i="31" s="1"/>
  <c r="A80" i="39"/>
  <c r="A79" i="39"/>
  <c r="A75" i="39"/>
  <c r="A74" i="39"/>
  <c r="A73" i="39"/>
  <c r="A72" i="39"/>
  <c r="A71" i="39"/>
  <c r="A70" i="39"/>
  <c r="A69" i="39"/>
  <c r="A68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A50" i="39"/>
  <c r="A49" i="39"/>
  <c r="A48" i="39"/>
  <c r="A47" i="39"/>
  <c r="A46" i="39"/>
  <c r="A45" i="39"/>
  <c r="A44" i="39"/>
  <c r="A43" i="39"/>
  <c r="A42" i="39"/>
  <c r="A41" i="39"/>
  <c r="A40" i="39"/>
  <c r="A39" i="39"/>
  <c r="A38" i="39"/>
  <c r="A37" i="39"/>
  <c r="A36" i="39"/>
  <c r="A35" i="39"/>
  <c r="A34" i="39"/>
  <c r="A33" i="39"/>
  <c r="A32" i="39"/>
  <c r="A31" i="39"/>
  <c r="A30" i="39"/>
  <c r="A29" i="39"/>
  <c r="A28" i="39"/>
  <c r="A27" i="39"/>
  <c r="A26" i="39"/>
  <c r="A25" i="39"/>
  <c r="A24" i="39"/>
  <c r="A23" i="39"/>
  <c r="A22" i="39"/>
  <c r="A21" i="39"/>
  <c r="A20" i="39"/>
  <c r="A19" i="39"/>
  <c r="A18" i="39"/>
  <c r="A17" i="39"/>
  <c r="A80" i="38"/>
  <c r="A79" i="38"/>
  <c r="A75" i="38"/>
  <c r="A74" i="38"/>
  <c r="A73" i="38"/>
  <c r="A72" i="38"/>
  <c r="A71" i="38"/>
  <c r="A70" i="38"/>
  <c r="A69" i="38"/>
  <c r="A68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7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80" i="37"/>
  <c r="A79" i="37"/>
  <c r="A75" i="37"/>
  <c r="A74" i="37"/>
  <c r="A73" i="37"/>
  <c r="A72" i="37"/>
  <c r="A71" i="37"/>
  <c r="A70" i="37"/>
  <c r="A69" i="37"/>
  <c r="A68" i="37"/>
  <c r="A64" i="37"/>
  <c r="A63" i="37"/>
  <c r="A62" i="37"/>
  <c r="A61" i="37"/>
  <c r="A60" i="37"/>
  <c r="A59" i="37"/>
  <c r="A58" i="37"/>
  <c r="A57" i="37"/>
  <c r="A56" i="37"/>
  <c r="A55" i="37"/>
  <c r="A54" i="37"/>
  <c r="A53" i="37"/>
  <c r="A52" i="37"/>
  <c r="A51" i="37"/>
  <c r="A50" i="37"/>
  <c r="A49" i="37"/>
  <c r="A48" i="37"/>
  <c r="A47" i="37"/>
  <c r="A46" i="37"/>
  <c r="A45" i="37"/>
  <c r="A44" i="37"/>
  <c r="A43" i="37"/>
  <c r="A42" i="37"/>
  <c r="A41" i="37"/>
  <c r="A40" i="37"/>
  <c r="A39" i="37"/>
  <c r="A38" i="37"/>
  <c r="A37" i="37"/>
  <c r="A36" i="37"/>
  <c r="A35" i="37"/>
  <c r="A34" i="37"/>
  <c r="A33" i="37"/>
  <c r="A32" i="37"/>
  <c r="A31" i="37"/>
  <c r="A30" i="37"/>
  <c r="A29" i="37"/>
  <c r="A28" i="37"/>
  <c r="A27" i="37"/>
  <c r="A26" i="37"/>
  <c r="A25" i="37"/>
  <c r="A24" i="37"/>
  <c r="A23" i="37"/>
  <c r="A22" i="37"/>
  <c r="A21" i="37"/>
  <c r="A20" i="37"/>
  <c r="A19" i="37"/>
  <c r="A18" i="37"/>
  <c r="A17" i="37"/>
  <c r="A80" i="36"/>
  <c r="A79" i="36"/>
  <c r="A75" i="36"/>
  <c r="A74" i="36"/>
  <c r="A73" i="36"/>
  <c r="A72" i="36"/>
  <c r="A71" i="36"/>
  <c r="A70" i="36"/>
  <c r="A69" i="36"/>
  <c r="A68" i="36"/>
  <c r="A64" i="36"/>
  <c r="A63" i="36"/>
  <c r="A62" i="36"/>
  <c r="A61" i="36"/>
  <c r="A60" i="36"/>
  <c r="A59" i="36"/>
  <c r="A58" i="36"/>
  <c r="A57" i="36"/>
  <c r="A56" i="36"/>
  <c r="A55" i="36"/>
  <c r="A54" i="36"/>
  <c r="A53" i="36"/>
  <c r="A52" i="36"/>
  <c r="A51" i="36"/>
  <c r="A50" i="36"/>
  <c r="A49" i="36"/>
  <c r="A48" i="36"/>
  <c r="A47" i="36"/>
  <c r="A46" i="36"/>
  <c r="A45" i="36"/>
  <c r="A44" i="36"/>
  <c r="A43" i="36"/>
  <c r="A42" i="36"/>
  <c r="A41" i="36"/>
  <c r="A40" i="36"/>
  <c r="A39" i="36"/>
  <c r="A38" i="36"/>
  <c r="A37" i="36"/>
  <c r="A36" i="36"/>
  <c r="A35" i="36"/>
  <c r="A34" i="36"/>
  <c r="A33" i="36"/>
  <c r="A32" i="36"/>
  <c r="A31" i="36"/>
  <c r="A30" i="36"/>
  <c r="A29" i="36"/>
  <c r="A28" i="36"/>
  <c r="A27" i="36"/>
  <c r="A26" i="36"/>
  <c r="A25" i="36"/>
  <c r="A24" i="36"/>
  <c r="A23" i="36"/>
  <c r="A22" i="36"/>
  <c r="A21" i="36"/>
  <c r="A20" i="36"/>
  <c r="A19" i="36"/>
  <c r="A18" i="36"/>
  <c r="A17" i="36"/>
  <c r="A80" i="35"/>
  <c r="A79" i="35"/>
  <c r="A75" i="35"/>
  <c r="A74" i="35"/>
  <c r="A73" i="35"/>
  <c r="A72" i="35"/>
  <c r="A71" i="35"/>
  <c r="A70" i="35"/>
  <c r="A69" i="35"/>
  <c r="A68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A37" i="35"/>
  <c r="A36" i="35"/>
  <c r="A35" i="35"/>
  <c r="A34" i="35"/>
  <c r="A33" i="35"/>
  <c r="A32" i="35"/>
  <c r="A31" i="35"/>
  <c r="A30" i="35"/>
  <c r="A29" i="35"/>
  <c r="A28" i="35"/>
  <c r="A27" i="35"/>
  <c r="A26" i="35"/>
  <c r="A25" i="35"/>
  <c r="A24" i="35"/>
  <c r="A23" i="35"/>
  <c r="A22" i="35"/>
  <c r="A21" i="35"/>
  <c r="A20" i="35"/>
  <c r="A19" i="35"/>
  <c r="A18" i="35"/>
  <c r="A17" i="35"/>
  <c r="A80" i="34"/>
  <c r="A79" i="34"/>
  <c r="A75" i="34"/>
  <c r="A74" i="34"/>
  <c r="A73" i="34"/>
  <c r="A72" i="34"/>
  <c r="A71" i="34"/>
  <c r="A70" i="34"/>
  <c r="A69" i="34"/>
  <c r="A68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A37" i="34"/>
  <c r="A36" i="34"/>
  <c r="A35" i="34"/>
  <c r="A34" i="34"/>
  <c r="A33" i="34"/>
  <c r="A32" i="34"/>
  <c r="A31" i="34"/>
  <c r="A30" i="34"/>
  <c r="A29" i="34"/>
  <c r="A28" i="34"/>
  <c r="A27" i="34"/>
  <c r="A26" i="34"/>
  <c r="A25" i="34"/>
  <c r="A24" i="34"/>
  <c r="A23" i="34"/>
  <c r="A22" i="34"/>
  <c r="A21" i="34"/>
  <c r="A20" i="34"/>
  <c r="A19" i="34"/>
  <c r="A18" i="34"/>
  <c r="A17" i="34"/>
  <c r="A80" i="33"/>
  <c r="A79" i="33"/>
  <c r="A75" i="33"/>
  <c r="A74" i="33"/>
  <c r="A73" i="33"/>
  <c r="A72" i="33"/>
  <c r="A71" i="33"/>
  <c r="A70" i="33"/>
  <c r="A69" i="33"/>
  <c r="A68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A37" i="33"/>
  <c r="A36" i="33"/>
  <c r="A35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19" i="33"/>
  <c r="A18" i="33"/>
  <c r="A17" i="33"/>
  <c r="A80" i="32"/>
  <c r="A79" i="32"/>
  <c r="A75" i="32"/>
  <c r="A74" i="32"/>
  <c r="A73" i="32"/>
  <c r="A72" i="32"/>
  <c r="A71" i="32"/>
  <c r="A70" i="32"/>
  <c r="A69" i="32"/>
  <c r="A68" i="32"/>
  <c r="A64" i="32"/>
  <c r="A63" i="32"/>
  <c r="A62" i="32"/>
  <c r="A61" i="32"/>
  <c r="A60" i="32"/>
  <c r="A59" i="32"/>
  <c r="A58" i="32"/>
  <c r="A57" i="32"/>
  <c r="A56" i="32"/>
  <c r="A55" i="32"/>
  <c r="A54" i="32"/>
  <c r="A53" i="32"/>
  <c r="A52" i="32"/>
  <c r="A51" i="32"/>
  <c r="A50" i="32"/>
  <c r="A49" i="32"/>
  <c r="A48" i="32"/>
  <c r="A47" i="32"/>
  <c r="A46" i="32"/>
  <c r="A45" i="32"/>
  <c r="A44" i="32"/>
  <c r="A43" i="32"/>
  <c r="A42" i="32"/>
  <c r="A41" i="32"/>
  <c r="A40" i="32"/>
  <c r="A39" i="32"/>
  <c r="A38" i="32"/>
  <c r="A37" i="32"/>
  <c r="A36" i="32"/>
  <c r="A35" i="32"/>
  <c r="A34" i="32"/>
  <c r="A33" i="32"/>
  <c r="A32" i="32"/>
  <c r="A31" i="32"/>
  <c r="A30" i="32"/>
  <c r="A29" i="32"/>
  <c r="A28" i="32"/>
  <c r="A27" i="32"/>
  <c r="A26" i="32"/>
  <c r="A25" i="32"/>
  <c r="A24" i="32"/>
  <c r="A23" i="32"/>
  <c r="A22" i="32"/>
  <c r="A21" i="32"/>
  <c r="A20" i="32"/>
  <c r="A19" i="32"/>
  <c r="A18" i="32"/>
  <c r="A17" i="32"/>
  <c r="A80" i="31"/>
  <c r="A79" i="31"/>
  <c r="A75" i="31"/>
  <c r="A74" i="31"/>
  <c r="A73" i="31"/>
  <c r="A72" i="31"/>
  <c r="A71" i="31"/>
  <c r="A70" i="31"/>
  <c r="A69" i="31"/>
  <c r="A68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H3" i="30"/>
  <c r="A80" i="30"/>
  <c r="A79" i="30"/>
  <c r="A75" i="30"/>
  <c r="A74" i="30"/>
  <c r="A73" i="30"/>
  <c r="A72" i="30"/>
  <c r="A71" i="30"/>
  <c r="A70" i="30"/>
  <c r="A69" i="30"/>
  <c r="A68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80" i="29"/>
  <c r="A79" i="29"/>
  <c r="A75" i="29"/>
  <c r="A74" i="29"/>
  <c r="A73" i="29"/>
  <c r="A72" i="29"/>
  <c r="A71" i="29"/>
  <c r="A70" i="29"/>
  <c r="A69" i="29"/>
  <c r="A68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80" i="28"/>
  <c r="A79" i="28"/>
  <c r="A75" i="28"/>
  <c r="A74" i="28"/>
  <c r="A73" i="28"/>
  <c r="A72" i="28"/>
  <c r="A71" i="28"/>
  <c r="A70" i="28"/>
  <c r="A69" i="28"/>
  <c r="A68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80" i="27"/>
  <c r="A79" i="27"/>
  <c r="A75" i="27"/>
  <c r="A74" i="27"/>
  <c r="A73" i="27"/>
  <c r="A72" i="27"/>
  <c r="A71" i="27"/>
  <c r="A70" i="27"/>
  <c r="A69" i="27"/>
  <c r="A68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4" i="27"/>
  <c r="A23" i="27"/>
  <c r="A22" i="27"/>
  <c r="A21" i="27"/>
  <c r="A20" i="27"/>
  <c r="A19" i="27"/>
  <c r="A18" i="27"/>
  <c r="A17" i="27"/>
  <c r="A80" i="26"/>
  <c r="A79" i="26"/>
  <c r="A75" i="26"/>
  <c r="A74" i="26"/>
  <c r="A73" i="26"/>
  <c r="A72" i="26"/>
  <c r="A71" i="26"/>
  <c r="A70" i="26"/>
  <c r="A69" i="26"/>
  <c r="A68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80" i="25"/>
  <c r="A79" i="25"/>
  <c r="A75" i="25"/>
  <c r="A74" i="25"/>
  <c r="A73" i="25"/>
  <c r="A72" i="25"/>
  <c r="A71" i="25"/>
  <c r="A70" i="25"/>
  <c r="A69" i="25"/>
  <c r="A68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K15" i="18" a="1"/>
  <c r="K15" i="18" s="1"/>
  <c r="I15" i="18" a="1"/>
  <c r="I15" i="18" s="1"/>
  <c r="K15" i="17" a="1"/>
  <c r="K15" i="17" s="1"/>
  <c r="I15" i="17" a="1"/>
  <c r="I15" i="17" s="1"/>
  <c r="AA16" i="16"/>
  <c r="AA15" i="16"/>
  <c r="AA14" i="16"/>
  <c r="AA13" i="16"/>
  <c r="AA12" i="16"/>
  <c r="AA11" i="16"/>
  <c r="AA10" i="16"/>
  <c r="AA9" i="16"/>
  <c r="AA8" i="16"/>
  <c r="AA7" i="16"/>
  <c r="AA6" i="16"/>
  <c r="A80" i="24"/>
  <c r="A79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80" i="23"/>
  <c r="A79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80" i="22"/>
  <c r="A79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80" i="21"/>
  <c r="A79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80" i="20"/>
  <c r="A79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80" i="19"/>
  <c r="A79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72" i="18"/>
  <c r="A71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48" i="18"/>
  <c r="A47" i="18"/>
  <c r="A46" i="18"/>
  <c r="A45" i="18"/>
  <c r="A44" i="18"/>
  <c r="C44" i="18" s="1"/>
  <c r="A43" i="18"/>
  <c r="C43" i="18" s="1"/>
  <c r="A42" i="18"/>
  <c r="C42" i="18" s="1"/>
  <c r="A41" i="18"/>
  <c r="C41" i="18" s="1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72" i="17"/>
  <c r="A71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48" i="17"/>
  <c r="A47" i="17"/>
  <c r="A46" i="17"/>
  <c r="A45" i="17"/>
  <c r="A44" i="17"/>
  <c r="C44" i="17" s="1"/>
  <c r="A43" i="17"/>
  <c r="C43" i="17" s="1"/>
  <c r="A42" i="17"/>
  <c r="A41" i="17"/>
  <c r="C41" i="17" s="1"/>
  <c r="A40" i="17"/>
  <c r="C39" i="17"/>
  <c r="A39" i="17"/>
  <c r="A38" i="17"/>
  <c r="A37" i="17"/>
  <c r="C36" i="17"/>
  <c r="A36" i="17"/>
  <c r="A35" i="17"/>
  <c r="C35" i="17" s="1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C79" i="15"/>
  <c r="A1" i="15"/>
  <c r="H59" i="48" l="1" a="1"/>
  <c r="H59" i="48" s="1"/>
  <c r="C59" i="48" a="1"/>
  <c r="C59" i="48" s="1"/>
  <c r="D59" i="48" a="1"/>
  <c r="D59" i="48" s="1"/>
  <c r="G59" i="48" a="1"/>
  <c r="G59" i="48" s="1"/>
  <c r="E59" i="48" a="1"/>
  <c r="E59" i="48" s="1"/>
  <c r="F59" i="48" a="1"/>
  <c r="F59" i="48" s="1"/>
  <c r="D38" i="48" a="1"/>
  <c r="D38" i="48" s="1"/>
  <c r="G38" i="48" a="1"/>
  <c r="G38" i="48" s="1"/>
  <c r="F38" i="48" a="1"/>
  <c r="F38" i="48" s="1"/>
  <c r="H38" i="48" a="1"/>
  <c r="H38" i="48" s="1"/>
  <c r="E38" i="48" a="1"/>
  <c r="E38" i="48" s="1"/>
  <c r="C38" i="48" a="1"/>
  <c r="C38" i="48" s="1"/>
  <c r="C32" i="48" a="1"/>
  <c r="C32" i="48" s="1"/>
  <c r="G32" i="48" a="1"/>
  <c r="G32" i="48" s="1"/>
  <c r="E32" i="48" a="1"/>
  <c r="E32" i="48" s="1"/>
  <c r="D32" i="48" a="1"/>
  <c r="D32" i="48" s="1"/>
  <c r="F32" i="48" a="1"/>
  <c r="F32" i="48" s="1"/>
  <c r="H32" i="48" a="1"/>
  <c r="H32" i="48" s="1"/>
  <c r="C64" i="48" a="1"/>
  <c r="C64" i="48" s="1"/>
  <c r="F64" i="48" a="1"/>
  <c r="F64" i="48" s="1"/>
  <c r="G64" i="48" a="1"/>
  <c r="G64" i="48" s="1"/>
  <c r="D64" i="48" a="1"/>
  <c r="D64" i="48" s="1"/>
  <c r="E64" i="48" a="1"/>
  <c r="E64" i="48" s="1"/>
  <c r="H64" i="48" a="1"/>
  <c r="H64" i="48" s="1"/>
  <c r="C33" i="48" a="1"/>
  <c r="C33" i="48" s="1"/>
  <c r="D33" i="48" a="1"/>
  <c r="D33" i="48" s="1"/>
  <c r="H33" i="48" a="1"/>
  <c r="H33" i="48" s="1"/>
  <c r="G33" i="48" a="1"/>
  <c r="G33" i="48" s="1"/>
  <c r="F33" i="48" a="1"/>
  <c r="F33" i="48" s="1"/>
  <c r="E33" i="48" a="1"/>
  <c r="E33" i="48" s="1"/>
  <c r="F25" i="48" a="1"/>
  <c r="F25" i="48" s="1"/>
  <c r="G25" i="48" a="1"/>
  <c r="G25" i="48" s="1"/>
  <c r="H25" i="48" a="1"/>
  <c r="H25" i="48" s="1"/>
  <c r="E25" i="48" a="1"/>
  <c r="E25" i="48" s="1"/>
  <c r="C25" i="48" a="1"/>
  <c r="C25" i="48" s="1"/>
  <c r="D25" i="48" a="1"/>
  <c r="D25" i="48" s="1"/>
  <c r="C29" i="48" a="1"/>
  <c r="C29" i="48" s="1"/>
  <c r="G29" i="48" a="1"/>
  <c r="G29" i="48" s="1"/>
  <c r="F29" i="48" a="1"/>
  <c r="F29" i="48" s="1"/>
  <c r="D29" i="48" a="1"/>
  <c r="D29" i="48" s="1"/>
  <c r="H29" i="48" a="1"/>
  <c r="H29" i="48" s="1"/>
  <c r="E29" i="48" a="1"/>
  <c r="E29" i="48" s="1"/>
  <c r="H44" i="48" a="1"/>
  <c r="H44" i="48" s="1"/>
  <c r="G44" i="48" a="1"/>
  <c r="G44" i="48" s="1"/>
  <c r="F44" i="48" a="1"/>
  <c r="F44" i="48" s="1"/>
  <c r="D44" i="48" a="1"/>
  <c r="D44" i="48" s="1"/>
  <c r="E44" i="48" a="1"/>
  <c r="E44" i="48" s="1"/>
  <c r="C47" i="48" a="1"/>
  <c r="C47" i="48" s="1"/>
  <c r="D47" i="48" a="1"/>
  <c r="D47" i="48" s="1"/>
  <c r="G47" i="48" a="1"/>
  <c r="G47" i="48" s="1"/>
  <c r="F47" i="48" a="1"/>
  <c r="F47" i="48" s="1"/>
  <c r="H47" i="48" a="1"/>
  <c r="H47" i="48" s="1"/>
  <c r="E47" i="48" a="1"/>
  <c r="E47" i="48" s="1"/>
  <c r="H26" i="48" a="1"/>
  <c r="H26" i="48" s="1"/>
  <c r="G26" i="48" a="1"/>
  <c r="G26" i="48" s="1"/>
  <c r="F26" i="48" a="1"/>
  <c r="F26" i="48" s="1"/>
  <c r="E26" i="48" a="1"/>
  <c r="E26" i="48" s="1"/>
  <c r="D26" i="48" a="1"/>
  <c r="D26" i="48" s="1"/>
  <c r="C26" i="48" a="1"/>
  <c r="C26" i="48" s="1"/>
  <c r="C54" i="48" a="1"/>
  <c r="C54" i="48" s="1"/>
  <c r="D54" i="48" a="1"/>
  <c r="D54" i="48" s="1"/>
  <c r="G54" i="48" a="1"/>
  <c r="G54" i="48" s="1"/>
  <c r="F54" i="48" a="1"/>
  <c r="F54" i="48" s="1"/>
  <c r="H54" i="48" a="1"/>
  <c r="H54" i="48" s="1"/>
  <c r="E54" i="48" a="1"/>
  <c r="E54" i="48" s="1"/>
  <c r="H30" i="48" a="1"/>
  <c r="H30" i="48" s="1"/>
  <c r="E30" i="48" a="1"/>
  <c r="E30" i="48" s="1"/>
  <c r="C30" i="48" a="1"/>
  <c r="C30" i="48" s="1"/>
  <c r="D30" i="48" a="1"/>
  <c r="D30" i="48" s="1"/>
  <c r="G30" i="48" a="1"/>
  <c r="G30" i="48" s="1"/>
  <c r="F30" i="48" a="1"/>
  <c r="F30" i="48" s="1"/>
  <c r="G57" i="48" a="1"/>
  <c r="G57" i="48" s="1"/>
  <c r="E57" i="48" a="1"/>
  <c r="E57" i="48" s="1"/>
  <c r="F57" i="48" a="1"/>
  <c r="F57" i="48" s="1"/>
  <c r="C57" i="48" a="1"/>
  <c r="C57" i="48" s="1"/>
  <c r="D57" i="48" a="1"/>
  <c r="D57" i="48" s="1"/>
  <c r="H57" i="48" a="1"/>
  <c r="H57" i="48" s="1"/>
  <c r="C40" i="48" a="1"/>
  <c r="C40" i="48" s="1"/>
  <c r="D40" i="48" a="1"/>
  <c r="D40" i="48" s="1"/>
  <c r="H40" i="48" a="1"/>
  <c r="H40" i="48" s="1"/>
  <c r="G40" i="48" a="1"/>
  <c r="G40" i="48" s="1"/>
  <c r="F40" i="48" a="1"/>
  <c r="F40" i="48" s="1"/>
  <c r="E40" i="48" a="1"/>
  <c r="E40" i="48" s="1"/>
  <c r="C42" i="48" a="1"/>
  <c r="C42" i="48" s="1"/>
  <c r="G42" i="48" a="1"/>
  <c r="G42" i="48" s="1"/>
  <c r="H42" i="48" a="1"/>
  <c r="H42" i="48" s="1"/>
  <c r="E42" i="48" a="1"/>
  <c r="E42" i="48" s="1"/>
  <c r="D42" i="48" a="1"/>
  <c r="D42" i="48" s="1"/>
  <c r="F42" i="48" a="1"/>
  <c r="F42" i="48" s="1"/>
  <c r="C22" i="48" a="1"/>
  <c r="C22" i="48" s="1"/>
  <c r="F22" i="48" a="1"/>
  <c r="F22" i="48" s="1"/>
  <c r="H22" i="48" a="1"/>
  <c r="H22" i="48" s="1"/>
  <c r="D22" i="48" a="1"/>
  <c r="D22" i="48" s="1"/>
  <c r="G22" i="48" a="1"/>
  <c r="G22" i="48" s="1"/>
  <c r="E22" i="48" a="1"/>
  <c r="E22" i="48" s="1"/>
  <c r="G37" i="48" a="1"/>
  <c r="G37" i="48" s="1"/>
  <c r="C37" i="48" a="1"/>
  <c r="C37" i="48" s="1"/>
  <c r="H37" i="48" a="1"/>
  <c r="H37" i="48" s="1"/>
  <c r="E37" i="48" a="1"/>
  <c r="E37" i="48" s="1"/>
  <c r="F37" i="48" a="1"/>
  <c r="F37" i="48" s="1"/>
  <c r="D37" i="48" a="1"/>
  <c r="D37" i="48" s="1"/>
  <c r="C49" i="48" a="1"/>
  <c r="C49" i="48" s="1"/>
  <c r="G49" i="48" a="1"/>
  <c r="G49" i="48" s="1"/>
  <c r="D49" i="48" a="1"/>
  <c r="D49" i="48" s="1"/>
  <c r="F49" i="48" a="1"/>
  <c r="F49" i="48" s="1"/>
  <c r="E49" i="48" a="1"/>
  <c r="E49" i="48" s="1"/>
  <c r="H49" i="48" a="1"/>
  <c r="H49" i="48" s="1"/>
  <c r="C56" i="48" a="1"/>
  <c r="C56" i="48" s="1"/>
  <c r="F56" i="48" a="1"/>
  <c r="F56" i="48" s="1"/>
  <c r="G56" i="48" a="1"/>
  <c r="G56" i="48" s="1"/>
  <c r="D56" i="48" a="1"/>
  <c r="D56" i="48" s="1"/>
  <c r="H56" i="48" a="1"/>
  <c r="H56" i="48" s="1"/>
  <c r="E56" i="48" a="1"/>
  <c r="E56" i="48" s="1"/>
  <c r="H35" i="48" a="1"/>
  <c r="H35" i="48" s="1"/>
  <c r="G35" i="48" a="1"/>
  <c r="G35" i="48" s="1"/>
  <c r="F35" i="48" a="1"/>
  <c r="F35" i="48" s="1"/>
  <c r="D35" i="48" a="1"/>
  <c r="D35" i="48" s="1"/>
  <c r="E35" i="48" a="1"/>
  <c r="E35" i="48" s="1"/>
  <c r="C27" i="48" a="1"/>
  <c r="C27" i="48" s="1"/>
  <c r="F27" i="48" a="1"/>
  <c r="F27" i="48" s="1"/>
  <c r="E27" i="48" a="1"/>
  <c r="E27" i="48" s="1"/>
  <c r="D27" i="48" a="1"/>
  <c r="D27" i="48" s="1"/>
  <c r="H27" i="48" a="1"/>
  <c r="H27" i="48" s="1"/>
  <c r="G27" i="48" a="1"/>
  <c r="G27" i="48" s="1"/>
  <c r="C41" i="48" a="1"/>
  <c r="C41" i="48" s="1"/>
  <c r="H41" i="48" a="1"/>
  <c r="H41" i="48" s="1"/>
  <c r="E41" i="48" a="1"/>
  <c r="E41" i="48" s="1"/>
  <c r="F41" i="48" a="1"/>
  <c r="F41" i="48" s="1"/>
  <c r="G41" i="48" a="1"/>
  <c r="G41" i="48" s="1"/>
  <c r="D41" i="48" a="1"/>
  <c r="D41" i="48" s="1"/>
  <c r="C23" i="48" a="1"/>
  <c r="C23" i="48" s="1"/>
  <c r="H23" i="48" a="1"/>
  <c r="H23" i="48" s="1"/>
  <c r="F23" i="48" a="1"/>
  <c r="F23" i="48" s="1"/>
  <c r="G23" i="48" a="1"/>
  <c r="G23" i="48" s="1"/>
  <c r="D23" i="48" a="1"/>
  <c r="D23" i="48" s="1"/>
  <c r="E23" i="48" a="1"/>
  <c r="E23" i="48" s="1"/>
  <c r="C20" i="48" a="1"/>
  <c r="C20" i="48" s="1"/>
  <c r="G20" i="48" a="1"/>
  <c r="G20" i="48" s="1"/>
  <c r="H20" i="48" a="1"/>
  <c r="H20" i="48" s="1"/>
  <c r="E20" i="48" a="1"/>
  <c r="E20" i="48" s="1"/>
  <c r="D20" i="48" a="1"/>
  <c r="D20" i="48" s="1"/>
  <c r="F20" i="48" a="1"/>
  <c r="F20" i="48" s="1"/>
  <c r="C60" i="48" a="1"/>
  <c r="C60" i="48" s="1"/>
  <c r="H60" i="48" a="1"/>
  <c r="H60" i="48" s="1"/>
  <c r="E60" i="48" a="1"/>
  <c r="E60" i="48" s="1"/>
  <c r="F60" i="48" a="1"/>
  <c r="F60" i="48" s="1"/>
  <c r="G60" i="48" a="1"/>
  <c r="G60" i="48" s="1"/>
  <c r="D60" i="48" a="1"/>
  <c r="D60" i="48" s="1"/>
  <c r="C43" i="48" a="1"/>
  <c r="C43" i="48" s="1"/>
  <c r="H43" i="48" a="1"/>
  <c r="H43" i="48" s="1"/>
  <c r="E43" i="48" a="1"/>
  <c r="E43" i="48" s="1"/>
  <c r="D43" i="48" a="1"/>
  <c r="D43" i="48" s="1"/>
  <c r="G43" i="48" a="1"/>
  <c r="G43" i="48" s="1"/>
  <c r="F43" i="48" a="1"/>
  <c r="F43" i="48" s="1"/>
  <c r="E31" i="48" a="1"/>
  <c r="E31" i="48" s="1"/>
  <c r="C31" i="48" a="1"/>
  <c r="C31" i="48" s="1"/>
  <c r="H31" i="48" a="1"/>
  <c r="H31" i="48" s="1"/>
  <c r="G31" i="48" a="1"/>
  <c r="G31" i="48" s="1"/>
  <c r="F31" i="48" a="1"/>
  <c r="F31" i="48" s="1"/>
  <c r="D31" i="48" a="1"/>
  <c r="D31" i="48" s="1"/>
  <c r="C52" i="48" a="1"/>
  <c r="C52" i="48" s="1"/>
  <c r="H52" i="48" a="1"/>
  <c r="H52" i="48" s="1"/>
  <c r="F52" i="48" a="1"/>
  <c r="F52" i="48" s="1"/>
  <c r="G52" i="48" a="1"/>
  <c r="G52" i="48" s="1"/>
  <c r="D52" i="48" a="1"/>
  <c r="D52" i="48" s="1"/>
  <c r="E52" i="48" a="1"/>
  <c r="E52" i="48" s="1"/>
  <c r="C17" i="48" a="1"/>
  <c r="C17" i="48" s="1"/>
  <c r="H17" i="48" a="1"/>
  <c r="H17" i="48" s="1"/>
  <c r="E17" i="48" a="1"/>
  <c r="E17" i="48" s="1"/>
  <c r="F17" i="48" a="1"/>
  <c r="F17" i="48" s="1"/>
  <c r="D17" i="48" a="1"/>
  <c r="D17" i="48" s="1"/>
  <c r="G17" i="48" a="1"/>
  <c r="G17" i="48" s="1"/>
  <c r="C48" i="48" a="1"/>
  <c r="C48" i="48" s="1"/>
  <c r="G48" i="48" a="1"/>
  <c r="G48" i="48" s="1"/>
  <c r="H48" i="48" a="1"/>
  <c r="H48" i="48" s="1"/>
  <c r="E48" i="48" a="1"/>
  <c r="E48" i="48" s="1"/>
  <c r="D48" i="48" a="1"/>
  <c r="D48" i="48" s="1"/>
  <c r="F48" i="48" a="1"/>
  <c r="F48" i="48" s="1"/>
  <c r="C18" i="48" a="1"/>
  <c r="C18" i="48" s="1"/>
  <c r="G18" i="48" a="1"/>
  <c r="G18" i="48" s="1"/>
  <c r="D18" i="48" a="1"/>
  <c r="D18" i="48" s="1"/>
  <c r="E18" i="48" a="1"/>
  <c r="E18" i="48" s="1"/>
  <c r="H18" i="48" a="1"/>
  <c r="H18" i="48" s="1"/>
  <c r="F18" i="48" a="1"/>
  <c r="F18" i="48" s="1"/>
  <c r="C21" i="48" a="1"/>
  <c r="C21" i="48" s="1"/>
  <c r="D21" i="48" a="1"/>
  <c r="D21" i="48" s="1"/>
  <c r="E21" i="48" a="1"/>
  <c r="E21" i="48" s="1"/>
  <c r="H21" i="48" a="1"/>
  <c r="H21" i="48" s="1"/>
  <c r="G21" i="48" a="1"/>
  <c r="G21" i="48" s="1"/>
  <c r="F21" i="48" a="1"/>
  <c r="F21" i="48" s="1"/>
  <c r="C28" i="48" a="1"/>
  <c r="C28" i="48" s="1"/>
  <c r="F28" i="48" a="1"/>
  <c r="F28" i="48" s="1"/>
  <c r="G28" i="48" a="1"/>
  <c r="G28" i="48" s="1"/>
  <c r="H28" i="48" a="1"/>
  <c r="H28" i="48" s="1"/>
  <c r="E28" i="48" a="1"/>
  <c r="E28" i="48" s="1"/>
  <c r="D28" i="48" a="1"/>
  <c r="D28" i="48" s="1"/>
  <c r="E46" i="48" a="1"/>
  <c r="E46" i="48" s="1"/>
  <c r="H46" i="48" a="1"/>
  <c r="H46" i="48" s="1"/>
  <c r="F46" i="48" a="1"/>
  <c r="F46" i="48" s="1"/>
  <c r="G46" i="48" a="1"/>
  <c r="G46" i="48" s="1"/>
  <c r="D46" i="48" a="1"/>
  <c r="D46" i="48" s="1"/>
  <c r="C62" i="48" a="1"/>
  <c r="C62" i="48" s="1"/>
  <c r="F62" i="48" a="1"/>
  <c r="F62" i="48" s="1"/>
  <c r="D62" i="48" a="1"/>
  <c r="D62" i="48" s="1"/>
  <c r="E62" i="48" a="1"/>
  <c r="E62" i="48" s="1"/>
  <c r="G62" i="48" a="1"/>
  <c r="G62" i="48" s="1"/>
  <c r="H62" i="48" a="1"/>
  <c r="H62" i="48" s="1"/>
  <c r="F63" i="48" a="1"/>
  <c r="F63" i="48" s="1"/>
  <c r="C63" i="48" a="1"/>
  <c r="C63" i="48" s="1"/>
  <c r="H63" i="48" a="1"/>
  <c r="H63" i="48" s="1"/>
  <c r="D63" i="48" a="1"/>
  <c r="D63" i="48" s="1"/>
  <c r="G63" i="48" a="1"/>
  <c r="G63" i="48" s="1"/>
  <c r="E63" i="48" a="1"/>
  <c r="E63" i="48" s="1"/>
  <c r="C19" i="48" a="1"/>
  <c r="C19" i="48" s="1"/>
  <c r="H19" i="48" a="1"/>
  <c r="H19" i="48" s="1"/>
  <c r="F19" i="48" a="1"/>
  <c r="F19" i="48" s="1"/>
  <c r="D19" i="48" a="1"/>
  <c r="D19" i="48" s="1"/>
  <c r="E19" i="48" a="1"/>
  <c r="E19" i="48" s="1"/>
  <c r="G19" i="48" a="1"/>
  <c r="G19" i="48" s="1"/>
  <c r="F61" i="48" a="1"/>
  <c r="F61" i="48" s="1"/>
  <c r="H61" i="48" a="1"/>
  <c r="H61" i="48" s="1"/>
  <c r="D61" i="48" a="1"/>
  <c r="D61" i="48" s="1"/>
  <c r="C61" i="48" a="1"/>
  <c r="C61" i="48" s="1"/>
  <c r="G61" i="48" a="1"/>
  <c r="G61" i="48" s="1"/>
  <c r="E61" i="48" a="1"/>
  <c r="E61" i="48" s="1"/>
  <c r="C50" i="48" a="1"/>
  <c r="C50" i="48" s="1"/>
  <c r="E50" i="48" a="1"/>
  <c r="E50" i="48" s="1"/>
  <c r="H50" i="48" a="1"/>
  <c r="H50" i="48" s="1"/>
  <c r="D50" i="48" a="1"/>
  <c r="D50" i="48" s="1"/>
  <c r="F50" i="48" a="1"/>
  <c r="F50" i="48" s="1"/>
  <c r="G50" i="48" a="1"/>
  <c r="G50" i="48" s="1"/>
  <c r="F45" i="48" a="1"/>
  <c r="F45" i="48" s="1"/>
  <c r="D45" i="48" a="1"/>
  <c r="D45" i="48" s="1"/>
  <c r="G45" i="48" a="1"/>
  <c r="G45" i="48" s="1"/>
  <c r="H45" i="48" a="1"/>
  <c r="H45" i="48" s="1"/>
  <c r="E45" i="48" a="1"/>
  <c r="E45" i="48" s="1"/>
  <c r="C39" i="48" a="1"/>
  <c r="C39" i="48" s="1"/>
  <c r="H39" i="48" a="1"/>
  <c r="H39" i="48" s="1"/>
  <c r="D39" i="48" a="1"/>
  <c r="D39" i="48" s="1"/>
  <c r="E39" i="48" a="1"/>
  <c r="E39" i="48" s="1"/>
  <c r="G39" i="48" a="1"/>
  <c r="G39" i="48" s="1"/>
  <c r="F39" i="48" a="1"/>
  <c r="F39" i="48" s="1"/>
  <c r="C24" i="48" a="1"/>
  <c r="C24" i="48" s="1"/>
  <c r="G24" i="48" a="1"/>
  <c r="G24" i="48" s="1"/>
  <c r="D24" i="48" a="1"/>
  <c r="D24" i="48" s="1"/>
  <c r="E24" i="48" a="1"/>
  <c r="E24" i="48" s="1"/>
  <c r="H24" i="48" a="1"/>
  <c r="H24" i="48" s="1"/>
  <c r="F24" i="48" a="1"/>
  <c r="F24" i="48" s="1"/>
  <c r="H34" i="48" a="1"/>
  <c r="H34" i="48" s="1"/>
  <c r="G34" i="48" a="1"/>
  <c r="G34" i="48" s="1"/>
  <c r="E34" i="48" a="1"/>
  <c r="E34" i="48" s="1"/>
  <c r="D34" i="48" a="1"/>
  <c r="D34" i="48" s="1"/>
  <c r="F34" i="48" a="1"/>
  <c r="F34" i="48" s="1"/>
  <c r="G55" i="48" a="1"/>
  <c r="G55" i="48" s="1"/>
  <c r="E55" i="48" a="1"/>
  <c r="E55" i="48" s="1"/>
  <c r="F55" i="48" a="1"/>
  <c r="F55" i="48" s="1"/>
  <c r="H55" i="48" a="1"/>
  <c r="H55" i="48" s="1"/>
  <c r="D55" i="48" a="1"/>
  <c r="D55" i="48" s="1"/>
  <c r="C55" i="48" a="1"/>
  <c r="C55" i="48" s="1"/>
  <c r="C58" i="48" a="1"/>
  <c r="C58" i="48" s="1"/>
  <c r="D58" i="48" a="1"/>
  <c r="D58" i="48" s="1"/>
  <c r="G58" i="48" a="1"/>
  <c r="G58" i="48" s="1"/>
  <c r="H58" i="48" a="1"/>
  <c r="H58" i="48" s="1"/>
  <c r="E58" i="48" a="1"/>
  <c r="E58" i="48" s="1"/>
  <c r="F58" i="48" a="1"/>
  <c r="F58" i="48" s="1"/>
  <c r="C53" i="48" a="1"/>
  <c r="C53" i="48" s="1"/>
  <c r="D53" i="48" a="1"/>
  <c r="D53" i="48" s="1"/>
  <c r="H53" i="48" a="1"/>
  <c r="H53" i="48" s="1"/>
  <c r="G53" i="48" a="1"/>
  <c r="G53" i="48" s="1"/>
  <c r="E53" i="48" a="1"/>
  <c r="E53" i="48" s="1"/>
  <c r="F53" i="48" a="1"/>
  <c r="F53" i="48" s="1"/>
  <c r="C51" i="48" a="1"/>
  <c r="C51" i="48" s="1"/>
  <c r="F51" i="48" a="1"/>
  <c r="F51" i="48" s="1"/>
  <c r="D51" i="48" a="1"/>
  <c r="D51" i="48" s="1"/>
  <c r="H51" i="48" a="1"/>
  <c r="H51" i="48" s="1"/>
  <c r="E51" i="48" a="1"/>
  <c r="E51" i="48" s="1"/>
  <c r="G51" i="48" a="1"/>
  <c r="G51" i="48" s="1"/>
  <c r="G36" i="48" a="1"/>
  <c r="G36" i="48" s="1"/>
  <c r="E36" i="48" a="1"/>
  <c r="E36" i="48" s="1"/>
  <c r="D36" i="48" a="1"/>
  <c r="D36" i="48" s="1"/>
  <c r="F36" i="48" a="1"/>
  <c r="F36" i="48" s="1"/>
  <c r="H36" i="48" a="1"/>
  <c r="H36" i="48" s="1"/>
  <c r="F20" i="45" a="1"/>
  <c r="F20" i="45" s="1"/>
  <c r="H20" i="45" a="1"/>
  <c r="H20" i="45" s="1"/>
  <c r="G20" i="45" a="1"/>
  <c r="G20" i="45" s="1"/>
  <c r="E20" i="45" a="1"/>
  <c r="E20" i="45" s="1"/>
  <c r="C20" i="45" a="1"/>
  <c r="C20" i="45" s="1"/>
  <c r="D20" i="45" a="1"/>
  <c r="D20" i="45" s="1"/>
  <c r="C18" i="45" a="1"/>
  <c r="C18" i="45" s="1"/>
  <c r="E18" i="45" a="1"/>
  <c r="E18" i="45" s="1"/>
  <c r="H18" i="45" a="1"/>
  <c r="H18" i="45" s="1"/>
  <c r="F18" i="45" a="1"/>
  <c r="F18" i="45" s="1"/>
  <c r="G18" i="45" a="1"/>
  <c r="G18" i="45" s="1"/>
  <c r="D18" i="45" a="1"/>
  <c r="D18" i="45" s="1"/>
  <c r="C21" i="45" a="1"/>
  <c r="C21" i="45" s="1"/>
  <c r="H21" i="45" a="1"/>
  <c r="H21" i="45" s="1"/>
  <c r="E21" i="45" a="1"/>
  <c r="E21" i="45" s="1"/>
  <c r="F21" i="45" a="1"/>
  <c r="F21" i="45" s="1"/>
  <c r="D21" i="45" a="1"/>
  <c r="D21" i="45" s="1"/>
  <c r="G21" i="45" a="1"/>
  <c r="G21" i="45" s="1"/>
  <c r="C17" i="45" a="1"/>
  <c r="C17" i="45" s="1"/>
  <c r="F17" i="45" a="1"/>
  <c r="F17" i="45" s="1"/>
  <c r="D17" i="45" a="1"/>
  <c r="D17" i="45" s="1"/>
  <c r="G17" i="45" a="1"/>
  <c r="G17" i="45" s="1"/>
  <c r="H17" i="45" a="1"/>
  <c r="H17" i="45" s="1"/>
  <c r="E17" i="45" a="1"/>
  <c r="E17" i="45" s="1"/>
  <c r="C22" i="45" a="1"/>
  <c r="C22" i="45" s="1"/>
  <c r="E22" i="45" a="1"/>
  <c r="E22" i="45" s="1"/>
  <c r="H22" i="45" a="1"/>
  <c r="H22" i="45" s="1"/>
  <c r="G22" i="45" a="1"/>
  <c r="G22" i="45" s="1"/>
  <c r="D22" i="45" a="1"/>
  <c r="D22" i="45" s="1"/>
  <c r="F22" i="45" a="1"/>
  <c r="F22" i="45" s="1"/>
  <c r="C23" i="45" a="1"/>
  <c r="C23" i="45" s="1"/>
  <c r="E23" i="45" a="1"/>
  <c r="E23" i="45" s="1"/>
  <c r="H23" i="45" a="1"/>
  <c r="H23" i="45" s="1"/>
  <c r="D23" i="45" a="1"/>
  <c r="D23" i="45" s="1"/>
  <c r="G23" i="45" a="1"/>
  <c r="G23" i="45" s="1"/>
  <c r="F23" i="45" a="1"/>
  <c r="F23" i="45" s="1"/>
  <c r="C25" i="45" a="1"/>
  <c r="C25" i="45" s="1"/>
  <c r="F25" i="45" a="1"/>
  <c r="F25" i="45" s="1"/>
  <c r="D25" i="45" a="1"/>
  <c r="D25" i="45" s="1"/>
  <c r="E25" i="45" a="1"/>
  <c r="E25" i="45" s="1"/>
  <c r="H25" i="45" a="1"/>
  <c r="H25" i="45" s="1"/>
  <c r="G25" i="45" a="1"/>
  <c r="G25" i="45" s="1"/>
  <c r="E24" i="45" a="1"/>
  <c r="E24" i="45" s="1"/>
  <c r="G24" i="45" a="1"/>
  <c r="G24" i="45" s="1"/>
  <c r="C24" i="45" a="1"/>
  <c r="C24" i="45" s="1"/>
  <c r="F24" i="45" a="1"/>
  <c r="F24" i="45" s="1"/>
  <c r="D24" i="45" a="1"/>
  <c r="D24" i="45" s="1"/>
  <c r="H24" i="45" a="1"/>
  <c r="H24" i="45" s="1"/>
  <c r="F19" i="45" a="1"/>
  <c r="F19" i="45" s="1"/>
  <c r="C19" i="45" a="1"/>
  <c r="C19" i="45" s="1"/>
  <c r="G19" i="45" a="1"/>
  <c r="G19" i="45" s="1"/>
  <c r="H19" i="45" a="1"/>
  <c r="H19" i="45" s="1"/>
  <c r="E19" i="45" a="1"/>
  <c r="E19" i="45" s="1"/>
  <c r="D19" i="45" a="1"/>
  <c r="D19" i="45" s="1"/>
  <c r="I22" i="42"/>
  <c r="J42" i="42"/>
  <c r="D48" i="42" s="1"/>
  <c r="I42" i="42"/>
  <c r="J22" i="42"/>
  <c r="D26" i="42" s="1"/>
  <c r="C13" i="35"/>
  <c r="G14" i="35" a="1"/>
  <c r="G14" i="35" s="1"/>
  <c r="H14" i="35" s="1" a="1"/>
  <c r="H14" i="35" s="1"/>
  <c r="G5" i="35" a="1"/>
  <c r="G5" i="35" s="1"/>
  <c r="G13" i="35" a="1"/>
  <c r="G13" i="35" s="1"/>
  <c r="H13" i="35" s="1" a="1"/>
  <c r="H13" i="35" s="1"/>
  <c r="C5" i="35" a="1"/>
  <c r="C5" i="35" s="1"/>
  <c r="G12" i="35" a="1"/>
  <c r="G12" i="35" s="1"/>
  <c r="H12" i="35" s="1" a="1"/>
  <c r="H12" i="35" s="1"/>
  <c r="G4" i="35" a="1"/>
  <c r="G4" i="35" s="1"/>
  <c r="G11" i="35" a="1"/>
  <c r="G11" i="35" s="1"/>
  <c r="C4" i="35" a="1"/>
  <c r="C4" i="35" s="1"/>
  <c r="G6" i="35" a="1"/>
  <c r="G6" i="35" s="1"/>
  <c r="C6" i="35" a="1"/>
  <c r="C6" i="35" s="1"/>
  <c r="G8" i="35" a="1"/>
  <c r="G8" i="35" s="1"/>
  <c r="G7" i="35" a="1"/>
  <c r="G7" i="35" s="1"/>
  <c r="H1" i="36"/>
  <c r="C7" i="36" s="1"/>
  <c r="G8" i="36" a="1"/>
  <c r="G8" i="36" s="1"/>
  <c r="G5" i="36" a="1"/>
  <c r="G5" i="36" s="1"/>
  <c r="G7" i="36" a="1"/>
  <c r="G7" i="36" s="1"/>
  <c r="G6" i="36" a="1"/>
  <c r="G6" i="36" s="1"/>
  <c r="C6" i="36" a="1"/>
  <c r="C6" i="36" s="1"/>
  <c r="G12" i="36" a="1"/>
  <c r="G12" i="36" s="1"/>
  <c r="H12" i="36" s="1" a="1"/>
  <c r="H12" i="36" s="1"/>
  <c r="G4" i="36" a="1"/>
  <c r="G4" i="36" s="1"/>
  <c r="G11" i="36" a="1"/>
  <c r="G11" i="36" s="1"/>
  <c r="C4" i="36" a="1"/>
  <c r="C4" i="36" s="1"/>
  <c r="G14" i="36" a="1"/>
  <c r="G14" i="36" s="1"/>
  <c r="H14" i="36" s="1" a="1"/>
  <c r="H14" i="36" s="1"/>
  <c r="G13" i="36" a="1"/>
  <c r="G13" i="36" s="1"/>
  <c r="H13" i="36" s="1" a="1"/>
  <c r="H13" i="36" s="1"/>
  <c r="C5" i="36" a="1"/>
  <c r="C5" i="36" s="1"/>
  <c r="C13" i="30"/>
  <c r="G11" i="30" a="1"/>
  <c r="G11" i="30" s="1"/>
  <c r="C4" i="30" a="1"/>
  <c r="C4" i="30" s="1"/>
  <c r="G14" i="30" a="1"/>
  <c r="G14" i="30" s="1"/>
  <c r="H14" i="30" s="1" a="1"/>
  <c r="H14" i="30" s="1"/>
  <c r="G8" i="30" a="1"/>
  <c r="G8" i="30" s="1"/>
  <c r="G7" i="30" a="1"/>
  <c r="G7" i="30" s="1"/>
  <c r="G6" i="30" a="1"/>
  <c r="G6" i="30" s="1"/>
  <c r="C5" i="30" a="1"/>
  <c r="C5" i="30" s="1"/>
  <c r="G12" i="30" a="1"/>
  <c r="G12" i="30" s="1"/>
  <c r="H12" i="30" s="1" a="1"/>
  <c r="H12" i="30" s="1"/>
  <c r="G4" i="30" a="1"/>
  <c r="G4" i="30" s="1"/>
  <c r="C6" i="30" a="1"/>
  <c r="C6" i="30" s="1"/>
  <c r="G13" i="30" a="1"/>
  <c r="G13" i="30" s="1"/>
  <c r="H13" i="30" s="1" a="1"/>
  <c r="H13" i="30" s="1"/>
  <c r="G5" i="30" a="1"/>
  <c r="G5" i="30" s="1"/>
  <c r="F22" i="42"/>
  <c r="H21" i="42"/>
  <c r="H22" i="42" s="1"/>
  <c r="F30" i="42" s="1"/>
  <c r="F42" i="42"/>
  <c r="D65" i="42" s="1"/>
  <c r="G22" i="42"/>
  <c r="C24" i="42" s="1"/>
  <c r="F31" i="42"/>
  <c r="A27" i="42"/>
  <c r="L27" i="42" s="1"/>
  <c r="A46" i="42"/>
  <c r="A26" i="42"/>
  <c r="A44" i="42"/>
  <c r="A58" i="42"/>
  <c r="L58" i="42" s="1"/>
  <c r="A36" i="42"/>
  <c r="L36" i="42" s="1"/>
  <c r="A62" i="42"/>
  <c r="L62" i="42" s="1"/>
  <c r="A66" i="42"/>
  <c r="A50" i="42"/>
  <c r="L50" i="42" s="1"/>
  <c r="A37" i="42"/>
  <c r="L37" i="42" s="1"/>
  <c r="A48" i="42"/>
  <c r="A28" i="42"/>
  <c r="L28" i="42" s="1"/>
  <c r="A60" i="42"/>
  <c r="A38" i="42"/>
  <c r="L38" i="42" s="1"/>
  <c r="A53" i="42"/>
  <c r="A25" i="42"/>
  <c r="L25" i="42" s="1"/>
  <c r="A31" i="42"/>
  <c r="A61" i="42"/>
  <c r="A57" i="42"/>
  <c r="A65" i="42"/>
  <c r="A67" i="42"/>
  <c r="L67" i="42" s="1"/>
  <c r="A68" i="42"/>
  <c r="L68" i="42" s="1"/>
  <c r="A30" i="42"/>
  <c r="A49" i="42"/>
  <c r="L49" i="42" s="1"/>
  <c r="A34" i="42"/>
  <c r="A63" i="42"/>
  <c r="A52" i="42"/>
  <c r="A56" i="42"/>
  <c r="A47" i="42"/>
  <c r="L47" i="42" s="1"/>
  <c r="A54" i="42"/>
  <c r="A64" i="42"/>
  <c r="A59" i="42"/>
  <c r="L59" i="42" s="1"/>
  <c r="C49" i="42"/>
  <c r="A69" i="42"/>
  <c r="L69" i="42" s="1"/>
  <c r="A70" i="42"/>
  <c r="A35" i="42"/>
  <c r="L35" i="42" s="1"/>
  <c r="A45" i="42"/>
  <c r="A43" i="42"/>
  <c r="A33" i="42"/>
  <c r="L33" i="42" s="1"/>
  <c r="A23" i="42"/>
  <c r="A51" i="42"/>
  <c r="L51" i="42" s="1"/>
  <c r="A24" i="42"/>
  <c r="A55" i="42"/>
  <c r="L55" i="42" s="1"/>
  <c r="A32" i="42"/>
  <c r="L32" i="42" s="1"/>
  <c r="A29" i="42"/>
  <c r="G7" i="39" a="1"/>
  <c r="G7" i="39" s="1"/>
  <c r="G6" i="39" a="1"/>
  <c r="G6" i="39" s="1"/>
  <c r="G14" i="39" a="1"/>
  <c r="G14" i="39" s="1"/>
  <c r="H14" i="39" s="1" a="1"/>
  <c r="H14" i="39" s="1"/>
  <c r="C6" i="39" a="1"/>
  <c r="C6" i="39" s="1"/>
  <c r="G13" i="39" a="1"/>
  <c r="G13" i="39" s="1"/>
  <c r="H13" i="39" s="1" a="1"/>
  <c r="H13" i="39" s="1"/>
  <c r="G5" i="39" a="1"/>
  <c r="G5" i="39" s="1"/>
  <c r="G12" i="39" a="1"/>
  <c r="G12" i="39" s="1"/>
  <c r="H12" i="39" s="1" a="1"/>
  <c r="H12" i="39" s="1"/>
  <c r="C5" i="39" a="1"/>
  <c r="C5" i="39" s="1"/>
  <c r="G11" i="39" a="1"/>
  <c r="G11" i="39" s="1"/>
  <c r="D76" i="39" s="1" a="1"/>
  <c r="D76" i="39" s="1"/>
  <c r="G4" i="39" a="1"/>
  <c r="G4" i="39" s="1"/>
  <c r="G8" i="39" a="1"/>
  <c r="G8" i="39" s="1"/>
  <c r="C4" i="39" a="1"/>
  <c r="C4" i="39" s="1"/>
  <c r="C14" i="39"/>
  <c r="C12" i="38"/>
  <c r="G11" i="38" a="1"/>
  <c r="G11" i="38" s="1"/>
  <c r="G5" i="38" a="1"/>
  <c r="G5" i="38" s="1"/>
  <c r="C5" i="38" a="1"/>
  <c r="C5" i="38" s="1"/>
  <c r="G14" i="38" a="1"/>
  <c r="G14" i="38" s="1"/>
  <c r="H14" i="38" s="1" a="1"/>
  <c r="H14" i="38" s="1"/>
  <c r="G8" i="38" a="1"/>
  <c r="G8" i="38" s="1"/>
  <c r="G4" i="38" a="1"/>
  <c r="G4" i="38" s="1"/>
  <c r="G7" i="38" a="1"/>
  <c r="G7" i="38" s="1"/>
  <c r="G13" i="38" a="1"/>
  <c r="G13" i="38" s="1"/>
  <c r="H13" i="38" s="1" a="1"/>
  <c r="H13" i="38" s="1"/>
  <c r="G6" i="38" a="1"/>
  <c r="G6" i="38" s="1"/>
  <c r="C4" i="38" a="1"/>
  <c r="C4" i="38" s="1"/>
  <c r="G12" i="38" a="1"/>
  <c r="G12" i="38" s="1"/>
  <c r="H12" i="38" s="1" a="1"/>
  <c r="H12" i="38" s="1"/>
  <c r="C6" i="38" a="1"/>
  <c r="C6" i="38" s="1"/>
  <c r="C14" i="38"/>
  <c r="H80" i="38" s="1"/>
  <c r="C12" i="37"/>
  <c r="C6" i="37" a="1"/>
  <c r="C6" i="37" s="1"/>
  <c r="G13" i="37" a="1"/>
  <c r="G13" i="37" s="1"/>
  <c r="H13" i="37" s="1" a="1"/>
  <c r="H13" i="37" s="1"/>
  <c r="G5" i="37" a="1"/>
  <c r="G5" i="37" s="1"/>
  <c r="G12" i="37" a="1"/>
  <c r="G12" i="37" s="1"/>
  <c r="H12" i="37" s="1" a="1"/>
  <c r="H12" i="37" s="1"/>
  <c r="C5" i="37" a="1"/>
  <c r="C5" i="37" s="1"/>
  <c r="G6" i="37" a="1"/>
  <c r="G6" i="37" s="1"/>
  <c r="G11" i="37" a="1"/>
  <c r="G11" i="37" s="1"/>
  <c r="G4" i="37" a="1"/>
  <c r="G4" i="37" s="1"/>
  <c r="G8" i="37" a="1"/>
  <c r="G8" i="37" s="1"/>
  <c r="C4" i="37" a="1"/>
  <c r="C4" i="37" s="1"/>
  <c r="G7" i="37" a="1"/>
  <c r="G7" i="37" s="1"/>
  <c r="G14" i="37" a="1"/>
  <c r="G14" i="37" s="1"/>
  <c r="H14" i="37" s="1" a="1"/>
  <c r="H14" i="37" s="1"/>
  <c r="D14" i="37"/>
  <c r="C14" i="32"/>
  <c r="G13" i="32" a="1"/>
  <c r="G13" i="32" s="1"/>
  <c r="H13" i="32" s="1" a="1"/>
  <c r="H13" i="32" s="1"/>
  <c r="G12" i="32" a="1"/>
  <c r="G12" i="32" s="1"/>
  <c r="H12" i="32" s="1" a="1"/>
  <c r="H12" i="32" s="1"/>
  <c r="C5" i="32" a="1"/>
  <c r="C5" i="32" s="1"/>
  <c r="G11" i="32" a="1"/>
  <c r="G11" i="32" s="1"/>
  <c r="G4" i="32" a="1"/>
  <c r="G4" i="32" s="1"/>
  <c r="G8" i="32" a="1"/>
  <c r="G8" i="32" s="1"/>
  <c r="C4" i="32" a="1"/>
  <c r="C4" i="32" s="1"/>
  <c r="G7" i="32" a="1"/>
  <c r="G7" i="32" s="1"/>
  <c r="G6" i="32" a="1"/>
  <c r="G6" i="32" s="1"/>
  <c r="G5" i="32" a="1"/>
  <c r="G5" i="32" s="1"/>
  <c r="G14" i="32" a="1"/>
  <c r="G14" i="32" s="1"/>
  <c r="H14" i="32" s="1" a="1"/>
  <c r="H14" i="32" s="1"/>
  <c r="C6" i="32" a="1"/>
  <c r="C6" i="32" s="1"/>
  <c r="C5" i="31" a="1"/>
  <c r="C5" i="31" s="1"/>
  <c r="G14" i="31" a="1"/>
  <c r="G14" i="31" s="1"/>
  <c r="H14" i="31" s="1" a="1"/>
  <c r="H14" i="31" s="1"/>
  <c r="G8" i="31" a="1"/>
  <c r="G8" i="31" s="1"/>
  <c r="G7" i="31" a="1"/>
  <c r="G7" i="31" s="1"/>
  <c r="G4" i="31" a="1"/>
  <c r="G4" i="31" s="1"/>
  <c r="G13" i="31" a="1"/>
  <c r="G13" i="31" s="1"/>
  <c r="H13" i="31" s="1" a="1"/>
  <c r="H13" i="31" s="1"/>
  <c r="G6" i="31" a="1"/>
  <c r="G6" i="31" s="1"/>
  <c r="C4" i="31" a="1"/>
  <c r="C4" i="31" s="1"/>
  <c r="G11" i="31" a="1"/>
  <c r="G11" i="31" s="1"/>
  <c r="G5" i="31" a="1"/>
  <c r="G5" i="31" s="1"/>
  <c r="G12" i="31" a="1"/>
  <c r="G12" i="31" s="1"/>
  <c r="H12" i="31" s="1" a="1"/>
  <c r="H12" i="31" s="1"/>
  <c r="C6" i="31" a="1"/>
  <c r="C6" i="31" s="1"/>
  <c r="D13" i="31"/>
  <c r="C14" i="31"/>
  <c r="C46" i="42"/>
  <c r="D45" i="42"/>
  <c r="E32" i="41"/>
  <c r="L32" i="41" s="1"/>
  <c r="E22" i="41"/>
  <c r="L22" i="41" s="1"/>
  <c r="B15" i="41"/>
  <c r="L15" i="41" s="1"/>
  <c r="C21" i="41"/>
  <c r="L21" i="41" s="1"/>
  <c r="C17" i="41"/>
  <c r="L17" i="41" s="1"/>
  <c r="D14" i="36"/>
  <c r="D13" i="35"/>
  <c r="H1" i="35"/>
  <c r="D8" i="35" s="1"/>
  <c r="C11" i="35"/>
  <c r="C14" i="35"/>
  <c r="H3" i="34"/>
  <c r="H3" i="33"/>
  <c r="D14" i="32"/>
  <c r="C13" i="32"/>
  <c r="D13" i="32"/>
  <c r="C11" i="32"/>
  <c r="C12" i="32"/>
  <c r="H1" i="32"/>
  <c r="C12" i="35"/>
  <c r="D14" i="35"/>
  <c r="D13" i="36"/>
  <c r="C14" i="36"/>
  <c r="D8" i="37"/>
  <c r="C8" i="37"/>
  <c r="C7" i="37"/>
  <c r="C11" i="36"/>
  <c r="C12" i="36"/>
  <c r="C13" i="36"/>
  <c r="D13" i="37"/>
  <c r="C13" i="37"/>
  <c r="C11" i="37"/>
  <c r="C14" i="37"/>
  <c r="H1" i="38"/>
  <c r="C11" i="38"/>
  <c r="D13" i="38"/>
  <c r="C13" i="38"/>
  <c r="D8" i="39"/>
  <c r="C8" i="39"/>
  <c r="B72" i="39" s="1"/>
  <c r="D7" i="39"/>
  <c r="C12" i="39"/>
  <c r="C10" i="39" s="1"/>
  <c r="D14" i="39"/>
  <c r="C13" i="39"/>
  <c r="D13" i="39"/>
  <c r="C11" i="39"/>
  <c r="D7" i="31"/>
  <c r="C12" i="31"/>
  <c r="D14" i="31"/>
  <c r="C8" i="31"/>
  <c r="B74" i="31" s="1"/>
  <c r="D8" i="31"/>
  <c r="C13" i="31"/>
  <c r="C11" i="31"/>
  <c r="B48" i="31"/>
  <c r="B43" i="31"/>
  <c r="B41" i="31"/>
  <c r="B51" i="31"/>
  <c r="B56" i="31"/>
  <c r="B44" i="31"/>
  <c r="B58" i="31"/>
  <c r="B59" i="31"/>
  <c r="B64" i="31"/>
  <c r="B62" i="31"/>
  <c r="B54" i="31"/>
  <c r="B46" i="31"/>
  <c r="B63" i="31"/>
  <c r="B55" i="31"/>
  <c r="B47" i="31"/>
  <c r="B42" i="31"/>
  <c r="B57" i="31"/>
  <c r="B50" i="31"/>
  <c r="B60" i="31"/>
  <c r="B45" i="31"/>
  <c r="B53" i="31"/>
  <c r="B61" i="31"/>
  <c r="C10" i="37"/>
  <c r="B49" i="39"/>
  <c r="B45" i="39"/>
  <c r="D13" i="30"/>
  <c r="C14" i="30"/>
  <c r="H1" i="30"/>
  <c r="C7" i="30" s="1"/>
  <c r="C11" i="30"/>
  <c r="H3" i="26"/>
  <c r="H3" i="28"/>
  <c r="H3" i="27"/>
  <c r="H3" i="29"/>
  <c r="C12" i="30"/>
  <c r="D14" i="30"/>
  <c r="H3" i="25"/>
  <c r="H3" i="24"/>
  <c r="H3" i="23"/>
  <c r="H3" i="22"/>
  <c r="H3" i="21"/>
  <c r="H3" i="20"/>
  <c r="H3" i="19"/>
  <c r="H3" i="18"/>
  <c r="H3" i="17"/>
  <c r="C37" i="17"/>
  <c r="C40" i="17"/>
  <c r="C42" i="17"/>
  <c r="C38" i="17"/>
  <c r="H79" i="30" l="1"/>
  <c r="H80" i="39"/>
  <c r="H79" i="35"/>
  <c r="H79" i="31"/>
  <c r="H80" i="32"/>
  <c r="D72" i="39" a="1"/>
  <c r="D72" i="39" s="1"/>
  <c r="C10" i="35"/>
  <c r="D23" i="42"/>
  <c r="L23" i="42" s="1"/>
  <c r="B41" i="36"/>
  <c r="B53" i="36"/>
  <c r="B46" i="36"/>
  <c r="B59" i="36"/>
  <c r="B62" i="36"/>
  <c r="B51" i="36"/>
  <c r="D7" i="36"/>
  <c r="B33" i="36" s="1"/>
  <c r="D8" i="36"/>
  <c r="B37" i="39"/>
  <c r="C8" i="36"/>
  <c r="B73" i="36" s="1"/>
  <c r="H73" i="36" s="1" a="1"/>
  <c r="H73" i="36" s="1"/>
  <c r="H80" i="35"/>
  <c r="H11" i="35" a="1"/>
  <c r="H11" i="35" s="1"/>
  <c r="H76" i="35" a="1"/>
  <c r="H76" i="35" s="1"/>
  <c r="D76" i="35" a="1"/>
  <c r="D76" i="35" s="1"/>
  <c r="G76" i="35" a="1"/>
  <c r="G76" i="35" s="1"/>
  <c r="J76" i="35" a="1"/>
  <c r="J76" i="35" s="1"/>
  <c r="D76" i="36" a="1"/>
  <c r="D76" i="36" s="1"/>
  <c r="G76" i="36" a="1"/>
  <c r="G76" i="36" s="1"/>
  <c r="H11" i="36" a="1"/>
  <c r="H11" i="36" s="1"/>
  <c r="J76" i="36" a="1"/>
  <c r="J76" i="36" s="1"/>
  <c r="H76" i="36" a="1"/>
  <c r="H76" i="36" s="1"/>
  <c r="B24" i="39"/>
  <c r="D76" i="30" a="1"/>
  <c r="D76" i="30" s="1"/>
  <c r="H76" i="30" a="1"/>
  <c r="H76" i="30" s="1"/>
  <c r="J76" i="30" a="1"/>
  <c r="J76" i="30" s="1"/>
  <c r="G76" i="30" a="1"/>
  <c r="G76" i="30" s="1"/>
  <c r="H11" i="30" a="1"/>
  <c r="H11" i="30" s="1"/>
  <c r="G10" i="38"/>
  <c r="C8" i="35"/>
  <c r="B68" i="35" s="1"/>
  <c r="B29" i="39"/>
  <c r="D74" i="31" a="1"/>
  <c r="D74" i="31" s="1"/>
  <c r="B21" i="39"/>
  <c r="B18" i="39"/>
  <c r="B57" i="36"/>
  <c r="B54" i="36"/>
  <c r="H80" i="37"/>
  <c r="C7" i="35"/>
  <c r="D76" i="31" a="1"/>
  <c r="D76" i="31" s="1"/>
  <c r="D76" i="38" a="1"/>
  <c r="D76" i="38" s="1"/>
  <c r="D7" i="35"/>
  <c r="B58" i="36"/>
  <c r="H80" i="36"/>
  <c r="D76" i="37" a="1"/>
  <c r="D76" i="37" s="1"/>
  <c r="B28" i="31"/>
  <c r="H79" i="32"/>
  <c r="D76" i="32" a="1"/>
  <c r="D76" i="32" s="1"/>
  <c r="B80" i="30" a="1"/>
  <c r="B80" i="30" s="1"/>
  <c r="G79" i="30" a="1"/>
  <c r="G79" i="30" s="1"/>
  <c r="B79" i="30" a="1"/>
  <c r="B79" i="30" s="1"/>
  <c r="G80" i="30" a="1"/>
  <c r="G80" i="30" s="1"/>
  <c r="H79" i="37"/>
  <c r="H80" i="31"/>
  <c r="G80" i="36" a="1"/>
  <c r="G80" i="36" s="1"/>
  <c r="B80" i="36" a="1"/>
  <c r="B80" i="36" s="1"/>
  <c r="F80" i="36" s="1"/>
  <c r="G79" i="36" a="1"/>
  <c r="G79" i="36" s="1"/>
  <c r="B79" i="36" a="1"/>
  <c r="B79" i="36" s="1"/>
  <c r="G80" i="35" a="1"/>
  <c r="G80" i="35" s="1"/>
  <c r="B80" i="35" a="1"/>
  <c r="B80" i="35" s="1"/>
  <c r="G79" i="35" a="1"/>
  <c r="G79" i="35" s="1"/>
  <c r="B79" i="35" a="1"/>
  <c r="B79" i="35" s="1"/>
  <c r="F79" i="35" s="1"/>
  <c r="B31" i="42" a="1"/>
  <c r="B31" i="42" s="1"/>
  <c r="L31" i="42" s="1"/>
  <c r="B66" i="42"/>
  <c r="L66" i="42" s="1"/>
  <c r="E34" i="42"/>
  <c r="D30" i="42"/>
  <c r="B34" i="42"/>
  <c r="D53" i="42"/>
  <c r="C18" i="42"/>
  <c r="C56" i="42" s="1"/>
  <c r="L56" i="42" s="1"/>
  <c r="L46" i="42"/>
  <c r="L43" i="42"/>
  <c r="L53" i="42"/>
  <c r="L45" i="42"/>
  <c r="D61" i="42"/>
  <c r="L61" i="42" s="1"/>
  <c r="C57" i="42"/>
  <c r="L57" i="42" s="1"/>
  <c r="D43" i="42"/>
  <c r="C30" i="42"/>
  <c r="C54" i="42"/>
  <c r="L54" i="42" s="1"/>
  <c r="D63" i="42"/>
  <c r="D64" i="42"/>
  <c r="L64" i="42" s="1"/>
  <c r="D29" i="42"/>
  <c r="L29" i="42" s="1"/>
  <c r="C65" i="42"/>
  <c r="L65" i="42" s="1"/>
  <c r="B22" i="42"/>
  <c r="L22" i="42" s="1"/>
  <c r="L24" i="42"/>
  <c r="L63" i="42"/>
  <c r="C48" i="42"/>
  <c r="L48" i="42" s="1"/>
  <c r="C26" i="42"/>
  <c r="L26" i="42" s="1"/>
  <c r="B42" i="42"/>
  <c r="L42" i="42" s="1"/>
  <c r="G80" i="39" a="1"/>
  <c r="G80" i="39" s="1"/>
  <c r="B80" i="39" a="1"/>
  <c r="B80" i="39" s="1"/>
  <c r="G79" i="39" a="1"/>
  <c r="G79" i="39" s="1"/>
  <c r="B79" i="39" a="1"/>
  <c r="B79" i="39" s="1"/>
  <c r="F79" i="39" s="1"/>
  <c r="E72" i="39" a="1"/>
  <c r="E72" i="39" s="1"/>
  <c r="G72" i="39" a="1"/>
  <c r="G72" i="39" s="1"/>
  <c r="H72" i="39" a="1"/>
  <c r="H72" i="39" s="1"/>
  <c r="J76" i="39" a="1"/>
  <c r="J76" i="39" s="1"/>
  <c r="H11" i="39" a="1"/>
  <c r="H11" i="39" s="1"/>
  <c r="H76" i="39" a="1"/>
  <c r="H76" i="39" s="1"/>
  <c r="G76" i="39" a="1"/>
  <c r="G76" i="39" s="1"/>
  <c r="G76" i="38" a="1"/>
  <c r="G76" i="38" s="1"/>
  <c r="J76" i="38" a="1"/>
  <c r="J76" i="38" s="1"/>
  <c r="H76" i="38" a="1"/>
  <c r="H76" i="38" s="1"/>
  <c r="H11" i="38" a="1"/>
  <c r="H11" i="38" s="1"/>
  <c r="B80" i="38" a="1"/>
  <c r="B80" i="38" s="1"/>
  <c r="G79" i="38" a="1"/>
  <c r="G79" i="38" s="1"/>
  <c r="B79" i="38" a="1"/>
  <c r="B79" i="38" s="1"/>
  <c r="G80" i="38" a="1"/>
  <c r="G80" i="38" s="1"/>
  <c r="J76" i="37" a="1"/>
  <c r="J76" i="37" s="1"/>
  <c r="G76" i="37" a="1"/>
  <c r="G76" i="37" s="1"/>
  <c r="H76" i="37" a="1"/>
  <c r="H76" i="37" s="1"/>
  <c r="H11" i="37" a="1"/>
  <c r="H11" i="37" s="1"/>
  <c r="G79" i="37" a="1"/>
  <c r="G79" i="37" s="1"/>
  <c r="B79" i="37" a="1"/>
  <c r="B79" i="37" s="1"/>
  <c r="B80" i="37" a="1"/>
  <c r="B80" i="37" s="1"/>
  <c r="F80" i="37" s="1"/>
  <c r="G80" i="37" a="1"/>
  <c r="G80" i="37" s="1"/>
  <c r="G76" i="32" a="1"/>
  <c r="G76" i="32" s="1"/>
  <c r="J76" i="32" a="1"/>
  <c r="J76" i="32" s="1"/>
  <c r="H11" i="32" a="1"/>
  <c r="H11" i="32" s="1"/>
  <c r="H76" i="32" a="1"/>
  <c r="H76" i="32" s="1"/>
  <c r="G79" i="32" a="1"/>
  <c r="G79" i="32" s="1"/>
  <c r="B80" i="32" a="1"/>
  <c r="B80" i="32" s="1"/>
  <c r="B79" i="32" a="1"/>
  <c r="B79" i="32" s="1"/>
  <c r="G80" i="32" a="1"/>
  <c r="G80" i="32" s="1"/>
  <c r="G80" i="31" a="1"/>
  <c r="G80" i="31" s="1"/>
  <c r="G79" i="31" a="1"/>
  <c r="G79" i="31" s="1"/>
  <c r="B80" i="31" a="1"/>
  <c r="B80" i="31" s="1"/>
  <c r="C80" i="31" s="1"/>
  <c r="B79" i="31" a="1"/>
  <c r="B79" i="31" s="1"/>
  <c r="F79" i="31" s="1"/>
  <c r="B35" i="31"/>
  <c r="B23" i="31"/>
  <c r="G74" i="31" a="1"/>
  <c r="G74" i="31" s="1"/>
  <c r="E74" i="31" a="1"/>
  <c r="E74" i="31" s="1"/>
  <c r="H11" i="31" a="1"/>
  <c r="H11" i="31" s="1"/>
  <c r="H76" i="31" a="1"/>
  <c r="H76" i="31" s="1"/>
  <c r="G76" i="31" a="1"/>
  <c r="G76" i="31" s="1"/>
  <c r="J76" i="31" a="1"/>
  <c r="J76" i="31" s="1"/>
  <c r="G14" i="19" a="1"/>
  <c r="G14" i="19" s="1"/>
  <c r="H14" i="19" s="1" a="1"/>
  <c r="H14" i="19" s="1"/>
  <c r="G12" i="19" a="1"/>
  <c r="G12" i="19" s="1"/>
  <c r="H12" i="19" s="1" a="1"/>
  <c r="H12" i="19" s="1"/>
  <c r="G7" i="19" a="1"/>
  <c r="G7" i="19" s="1"/>
  <c r="C5" i="19" a="1"/>
  <c r="C5" i="19" s="1"/>
  <c r="G6" i="19" a="1"/>
  <c r="G6" i="19" s="1"/>
  <c r="G4" i="19" a="1"/>
  <c r="G4" i="19" s="1"/>
  <c r="G11" i="19" a="1"/>
  <c r="G11" i="19" s="1"/>
  <c r="G8" i="19" a="1"/>
  <c r="G8" i="19" s="1"/>
  <c r="C6" i="19" a="1"/>
  <c r="C6" i="19" s="1"/>
  <c r="G5" i="19" a="1"/>
  <c r="G5" i="19" s="1"/>
  <c r="C4" i="19" a="1"/>
  <c r="C4" i="19" s="1"/>
  <c r="G13" i="19" a="1"/>
  <c r="G13" i="19" s="1"/>
  <c r="H13" i="19" s="1" a="1"/>
  <c r="H13" i="19" s="1"/>
  <c r="G14" i="20" a="1"/>
  <c r="G14" i="20" s="1"/>
  <c r="H14" i="20" s="1" a="1"/>
  <c r="H14" i="20" s="1"/>
  <c r="G11" i="20" a="1"/>
  <c r="G11" i="20" s="1"/>
  <c r="G5" i="20" a="1"/>
  <c r="G5" i="20" s="1"/>
  <c r="C5" i="20" a="1"/>
  <c r="C5" i="20" s="1"/>
  <c r="G13" i="20" a="1"/>
  <c r="G13" i="20" s="1"/>
  <c r="H13" i="20" s="1" a="1"/>
  <c r="H13" i="20" s="1"/>
  <c r="G8" i="20" a="1"/>
  <c r="G8" i="20" s="1"/>
  <c r="G4" i="20" a="1"/>
  <c r="G4" i="20" s="1"/>
  <c r="G7" i="20" a="1"/>
  <c r="G7" i="20" s="1"/>
  <c r="G6" i="20" a="1"/>
  <c r="G6" i="20" s="1"/>
  <c r="C4" i="20" a="1"/>
  <c r="C4" i="20" s="1"/>
  <c r="G12" i="20" a="1"/>
  <c r="G12" i="20" s="1"/>
  <c r="H12" i="20" s="1" a="1"/>
  <c r="H12" i="20" s="1"/>
  <c r="C6" i="20" a="1"/>
  <c r="C6" i="20" s="1"/>
  <c r="G14" i="33" a="1"/>
  <c r="G14" i="33" s="1"/>
  <c r="H14" i="33" s="1" a="1"/>
  <c r="H14" i="33" s="1"/>
  <c r="G12" i="33" a="1"/>
  <c r="G12" i="33" s="1"/>
  <c r="H12" i="33" s="1" a="1"/>
  <c r="H12" i="33" s="1"/>
  <c r="G7" i="33" a="1"/>
  <c r="G7" i="33" s="1"/>
  <c r="C5" i="33" a="1"/>
  <c r="C5" i="33" s="1"/>
  <c r="G6" i="33" a="1"/>
  <c r="G6" i="33" s="1"/>
  <c r="G4" i="33" a="1"/>
  <c r="G4" i="33" s="1"/>
  <c r="G13" i="33" a="1"/>
  <c r="G13" i="33" s="1"/>
  <c r="H13" i="33" s="1" a="1"/>
  <c r="H13" i="33" s="1"/>
  <c r="G11" i="33" a="1"/>
  <c r="G11" i="33" s="1"/>
  <c r="C6" i="33" a="1"/>
  <c r="C6" i="33" s="1"/>
  <c r="C4" i="33" a="1"/>
  <c r="C4" i="33" s="1"/>
  <c r="G8" i="33" a="1"/>
  <c r="G8" i="33" s="1"/>
  <c r="G5" i="33" a="1"/>
  <c r="G5" i="33" s="1"/>
  <c r="G14" i="21" a="1"/>
  <c r="G14" i="21" s="1"/>
  <c r="H14" i="21" s="1" a="1"/>
  <c r="H14" i="21" s="1"/>
  <c r="G12" i="21" a="1"/>
  <c r="G12" i="21" s="1"/>
  <c r="H12" i="21" s="1" a="1"/>
  <c r="H12" i="21" s="1"/>
  <c r="G7" i="21" a="1"/>
  <c r="G7" i="21" s="1"/>
  <c r="C5" i="21" a="1"/>
  <c r="C5" i="21" s="1"/>
  <c r="G6" i="21" a="1"/>
  <c r="G6" i="21" s="1"/>
  <c r="G4" i="21" a="1"/>
  <c r="G4" i="21" s="1"/>
  <c r="G13" i="21" a="1"/>
  <c r="G13" i="21" s="1"/>
  <c r="H13" i="21" s="1" a="1"/>
  <c r="H13" i="21" s="1"/>
  <c r="G11" i="21" a="1"/>
  <c r="G11" i="21" s="1"/>
  <c r="C6" i="21" a="1"/>
  <c r="C6" i="21" s="1"/>
  <c r="C4" i="21" a="1"/>
  <c r="C4" i="21" s="1"/>
  <c r="G8" i="21" a="1"/>
  <c r="G8" i="21" s="1"/>
  <c r="G5" i="21" a="1"/>
  <c r="G5" i="21" s="1"/>
  <c r="G14" i="22" a="1"/>
  <c r="G14" i="22" s="1"/>
  <c r="H14" i="22" s="1" a="1"/>
  <c r="H14" i="22" s="1"/>
  <c r="G12" i="22" a="1"/>
  <c r="G12" i="22" s="1"/>
  <c r="H12" i="22" s="1" a="1"/>
  <c r="H12" i="22" s="1"/>
  <c r="G7" i="22" a="1"/>
  <c r="G7" i="22" s="1"/>
  <c r="C5" i="22" a="1"/>
  <c r="C5" i="22" s="1"/>
  <c r="G6" i="22" a="1"/>
  <c r="G6" i="22" s="1"/>
  <c r="G4" i="22" a="1"/>
  <c r="G4" i="22" s="1"/>
  <c r="G13" i="22" a="1"/>
  <c r="G13" i="22" s="1"/>
  <c r="H13" i="22" s="1" a="1"/>
  <c r="H13" i="22" s="1"/>
  <c r="G11" i="22" a="1"/>
  <c r="G11" i="22" s="1"/>
  <c r="C6" i="22" a="1"/>
  <c r="C6" i="22" s="1"/>
  <c r="C4" i="22" a="1"/>
  <c r="C4" i="22" s="1"/>
  <c r="G8" i="22" a="1"/>
  <c r="G8" i="22" s="1"/>
  <c r="G5" i="22" a="1"/>
  <c r="G5" i="22" s="1"/>
  <c r="G14" i="34" a="1"/>
  <c r="G14" i="34" s="1"/>
  <c r="H14" i="34" s="1" a="1"/>
  <c r="H14" i="34" s="1"/>
  <c r="G4" i="34" a="1"/>
  <c r="G4" i="34" s="1"/>
  <c r="G8" i="34" a="1"/>
  <c r="G8" i="34" s="1"/>
  <c r="C4" i="34" a="1"/>
  <c r="C4" i="34" s="1"/>
  <c r="G13" i="34" a="1"/>
  <c r="G13" i="34" s="1"/>
  <c r="H13" i="34" s="1" a="1"/>
  <c r="H13" i="34" s="1"/>
  <c r="G7" i="34" a="1"/>
  <c r="G7" i="34" s="1"/>
  <c r="G6" i="34" a="1"/>
  <c r="G6" i="34" s="1"/>
  <c r="C6" i="34" a="1"/>
  <c r="C6" i="34" s="1"/>
  <c r="G5" i="34" a="1"/>
  <c r="G5" i="34" s="1"/>
  <c r="G12" i="34" a="1"/>
  <c r="G12" i="34" s="1"/>
  <c r="H12" i="34" s="1" a="1"/>
  <c r="H12" i="34" s="1"/>
  <c r="G11" i="34" a="1"/>
  <c r="G11" i="34" s="1"/>
  <c r="C5" i="34" a="1"/>
  <c r="C5" i="34" s="1"/>
  <c r="G14" i="29" a="1"/>
  <c r="G14" i="29" s="1"/>
  <c r="H14" i="29" s="1" a="1"/>
  <c r="H14" i="29" s="1"/>
  <c r="G6" i="29" a="1"/>
  <c r="G6" i="29" s="1"/>
  <c r="C4" i="29" a="1"/>
  <c r="C4" i="29" s="1"/>
  <c r="G11" i="29" a="1"/>
  <c r="G11" i="29" s="1"/>
  <c r="G13" i="29" a="1"/>
  <c r="G13" i="29" s="1"/>
  <c r="H13" i="29" s="1" a="1"/>
  <c r="H13" i="29" s="1"/>
  <c r="G5" i="29" a="1"/>
  <c r="G5" i="29" s="1"/>
  <c r="G7" i="29" a="1"/>
  <c r="G7" i="29" s="1"/>
  <c r="C6" i="29" a="1"/>
  <c r="C6" i="29" s="1"/>
  <c r="C5" i="29" a="1"/>
  <c r="C5" i="29" s="1"/>
  <c r="G4" i="29" a="1"/>
  <c r="G4" i="29" s="1"/>
  <c r="G12" i="29" a="1"/>
  <c r="G12" i="29" s="1"/>
  <c r="H12" i="29" s="1" a="1"/>
  <c r="H12" i="29" s="1"/>
  <c r="G8" i="29" a="1"/>
  <c r="G8" i="29" s="1"/>
  <c r="G14" i="27" a="1"/>
  <c r="G14" i="27" s="1"/>
  <c r="H14" i="27" s="1" a="1"/>
  <c r="H14" i="27" s="1"/>
  <c r="G12" i="27" a="1"/>
  <c r="G12" i="27" s="1"/>
  <c r="H12" i="27" s="1" a="1"/>
  <c r="H12" i="27" s="1"/>
  <c r="G7" i="27" a="1"/>
  <c r="G7" i="27" s="1"/>
  <c r="C5" i="27" a="1"/>
  <c r="C5" i="27" s="1"/>
  <c r="G6" i="27" a="1"/>
  <c r="G6" i="27" s="1"/>
  <c r="G4" i="27" a="1"/>
  <c r="G4" i="27" s="1"/>
  <c r="G13" i="27" a="1"/>
  <c r="G13" i="27" s="1"/>
  <c r="H13" i="27" s="1" a="1"/>
  <c r="H13" i="27" s="1"/>
  <c r="G11" i="27" a="1"/>
  <c r="G11" i="27" s="1"/>
  <c r="C6" i="27" a="1"/>
  <c r="C6" i="27" s="1"/>
  <c r="C4" i="27" a="1"/>
  <c r="C4" i="27" s="1"/>
  <c r="G8" i="27" a="1"/>
  <c r="G8" i="27" s="1"/>
  <c r="G5" i="27" a="1"/>
  <c r="G5" i="27" s="1"/>
  <c r="G14" i="23" a="1"/>
  <c r="G14" i="23" s="1"/>
  <c r="H14" i="23" s="1" a="1"/>
  <c r="H14" i="23" s="1"/>
  <c r="G12" i="23" a="1"/>
  <c r="G12" i="23" s="1"/>
  <c r="H12" i="23" s="1" a="1"/>
  <c r="H12" i="23" s="1"/>
  <c r="G7" i="23" a="1"/>
  <c r="G7" i="23" s="1"/>
  <c r="C5" i="23" a="1"/>
  <c r="C5" i="23" s="1"/>
  <c r="G6" i="23" a="1"/>
  <c r="G6" i="23" s="1"/>
  <c r="G4" i="23" a="1"/>
  <c r="G4" i="23" s="1"/>
  <c r="G13" i="23" a="1"/>
  <c r="G13" i="23" s="1"/>
  <c r="H13" i="23" s="1" a="1"/>
  <c r="H13" i="23" s="1"/>
  <c r="G11" i="23" a="1"/>
  <c r="G11" i="23" s="1"/>
  <c r="C6" i="23" a="1"/>
  <c r="C6" i="23" s="1"/>
  <c r="C4" i="23" a="1"/>
  <c r="C4" i="23" s="1"/>
  <c r="G8" i="23" a="1"/>
  <c r="G8" i="23" s="1"/>
  <c r="G5" i="23" a="1"/>
  <c r="G5" i="23" s="1"/>
  <c r="G8" i="28" a="1"/>
  <c r="G8" i="28" s="1"/>
  <c r="G5" i="28" a="1"/>
  <c r="G5" i="28" s="1"/>
  <c r="G14" i="28" a="1"/>
  <c r="G14" i="28" s="1"/>
  <c r="H14" i="28" s="1" a="1"/>
  <c r="H14" i="28" s="1"/>
  <c r="G12" i="28" a="1"/>
  <c r="G12" i="28" s="1"/>
  <c r="H12" i="28" s="1" a="1"/>
  <c r="H12" i="28" s="1"/>
  <c r="G7" i="28" a="1"/>
  <c r="G7" i="28" s="1"/>
  <c r="C5" i="28" a="1"/>
  <c r="C5" i="28" s="1"/>
  <c r="G11" i="28" a="1"/>
  <c r="G11" i="28" s="1"/>
  <c r="G6" i="28" a="1"/>
  <c r="G6" i="28" s="1"/>
  <c r="C6" i="28" a="1"/>
  <c r="C6" i="28" s="1"/>
  <c r="G13" i="28" a="1"/>
  <c r="G13" i="28" s="1"/>
  <c r="H13" i="28" s="1" a="1"/>
  <c r="H13" i="28" s="1"/>
  <c r="G4" i="28" a="1"/>
  <c r="G4" i="28" s="1"/>
  <c r="C4" i="28" a="1"/>
  <c r="C4" i="28" s="1"/>
  <c r="G6" i="24" a="1"/>
  <c r="G6" i="24" s="1"/>
  <c r="G4" i="24" a="1"/>
  <c r="G4" i="24" s="1"/>
  <c r="G13" i="24" a="1"/>
  <c r="G13" i="24" s="1"/>
  <c r="H13" i="24" s="1" a="1"/>
  <c r="H13" i="24" s="1"/>
  <c r="G11" i="24" a="1"/>
  <c r="G11" i="24" s="1"/>
  <c r="C6" i="24" a="1"/>
  <c r="C6" i="24" s="1"/>
  <c r="C4" i="24" a="1"/>
  <c r="C4" i="24" s="1"/>
  <c r="G8" i="24" a="1"/>
  <c r="G8" i="24" s="1"/>
  <c r="G5" i="24" a="1"/>
  <c r="G5" i="24" s="1"/>
  <c r="G14" i="24" a="1"/>
  <c r="G14" i="24" s="1"/>
  <c r="H14" i="24" s="1" a="1"/>
  <c r="H14" i="24" s="1"/>
  <c r="G12" i="24" a="1"/>
  <c r="G12" i="24" s="1"/>
  <c r="H12" i="24" s="1" a="1"/>
  <c r="H12" i="24" s="1"/>
  <c r="G7" i="24" a="1"/>
  <c r="G7" i="24" s="1"/>
  <c r="C5" i="24" a="1"/>
  <c r="C5" i="24" s="1"/>
  <c r="G14" i="26" a="1"/>
  <c r="G14" i="26" s="1"/>
  <c r="H14" i="26" s="1" a="1"/>
  <c r="H14" i="26" s="1"/>
  <c r="G12" i="26" a="1"/>
  <c r="G12" i="26" s="1"/>
  <c r="H12" i="26" s="1" a="1"/>
  <c r="H12" i="26" s="1"/>
  <c r="G7" i="26" a="1"/>
  <c r="G7" i="26" s="1"/>
  <c r="C5" i="26" a="1"/>
  <c r="C5" i="26" s="1"/>
  <c r="G6" i="26" a="1"/>
  <c r="G6" i="26" s="1"/>
  <c r="G4" i="26" a="1"/>
  <c r="G4" i="26" s="1"/>
  <c r="G13" i="26" a="1"/>
  <c r="G13" i="26" s="1"/>
  <c r="H13" i="26" s="1" a="1"/>
  <c r="H13" i="26" s="1"/>
  <c r="G11" i="26" a="1"/>
  <c r="G11" i="26" s="1"/>
  <c r="C6" i="26" a="1"/>
  <c r="C6" i="26" s="1"/>
  <c r="C4" i="26" a="1"/>
  <c r="C4" i="26" s="1"/>
  <c r="G8" i="26" a="1"/>
  <c r="G8" i="26" s="1"/>
  <c r="G5" i="26" a="1"/>
  <c r="G5" i="26" s="1"/>
  <c r="G14" i="17" a="1"/>
  <c r="G14" i="17" s="1"/>
  <c r="H14" i="17" s="1" a="1"/>
  <c r="H14" i="17" s="1"/>
  <c r="G7" i="17" a="1"/>
  <c r="G7" i="17" s="1"/>
  <c r="G12" i="17" a="1"/>
  <c r="G12" i="17" s="1"/>
  <c r="H12" i="17" s="1" a="1"/>
  <c r="H12" i="17" s="1"/>
  <c r="C5" i="17" a="1"/>
  <c r="C5" i="17" s="1"/>
  <c r="G4" i="17" a="1"/>
  <c r="G4" i="17" s="1"/>
  <c r="G6" i="17" a="1"/>
  <c r="G6" i="17" s="1"/>
  <c r="G13" i="17" a="1"/>
  <c r="G13" i="17" s="1"/>
  <c r="H13" i="17" s="1" a="1"/>
  <c r="H13" i="17" s="1"/>
  <c r="G11" i="17" a="1"/>
  <c r="G11" i="17" s="1"/>
  <c r="G8" i="17" a="1"/>
  <c r="G8" i="17" s="1"/>
  <c r="C6" i="17" a="1"/>
  <c r="C6" i="17" s="1"/>
  <c r="G5" i="17" a="1"/>
  <c r="G5" i="17" s="1"/>
  <c r="C4" i="17" a="1"/>
  <c r="C4" i="17" s="1"/>
  <c r="G14" i="18" a="1"/>
  <c r="G14" i="18" s="1"/>
  <c r="H14" i="18" s="1" a="1"/>
  <c r="H14" i="18" s="1"/>
  <c r="G12" i="18" a="1"/>
  <c r="G12" i="18" s="1"/>
  <c r="H12" i="18" s="1" a="1"/>
  <c r="H12" i="18" s="1"/>
  <c r="G7" i="18" a="1"/>
  <c r="G7" i="18" s="1"/>
  <c r="C5" i="18" a="1"/>
  <c r="C5" i="18" s="1"/>
  <c r="G6" i="18" a="1"/>
  <c r="G6" i="18" s="1"/>
  <c r="G4" i="18" a="1"/>
  <c r="G4" i="18" s="1"/>
  <c r="C4" i="18" a="1"/>
  <c r="C4" i="18" s="1"/>
  <c r="G13" i="18" a="1"/>
  <c r="G13" i="18" s="1"/>
  <c r="H13" i="18" s="1" a="1"/>
  <c r="H13" i="18" s="1"/>
  <c r="G11" i="18" a="1"/>
  <c r="G11" i="18" s="1"/>
  <c r="G5" i="18" a="1"/>
  <c r="G5" i="18" s="1"/>
  <c r="G8" i="18" a="1"/>
  <c r="G8" i="18" s="1"/>
  <c r="C6" i="18" a="1"/>
  <c r="C6" i="18" s="1"/>
  <c r="G8" i="25" a="1"/>
  <c r="G8" i="25" s="1"/>
  <c r="G5" i="25" a="1"/>
  <c r="G5" i="25" s="1"/>
  <c r="G14" i="25" a="1"/>
  <c r="G14" i="25" s="1"/>
  <c r="H14" i="25" s="1" a="1"/>
  <c r="H14" i="25" s="1"/>
  <c r="G12" i="25" a="1"/>
  <c r="G12" i="25" s="1"/>
  <c r="H12" i="25" s="1" a="1"/>
  <c r="H12" i="25" s="1"/>
  <c r="G7" i="25" a="1"/>
  <c r="G7" i="25" s="1"/>
  <c r="C5" i="25" a="1"/>
  <c r="C5" i="25" s="1"/>
  <c r="G6" i="25" a="1"/>
  <c r="G6" i="25" s="1"/>
  <c r="G4" i="25" a="1"/>
  <c r="G4" i="25" s="1"/>
  <c r="G13" i="25" a="1"/>
  <c r="G13" i="25" s="1"/>
  <c r="H13" i="25" s="1" a="1"/>
  <c r="H13" i="25" s="1"/>
  <c r="G11" i="25" a="1"/>
  <c r="G11" i="25" s="1"/>
  <c r="C6" i="25" a="1"/>
  <c r="C6" i="25" s="1"/>
  <c r="C4" i="25" a="1"/>
  <c r="C4" i="25" s="1"/>
  <c r="G10" i="36"/>
  <c r="G10" i="35"/>
  <c r="J72" i="39" a="1"/>
  <c r="J72" i="39" s="1"/>
  <c r="C7" i="32"/>
  <c r="B59" i="32" s="1"/>
  <c r="D7" i="32"/>
  <c r="D8" i="32"/>
  <c r="C8" i="32"/>
  <c r="H79" i="39"/>
  <c r="H79" i="36"/>
  <c r="C8" i="38"/>
  <c r="D7" i="38"/>
  <c r="C7" i="38"/>
  <c r="B61" i="38" s="1"/>
  <c r="D8" i="38"/>
  <c r="D13" i="33"/>
  <c r="C13" i="33"/>
  <c r="D14" i="33"/>
  <c r="C12" i="33"/>
  <c r="C14" i="33"/>
  <c r="H1" i="33"/>
  <c r="C11" i="33"/>
  <c r="D14" i="34"/>
  <c r="C12" i="34"/>
  <c r="C14" i="34"/>
  <c r="H1" i="34"/>
  <c r="C11" i="34"/>
  <c r="D13" i="34"/>
  <c r="C13" i="34"/>
  <c r="C10" i="36"/>
  <c r="B30" i="31"/>
  <c r="B70" i="31"/>
  <c r="D70" i="31" s="1" a="1"/>
  <c r="D70" i="31" s="1"/>
  <c r="B38" i="31"/>
  <c r="B32" i="31"/>
  <c r="B22" i="31"/>
  <c r="B40" i="31"/>
  <c r="B18" i="31"/>
  <c r="B27" i="31"/>
  <c r="B17" i="31"/>
  <c r="B39" i="31"/>
  <c r="B34" i="31"/>
  <c r="B24" i="31"/>
  <c r="B20" i="31"/>
  <c r="J74" i="31" a="1"/>
  <c r="J74" i="31" s="1"/>
  <c r="B25" i="31"/>
  <c r="B31" i="31"/>
  <c r="B37" i="31"/>
  <c r="B19" i="31"/>
  <c r="B36" i="31"/>
  <c r="B26" i="31"/>
  <c r="B29" i="31"/>
  <c r="B21" i="31"/>
  <c r="B33" i="31"/>
  <c r="B49" i="31"/>
  <c r="B52" i="31"/>
  <c r="C10" i="31"/>
  <c r="B60" i="39"/>
  <c r="B52" i="39"/>
  <c r="B44" i="39"/>
  <c r="B36" i="39"/>
  <c r="B28" i="39"/>
  <c r="B20" i="39"/>
  <c r="B62" i="39"/>
  <c r="B54" i="39"/>
  <c r="B46" i="39"/>
  <c r="B38" i="39"/>
  <c r="B30" i="39"/>
  <c r="B22" i="39"/>
  <c r="B63" i="39"/>
  <c r="B55" i="39"/>
  <c r="B47" i="39"/>
  <c r="B39" i="39"/>
  <c r="B31" i="39"/>
  <c r="B23" i="39"/>
  <c r="B19" i="39"/>
  <c r="B58" i="39"/>
  <c r="B26" i="39"/>
  <c r="B43" i="39"/>
  <c r="B50" i="39"/>
  <c r="B42" i="39"/>
  <c r="B27" i="39"/>
  <c r="B59" i="39"/>
  <c r="B34" i="39"/>
  <c r="B35" i="39"/>
  <c r="B51" i="39"/>
  <c r="B42" i="36"/>
  <c r="B69" i="31"/>
  <c r="D69" i="31" s="1" a="1"/>
  <c r="D69" i="31" s="1"/>
  <c r="B68" i="31"/>
  <c r="D68" i="31" s="1" a="1"/>
  <c r="D68" i="31" s="1"/>
  <c r="B71" i="31"/>
  <c r="B75" i="31"/>
  <c r="D75" i="31" s="1" a="1"/>
  <c r="D75" i="31" s="1"/>
  <c r="C10" i="32"/>
  <c r="B75" i="39"/>
  <c r="D75" i="39" s="1" a="1"/>
  <c r="D75" i="39" s="1"/>
  <c r="B64" i="39"/>
  <c r="B71" i="39"/>
  <c r="D71" i="39" s="1" a="1"/>
  <c r="D71" i="39" s="1"/>
  <c r="B69" i="39"/>
  <c r="D69" i="39" s="1" a="1"/>
  <c r="D69" i="39" s="1"/>
  <c r="G10" i="31"/>
  <c r="B68" i="39"/>
  <c r="D68" i="39" s="1" a="1"/>
  <c r="D68" i="39" s="1"/>
  <c r="B64" i="36"/>
  <c r="B60" i="36"/>
  <c r="B56" i="36"/>
  <c r="B52" i="36"/>
  <c r="B48" i="36"/>
  <c r="B44" i="36"/>
  <c r="B45" i="36"/>
  <c r="B61" i="36"/>
  <c r="B49" i="36"/>
  <c r="B32" i="39"/>
  <c r="B63" i="36"/>
  <c r="B43" i="36"/>
  <c r="B55" i="36"/>
  <c r="B50" i="36"/>
  <c r="B72" i="31"/>
  <c r="D72" i="31" s="1" a="1"/>
  <c r="D72" i="31" s="1"/>
  <c r="B61" i="39"/>
  <c r="B40" i="39"/>
  <c r="C10" i="38"/>
  <c r="B25" i="39"/>
  <c r="G10" i="37"/>
  <c r="B73" i="39"/>
  <c r="D73" i="39" s="1" a="1"/>
  <c r="D73" i="39" s="1"/>
  <c r="B56" i="39"/>
  <c r="B73" i="31"/>
  <c r="D73" i="31" s="1" a="1"/>
  <c r="D73" i="31" s="1"/>
  <c r="G10" i="32"/>
  <c r="G10" i="39"/>
  <c r="B70" i="39"/>
  <c r="D70" i="39" s="1" a="1"/>
  <c r="D70" i="39" s="1"/>
  <c r="B74" i="39"/>
  <c r="D74" i="39" s="1" a="1"/>
  <c r="D74" i="39" s="1"/>
  <c r="B17" i="39"/>
  <c r="B48" i="39"/>
  <c r="B53" i="39"/>
  <c r="B33" i="39"/>
  <c r="B41" i="39"/>
  <c r="H79" i="38"/>
  <c r="B57" i="39"/>
  <c r="B47" i="36"/>
  <c r="C8" i="30"/>
  <c r="D8" i="30"/>
  <c r="H80" i="30"/>
  <c r="D7" i="30"/>
  <c r="B53" i="30" s="1"/>
  <c r="D13" i="26"/>
  <c r="C13" i="26"/>
  <c r="D14" i="26"/>
  <c r="C12" i="26"/>
  <c r="C14" i="26"/>
  <c r="H1" i="26"/>
  <c r="C11" i="26"/>
  <c r="D14" i="27"/>
  <c r="C12" i="27"/>
  <c r="D13" i="27"/>
  <c r="C14" i="27"/>
  <c r="C11" i="27"/>
  <c r="H1" i="27"/>
  <c r="C13" i="27"/>
  <c r="C13" i="28"/>
  <c r="H1" i="28"/>
  <c r="D14" i="28"/>
  <c r="D13" i="28"/>
  <c r="C12" i="28"/>
  <c r="C14" i="28"/>
  <c r="C11" i="28"/>
  <c r="C13" i="29"/>
  <c r="C12" i="29"/>
  <c r="C14" i="29"/>
  <c r="C11" i="29"/>
  <c r="D13" i="29"/>
  <c r="H1" i="29"/>
  <c r="D14" i="29"/>
  <c r="C11" i="25"/>
  <c r="D13" i="25"/>
  <c r="C13" i="25"/>
  <c r="H1" i="25"/>
  <c r="D14" i="25"/>
  <c r="C12" i="25"/>
  <c r="C14" i="25"/>
  <c r="C10" i="30"/>
  <c r="G10" i="30"/>
  <c r="C14" i="24"/>
  <c r="H1" i="24"/>
  <c r="C11" i="24"/>
  <c r="D13" i="24"/>
  <c r="C13" i="24"/>
  <c r="C12" i="24"/>
  <c r="D14" i="24"/>
  <c r="C14" i="23"/>
  <c r="H1" i="23"/>
  <c r="C11" i="23"/>
  <c r="D13" i="23"/>
  <c r="C13" i="23"/>
  <c r="C12" i="23"/>
  <c r="D14" i="23"/>
  <c r="D13" i="22"/>
  <c r="C13" i="22"/>
  <c r="C11" i="22"/>
  <c r="D14" i="22"/>
  <c r="C12" i="22"/>
  <c r="C14" i="22"/>
  <c r="H1" i="22"/>
  <c r="D13" i="21"/>
  <c r="C13" i="21"/>
  <c r="D14" i="21"/>
  <c r="C12" i="21"/>
  <c r="C14" i="21"/>
  <c r="H1" i="21"/>
  <c r="C11" i="21"/>
  <c r="D13" i="20"/>
  <c r="C13" i="20"/>
  <c r="D14" i="20"/>
  <c r="C12" i="20"/>
  <c r="C11" i="20"/>
  <c r="C14" i="20"/>
  <c r="H1" i="20"/>
  <c r="D13" i="19"/>
  <c r="C11" i="19"/>
  <c r="C13" i="19"/>
  <c r="D14" i="19"/>
  <c r="C12" i="19"/>
  <c r="C14" i="19"/>
  <c r="H1" i="19"/>
  <c r="D14" i="18"/>
  <c r="C12" i="18"/>
  <c r="C14" i="18"/>
  <c r="H1" i="18"/>
  <c r="C11" i="18"/>
  <c r="D13" i="18"/>
  <c r="C13" i="18"/>
  <c r="C11" i="17"/>
  <c r="D13" i="17"/>
  <c r="C13" i="17"/>
  <c r="D14" i="17"/>
  <c r="C12" i="17"/>
  <c r="C14" i="17"/>
  <c r="H1" i="17"/>
  <c r="F80" i="31" l="1"/>
  <c r="B28" i="36"/>
  <c r="C80" i="37"/>
  <c r="B31" i="36"/>
  <c r="B21" i="36"/>
  <c r="B35" i="36"/>
  <c r="B32" i="36"/>
  <c r="B39" i="36"/>
  <c r="B19" i="36"/>
  <c r="B29" i="36"/>
  <c r="C79" i="35"/>
  <c r="B37" i="36"/>
  <c r="B17" i="36"/>
  <c r="B22" i="36"/>
  <c r="B47" i="38"/>
  <c r="C79" i="31"/>
  <c r="B26" i="36"/>
  <c r="B34" i="36"/>
  <c r="B30" i="36"/>
  <c r="B24" i="36"/>
  <c r="B40" i="36"/>
  <c r="B23" i="36"/>
  <c r="B36" i="36"/>
  <c r="B44" i="38"/>
  <c r="B47" i="32"/>
  <c r="B52" i="38"/>
  <c r="B36" i="35"/>
  <c r="B18" i="36"/>
  <c r="C80" i="36"/>
  <c r="C79" i="39"/>
  <c r="B25" i="36"/>
  <c r="B38" i="36"/>
  <c r="B38" i="35"/>
  <c r="B27" i="36"/>
  <c r="B20" i="36"/>
  <c r="B21" i="35"/>
  <c r="B33" i="35"/>
  <c r="B42" i="35"/>
  <c r="B71" i="32"/>
  <c r="D71" i="32" s="1" a="1"/>
  <c r="D71" i="32" s="1"/>
  <c r="B19" i="30"/>
  <c r="B42" i="32"/>
  <c r="B45" i="38"/>
  <c r="B50" i="38"/>
  <c r="B41" i="38"/>
  <c r="B61" i="32"/>
  <c r="B57" i="38"/>
  <c r="B50" i="32"/>
  <c r="B64" i="32"/>
  <c r="B34" i="38"/>
  <c r="B55" i="38"/>
  <c r="B53" i="38"/>
  <c r="B42" i="38"/>
  <c r="B64" i="38"/>
  <c r="B58" i="32"/>
  <c r="B62" i="38"/>
  <c r="B58" i="38"/>
  <c r="B57" i="32"/>
  <c r="B49" i="32"/>
  <c r="B37" i="32"/>
  <c r="C74" i="31" a="1"/>
  <c r="C74" i="31" s="1"/>
  <c r="B68" i="30"/>
  <c r="D68" i="30" s="1" a="1"/>
  <c r="D68" i="30" s="1"/>
  <c r="B68" i="36"/>
  <c r="H68" i="36" s="1" a="1"/>
  <c r="H68" i="36" s="1"/>
  <c r="B71" i="36"/>
  <c r="J71" i="36" s="1" a="1"/>
  <c r="J71" i="36" s="1"/>
  <c r="G73" i="36" a="1"/>
  <c r="G73" i="36" s="1"/>
  <c r="B70" i="36"/>
  <c r="G70" i="36" s="1" a="1"/>
  <c r="G70" i="36" s="1"/>
  <c r="B62" i="30"/>
  <c r="B31" i="30"/>
  <c r="F74" i="31" a="1"/>
  <c r="F74" i="31" s="1"/>
  <c r="B34" i="30"/>
  <c r="B24" i="30"/>
  <c r="F76" i="37" a="1"/>
  <c r="F76" i="37" s="1"/>
  <c r="L30" i="42"/>
  <c r="E73" i="36" a="1"/>
  <c r="E73" i="36" s="1"/>
  <c r="B20" i="38"/>
  <c r="B70" i="35"/>
  <c r="G70" i="35" s="1" a="1"/>
  <c r="G70" i="35" s="1"/>
  <c r="B74" i="35"/>
  <c r="F74" i="35" s="1" a="1"/>
  <c r="F74" i="35" s="1"/>
  <c r="B75" i="35"/>
  <c r="E75" i="35" s="1" a="1"/>
  <c r="E75" i="35" s="1"/>
  <c r="J73" i="36" a="1"/>
  <c r="J73" i="36" s="1"/>
  <c r="B72" i="36"/>
  <c r="J72" i="36" s="1" a="1"/>
  <c r="J72" i="36" s="1"/>
  <c r="F72" i="39" a="1"/>
  <c r="F72" i="39" s="1"/>
  <c r="D73" i="36" a="1"/>
  <c r="D73" i="36" s="1"/>
  <c r="B27" i="32"/>
  <c r="B71" i="35"/>
  <c r="C71" i="35" s="1" a="1"/>
  <c r="C71" i="35" s="1"/>
  <c r="B74" i="36"/>
  <c r="J74" i="36" s="1" a="1"/>
  <c r="J74" i="36" s="1"/>
  <c r="B69" i="35"/>
  <c r="F69" i="35" s="1" a="1"/>
  <c r="F69" i="35" s="1"/>
  <c r="B69" i="36"/>
  <c r="H69" i="36" s="1" a="1"/>
  <c r="H69" i="36" s="1"/>
  <c r="B75" i="36"/>
  <c r="E75" i="36" s="1" a="1"/>
  <c r="E75" i="36" s="1"/>
  <c r="C80" i="39"/>
  <c r="B23" i="35"/>
  <c r="F76" i="31" a="1"/>
  <c r="F76" i="31" s="1"/>
  <c r="B26" i="35"/>
  <c r="B30" i="35"/>
  <c r="B64" i="35"/>
  <c r="B17" i="35"/>
  <c r="B41" i="35"/>
  <c r="B28" i="35"/>
  <c r="F80" i="39"/>
  <c r="B31" i="35"/>
  <c r="B22" i="35"/>
  <c r="B24" i="35"/>
  <c r="B44" i="35"/>
  <c r="B63" i="30"/>
  <c r="B46" i="35"/>
  <c r="B32" i="35"/>
  <c r="B52" i="35"/>
  <c r="B32" i="30"/>
  <c r="B40" i="30"/>
  <c r="B49" i="35"/>
  <c r="B40" i="35"/>
  <c r="B60" i="35"/>
  <c r="B29" i="35"/>
  <c r="B72" i="35"/>
  <c r="C72" i="35" s="1" a="1"/>
  <c r="C72" i="35" s="1"/>
  <c r="B73" i="35"/>
  <c r="C73" i="35" s="1" a="1"/>
  <c r="C73" i="35" s="1"/>
  <c r="B18" i="35"/>
  <c r="B19" i="35"/>
  <c r="B48" i="35"/>
  <c r="B23" i="30"/>
  <c r="B21" i="30"/>
  <c r="B34" i="35"/>
  <c r="B25" i="35"/>
  <c r="B56" i="35"/>
  <c r="B37" i="35"/>
  <c r="B58" i="30"/>
  <c r="B41" i="30"/>
  <c r="B70" i="30"/>
  <c r="F70" i="30" s="1" a="1"/>
  <c r="F70" i="30" s="1"/>
  <c r="B29" i="30"/>
  <c r="B36" i="30"/>
  <c r="B64" i="30"/>
  <c r="B42" i="30"/>
  <c r="B20" i="30"/>
  <c r="B46" i="30"/>
  <c r="B38" i="30"/>
  <c r="B35" i="30"/>
  <c r="B56" i="30"/>
  <c r="B17" i="30"/>
  <c r="B75" i="32"/>
  <c r="D75" i="32" s="1" a="1"/>
  <c r="D75" i="32" s="1"/>
  <c r="F76" i="32" a="1"/>
  <c r="F76" i="32" s="1"/>
  <c r="F76" i="38" a="1"/>
  <c r="F76" i="38" s="1"/>
  <c r="B50" i="35"/>
  <c r="B47" i="35"/>
  <c r="B35" i="35"/>
  <c r="B53" i="35"/>
  <c r="B54" i="35"/>
  <c r="B55" i="35"/>
  <c r="B43" i="35"/>
  <c r="B62" i="35"/>
  <c r="B63" i="35"/>
  <c r="B51" i="35"/>
  <c r="B27" i="35"/>
  <c r="B59" i="35"/>
  <c r="B45" i="35"/>
  <c r="B61" i="35"/>
  <c r="B39" i="35"/>
  <c r="B58" i="35"/>
  <c r="B20" i="35"/>
  <c r="B57" i="35"/>
  <c r="B33" i="30"/>
  <c r="B28" i="30"/>
  <c r="B39" i="30"/>
  <c r="B43" i="30"/>
  <c r="B75" i="30"/>
  <c r="J75" i="30" s="1" a="1"/>
  <c r="J75" i="30" s="1"/>
  <c r="B30" i="30"/>
  <c r="B51" i="30"/>
  <c r="B25" i="30"/>
  <c r="B47" i="30"/>
  <c r="B37" i="30"/>
  <c r="B45" i="30"/>
  <c r="B27" i="30"/>
  <c r="B72" i="30"/>
  <c r="J72" i="30" s="1" a="1"/>
  <c r="J72" i="30" s="1"/>
  <c r="B18" i="30"/>
  <c r="B55" i="30"/>
  <c r="C72" i="39" a="1"/>
  <c r="C72" i="39" s="1"/>
  <c r="B73" i="30"/>
  <c r="J73" i="30" s="1" a="1"/>
  <c r="J73" i="30" s="1"/>
  <c r="B54" i="32"/>
  <c r="B63" i="32"/>
  <c r="C76" i="30" a="1"/>
  <c r="C76" i="30" s="1"/>
  <c r="F76" i="30" a="1"/>
  <c r="F76" i="30" s="1"/>
  <c r="B62" i="32"/>
  <c r="C76" i="36" a="1"/>
  <c r="C76" i="36" s="1"/>
  <c r="F76" i="36" a="1"/>
  <c r="F76" i="36" s="1"/>
  <c r="C73" i="36" a="1"/>
  <c r="C73" i="36" s="1"/>
  <c r="B74" i="30"/>
  <c r="J74" i="30" s="1" a="1"/>
  <c r="J74" i="30" s="1"/>
  <c r="D68" i="35" a="1"/>
  <c r="D68" i="35" s="1"/>
  <c r="G68" i="35" a="1"/>
  <c r="G68" i="35" s="1"/>
  <c r="F68" i="35" a="1"/>
  <c r="F68" i="35" s="1"/>
  <c r="H68" i="35" a="1"/>
  <c r="H68" i="35" s="1"/>
  <c r="C68" i="35" a="1"/>
  <c r="C68" i="35" s="1"/>
  <c r="E68" i="35" a="1"/>
  <c r="E68" i="35" s="1"/>
  <c r="B45" i="32"/>
  <c r="B46" i="32"/>
  <c r="B68" i="32"/>
  <c r="D68" i="32" s="1" a="1"/>
  <c r="D68" i="32" s="1"/>
  <c r="D70" i="35" a="1"/>
  <c r="D70" i="35" s="1"/>
  <c r="B70" i="38"/>
  <c r="D70" i="38" s="1" a="1"/>
  <c r="D70" i="38" s="1"/>
  <c r="C76" i="31" a="1"/>
  <c r="C76" i="31" s="1"/>
  <c r="F76" i="35" a="1"/>
  <c r="F76" i="35" s="1"/>
  <c r="C76" i="35" a="1"/>
  <c r="C76" i="35" s="1"/>
  <c r="B69" i="30"/>
  <c r="B39" i="38"/>
  <c r="B55" i="32"/>
  <c r="D71" i="31" a="1"/>
  <c r="D71" i="31" s="1"/>
  <c r="D71" i="36" a="1"/>
  <c r="D71" i="36" s="1"/>
  <c r="F71" i="36" a="1"/>
  <c r="F71" i="36" s="1"/>
  <c r="B71" i="30"/>
  <c r="J71" i="30" s="1" a="1"/>
  <c r="J71" i="30" s="1"/>
  <c r="B35" i="32"/>
  <c r="B41" i="32"/>
  <c r="F73" i="36" a="1"/>
  <c r="F73" i="36" s="1"/>
  <c r="L34" i="42"/>
  <c r="D76" i="21" a="1"/>
  <c r="D76" i="21" s="1"/>
  <c r="D76" i="24" a="1"/>
  <c r="D76" i="24" s="1"/>
  <c r="D76" i="27" a="1"/>
  <c r="D76" i="27" s="1"/>
  <c r="D76" i="26" a="1"/>
  <c r="D76" i="26" s="1"/>
  <c r="D76" i="25" a="1"/>
  <c r="D76" i="25" s="1"/>
  <c r="D76" i="34" a="1"/>
  <c r="D76" i="34" s="1"/>
  <c r="D76" i="20" a="1"/>
  <c r="D76" i="20" s="1"/>
  <c r="D68" i="18" a="1"/>
  <c r="D68" i="18" s="1"/>
  <c r="D76" i="29" a="1"/>
  <c r="D76" i="29" s="1"/>
  <c r="D76" i="28" a="1"/>
  <c r="D76" i="28" s="1"/>
  <c r="D68" i="17" a="1"/>
  <c r="D68" i="17" s="1"/>
  <c r="D76" i="23" a="1"/>
  <c r="D76" i="23" s="1"/>
  <c r="D76" i="22" a="1"/>
  <c r="D76" i="22" s="1"/>
  <c r="D76" i="33" a="1"/>
  <c r="D76" i="33" s="1"/>
  <c r="D76" i="19" a="1"/>
  <c r="D76" i="19" s="1"/>
  <c r="C70" i="39" a="1"/>
  <c r="C70" i="39" s="1"/>
  <c r="H70" i="39" a="1"/>
  <c r="H70" i="39" s="1"/>
  <c r="G70" i="39" a="1"/>
  <c r="G70" i="39" s="1"/>
  <c r="E70" i="39" a="1"/>
  <c r="E70" i="39" s="1"/>
  <c r="F70" i="39" a="1"/>
  <c r="F70" i="39" s="1"/>
  <c r="C68" i="39" a="1"/>
  <c r="C68" i="39" s="1"/>
  <c r="F68" i="39" a="1"/>
  <c r="F68" i="39" s="1"/>
  <c r="H68" i="39" a="1"/>
  <c r="H68" i="39" s="1"/>
  <c r="G68" i="39" a="1"/>
  <c r="G68" i="39" s="1"/>
  <c r="E68" i="39" a="1"/>
  <c r="E68" i="39" s="1"/>
  <c r="H69" i="39" a="1"/>
  <c r="H69" i="39" s="1"/>
  <c r="F69" i="39" a="1"/>
  <c r="F69" i="39" s="1"/>
  <c r="G69" i="39" a="1"/>
  <c r="G69" i="39" s="1"/>
  <c r="E69" i="39" a="1"/>
  <c r="E69" i="39" s="1"/>
  <c r="E71" i="39" a="1"/>
  <c r="E71" i="39" s="1"/>
  <c r="F71" i="39" a="1"/>
  <c r="F71" i="39" s="1"/>
  <c r="C71" i="39" a="1"/>
  <c r="C71" i="39" s="1"/>
  <c r="H71" i="39" a="1"/>
  <c r="H71" i="39" s="1"/>
  <c r="G71" i="39" a="1"/>
  <c r="G71" i="39" s="1"/>
  <c r="C75" i="39" a="1"/>
  <c r="C75" i="39" s="1"/>
  <c r="F75" i="39" a="1"/>
  <c r="F75" i="39" s="1"/>
  <c r="G75" i="39" a="1"/>
  <c r="G75" i="39" s="1"/>
  <c r="H75" i="39" a="1"/>
  <c r="H75" i="39" s="1"/>
  <c r="E75" i="39" a="1"/>
  <c r="E75" i="39" s="1"/>
  <c r="F76" i="39" a="1"/>
  <c r="F76" i="39" s="1"/>
  <c r="C69" i="39" a="1"/>
  <c r="C69" i="39" s="1"/>
  <c r="C76" i="39" a="1"/>
  <c r="C76" i="39" s="1"/>
  <c r="F74" i="39" a="1"/>
  <c r="F74" i="39" s="1"/>
  <c r="G74" i="39" a="1"/>
  <c r="G74" i="39" s="1"/>
  <c r="E74" i="39" a="1"/>
  <c r="E74" i="39" s="1"/>
  <c r="C74" i="39" a="1"/>
  <c r="C74" i="39" s="1"/>
  <c r="C73" i="39" a="1"/>
  <c r="C73" i="39" s="1"/>
  <c r="H73" i="39" a="1"/>
  <c r="H73" i="39" s="1"/>
  <c r="G73" i="39" a="1"/>
  <c r="G73" i="39" s="1"/>
  <c r="F73" i="39" a="1"/>
  <c r="F73" i="39" s="1"/>
  <c r="E73" i="39" a="1"/>
  <c r="E73" i="39" s="1"/>
  <c r="B31" i="38"/>
  <c r="B36" i="38"/>
  <c r="B35" i="38"/>
  <c r="B30" i="38"/>
  <c r="B40" i="38"/>
  <c r="B32" i="38"/>
  <c r="B37" i="38"/>
  <c r="B28" i="38"/>
  <c r="B18" i="38"/>
  <c r="B74" i="38"/>
  <c r="D74" i="38" s="1" a="1"/>
  <c r="D74" i="38" s="1"/>
  <c r="B26" i="38"/>
  <c r="B68" i="38"/>
  <c r="D68" i="38" s="1" a="1"/>
  <c r="D68" i="38" s="1"/>
  <c r="B71" i="38"/>
  <c r="D71" i="38" s="1" a="1"/>
  <c r="D71" i="38" s="1"/>
  <c r="B33" i="38"/>
  <c r="B23" i="38"/>
  <c r="C76" i="38" a="1"/>
  <c r="C76" i="38" s="1"/>
  <c r="C76" i="37" a="1"/>
  <c r="C76" i="37" s="1"/>
  <c r="F79" i="37"/>
  <c r="C79" i="37"/>
  <c r="C76" i="32" a="1"/>
  <c r="C76" i="32" s="1"/>
  <c r="E68" i="31" a="1"/>
  <c r="E68" i="31" s="1"/>
  <c r="F68" i="31" a="1"/>
  <c r="F68" i="31" s="1"/>
  <c r="H68" i="31" a="1"/>
  <c r="H68" i="31" s="1"/>
  <c r="C68" i="31" a="1"/>
  <c r="C68" i="31" s="1"/>
  <c r="C69" i="31" a="1"/>
  <c r="C69" i="31" s="1"/>
  <c r="G69" i="31" a="1"/>
  <c r="G69" i="31" s="1"/>
  <c r="F69" i="31" a="1"/>
  <c r="F69" i="31" s="1"/>
  <c r="H69" i="31" a="1"/>
  <c r="H69" i="31" s="1"/>
  <c r="E69" i="31" a="1"/>
  <c r="E69" i="31" s="1"/>
  <c r="G68" i="31" a="1"/>
  <c r="G68" i="31" s="1"/>
  <c r="H71" i="31" a="1"/>
  <c r="H71" i="31" s="1"/>
  <c r="E71" i="31" a="1"/>
  <c r="E71" i="31" s="1"/>
  <c r="G71" i="31" a="1"/>
  <c r="G71" i="31" s="1"/>
  <c r="F71" i="31" a="1"/>
  <c r="F71" i="31" s="1"/>
  <c r="C71" i="31" a="1"/>
  <c r="C71" i="31" s="1"/>
  <c r="H72" i="31" a="1"/>
  <c r="H72" i="31" s="1"/>
  <c r="F72" i="31" a="1"/>
  <c r="F72" i="31" s="1"/>
  <c r="C72" i="31" a="1"/>
  <c r="C72" i="31" s="1"/>
  <c r="E72" i="31" a="1"/>
  <c r="E72" i="31" s="1"/>
  <c r="G72" i="31" a="1"/>
  <c r="G72" i="31" s="1"/>
  <c r="C70" i="31" a="1"/>
  <c r="C70" i="31" s="1"/>
  <c r="E70" i="31" a="1"/>
  <c r="E70" i="31" s="1"/>
  <c r="H70" i="31" a="1"/>
  <c r="H70" i="31" s="1"/>
  <c r="F70" i="31" a="1"/>
  <c r="F70" i="31" s="1"/>
  <c r="G70" i="31" a="1"/>
  <c r="G70" i="31" s="1"/>
  <c r="E73" i="31" a="1"/>
  <c r="E73" i="31" s="1"/>
  <c r="F73" i="31" a="1"/>
  <c r="F73" i="31" s="1"/>
  <c r="G73" i="31" a="1"/>
  <c r="G73" i="31" s="1"/>
  <c r="C73" i="31" a="1"/>
  <c r="C73" i="31" s="1"/>
  <c r="H73" i="31" a="1"/>
  <c r="H73" i="31" s="1"/>
  <c r="H75" i="31" a="1"/>
  <c r="H75" i="31" s="1"/>
  <c r="G75" i="31" a="1"/>
  <c r="G75" i="31" s="1"/>
  <c r="E75" i="31" a="1"/>
  <c r="E75" i="31" s="1"/>
  <c r="F75" i="31" a="1"/>
  <c r="F75" i="31" s="1"/>
  <c r="C75" i="31" a="1"/>
  <c r="C75" i="31" s="1"/>
  <c r="B80" i="26" a="1"/>
  <c r="B80" i="26" s="1"/>
  <c r="G79" i="26" a="1"/>
  <c r="G79" i="26" s="1"/>
  <c r="B79" i="26" a="1"/>
  <c r="B79" i="26" s="1"/>
  <c r="G80" i="26" a="1"/>
  <c r="G80" i="26" s="1"/>
  <c r="B80" i="22" a="1"/>
  <c r="B80" i="22" s="1"/>
  <c r="G79" i="22" a="1"/>
  <c r="G79" i="22" s="1"/>
  <c r="B79" i="22" a="1"/>
  <c r="B79" i="22" s="1"/>
  <c r="G80" i="22" a="1"/>
  <c r="G80" i="22" s="1"/>
  <c r="G80" i="33" a="1"/>
  <c r="G80" i="33" s="1"/>
  <c r="B80" i="33" a="1"/>
  <c r="B80" i="33" s="1"/>
  <c r="B79" i="33" a="1"/>
  <c r="B79" i="33" s="1"/>
  <c r="G79" i="33" a="1"/>
  <c r="G79" i="33" s="1"/>
  <c r="J76" i="34" a="1"/>
  <c r="J76" i="34" s="1"/>
  <c r="H76" i="34" a="1"/>
  <c r="H76" i="34" s="1"/>
  <c r="G76" i="34" a="1"/>
  <c r="G76" i="34" s="1"/>
  <c r="H11" i="34" a="1"/>
  <c r="H11" i="34" s="1"/>
  <c r="J76" i="19" a="1"/>
  <c r="J76" i="19" s="1"/>
  <c r="H11" i="19" a="1"/>
  <c r="H11" i="19" s="1"/>
  <c r="H76" i="19" a="1"/>
  <c r="H76" i="19" s="1"/>
  <c r="G76" i="19" a="1"/>
  <c r="G76" i="19" s="1"/>
  <c r="H68" i="17" a="1"/>
  <c r="H68" i="17" s="1"/>
  <c r="H11" i="17" a="1"/>
  <c r="H11" i="17" s="1"/>
  <c r="G68" i="17" a="1"/>
  <c r="G68" i="17" s="1"/>
  <c r="J68" i="17" a="1"/>
  <c r="J68" i="17" s="1"/>
  <c r="G80" i="27" a="1"/>
  <c r="G80" i="27" s="1"/>
  <c r="B80" i="27" a="1"/>
  <c r="B80" i="27" s="1"/>
  <c r="G79" i="27" a="1"/>
  <c r="G79" i="27" s="1"/>
  <c r="B79" i="27" a="1"/>
  <c r="B79" i="27" s="1"/>
  <c r="H76" i="20" a="1"/>
  <c r="H76" i="20" s="1"/>
  <c r="G76" i="20" a="1"/>
  <c r="G76" i="20" s="1"/>
  <c r="J76" i="20" a="1"/>
  <c r="J76" i="20" s="1"/>
  <c r="H11" i="20" a="1"/>
  <c r="H11" i="20" s="1"/>
  <c r="B72" i="18" a="1"/>
  <c r="B72" i="18" s="1"/>
  <c r="G71" i="18" a="1"/>
  <c r="G71" i="18" s="1"/>
  <c r="G72" i="18" a="1"/>
  <c r="G72" i="18" s="1"/>
  <c r="B71" i="18" a="1"/>
  <c r="B71" i="18" s="1"/>
  <c r="J76" i="33" a="1"/>
  <c r="J76" i="33" s="1"/>
  <c r="H76" i="33" a="1"/>
  <c r="H76" i="33" s="1"/>
  <c r="G76" i="33" a="1"/>
  <c r="G76" i="33" s="1"/>
  <c r="H11" i="33" a="1"/>
  <c r="H11" i="33" s="1"/>
  <c r="B80" i="21" a="1"/>
  <c r="B80" i="21" s="1"/>
  <c r="G79" i="21" a="1"/>
  <c r="G79" i="21" s="1"/>
  <c r="B79" i="21" a="1"/>
  <c r="B79" i="21" s="1"/>
  <c r="G80" i="21" a="1"/>
  <c r="G80" i="21" s="1"/>
  <c r="B79" i="28" a="1"/>
  <c r="B79" i="28" s="1"/>
  <c r="G80" i="28" a="1"/>
  <c r="G80" i="28" s="1"/>
  <c r="B80" i="28" a="1"/>
  <c r="B80" i="28" s="1"/>
  <c r="G79" i="28" a="1"/>
  <c r="G79" i="28" s="1"/>
  <c r="H68" i="18" a="1"/>
  <c r="H68" i="18" s="1"/>
  <c r="G68" i="18" a="1"/>
  <c r="G68" i="18" s="1"/>
  <c r="H11" i="18" a="1"/>
  <c r="H11" i="18" s="1"/>
  <c r="J68" i="18" a="1"/>
  <c r="J68" i="18" s="1"/>
  <c r="B80" i="20" a="1"/>
  <c r="B80" i="20" s="1"/>
  <c r="G79" i="20" a="1"/>
  <c r="G79" i="20" s="1"/>
  <c r="B79" i="20" a="1"/>
  <c r="B79" i="20" s="1"/>
  <c r="G80" i="20" a="1"/>
  <c r="G80" i="20" s="1"/>
  <c r="B80" i="25" a="1"/>
  <c r="B80" i="25" s="1"/>
  <c r="G79" i="25" a="1"/>
  <c r="G79" i="25" s="1"/>
  <c r="B79" i="25" a="1"/>
  <c r="B79" i="25" s="1"/>
  <c r="G80" i="25" a="1"/>
  <c r="G80" i="25" s="1"/>
  <c r="B79" i="34" a="1"/>
  <c r="B79" i="34" s="1"/>
  <c r="B80" i="34" a="1"/>
  <c r="B80" i="34" s="1"/>
  <c r="G80" i="34" a="1"/>
  <c r="G80" i="34" s="1"/>
  <c r="G79" i="34" a="1"/>
  <c r="G79" i="34" s="1"/>
  <c r="H76" i="26" a="1"/>
  <c r="H76" i="26" s="1"/>
  <c r="G76" i="26" a="1"/>
  <c r="G76" i="26" s="1"/>
  <c r="H11" i="26" a="1"/>
  <c r="H11" i="26" s="1"/>
  <c r="J76" i="26" a="1"/>
  <c r="J76" i="26" s="1"/>
  <c r="J76" i="24" a="1"/>
  <c r="J76" i="24" s="1"/>
  <c r="H11" i="24" a="1"/>
  <c r="H11" i="24" s="1"/>
  <c r="H76" i="24" a="1"/>
  <c r="H76" i="24" s="1"/>
  <c r="G76" i="24" a="1"/>
  <c r="G76" i="24" s="1"/>
  <c r="J76" i="27" a="1"/>
  <c r="J76" i="27" s="1"/>
  <c r="H76" i="27" a="1"/>
  <c r="H76" i="27" s="1"/>
  <c r="G76" i="27" a="1"/>
  <c r="G76" i="27" s="1"/>
  <c r="H11" i="27" a="1"/>
  <c r="H11" i="27" s="1"/>
  <c r="J76" i="29" a="1"/>
  <c r="J76" i="29" s="1"/>
  <c r="G76" i="29" a="1"/>
  <c r="G76" i="29" s="1"/>
  <c r="H76" i="29" a="1"/>
  <c r="H76" i="29" s="1"/>
  <c r="H11" i="29" a="1"/>
  <c r="H11" i="29" s="1"/>
  <c r="H76" i="21" a="1"/>
  <c r="H76" i="21" s="1"/>
  <c r="G76" i="21" a="1"/>
  <c r="G76" i="21" s="1"/>
  <c r="H11" i="21" a="1"/>
  <c r="H11" i="21" s="1"/>
  <c r="J76" i="21" a="1"/>
  <c r="J76" i="21" s="1"/>
  <c r="G76" i="23" a="1"/>
  <c r="G76" i="23" s="1"/>
  <c r="J76" i="23" a="1"/>
  <c r="J76" i="23" s="1"/>
  <c r="H76" i="23" a="1"/>
  <c r="H76" i="23" s="1"/>
  <c r="H11" i="23" a="1"/>
  <c r="H11" i="23" s="1"/>
  <c r="H76" i="22" a="1"/>
  <c r="H76" i="22" s="1"/>
  <c r="G76" i="22" a="1"/>
  <c r="G76" i="22" s="1"/>
  <c r="H11" i="22" a="1"/>
  <c r="H11" i="22" s="1"/>
  <c r="J76" i="22" a="1"/>
  <c r="J76" i="22" s="1"/>
  <c r="B80" i="19" a="1"/>
  <c r="B80" i="19" s="1"/>
  <c r="G79" i="19" a="1"/>
  <c r="G79" i="19" s="1"/>
  <c r="B79" i="19" a="1"/>
  <c r="B79" i="19" s="1"/>
  <c r="G80" i="19" a="1"/>
  <c r="G80" i="19" s="1"/>
  <c r="H76" i="28" a="1"/>
  <c r="H76" i="28" s="1"/>
  <c r="H11" i="28" a="1"/>
  <c r="H11" i="28" s="1"/>
  <c r="J76" i="28" a="1"/>
  <c r="J76" i="28" s="1"/>
  <c r="G76" i="28" a="1"/>
  <c r="G76" i="28" s="1"/>
  <c r="B72" i="17" a="1"/>
  <c r="B72" i="17" s="1"/>
  <c r="G71" i="17" a="1"/>
  <c r="G71" i="17" s="1"/>
  <c r="G72" i="17" a="1"/>
  <c r="G72" i="17" s="1"/>
  <c r="B71" i="17" a="1"/>
  <c r="B71" i="17" s="1"/>
  <c r="G80" i="24" a="1"/>
  <c r="G80" i="24" s="1"/>
  <c r="B80" i="24" a="1"/>
  <c r="B80" i="24" s="1"/>
  <c r="G79" i="24" a="1"/>
  <c r="G79" i="24" s="1"/>
  <c r="B79" i="24" a="1"/>
  <c r="B79" i="24" s="1"/>
  <c r="H76" i="25" a="1"/>
  <c r="H76" i="25" s="1"/>
  <c r="G76" i="25" a="1"/>
  <c r="G76" i="25" s="1"/>
  <c r="J76" i="25" a="1"/>
  <c r="J76" i="25" s="1"/>
  <c r="H11" i="25" a="1"/>
  <c r="H11" i="25" s="1"/>
  <c r="G79" i="23" a="1"/>
  <c r="G79" i="23" s="1"/>
  <c r="B79" i="23" a="1"/>
  <c r="B79" i="23" s="1"/>
  <c r="G80" i="23" a="1"/>
  <c r="G80" i="23" s="1"/>
  <c r="B80" i="23" a="1"/>
  <c r="B80" i="23" s="1"/>
  <c r="G80" i="29" a="1"/>
  <c r="G80" i="29" s="1"/>
  <c r="G79" i="29" a="1"/>
  <c r="G79" i="29" s="1"/>
  <c r="B80" i="29" a="1"/>
  <c r="B80" i="29" s="1"/>
  <c r="B79" i="29" a="1"/>
  <c r="B79" i="29" s="1"/>
  <c r="J69" i="36" a="1"/>
  <c r="J69" i="36" s="1"/>
  <c r="H79" i="33"/>
  <c r="B40" i="32"/>
  <c r="B17" i="32"/>
  <c r="J69" i="39" a="1"/>
  <c r="J69" i="39" s="1"/>
  <c r="B31" i="32"/>
  <c r="B51" i="32"/>
  <c r="B28" i="32"/>
  <c r="B20" i="32"/>
  <c r="B44" i="32"/>
  <c r="B23" i="32"/>
  <c r="B24" i="32"/>
  <c r="B22" i="32"/>
  <c r="B36" i="32"/>
  <c r="B43" i="32"/>
  <c r="B19" i="32"/>
  <c r="B52" i="32"/>
  <c r="B56" i="32"/>
  <c r="B53" i="32"/>
  <c r="B48" i="32"/>
  <c r="B30" i="32"/>
  <c r="B60" i="32"/>
  <c r="J70" i="39" a="1"/>
  <c r="J70" i="39" s="1"/>
  <c r="B26" i="32"/>
  <c r="J71" i="39" a="1"/>
  <c r="J71" i="39" s="1"/>
  <c r="J68" i="35" a="1"/>
  <c r="J68" i="35" s="1"/>
  <c r="J68" i="39" a="1"/>
  <c r="J68" i="39" s="1"/>
  <c r="B33" i="32"/>
  <c r="B34" i="32"/>
  <c r="J75" i="39" a="1"/>
  <c r="J75" i="39" s="1"/>
  <c r="B39" i="32"/>
  <c r="B22" i="38"/>
  <c r="B60" i="38"/>
  <c r="B27" i="38"/>
  <c r="B46" i="38"/>
  <c r="B48" i="38"/>
  <c r="B49" i="38"/>
  <c r="B24" i="38"/>
  <c r="B59" i="38"/>
  <c r="B43" i="38"/>
  <c r="B38" i="38"/>
  <c r="B21" i="38"/>
  <c r="B54" i="38"/>
  <c r="B17" i="38"/>
  <c r="B51" i="38"/>
  <c r="B63" i="38"/>
  <c r="B25" i="38"/>
  <c r="B19" i="38"/>
  <c r="B29" i="38"/>
  <c r="B56" i="38"/>
  <c r="B38" i="32"/>
  <c r="D8" i="33"/>
  <c r="C8" i="33"/>
  <c r="D7" i="33"/>
  <c r="C7" i="33"/>
  <c r="J70" i="35" a="1"/>
  <c r="J70" i="35" s="1"/>
  <c r="B21" i="32"/>
  <c r="B18" i="32"/>
  <c r="B75" i="38"/>
  <c r="D75" i="38" s="1" a="1"/>
  <c r="D75" i="38" s="1"/>
  <c r="B72" i="38"/>
  <c r="D72" i="38" s="1" a="1"/>
  <c r="D72" i="38" s="1"/>
  <c r="B69" i="38"/>
  <c r="D69" i="38" s="1" a="1"/>
  <c r="D69" i="38" s="1"/>
  <c r="B73" i="38"/>
  <c r="D73" i="38" s="1" a="1"/>
  <c r="D73" i="38" s="1"/>
  <c r="B29" i="32"/>
  <c r="C8" i="34"/>
  <c r="D7" i="34"/>
  <c r="C7" i="34"/>
  <c r="D8" i="34"/>
  <c r="B72" i="32"/>
  <c r="D72" i="32" s="1" a="1"/>
  <c r="D72" i="32" s="1"/>
  <c r="B74" i="32"/>
  <c r="D74" i="32" s="1" a="1"/>
  <c r="D74" i="32" s="1"/>
  <c r="B69" i="32"/>
  <c r="D69" i="32" s="1" a="1"/>
  <c r="D69" i="32" s="1"/>
  <c r="B73" i="32"/>
  <c r="D73" i="32" s="1" a="1"/>
  <c r="D73" i="32" s="1"/>
  <c r="B70" i="32"/>
  <c r="D70" i="32" s="1" a="1"/>
  <c r="D70" i="32" s="1"/>
  <c r="J74" i="39" a="1"/>
  <c r="J74" i="39" s="1"/>
  <c r="B32" i="32"/>
  <c r="J73" i="39" a="1"/>
  <c r="J73" i="39" s="1"/>
  <c r="B25" i="32"/>
  <c r="C79" i="36"/>
  <c r="F79" i="36"/>
  <c r="C80" i="35"/>
  <c r="F80" i="35"/>
  <c r="J68" i="31" a="1"/>
  <c r="J68" i="31" s="1"/>
  <c r="J75" i="31" a="1"/>
  <c r="J75" i="31" s="1"/>
  <c r="J71" i="31" a="1"/>
  <c r="J71" i="31" s="1"/>
  <c r="J73" i="31" a="1"/>
  <c r="J73" i="31" s="1"/>
  <c r="J69" i="31" a="1"/>
  <c r="J69" i="31" s="1"/>
  <c r="J72" i="31" a="1"/>
  <c r="J72" i="31" s="1"/>
  <c r="J70" i="31" a="1"/>
  <c r="J70" i="31" s="1"/>
  <c r="H80" i="34"/>
  <c r="H79" i="29"/>
  <c r="C10" i="34"/>
  <c r="C10" i="33"/>
  <c r="B64" i="37"/>
  <c r="B56" i="37"/>
  <c r="B62" i="37"/>
  <c r="B54" i="37"/>
  <c r="B29" i="37"/>
  <c r="B21" i="37"/>
  <c r="B58" i="37"/>
  <c r="B50" i="37"/>
  <c r="B36" i="37"/>
  <c r="B34" i="37"/>
  <c r="B25" i="37"/>
  <c r="B32" i="37"/>
  <c r="B23" i="37"/>
  <c r="B51" i="37"/>
  <c r="B30" i="37"/>
  <c r="B40" i="37"/>
  <c r="B46" i="37"/>
  <c r="B48" i="37"/>
  <c r="B27" i="37"/>
  <c r="B18" i="37"/>
  <c r="B42" i="37"/>
  <c r="B38" i="37"/>
  <c r="B59" i="37"/>
  <c r="B44" i="37"/>
  <c r="B35" i="37"/>
  <c r="B57" i="37"/>
  <c r="B47" i="37"/>
  <c r="B31" i="37"/>
  <c r="B24" i="37"/>
  <c r="B61" i="37"/>
  <c r="B60" i="37"/>
  <c r="B22" i="37"/>
  <c r="B33" i="37"/>
  <c r="B37" i="37"/>
  <c r="B45" i="37"/>
  <c r="B17" i="37"/>
  <c r="B52" i="37"/>
  <c r="B39" i="37"/>
  <c r="B55" i="37"/>
  <c r="B49" i="37"/>
  <c r="B43" i="37"/>
  <c r="B53" i="37"/>
  <c r="B19" i="37"/>
  <c r="B20" i="37"/>
  <c r="B26" i="37"/>
  <c r="B41" i="37"/>
  <c r="B63" i="37"/>
  <c r="B28" i="37"/>
  <c r="C80" i="32"/>
  <c r="F80" i="32"/>
  <c r="H79" i="34"/>
  <c r="F80" i="38"/>
  <c r="C80" i="38"/>
  <c r="H80" i="33"/>
  <c r="B70" i="37"/>
  <c r="D70" i="37" s="1" a="1"/>
  <c r="D70" i="37" s="1"/>
  <c r="B74" i="37"/>
  <c r="D74" i="37" s="1" a="1"/>
  <c r="D74" i="37" s="1"/>
  <c r="B71" i="37"/>
  <c r="D71" i="37" s="1" a="1"/>
  <c r="D71" i="37" s="1"/>
  <c r="B75" i="37"/>
  <c r="D75" i="37" s="1" a="1"/>
  <c r="D75" i="37" s="1"/>
  <c r="B68" i="37"/>
  <c r="D68" i="37" s="1" a="1"/>
  <c r="D68" i="37" s="1"/>
  <c r="B69" i="37"/>
  <c r="D69" i="37" s="1" a="1"/>
  <c r="D69" i="37" s="1"/>
  <c r="B73" i="37"/>
  <c r="D73" i="37" s="1" a="1"/>
  <c r="D73" i="37" s="1"/>
  <c r="B72" i="37"/>
  <c r="D72" i="37" s="1" a="1"/>
  <c r="D72" i="37" s="1"/>
  <c r="C79" i="32"/>
  <c r="F79" i="32"/>
  <c r="C79" i="38"/>
  <c r="F79" i="38"/>
  <c r="G10" i="33"/>
  <c r="G10" i="34"/>
  <c r="B44" i="30"/>
  <c r="B60" i="30"/>
  <c r="B22" i="30"/>
  <c r="B48" i="30"/>
  <c r="B50" i="30"/>
  <c r="B52" i="30"/>
  <c r="B61" i="30"/>
  <c r="B57" i="30"/>
  <c r="B54" i="30"/>
  <c r="B59" i="30"/>
  <c r="B49" i="30"/>
  <c r="B26" i="30"/>
  <c r="J70" i="30" a="1"/>
  <c r="J70" i="30" s="1"/>
  <c r="D7" i="27"/>
  <c r="D8" i="27"/>
  <c r="C8" i="27"/>
  <c r="C7" i="27"/>
  <c r="C8" i="28"/>
  <c r="D7" i="28"/>
  <c r="C7" i="28"/>
  <c r="D8" i="28"/>
  <c r="D8" i="29"/>
  <c r="C8" i="29"/>
  <c r="C7" i="29"/>
  <c r="D7" i="29"/>
  <c r="D8" i="26"/>
  <c r="C8" i="26"/>
  <c r="D7" i="26"/>
  <c r="C7" i="26"/>
  <c r="H79" i="21"/>
  <c r="D8" i="25"/>
  <c r="C7" i="25"/>
  <c r="C8" i="25"/>
  <c r="D7" i="25"/>
  <c r="H79" i="26"/>
  <c r="H80" i="26"/>
  <c r="H80" i="27"/>
  <c r="H79" i="25"/>
  <c r="H80" i="28"/>
  <c r="H79" i="28"/>
  <c r="G10" i="28"/>
  <c r="C10" i="27"/>
  <c r="H80" i="29"/>
  <c r="G10" i="26"/>
  <c r="H79" i="27"/>
  <c r="C10" i="25"/>
  <c r="G10" i="25"/>
  <c r="C10" i="28"/>
  <c r="G10" i="29"/>
  <c r="C10" i="26"/>
  <c r="F80" i="30"/>
  <c r="C80" i="30"/>
  <c r="F79" i="30"/>
  <c r="C79" i="30"/>
  <c r="C10" i="29"/>
  <c r="G10" i="27"/>
  <c r="H80" i="25"/>
  <c r="C7" i="24"/>
  <c r="A67" i="24"/>
  <c r="D8" i="24"/>
  <c r="D7" i="24"/>
  <c r="C8" i="24"/>
  <c r="H71" i="18"/>
  <c r="C7" i="23"/>
  <c r="C8" i="23"/>
  <c r="D7" i="23"/>
  <c r="A67" i="23"/>
  <c r="D8" i="23"/>
  <c r="D8" i="22"/>
  <c r="C8" i="22"/>
  <c r="A67" i="22"/>
  <c r="D7" i="22"/>
  <c r="C7" i="22"/>
  <c r="D8" i="21"/>
  <c r="C8" i="21"/>
  <c r="A67" i="21"/>
  <c r="D7" i="21"/>
  <c r="C7" i="21"/>
  <c r="D8" i="20"/>
  <c r="C8" i="20"/>
  <c r="A67" i="20"/>
  <c r="D7" i="20"/>
  <c r="C7" i="20"/>
  <c r="D8" i="19"/>
  <c r="C8" i="19"/>
  <c r="A67" i="19"/>
  <c r="D7" i="19"/>
  <c r="C7" i="19"/>
  <c r="C8" i="18"/>
  <c r="D7" i="18"/>
  <c r="C7" i="18"/>
  <c r="D8" i="18"/>
  <c r="D8" i="17"/>
  <c r="C8" i="17"/>
  <c r="D7" i="17"/>
  <c r="C7" i="17"/>
  <c r="H79" i="24"/>
  <c r="H80" i="21"/>
  <c r="H71" i="17"/>
  <c r="H80" i="22"/>
  <c r="H80" i="19"/>
  <c r="H72" i="18"/>
  <c r="H80" i="24"/>
  <c r="H79" i="22"/>
  <c r="H80" i="23"/>
  <c r="H79" i="23"/>
  <c r="H79" i="20"/>
  <c r="G10" i="21"/>
  <c r="G10" i="20"/>
  <c r="G10" i="22"/>
  <c r="C10" i="19"/>
  <c r="C10" i="23"/>
  <c r="H79" i="19"/>
  <c r="G10" i="23"/>
  <c r="H80" i="20"/>
  <c r="G10" i="18"/>
  <c r="C10" i="18"/>
  <c r="H72" i="17"/>
  <c r="C10" i="21"/>
  <c r="G10" i="17"/>
  <c r="G10" i="19"/>
  <c r="G10" i="24"/>
  <c r="C10" i="22"/>
  <c r="C10" i="20"/>
  <c r="C10" i="17"/>
  <c r="C10" i="24"/>
  <c r="H74" i="36" l="1" a="1"/>
  <c r="H74" i="36" s="1"/>
  <c r="D72" i="36" a="1"/>
  <c r="D72" i="36" s="1"/>
  <c r="E74" i="36" a="1"/>
  <c r="E74" i="36" s="1"/>
  <c r="C71" i="36" a="1"/>
  <c r="C71" i="36" s="1"/>
  <c r="J75" i="36" a="1"/>
  <c r="J75" i="36" s="1"/>
  <c r="H71" i="36" a="1"/>
  <c r="H71" i="36" s="1"/>
  <c r="H70" i="35" a="1"/>
  <c r="H70" i="35" s="1"/>
  <c r="H72" i="36" a="1"/>
  <c r="H72" i="36" s="1"/>
  <c r="H75" i="36" a="1"/>
  <c r="H75" i="36" s="1"/>
  <c r="G71" i="36" a="1"/>
  <c r="G71" i="36" s="1"/>
  <c r="E71" i="36" a="1"/>
  <c r="E71" i="36" s="1"/>
  <c r="C70" i="35" a="1"/>
  <c r="C70" i="35" s="1"/>
  <c r="C72" i="36" a="1"/>
  <c r="C72" i="36" s="1"/>
  <c r="D75" i="36" a="1"/>
  <c r="D75" i="36" s="1"/>
  <c r="F75" i="36" a="1"/>
  <c r="F75" i="36" s="1"/>
  <c r="G75" i="36" a="1"/>
  <c r="G75" i="36" s="1"/>
  <c r="C75" i="36" a="1"/>
  <c r="C75" i="36" s="1"/>
  <c r="D74" i="35" a="1"/>
  <c r="D74" i="35" s="1"/>
  <c r="E68" i="30" a="1"/>
  <c r="E68" i="30" s="1"/>
  <c r="H70" i="36" a="1"/>
  <c r="H70" i="36" s="1"/>
  <c r="D70" i="36" a="1"/>
  <c r="D70" i="36" s="1"/>
  <c r="J71" i="32" a="1"/>
  <c r="J71" i="32" s="1"/>
  <c r="J71" i="35" a="1"/>
  <c r="J71" i="35" s="1"/>
  <c r="E71" i="35" a="1"/>
  <c r="E71" i="35" s="1"/>
  <c r="F68" i="36" a="1"/>
  <c r="F68" i="36" s="1"/>
  <c r="E70" i="30" a="1"/>
  <c r="E70" i="30" s="1"/>
  <c r="C69" i="35" a="1"/>
  <c r="C69" i="35" s="1"/>
  <c r="F71" i="35" a="1"/>
  <c r="F71" i="35" s="1"/>
  <c r="G69" i="35" a="1"/>
  <c r="G69" i="35" s="1"/>
  <c r="D68" i="36" a="1"/>
  <c r="D68" i="36" s="1"/>
  <c r="F71" i="32" a="1"/>
  <c r="F71" i="32" s="1"/>
  <c r="J70" i="38" a="1"/>
  <c r="J70" i="38" s="1"/>
  <c r="F68" i="32" a="1"/>
  <c r="F68" i="32" s="1"/>
  <c r="C75" i="35" a="1"/>
  <c r="C75" i="35" s="1"/>
  <c r="H68" i="32" a="1"/>
  <c r="H68" i="32" s="1"/>
  <c r="C74" i="36" a="1"/>
  <c r="C74" i="36" s="1"/>
  <c r="F70" i="35" a="1"/>
  <c r="F70" i="35" s="1"/>
  <c r="E72" i="36" a="1"/>
  <c r="E72" i="36" s="1"/>
  <c r="J68" i="32" a="1"/>
  <c r="J68" i="32" s="1"/>
  <c r="G68" i="32" a="1"/>
  <c r="G68" i="32" s="1"/>
  <c r="E68" i="32" a="1"/>
  <c r="E68" i="32" s="1"/>
  <c r="J75" i="32" a="1"/>
  <c r="J75" i="32" s="1"/>
  <c r="C68" i="32" a="1"/>
  <c r="C68" i="32" s="1"/>
  <c r="J75" i="35" a="1"/>
  <c r="J75" i="35" s="1"/>
  <c r="E71" i="32" a="1"/>
  <c r="E71" i="32" s="1"/>
  <c r="F72" i="35" a="1"/>
  <c r="F72" i="35" s="1"/>
  <c r="E68" i="36" a="1"/>
  <c r="E68" i="36" s="1"/>
  <c r="H75" i="35" a="1"/>
  <c r="H75" i="35" s="1"/>
  <c r="F75" i="35" a="1"/>
  <c r="F75" i="35" s="1"/>
  <c r="C71" i="32" a="1"/>
  <c r="C71" i="32" s="1"/>
  <c r="J68" i="36" a="1"/>
  <c r="J68" i="36" s="1"/>
  <c r="G68" i="36" a="1"/>
  <c r="G68" i="36" s="1"/>
  <c r="G75" i="35" a="1"/>
  <c r="G75" i="35" s="1"/>
  <c r="D75" i="35" a="1"/>
  <c r="D75" i="35" s="1"/>
  <c r="G71" i="32" a="1"/>
  <c r="G71" i="32" s="1"/>
  <c r="H71" i="32" a="1"/>
  <c r="H71" i="32" s="1"/>
  <c r="C68" i="36" a="1"/>
  <c r="C68" i="36" s="1"/>
  <c r="F68" i="30" a="1"/>
  <c r="F68" i="30" s="1"/>
  <c r="F70" i="36" a="1"/>
  <c r="F70" i="36" s="1"/>
  <c r="J70" i="36" a="1"/>
  <c r="J70" i="36" s="1"/>
  <c r="J74" i="35" a="1"/>
  <c r="J74" i="35" s="1"/>
  <c r="F74" i="36" a="1"/>
  <c r="F74" i="36" s="1"/>
  <c r="D74" i="36" a="1"/>
  <c r="D74" i="36" s="1"/>
  <c r="E70" i="35" a="1"/>
  <c r="E70" i="35" s="1"/>
  <c r="G72" i="36" a="1"/>
  <c r="G72" i="36" s="1"/>
  <c r="G68" i="30" a="1"/>
  <c r="G68" i="30" s="1"/>
  <c r="C68" i="30" a="1"/>
  <c r="C68" i="30" s="1"/>
  <c r="C70" i="36" a="1"/>
  <c r="C70" i="36" s="1"/>
  <c r="D69" i="36" a="1"/>
  <c r="D69" i="36" s="1"/>
  <c r="J68" i="30" a="1"/>
  <c r="J68" i="30" s="1"/>
  <c r="G74" i="36" a="1"/>
  <c r="G74" i="36" s="1"/>
  <c r="F72" i="36" a="1"/>
  <c r="F72" i="36" s="1"/>
  <c r="H68" i="30" a="1"/>
  <c r="H68" i="30" s="1"/>
  <c r="E70" i="36" a="1"/>
  <c r="E70" i="36" s="1"/>
  <c r="C70" i="38" a="1"/>
  <c r="C70" i="38" s="1"/>
  <c r="J68" i="38" a="1"/>
  <c r="J68" i="38" s="1"/>
  <c r="F70" i="38" a="1"/>
  <c r="F70" i="38" s="1"/>
  <c r="H74" i="35" a="1"/>
  <c r="H74" i="35" s="1"/>
  <c r="G69" i="36" a="1"/>
  <c r="G69" i="36" s="1"/>
  <c r="H70" i="38" a="1"/>
  <c r="H70" i="38" s="1"/>
  <c r="C74" i="35" a="1"/>
  <c r="C74" i="35" s="1"/>
  <c r="F69" i="36" a="1"/>
  <c r="F69" i="36" s="1"/>
  <c r="H71" i="35" a="1"/>
  <c r="H71" i="35" s="1"/>
  <c r="H69" i="35" a="1"/>
  <c r="H69" i="35" s="1"/>
  <c r="D69" i="35" a="1"/>
  <c r="D69" i="35" s="1"/>
  <c r="E69" i="35" a="1"/>
  <c r="E69" i="35" s="1"/>
  <c r="J69" i="35" a="1"/>
  <c r="J69" i="35" s="1"/>
  <c r="G71" i="35" a="1"/>
  <c r="G71" i="35" s="1"/>
  <c r="G70" i="38" a="1"/>
  <c r="G70" i="38" s="1"/>
  <c r="E74" i="35" a="1"/>
  <c r="E74" i="35" s="1"/>
  <c r="C69" i="36" a="1"/>
  <c r="C69" i="36" s="1"/>
  <c r="E70" i="38" a="1"/>
  <c r="E70" i="38" s="1"/>
  <c r="D71" i="35" a="1"/>
  <c r="D71" i="35" s="1"/>
  <c r="G74" i="35" a="1"/>
  <c r="G74" i="35" s="1"/>
  <c r="E69" i="36" a="1"/>
  <c r="E69" i="36" s="1"/>
  <c r="C75" i="32" a="1"/>
  <c r="C75" i="32" s="1"/>
  <c r="F75" i="32" a="1"/>
  <c r="F75" i="32" s="1"/>
  <c r="J73" i="35" a="1"/>
  <c r="J73" i="35" s="1"/>
  <c r="D73" i="35" a="1"/>
  <c r="D73" i="35" s="1"/>
  <c r="E73" i="35" a="1"/>
  <c r="E73" i="35" s="1"/>
  <c r="H73" i="35" a="1"/>
  <c r="H73" i="35" s="1"/>
  <c r="G73" i="35" a="1"/>
  <c r="G73" i="35" s="1"/>
  <c r="F73" i="35" a="1"/>
  <c r="F73" i="35" s="1"/>
  <c r="H75" i="32" a="1"/>
  <c r="H75" i="32" s="1"/>
  <c r="G72" i="35" a="1"/>
  <c r="G72" i="35" s="1"/>
  <c r="D72" i="35" a="1"/>
  <c r="D72" i="35" s="1"/>
  <c r="J72" i="35" a="1"/>
  <c r="J72" i="35" s="1"/>
  <c r="E72" i="35" a="1"/>
  <c r="E72" i="35" s="1"/>
  <c r="H72" i="35" a="1"/>
  <c r="H72" i="35" s="1"/>
  <c r="E75" i="32" a="1"/>
  <c r="E75" i="32" s="1"/>
  <c r="G75" i="32" a="1"/>
  <c r="G75" i="32" s="1"/>
  <c r="D69" i="30" a="1"/>
  <c r="D69" i="30" s="1"/>
  <c r="H69" i="30" a="1"/>
  <c r="H69" i="30" s="1"/>
  <c r="E69" i="30" a="1"/>
  <c r="E69" i="30" s="1"/>
  <c r="C69" i="30" a="1"/>
  <c r="C69" i="30" s="1"/>
  <c r="G69" i="30" a="1"/>
  <c r="G69" i="30" s="1"/>
  <c r="F69" i="30" a="1"/>
  <c r="F69" i="30" s="1"/>
  <c r="J69" i="30" a="1"/>
  <c r="J69" i="30" s="1"/>
  <c r="J71" i="38" a="1"/>
  <c r="J71" i="38" s="1"/>
  <c r="D71" i="30" a="1"/>
  <c r="D71" i="30" s="1"/>
  <c r="F71" i="30" a="1"/>
  <c r="F71" i="30" s="1"/>
  <c r="E71" i="30" a="1"/>
  <c r="E71" i="30" s="1"/>
  <c r="C71" i="30" a="1"/>
  <c r="C71" i="30" s="1"/>
  <c r="H71" i="30" a="1"/>
  <c r="H71" i="30" s="1"/>
  <c r="G71" i="30" a="1"/>
  <c r="G71" i="30" s="1"/>
  <c r="J74" i="38" a="1"/>
  <c r="J74" i="38" s="1"/>
  <c r="G68" i="38" a="1"/>
  <c r="G68" i="38" s="1"/>
  <c r="F76" i="26" a="1"/>
  <c r="F76" i="26" s="1"/>
  <c r="F76" i="27" a="1"/>
  <c r="F76" i="27" s="1"/>
  <c r="F76" i="22" a="1"/>
  <c r="F76" i="22" s="1"/>
  <c r="F76" i="21" a="1"/>
  <c r="F76" i="21" s="1"/>
  <c r="G74" i="38" a="1"/>
  <c r="G74" i="38" s="1"/>
  <c r="C74" i="38" a="1"/>
  <c r="C74" i="38" s="1"/>
  <c r="E74" i="38" a="1"/>
  <c r="E74" i="38" s="1"/>
  <c r="F74" i="38" a="1"/>
  <c r="F74" i="38" s="1"/>
  <c r="G75" i="38" a="1"/>
  <c r="G75" i="38" s="1"/>
  <c r="E75" i="38" a="1"/>
  <c r="E75" i="38" s="1"/>
  <c r="F75" i="38" a="1"/>
  <c r="F75" i="38" s="1"/>
  <c r="C75" i="38" a="1"/>
  <c r="C75" i="38" s="1"/>
  <c r="E71" i="38" a="1"/>
  <c r="E71" i="38" s="1"/>
  <c r="C71" i="38" a="1"/>
  <c r="C71" i="38" s="1"/>
  <c r="H71" i="38" a="1"/>
  <c r="H71" i="38" s="1"/>
  <c r="G71" i="38" a="1"/>
  <c r="G71" i="38" s="1"/>
  <c r="F71" i="38" a="1"/>
  <c r="F71" i="38" s="1"/>
  <c r="H69" i="38" a="1"/>
  <c r="H69" i="38" s="1"/>
  <c r="G69" i="38" a="1"/>
  <c r="G69" i="38" s="1"/>
  <c r="E69" i="38" a="1"/>
  <c r="E69" i="38" s="1"/>
  <c r="F69" i="38" a="1"/>
  <c r="F69" i="38" s="1"/>
  <c r="C69" i="38" a="1"/>
  <c r="C69" i="38" s="1"/>
  <c r="E68" i="38" a="1"/>
  <c r="E68" i="38" s="1"/>
  <c r="C68" i="38" a="1"/>
  <c r="C68" i="38" s="1"/>
  <c r="F68" i="38" a="1"/>
  <c r="F68" i="38" s="1"/>
  <c r="H68" i="38" a="1"/>
  <c r="H68" i="38" s="1"/>
  <c r="F73" i="38" a="1"/>
  <c r="F73" i="38" s="1"/>
  <c r="E73" i="38" a="1"/>
  <c r="E73" i="38" s="1"/>
  <c r="C73" i="38" a="1"/>
  <c r="C73" i="38" s="1"/>
  <c r="G73" i="38" a="1"/>
  <c r="G73" i="38" s="1"/>
  <c r="H72" i="38" a="1"/>
  <c r="H72" i="38" s="1"/>
  <c r="F72" i="38" a="1"/>
  <c r="F72" i="38" s="1"/>
  <c r="C72" i="38" a="1"/>
  <c r="C72" i="38" s="1"/>
  <c r="E72" i="38" a="1"/>
  <c r="E72" i="38" s="1"/>
  <c r="G72" i="38" a="1"/>
  <c r="G72" i="38" s="1"/>
  <c r="F76" i="33" a="1"/>
  <c r="F76" i="33" s="1"/>
  <c r="F75" i="37" a="1"/>
  <c r="F75" i="37" s="1"/>
  <c r="E75" i="37" a="1"/>
  <c r="E75" i="37" s="1"/>
  <c r="G75" i="37" a="1"/>
  <c r="G75" i="37" s="1"/>
  <c r="C75" i="37" a="1"/>
  <c r="C75" i="37" s="1"/>
  <c r="H75" i="37" a="1"/>
  <c r="H75" i="37" s="1"/>
  <c r="G68" i="37" a="1"/>
  <c r="G68" i="37" s="1"/>
  <c r="E68" i="37" a="1"/>
  <c r="E68" i="37" s="1"/>
  <c r="H68" i="37" a="1"/>
  <c r="H68" i="37" s="1"/>
  <c r="F68" i="37" a="1"/>
  <c r="F68" i="37" s="1"/>
  <c r="C68" i="37" a="1"/>
  <c r="C68" i="37" s="1"/>
  <c r="F71" i="37" a="1"/>
  <c r="F71" i="37" s="1"/>
  <c r="E71" i="37" a="1"/>
  <c r="E71" i="37" s="1"/>
  <c r="C71" i="37" a="1"/>
  <c r="C71" i="37" s="1"/>
  <c r="G71" i="37" a="1"/>
  <c r="G71" i="37" s="1"/>
  <c r="H71" i="37" a="1"/>
  <c r="H71" i="37" s="1"/>
  <c r="F74" i="37" a="1"/>
  <c r="F74" i="37" s="1"/>
  <c r="C74" i="37" a="1"/>
  <c r="C74" i="37" s="1"/>
  <c r="G74" i="37" a="1"/>
  <c r="G74" i="37" s="1"/>
  <c r="E74" i="37" a="1"/>
  <c r="E74" i="37" s="1"/>
  <c r="H70" i="37" a="1"/>
  <c r="H70" i="37" s="1"/>
  <c r="G70" i="37" a="1"/>
  <c r="G70" i="37" s="1"/>
  <c r="E70" i="37" a="1"/>
  <c r="E70" i="37" s="1"/>
  <c r="C70" i="37" a="1"/>
  <c r="C70" i="37" s="1"/>
  <c r="F70" i="37" a="1"/>
  <c r="F70" i="37" s="1"/>
  <c r="F69" i="37" a="1"/>
  <c r="F69" i="37" s="1"/>
  <c r="C69" i="37" a="1"/>
  <c r="C69" i="37" s="1"/>
  <c r="E69" i="37" a="1"/>
  <c r="E69" i="37" s="1"/>
  <c r="G69" i="37" a="1"/>
  <c r="G69" i="37" s="1"/>
  <c r="H69" i="37" a="1"/>
  <c r="H69" i="37" s="1"/>
  <c r="E72" i="37" a="1"/>
  <c r="E72" i="37" s="1"/>
  <c r="G72" i="37" a="1"/>
  <c r="G72" i="37" s="1"/>
  <c r="F72" i="37" a="1"/>
  <c r="F72" i="37" s="1"/>
  <c r="C72" i="37" a="1"/>
  <c r="C72" i="37" s="1"/>
  <c r="H72" i="37" a="1"/>
  <c r="H72" i="37" s="1"/>
  <c r="F76" i="28" a="1"/>
  <c r="F76" i="28" s="1"/>
  <c r="H73" i="37" a="1"/>
  <c r="H73" i="37" s="1"/>
  <c r="F73" i="37" a="1"/>
  <c r="F73" i="37" s="1"/>
  <c r="E73" i="37" a="1"/>
  <c r="E73" i="37" s="1"/>
  <c r="G73" i="37" a="1"/>
  <c r="G73" i="37" s="1"/>
  <c r="C73" i="37" a="1"/>
  <c r="C73" i="37" s="1"/>
  <c r="F70" i="32" a="1"/>
  <c r="F70" i="32" s="1"/>
  <c r="G70" i="32" a="1"/>
  <c r="G70" i="32" s="1"/>
  <c r="H70" i="32" a="1"/>
  <c r="H70" i="32" s="1"/>
  <c r="E70" i="32" a="1"/>
  <c r="E70" i="32" s="1"/>
  <c r="C70" i="32" a="1"/>
  <c r="C70" i="32" s="1"/>
  <c r="C76" i="29" a="1"/>
  <c r="C76" i="29" s="1"/>
  <c r="C69" i="32" a="1"/>
  <c r="C69" i="32" s="1"/>
  <c r="H69" i="32" a="1"/>
  <c r="H69" i="32" s="1"/>
  <c r="E69" i="32" a="1"/>
  <c r="E69" i="32" s="1"/>
  <c r="G69" i="32" a="1"/>
  <c r="G69" i="32" s="1"/>
  <c r="F69" i="32" a="1"/>
  <c r="F69" i="32" s="1"/>
  <c r="G74" i="32" a="1"/>
  <c r="G74" i="32" s="1"/>
  <c r="E74" i="32" a="1"/>
  <c r="E74" i="32" s="1"/>
  <c r="C74" i="32" a="1"/>
  <c r="C74" i="32" s="1"/>
  <c r="F74" i="32" a="1"/>
  <c r="F74" i="32" s="1"/>
  <c r="C76" i="19" a="1"/>
  <c r="C76" i="19" s="1"/>
  <c r="F73" i="32" a="1"/>
  <c r="F73" i="32" s="1"/>
  <c r="C73" i="32" a="1"/>
  <c r="C73" i="32" s="1"/>
  <c r="E73" i="32" a="1"/>
  <c r="E73" i="32" s="1"/>
  <c r="G73" i="32" a="1"/>
  <c r="G73" i="32" s="1"/>
  <c r="H73" i="32" a="1"/>
  <c r="H73" i="32" s="1"/>
  <c r="F72" i="32" a="1"/>
  <c r="F72" i="32" s="1"/>
  <c r="H72" i="32" a="1"/>
  <c r="H72" i="32" s="1"/>
  <c r="G72" i="32" a="1"/>
  <c r="G72" i="32" s="1"/>
  <c r="E72" i="32" a="1"/>
  <c r="E72" i="32" s="1"/>
  <c r="C72" i="32" a="1"/>
  <c r="C72" i="32" s="1"/>
  <c r="F76" i="25" a="1"/>
  <c r="F76" i="25" s="1"/>
  <c r="F68" i="18" a="1"/>
  <c r="F68" i="18" s="1"/>
  <c r="C76" i="23" a="1"/>
  <c r="C76" i="23" s="1"/>
  <c r="C76" i="24" a="1"/>
  <c r="C76" i="24" s="1"/>
  <c r="F76" i="20" a="1"/>
  <c r="F76" i="20" s="1"/>
  <c r="C76" i="22" a="1"/>
  <c r="C76" i="22" s="1"/>
  <c r="C76" i="34" a="1"/>
  <c r="C76" i="34" s="1"/>
  <c r="F68" i="17" a="1"/>
  <c r="F68" i="17" s="1"/>
  <c r="C76" i="25" a="1"/>
  <c r="C76" i="25" s="1"/>
  <c r="C76" i="33" a="1"/>
  <c r="C76" i="33" s="1"/>
  <c r="C76" i="28" a="1"/>
  <c r="C76" i="28" s="1"/>
  <c r="C76" i="21" a="1"/>
  <c r="C76" i="21" s="1"/>
  <c r="C68" i="17" a="1"/>
  <c r="C68" i="17" s="1"/>
  <c r="F76" i="23" a="1"/>
  <c r="F76" i="23" s="1"/>
  <c r="F76" i="29" a="1"/>
  <c r="F76" i="29" s="1"/>
  <c r="C68" i="18" a="1"/>
  <c r="C68" i="18" s="1"/>
  <c r="F76" i="19" a="1"/>
  <c r="F76" i="19" s="1"/>
  <c r="C76" i="20" a="1"/>
  <c r="C76" i="20" s="1"/>
  <c r="C76" i="26" a="1"/>
  <c r="C76" i="26" s="1"/>
  <c r="F76" i="24" a="1"/>
  <c r="F76" i="24" s="1"/>
  <c r="C76" i="27" a="1"/>
  <c r="C76" i="27" s="1"/>
  <c r="F76" i="34" a="1"/>
  <c r="F76" i="34" s="1"/>
  <c r="J72" i="37" a="1"/>
  <c r="J72" i="37" s="1"/>
  <c r="J68" i="37" a="1"/>
  <c r="J68" i="37" s="1"/>
  <c r="J72" i="38" a="1"/>
  <c r="J72" i="38" s="1"/>
  <c r="J75" i="37" a="1"/>
  <c r="J75" i="37" s="1"/>
  <c r="J75" i="38" a="1"/>
  <c r="J75" i="38" s="1"/>
  <c r="J71" i="37" a="1"/>
  <c r="J71" i="37" s="1"/>
  <c r="J74" i="37" a="1"/>
  <c r="J74" i="37" s="1"/>
  <c r="J70" i="32" a="1"/>
  <c r="J70" i="32" s="1"/>
  <c r="J70" i="37" a="1"/>
  <c r="J70" i="37" s="1"/>
  <c r="J73" i="32" a="1"/>
  <c r="J73" i="32" s="1"/>
  <c r="J69" i="32" a="1"/>
  <c r="J69" i="32" s="1"/>
  <c r="J73" i="37" a="1"/>
  <c r="J73" i="37" s="1"/>
  <c r="J74" i="32" a="1"/>
  <c r="J74" i="32" s="1"/>
  <c r="J73" i="38" a="1"/>
  <c r="J73" i="38" s="1"/>
  <c r="J69" i="37" a="1"/>
  <c r="J69" i="37" s="1"/>
  <c r="J72" i="32" a="1"/>
  <c r="J72" i="32" s="1"/>
  <c r="J69" i="38" a="1"/>
  <c r="J69" i="38" s="1"/>
  <c r="B75" i="34"/>
  <c r="D75" i="34" s="1" a="1"/>
  <c r="D75" i="34" s="1"/>
  <c r="B71" i="34"/>
  <c r="D71" i="34" s="1" a="1"/>
  <c r="D71" i="34" s="1"/>
  <c r="B74" i="34"/>
  <c r="D74" i="34" s="1" a="1"/>
  <c r="D74" i="34" s="1"/>
  <c r="B72" i="34"/>
  <c r="D72" i="34" s="1" a="1"/>
  <c r="D72" i="34" s="1"/>
  <c r="B70" i="34"/>
  <c r="D70" i="34" s="1" a="1"/>
  <c r="D70" i="34" s="1"/>
  <c r="B73" i="34"/>
  <c r="D73" i="34" s="1" a="1"/>
  <c r="D73" i="34" s="1"/>
  <c r="B68" i="34"/>
  <c r="D68" i="34" s="1" a="1"/>
  <c r="D68" i="34" s="1"/>
  <c r="B69" i="34"/>
  <c r="D69" i="34" s="1" a="1"/>
  <c r="D69" i="34" s="1"/>
  <c r="B57" i="33"/>
  <c r="B49" i="33"/>
  <c r="B41" i="33"/>
  <c r="B33" i="33"/>
  <c r="B29" i="33"/>
  <c r="B21" i="33"/>
  <c r="B34" i="33"/>
  <c r="B38" i="33"/>
  <c r="J38" i="33" s="1" a="1"/>
  <c r="J38" i="33" s="1"/>
  <c r="B58" i="33"/>
  <c r="B22" i="33"/>
  <c r="B46" i="33"/>
  <c r="B26" i="33"/>
  <c r="B54" i="33"/>
  <c r="B42" i="33"/>
  <c r="B30" i="33"/>
  <c r="B35" i="33"/>
  <c r="B24" i="33"/>
  <c r="B50" i="33"/>
  <c r="B18" i="33"/>
  <c r="B62" i="33"/>
  <c r="B23" i="33"/>
  <c r="B32" i="33"/>
  <c r="B45" i="33"/>
  <c r="B64" i="33"/>
  <c r="B37" i="33"/>
  <c r="J37" i="33" s="1" a="1"/>
  <c r="J37" i="33" s="1"/>
  <c r="B47" i="33"/>
  <c r="B25" i="33"/>
  <c r="B36" i="33"/>
  <c r="B31" i="33"/>
  <c r="J31" i="33" s="1" a="1"/>
  <c r="J31" i="33" s="1"/>
  <c r="B53" i="33"/>
  <c r="B56" i="33"/>
  <c r="B44" i="33"/>
  <c r="B27" i="33"/>
  <c r="B59" i="33"/>
  <c r="B39" i="33"/>
  <c r="B48" i="33"/>
  <c r="B17" i="33"/>
  <c r="B40" i="33"/>
  <c r="B61" i="33"/>
  <c r="B20" i="33"/>
  <c r="B63" i="33"/>
  <c r="B51" i="33"/>
  <c r="B19" i="33"/>
  <c r="B43" i="33"/>
  <c r="B52" i="33"/>
  <c r="B60" i="33"/>
  <c r="B55" i="33"/>
  <c r="B28" i="33"/>
  <c r="F80" i="34"/>
  <c r="C80" i="34"/>
  <c r="B72" i="33"/>
  <c r="D72" i="33" s="1" a="1"/>
  <c r="D72" i="33" s="1"/>
  <c r="B68" i="33"/>
  <c r="D68" i="33" s="1" a="1"/>
  <c r="D68" i="33" s="1"/>
  <c r="B73" i="33"/>
  <c r="D73" i="33" s="1" a="1"/>
  <c r="D73" i="33" s="1"/>
  <c r="B75" i="33"/>
  <c r="D75" i="33" s="1" a="1"/>
  <c r="D75" i="33" s="1"/>
  <c r="B70" i="33"/>
  <c r="D70" i="33" s="1" a="1"/>
  <c r="D70" i="33" s="1"/>
  <c r="B74" i="33"/>
  <c r="D74" i="33" s="1" a="1"/>
  <c r="D74" i="33" s="1"/>
  <c r="B69" i="33"/>
  <c r="D69" i="33" s="1" a="1"/>
  <c r="D69" i="33" s="1"/>
  <c r="B71" i="33"/>
  <c r="D71" i="33" s="1" a="1"/>
  <c r="D71" i="33" s="1"/>
  <c r="C79" i="33"/>
  <c r="F79" i="33"/>
  <c r="F79" i="34"/>
  <c r="C79" i="34"/>
  <c r="F80" i="33"/>
  <c r="C80" i="33"/>
  <c r="B63" i="34"/>
  <c r="B61" i="34"/>
  <c r="B53" i="34"/>
  <c r="B45" i="34"/>
  <c r="B32" i="34"/>
  <c r="B24" i="34"/>
  <c r="B55" i="34"/>
  <c r="B47" i="34"/>
  <c r="B39" i="34"/>
  <c r="B64" i="34"/>
  <c r="B56" i="34"/>
  <c r="B48" i="34"/>
  <c r="B40" i="34"/>
  <c r="B35" i="34"/>
  <c r="B27" i="34"/>
  <c r="B60" i="34"/>
  <c r="B52" i="34"/>
  <c r="B44" i="34"/>
  <c r="B19" i="34"/>
  <c r="B17" i="34"/>
  <c r="B30" i="34"/>
  <c r="B29" i="34"/>
  <c r="B51" i="34"/>
  <c r="B28" i="34"/>
  <c r="B49" i="34"/>
  <c r="B18" i="34"/>
  <c r="B59" i="34"/>
  <c r="B34" i="34"/>
  <c r="B38" i="34"/>
  <c r="J38" i="34" s="1" a="1"/>
  <c r="J38" i="34" s="1"/>
  <c r="E38" i="34" s="1" a="1"/>
  <c r="E38" i="34" s="1"/>
  <c r="B36" i="34"/>
  <c r="B41" i="34"/>
  <c r="B42" i="34"/>
  <c r="B25" i="34"/>
  <c r="B54" i="34"/>
  <c r="B43" i="34"/>
  <c r="B26" i="34"/>
  <c r="B21" i="34"/>
  <c r="B22" i="34"/>
  <c r="B58" i="34"/>
  <c r="B33" i="34"/>
  <c r="B57" i="34"/>
  <c r="B46" i="34"/>
  <c r="B23" i="34"/>
  <c r="B31" i="34"/>
  <c r="B50" i="34"/>
  <c r="B37" i="34"/>
  <c r="B20" i="34"/>
  <c r="B62" i="34"/>
  <c r="B75" i="26"/>
  <c r="D75" i="26" s="1" a="1"/>
  <c r="D75" i="26" s="1"/>
  <c r="B72" i="26"/>
  <c r="D72" i="26" s="1" a="1"/>
  <c r="D72" i="26" s="1"/>
  <c r="B68" i="26"/>
  <c r="D68" i="26" s="1" a="1"/>
  <c r="D68" i="26" s="1"/>
  <c r="B71" i="26"/>
  <c r="D71" i="26" s="1" a="1"/>
  <c r="D71" i="26" s="1"/>
  <c r="B73" i="26"/>
  <c r="D73" i="26" s="1" a="1"/>
  <c r="D73" i="26" s="1"/>
  <c r="B70" i="26"/>
  <c r="D70" i="26" s="1" a="1"/>
  <c r="D70" i="26" s="1"/>
  <c r="B69" i="26"/>
  <c r="D69" i="26" s="1" a="1"/>
  <c r="D69" i="26" s="1"/>
  <c r="B74" i="26"/>
  <c r="D74" i="26" s="1" a="1"/>
  <c r="D74" i="26" s="1"/>
  <c r="B62" i="25"/>
  <c r="B54" i="25"/>
  <c r="B43" i="25"/>
  <c r="B24" i="25"/>
  <c r="B60" i="25"/>
  <c r="B52" i="25"/>
  <c r="B58" i="25"/>
  <c r="B50" i="25"/>
  <c r="B39" i="25"/>
  <c r="B28" i="25"/>
  <c r="B20" i="25"/>
  <c r="B44" i="25"/>
  <c r="J44" i="25" s="1"/>
  <c r="B63" i="25"/>
  <c r="B55" i="25"/>
  <c r="B47" i="25"/>
  <c r="B46" i="25"/>
  <c r="B33" i="25"/>
  <c r="B25" i="25"/>
  <c r="B17" i="25"/>
  <c r="B45" i="25"/>
  <c r="B32" i="25"/>
  <c r="B18" i="25"/>
  <c r="B19" i="25"/>
  <c r="B37" i="25"/>
  <c r="B29" i="25"/>
  <c r="B22" i="25"/>
  <c r="B23" i="25"/>
  <c r="B41" i="25"/>
  <c r="B40" i="25"/>
  <c r="B36" i="25"/>
  <c r="B26" i="25"/>
  <c r="B48" i="25"/>
  <c r="B61" i="25"/>
  <c r="B51" i="25"/>
  <c r="B30" i="25"/>
  <c r="B27" i="25"/>
  <c r="B49" i="25"/>
  <c r="B59" i="25"/>
  <c r="B35" i="25"/>
  <c r="B31" i="25"/>
  <c r="B53" i="25"/>
  <c r="B57" i="25"/>
  <c r="B38" i="25"/>
  <c r="B34" i="25"/>
  <c r="J34" i="25" s="1"/>
  <c r="B56" i="25"/>
  <c r="B42" i="25"/>
  <c r="B64" i="25"/>
  <c r="B21" i="25"/>
  <c r="C79" i="26"/>
  <c r="F79" i="26"/>
  <c r="B70" i="29"/>
  <c r="B71" i="29"/>
  <c r="D71" i="29" s="1" a="1"/>
  <c r="D71" i="29" s="1"/>
  <c r="B73" i="29"/>
  <c r="J73" i="29" s="1" a="1"/>
  <c r="J73" i="29" s="1"/>
  <c r="B69" i="29"/>
  <c r="D69" i="29" s="1" a="1"/>
  <c r="D69" i="29" s="1"/>
  <c r="B75" i="29"/>
  <c r="J75" i="29" s="1" a="1"/>
  <c r="J75" i="29" s="1"/>
  <c r="B74" i="29"/>
  <c r="J74" i="29" s="1" a="1"/>
  <c r="J74" i="29" s="1"/>
  <c r="B72" i="29"/>
  <c r="J72" i="29" s="1" a="1"/>
  <c r="J72" i="29" s="1"/>
  <c r="B68" i="29"/>
  <c r="D68" i="29" s="1" a="1"/>
  <c r="D68" i="29" s="1"/>
  <c r="F79" i="29"/>
  <c r="C79" i="29"/>
  <c r="B71" i="28"/>
  <c r="D71" i="28" s="1" a="1"/>
  <c r="D71" i="28" s="1"/>
  <c r="B75" i="28"/>
  <c r="D75" i="28" s="1" a="1"/>
  <c r="D75" i="28" s="1"/>
  <c r="B68" i="28"/>
  <c r="D68" i="28" s="1" a="1"/>
  <c r="D68" i="28" s="1"/>
  <c r="B72" i="28"/>
  <c r="D72" i="28" s="1" a="1"/>
  <c r="D72" i="28" s="1"/>
  <c r="B69" i="28"/>
  <c r="D69" i="28" s="1" a="1"/>
  <c r="D69" i="28" s="1"/>
  <c r="B74" i="28"/>
  <c r="D74" i="28" s="1" a="1"/>
  <c r="D74" i="28" s="1"/>
  <c r="B73" i="28"/>
  <c r="D73" i="28" s="1" a="1"/>
  <c r="D73" i="28" s="1"/>
  <c r="B70" i="28"/>
  <c r="D70" i="28" s="1" a="1"/>
  <c r="D70" i="28" s="1"/>
  <c r="B74" i="25"/>
  <c r="D74" i="25" s="1" a="1"/>
  <c r="D74" i="25" s="1"/>
  <c r="B75" i="25"/>
  <c r="D75" i="25" s="1" a="1"/>
  <c r="D75" i="25" s="1"/>
  <c r="B71" i="25"/>
  <c r="D71" i="25" s="1" a="1"/>
  <c r="D71" i="25" s="1"/>
  <c r="B68" i="25"/>
  <c r="D68" i="25" s="1" a="1"/>
  <c r="D68" i="25" s="1"/>
  <c r="B72" i="25"/>
  <c r="D72" i="25" s="1" a="1"/>
  <c r="D72" i="25" s="1"/>
  <c r="B69" i="25"/>
  <c r="D69" i="25" s="1" a="1"/>
  <c r="D69" i="25" s="1"/>
  <c r="B70" i="25"/>
  <c r="D70" i="25" s="1" a="1"/>
  <c r="D70" i="25" s="1"/>
  <c r="B73" i="25"/>
  <c r="D73" i="25" s="1" a="1"/>
  <c r="D73" i="25" s="1"/>
  <c r="C79" i="28"/>
  <c r="F79" i="28"/>
  <c r="B60" i="29"/>
  <c r="B54" i="29"/>
  <c r="B48" i="29"/>
  <c r="B38" i="29"/>
  <c r="B28" i="29"/>
  <c r="B58" i="29"/>
  <c r="B46" i="29"/>
  <c r="B64" i="29"/>
  <c r="B36" i="29"/>
  <c r="B30" i="29"/>
  <c r="B20" i="29"/>
  <c r="B52" i="29"/>
  <c r="B42" i="29"/>
  <c r="B26" i="29"/>
  <c r="B62" i="29"/>
  <c r="B56" i="29"/>
  <c r="B32" i="29"/>
  <c r="B50" i="29"/>
  <c r="B40" i="29"/>
  <c r="B34" i="29"/>
  <c r="B24" i="29"/>
  <c r="B44" i="29"/>
  <c r="B22" i="29"/>
  <c r="B55" i="29"/>
  <c r="B45" i="29"/>
  <c r="B63" i="29"/>
  <c r="B19" i="29"/>
  <c r="B59" i="29"/>
  <c r="B53" i="29"/>
  <c r="B29" i="29"/>
  <c r="B23" i="29"/>
  <c r="B33" i="29"/>
  <c r="B21" i="29"/>
  <c r="B39" i="29"/>
  <c r="B17" i="29"/>
  <c r="B41" i="29"/>
  <c r="B61" i="29"/>
  <c r="B25" i="29"/>
  <c r="B57" i="29"/>
  <c r="B35" i="29"/>
  <c r="B18" i="29"/>
  <c r="B31" i="29"/>
  <c r="B37" i="29"/>
  <c r="B49" i="29"/>
  <c r="B27" i="29"/>
  <c r="B51" i="29"/>
  <c r="B47" i="29"/>
  <c r="B43" i="29"/>
  <c r="B54" i="27"/>
  <c r="B43" i="27"/>
  <c r="B32" i="27"/>
  <c r="B60" i="27"/>
  <c r="B52" i="27"/>
  <c r="B41" i="27"/>
  <c r="B30" i="27"/>
  <c r="B22" i="27"/>
  <c r="B58" i="27"/>
  <c r="B50" i="27"/>
  <c r="B39" i="27"/>
  <c r="B20" i="27"/>
  <c r="B56" i="27"/>
  <c r="B48" i="27"/>
  <c r="B36" i="27"/>
  <c r="B24" i="27"/>
  <c r="B35" i="27"/>
  <c r="B18" i="27"/>
  <c r="B34" i="27"/>
  <c r="B26" i="27"/>
  <c r="B37" i="27"/>
  <c r="B33" i="27"/>
  <c r="B45" i="27"/>
  <c r="B63" i="27"/>
  <c r="B59" i="27"/>
  <c r="B49" i="27"/>
  <c r="B53" i="27"/>
  <c r="B64" i="27"/>
  <c r="B38" i="27"/>
  <c r="B31" i="27"/>
  <c r="B17" i="27"/>
  <c r="B42" i="27"/>
  <c r="B47" i="27"/>
  <c r="B44" i="27"/>
  <c r="B57" i="27"/>
  <c r="B61" i="27"/>
  <c r="B21" i="27"/>
  <c r="B19" i="27"/>
  <c r="B23" i="27"/>
  <c r="B27" i="27"/>
  <c r="B28" i="27"/>
  <c r="B40" i="27"/>
  <c r="B46" i="27"/>
  <c r="B51" i="27"/>
  <c r="B25" i="27"/>
  <c r="B29" i="27"/>
  <c r="B62" i="27"/>
  <c r="B55" i="27"/>
  <c r="B58" i="26"/>
  <c r="B39" i="26"/>
  <c r="B28" i="26"/>
  <c r="B57" i="26"/>
  <c r="B49" i="26"/>
  <c r="B38" i="26"/>
  <c r="B27" i="26"/>
  <c r="B37" i="26"/>
  <c r="B36" i="26"/>
  <c r="B35" i="26"/>
  <c r="B34" i="26"/>
  <c r="J34" i="26" s="1"/>
  <c r="B55" i="26"/>
  <c r="B47" i="26"/>
  <c r="B46" i="26"/>
  <c r="B45" i="26"/>
  <c r="B44" i="26"/>
  <c r="J44" i="26" s="1"/>
  <c r="B25" i="26"/>
  <c r="B32" i="26"/>
  <c r="B24" i="26"/>
  <c r="B30" i="26"/>
  <c r="B22" i="26"/>
  <c r="B41" i="26"/>
  <c r="B60" i="26"/>
  <c r="B52" i="26"/>
  <c r="B40" i="26"/>
  <c r="B53" i="26"/>
  <c r="B26" i="26"/>
  <c r="B48" i="26"/>
  <c r="B61" i="26"/>
  <c r="B42" i="26"/>
  <c r="B17" i="26"/>
  <c r="B63" i="26"/>
  <c r="B31" i="26"/>
  <c r="B21" i="26"/>
  <c r="B62" i="26"/>
  <c r="B56" i="26"/>
  <c r="B50" i="26"/>
  <c r="B59" i="26"/>
  <c r="B43" i="26"/>
  <c r="B54" i="26"/>
  <c r="B23" i="26"/>
  <c r="B29" i="26"/>
  <c r="B51" i="26"/>
  <c r="B64" i="26"/>
  <c r="B19" i="26"/>
  <c r="B20" i="26"/>
  <c r="B33" i="26"/>
  <c r="B18" i="26"/>
  <c r="F79" i="25"/>
  <c r="C79" i="25"/>
  <c r="B74" i="27"/>
  <c r="D74" i="27" s="1" a="1"/>
  <c r="D74" i="27" s="1"/>
  <c r="B70" i="27"/>
  <c r="D70" i="27" s="1" a="1"/>
  <c r="D70" i="27" s="1"/>
  <c r="B71" i="27"/>
  <c r="D71" i="27" s="1" a="1"/>
  <c r="D71" i="27" s="1"/>
  <c r="B73" i="27"/>
  <c r="D73" i="27" s="1" a="1"/>
  <c r="D73" i="27" s="1"/>
  <c r="B75" i="27"/>
  <c r="D75" i="27" s="1" a="1"/>
  <c r="D75" i="27" s="1"/>
  <c r="B72" i="27"/>
  <c r="D72" i="27" s="1" a="1"/>
  <c r="D72" i="27" s="1"/>
  <c r="B68" i="27"/>
  <c r="D68" i="27" s="1" a="1"/>
  <c r="D68" i="27" s="1"/>
  <c r="B69" i="27"/>
  <c r="D69" i="27" s="1" a="1"/>
  <c r="D69" i="27" s="1"/>
  <c r="C80" i="28"/>
  <c r="F80" i="28"/>
  <c r="F79" i="27"/>
  <c r="C79" i="27"/>
  <c r="B62" i="28"/>
  <c r="B61" i="28"/>
  <c r="B59" i="28"/>
  <c r="B51" i="28"/>
  <c r="B46" i="28"/>
  <c r="B39" i="28"/>
  <c r="B28" i="28"/>
  <c r="B20" i="28"/>
  <c r="B57" i="28"/>
  <c r="B49" i="28"/>
  <c r="B45" i="28"/>
  <c r="B40" i="28"/>
  <c r="B63" i="28"/>
  <c r="B47" i="28"/>
  <c r="B33" i="28"/>
  <c r="B25" i="28"/>
  <c r="B17" i="28"/>
  <c r="B55" i="28"/>
  <c r="B29" i="28"/>
  <c r="B21" i="28"/>
  <c r="B44" i="28"/>
  <c r="B24" i="28"/>
  <c r="B42" i="28"/>
  <c r="B37" i="28"/>
  <c r="B18" i="28"/>
  <c r="B56" i="28"/>
  <c r="B32" i="28"/>
  <c r="B19" i="28"/>
  <c r="B43" i="28"/>
  <c r="B26" i="28"/>
  <c r="B64" i="28"/>
  <c r="B22" i="28"/>
  <c r="B23" i="28"/>
  <c r="B35" i="28"/>
  <c r="B27" i="28"/>
  <c r="B58" i="28"/>
  <c r="B34" i="28"/>
  <c r="B50" i="28"/>
  <c r="B41" i="28"/>
  <c r="B54" i="28"/>
  <c r="B53" i="28"/>
  <c r="B38" i="28"/>
  <c r="B30" i="28"/>
  <c r="B52" i="28"/>
  <c r="B31" i="28"/>
  <c r="B60" i="28"/>
  <c r="B36" i="28"/>
  <c r="B48" i="28"/>
  <c r="F80" i="26"/>
  <c r="C80" i="26"/>
  <c r="C80" i="25"/>
  <c r="F80" i="25"/>
  <c r="F80" i="29"/>
  <c r="C80" i="29"/>
  <c r="F80" i="27"/>
  <c r="C80" i="27"/>
  <c r="B66" i="17"/>
  <c r="B67" i="17"/>
  <c r="B64" i="17"/>
  <c r="J64" i="17" s="1" a="1"/>
  <c r="J64" i="17" s="1"/>
  <c r="E64" i="17" s="1" a="1"/>
  <c r="E64" i="17" s="1"/>
  <c r="B65" i="17"/>
  <c r="J65" i="17" s="1" a="1"/>
  <c r="J65" i="17" s="1"/>
  <c r="E65" i="17" s="1" a="1"/>
  <c r="E65" i="17" s="1"/>
  <c r="B60" i="17"/>
  <c r="B56" i="17"/>
  <c r="B54" i="17"/>
  <c r="B52" i="17"/>
  <c r="B63" i="17"/>
  <c r="B59" i="17"/>
  <c r="B58" i="17"/>
  <c r="B55" i="17"/>
  <c r="B57" i="17"/>
  <c r="B61" i="17"/>
  <c r="J61" i="17" s="1" a="1"/>
  <c r="J61" i="17" s="1"/>
  <c r="E61" i="17" s="1" a="1"/>
  <c r="E61" i="17" s="1"/>
  <c r="B53" i="17"/>
  <c r="B62" i="17"/>
  <c r="J62" i="17" s="1" a="1"/>
  <c r="J62" i="17" s="1"/>
  <c r="E62" i="17" s="1" a="1"/>
  <c r="E62" i="17" s="1"/>
  <c r="B65" i="18"/>
  <c r="B63" i="18"/>
  <c r="B55" i="18"/>
  <c r="B52" i="18"/>
  <c r="B59" i="18"/>
  <c r="B53" i="18"/>
  <c r="B67" i="18"/>
  <c r="B62" i="18"/>
  <c r="B61" i="18"/>
  <c r="B54" i="18"/>
  <c r="B56" i="18"/>
  <c r="B57" i="18"/>
  <c r="B64" i="18"/>
  <c r="B60" i="18"/>
  <c r="B66" i="18"/>
  <c r="B58" i="18"/>
  <c r="C71" i="17"/>
  <c r="F71" i="17"/>
  <c r="B60" i="21"/>
  <c r="B51" i="21"/>
  <c r="B43" i="21"/>
  <c r="B64" i="21"/>
  <c r="B46" i="21"/>
  <c r="B35" i="21"/>
  <c r="B34" i="21"/>
  <c r="B26" i="21"/>
  <c r="B18" i="21"/>
  <c r="B61" i="21"/>
  <c r="B44" i="21"/>
  <c r="B56" i="21"/>
  <c r="B52" i="21"/>
  <c r="B30" i="21"/>
  <c r="B22" i="21"/>
  <c r="B62" i="21"/>
  <c r="B58" i="21"/>
  <c r="B48" i="21"/>
  <c r="B40" i="21"/>
  <c r="B28" i="21"/>
  <c r="B20" i="21"/>
  <c r="B29" i="21"/>
  <c r="B45" i="21"/>
  <c r="B38" i="21"/>
  <c r="B33" i="21"/>
  <c r="B55" i="21"/>
  <c r="B49" i="21"/>
  <c r="B21" i="21"/>
  <c r="B50" i="21"/>
  <c r="B37" i="21"/>
  <c r="B36" i="21"/>
  <c r="B23" i="21"/>
  <c r="B63" i="21"/>
  <c r="B19" i="21"/>
  <c r="B39" i="21"/>
  <c r="B32" i="21"/>
  <c r="B47" i="21"/>
  <c r="B54" i="21"/>
  <c r="B59" i="21"/>
  <c r="B57" i="21"/>
  <c r="B17" i="21"/>
  <c r="B53" i="21"/>
  <c r="B31" i="21"/>
  <c r="B24" i="21"/>
  <c r="B41" i="21"/>
  <c r="B25" i="21"/>
  <c r="B42" i="21"/>
  <c r="B27" i="21"/>
  <c r="A75" i="21"/>
  <c r="B75" i="21" s="1"/>
  <c r="D75" i="21" s="1" a="1"/>
  <c r="D75" i="21" s="1"/>
  <c r="A71" i="21"/>
  <c r="B71" i="21" s="1"/>
  <c r="D71" i="21" s="1" a="1"/>
  <c r="D71" i="21" s="1"/>
  <c r="A74" i="21"/>
  <c r="B74" i="21" s="1"/>
  <c r="D74" i="21" s="1" a="1"/>
  <c r="D74" i="21" s="1"/>
  <c r="A70" i="21"/>
  <c r="B70" i="21" s="1"/>
  <c r="D70" i="21" s="1" a="1"/>
  <c r="D70" i="21" s="1"/>
  <c r="A72" i="21"/>
  <c r="B72" i="21" s="1"/>
  <c r="D72" i="21" s="1" a="1"/>
  <c r="D72" i="21" s="1"/>
  <c r="A68" i="21"/>
  <c r="B68" i="21" s="1"/>
  <c r="D68" i="21" s="1" a="1"/>
  <c r="D68" i="21" s="1"/>
  <c r="A73" i="21"/>
  <c r="B73" i="21" s="1"/>
  <c r="D73" i="21" s="1" a="1"/>
  <c r="D73" i="21" s="1"/>
  <c r="A69" i="21"/>
  <c r="B69" i="21" s="1"/>
  <c r="D69" i="21" s="1" a="1"/>
  <c r="D69" i="21" s="1"/>
  <c r="B35" i="17"/>
  <c r="F35" i="17" s="1" a="1"/>
  <c r="F35" i="17" s="1"/>
  <c r="B31" i="17"/>
  <c r="F31" i="17" s="1" a="1"/>
  <c r="F31" i="17" s="1"/>
  <c r="B33" i="17"/>
  <c r="F33" i="17" s="1" a="1"/>
  <c r="F33" i="17" s="1"/>
  <c r="B39" i="17"/>
  <c r="F39" i="17" s="1" a="1"/>
  <c r="F39" i="17" s="1"/>
  <c r="B43" i="17"/>
  <c r="F43" i="17" s="1" a="1"/>
  <c r="F43" i="17" s="1"/>
  <c r="B27" i="17"/>
  <c r="F27" i="17" s="1" a="1"/>
  <c r="F27" i="17" s="1"/>
  <c r="B34" i="17"/>
  <c r="F34" i="17" s="1" a="1"/>
  <c r="F34" i="17" s="1"/>
  <c r="B23" i="17"/>
  <c r="F23" i="17" s="1" a="1"/>
  <c r="F23" i="17" s="1"/>
  <c r="B45" i="17"/>
  <c r="F45" i="17" s="1" a="1"/>
  <c r="F45" i="17" s="1"/>
  <c r="B28" i="17"/>
  <c r="F28" i="17" s="1" a="1"/>
  <c r="F28" i="17" s="1"/>
  <c r="B26" i="17"/>
  <c r="F26" i="17" s="1" a="1"/>
  <c r="F26" i="17" s="1"/>
  <c r="B17" i="17"/>
  <c r="B36" i="17"/>
  <c r="F36" i="17" s="1" a="1"/>
  <c r="F36" i="17" s="1"/>
  <c r="B42" i="17"/>
  <c r="F42" i="17" s="1" a="1"/>
  <c r="F42" i="17" s="1"/>
  <c r="B46" i="17"/>
  <c r="F46" i="17" s="1" a="1"/>
  <c r="F46" i="17" s="1"/>
  <c r="B18" i="17"/>
  <c r="F18" i="17" s="1" a="1"/>
  <c r="F18" i="17" s="1"/>
  <c r="B25" i="17"/>
  <c r="F25" i="17" s="1" a="1"/>
  <c r="F25" i="17" s="1"/>
  <c r="B48" i="17"/>
  <c r="F48" i="17" s="1" a="1"/>
  <c r="F48" i="17" s="1"/>
  <c r="B19" i="17"/>
  <c r="F19" i="17" s="1" a="1"/>
  <c r="F19" i="17" s="1"/>
  <c r="B32" i="17"/>
  <c r="F32" i="17" s="1" a="1"/>
  <c r="F32" i="17" s="1"/>
  <c r="B20" i="17"/>
  <c r="F20" i="17" s="1" a="1"/>
  <c r="F20" i="17" s="1"/>
  <c r="B41" i="17"/>
  <c r="F41" i="17" s="1" a="1"/>
  <c r="F41" i="17" s="1"/>
  <c r="B22" i="17"/>
  <c r="F22" i="17" s="1" a="1"/>
  <c r="F22" i="17" s="1"/>
  <c r="B24" i="17"/>
  <c r="F24" i="17" s="1" a="1"/>
  <c r="F24" i="17" s="1"/>
  <c r="B38" i="17"/>
  <c r="F38" i="17" s="1" a="1"/>
  <c r="F38" i="17" s="1"/>
  <c r="B21" i="17"/>
  <c r="F21" i="17" s="1" a="1"/>
  <c r="F21" i="17" s="1"/>
  <c r="B30" i="17"/>
  <c r="F30" i="17" s="1" a="1"/>
  <c r="F30" i="17" s="1"/>
  <c r="B40" i="17"/>
  <c r="F40" i="17" s="1" a="1"/>
  <c r="F40" i="17" s="1"/>
  <c r="B29" i="17"/>
  <c r="F29" i="17" s="1" a="1"/>
  <c r="F29" i="17" s="1"/>
  <c r="B44" i="17"/>
  <c r="F44" i="17" s="1" a="1"/>
  <c r="F44" i="17" s="1"/>
  <c r="B37" i="17"/>
  <c r="F37" i="17" s="1" a="1"/>
  <c r="F37" i="17" s="1"/>
  <c r="B47" i="17"/>
  <c r="F47" i="17" s="1" a="1"/>
  <c r="F47" i="17" s="1"/>
  <c r="F79" i="19"/>
  <c r="C79" i="19"/>
  <c r="C79" i="21"/>
  <c r="F79" i="21"/>
  <c r="A74" i="20"/>
  <c r="B74" i="20" s="1"/>
  <c r="D74" i="20" s="1" a="1"/>
  <c r="D74" i="20" s="1"/>
  <c r="A70" i="20"/>
  <c r="B70" i="20" s="1"/>
  <c r="D70" i="20" s="1" a="1"/>
  <c r="D70" i="20" s="1"/>
  <c r="A73" i="20"/>
  <c r="B73" i="20" s="1"/>
  <c r="D73" i="20" s="1" a="1"/>
  <c r="D73" i="20" s="1"/>
  <c r="A69" i="20"/>
  <c r="B69" i="20" s="1"/>
  <c r="D69" i="20" s="1" a="1"/>
  <c r="D69" i="20" s="1"/>
  <c r="A75" i="20"/>
  <c r="B75" i="20" s="1"/>
  <c r="D75" i="20" s="1" a="1"/>
  <c r="D75" i="20" s="1"/>
  <c r="A71" i="20"/>
  <c r="B71" i="20" s="1"/>
  <c r="D71" i="20" s="1" a="1"/>
  <c r="D71" i="20" s="1"/>
  <c r="A72" i="20"/>
  <c r="B72" i="20" s="1"/>
  <c r="D72" i="20" s="1" a="1"/>
  <c r="D72" i="20" s="1"/>
  <c r="A68" i="20"/>
  <c r="B68" i="20" s="1"/>
  <c r="D68" i="20" s="1" a="1"/>
  <c r="D68" i="20" s="1"/>
  <c r="F80" i="24"/>
  <c r="C80" i="24"/>
  <c r="F80" i="23"/>
  <c r="C80" i="23"/>
  <c r="A71" i="22"/>
  <c r="B71" i="22" s="1"/>
  <c r="D71" i="22" s="1" a="1"/>
  <c r="D71" i="22" s="1"/>
  <c r="A69" i="22"/>
  <c r="B69" i="22" s="1"/>
  <c r="D69" i="22" s="1" a="1"/>
  <c r="D69" i="22" s="1"/>
  <c r="A74" i="22"/>
  <c r="B74" i="22" s="1"/>
  <c r="D74" i="22" s="1" a="1"/>
  <c r="D74" i="22" s="1"/>
  <c r="A73" i="22"/>
  <c r="B73" i="22" s="1"/>
  <c r="D73" i="22" s="1" a="1"/>
  <c r="D73" i="22" s="1"/>
  <c r="A70" i="22"/>
  <c r="B70" i="22" s="1"/>
  <c r="D70" i="22" s="1" a="1"/>
  <c r="D70" i="22" s="1"/>
  <c r="A68" i="22"/>
  <c r="B68" i="22" s="1"/>
  <c r="D68" i="22" s="1" a="1"/>
  <c r="D68" i="22" s="1"/>
  <c r="A72" i="22"/>
  <c r="B72" i="22" s="1"/>
  <c r="D72" i="22" s="1" a="1"/>
  <c r="D72" i="22" s="1"/>
  <c r="A75" i="22"/>
  <c r="B75" i="22" s="1"/>
  <c r="D75" i="22" s="1" a="1"/>
  <c r="D75" i="22" s="1"/>
  <c r="C80" i="21"/>
  <c r="F80" i="21"/>
  <c r="F79" i="20"/>
  <c r="C79" i="20"/>
  <c r="F79" i="22"/>
  <c r="C79" i="22"/>
  <c r="F79" i="23"/>
  <c r="C79" i="23"/>
  <c r="B51" i="23"/>
  <c r="B43" i="23"/>
  <c r="B35" i="23"/>
  <c r="B27" i="23"/>
  <c r="B19" i="23"/>
  <c r="B61" i="23"/>
  <c r="B57" i="23"/>
  <c r="B59" i="23"/>
  <c r="B55" i="23"/>
  <c r="B53" i="23"/>
  <c r="B49" i="23"/>
  <c r="B47" i="23"/>
  <c r="B45" i="23"/>
  <c r="B41" i="23"/>
  <c r="B39" i="23"/>
  <c r="B37" i="23"/>
  <c r="B33" i="23"/>
  <c r="B31" i="23"/>
  <c r="B29" i="23"/>
  <c r="B25" i="23"/>
  <c r="B23" i="23"/>
  <c r="B21" i="23"/>
  <c r="B17" i="23"/>
  <c r="B30" i="23"/>
  <c r="B46" i="23"/>
  <c r="B64" i="23"/>
  <c r="B63" i="23"/>
  <c r="B32" i="23"/>
  <c r="B48" i="23"/>
  <c r="B34" i="23"/>
  <c r="B56" i="23"/>
  <c r="B18" i="23"/>
  <c r="B50" i="23"/>
  <c r="B40" i="23"/>
  <c r="B26" i="23"/>
  <c r="B20" i="23"/>
  <c r="B36" i="23"/>
  <c r="B52" i="23"/>
  <c r="B22" i="23"/>
  <c r="B38" i="23"/>
  <c r="B54" i="23"/>
  <c r="B24" i="23"/>
  <c r="B58" i="23"/>
  <c r="B62" i="23"/>
  <c r="B60" i="23"/>
  <c r="B42" i="23"/>
  <c r="B44" i="23"/>
  <c r="B28" i="23"/>
  <c r="F79" i="24"/>
  <c r="C79" i="24"/>
  <c r="F80" i="22"/>
  <c r="C80" i="22"/>
  <c r="A72" i="24"/>
  <c r="B72" i="24" s="1"/>
  <c r="D72" i="24" s="1" a="1"/>
  <c r="D72" i="24" s="1"/>
  <c r="A68" i="24"/>
  <c r="B68" i="24" s="1"/>
  <c r="D68" i="24" s="1" a="1"/>
  <c r="D68" i="24" s="1"/>
  <c r="A75" i="24"/>
  <c r="B75" i="24" s="1"/>
  <c r="D75" i="24" s="1" a="1"/>
  <c r="D75" i="24" s="1"/>
  <c r="A71" i="24"/>
  <c r="B71" i="24" s="1"/>
  <c r="D71" i="24" s="1" a="1"/>
  <c r="D71" i="24" s="1"/>
  <c r="A74" i="24"/>
  <c r="B74" i="24" s="1"/>
  <c r="D74" i="24" s="1" a="1"/>
  <c r="D74" i="24" s="1"/>
  <c r="A70" i="24"/>
  <c r="B70" i="24" s="1"/>
  <c r="D70" i="24" s="1" a="1"/>
  <c r="D70" i="24" s="1"/>
  <c r="A73" i="24"/>
  <c r="B73" i="24" s="1"/>
  <c r="D73" i="24" s="1" a="1"/>
  <c r="D73" i="24" s="1"/>
  <c r="A69" i="24"/>
  <c r="B69" i="24" s="1"/>
  <c r="D69" i="24" s="1" a="1"/>
  <c r="D69" i="24" s="1"/>
  <c r="F72" i="18"/>
  <c r="C72" i="18"/>
  <c r="B62" i="19"/>
  <c r="B61" i="19"/>
  <c r="J61" i="19" s="1"/>
  <c r="B53" i="19"/>
  <c r="B23" i="19"/>
  <c r="B42" i="19"/>
  <c r="B34" i="19"/>
  <c r="J34" i="19" s="1"/>
  <c r="B48" i="19"/>
  <c r="B40" i="19"/>
  <c r="B29" i="19"/>
  <c r="B43" i="19"/>
  <c r="B36" i="19"/>
  <c r="B33" i="19"/>
  <c r="B24" i="19"/>
  <c r="B56" i="19"/>
  <c r="B45" i="19"/>
  <c r="B30" i="19"/>
  <c r="B35" i="19"/>
  <c r="B19" i="19"/>
  <c r="B58" i="19"/>
  <c r="B50" i="19"/>
  <c r="B27" i="19"/>
  <c r="B37" i="19"/>
  <c r="B21" i="19"/>
  <c r="B20" i="19"/>
  <c r="B46" i="19"/>
  <c r="B22" i="19"/>
  <c r="B52" i="19"/>
  <c r="B44" i="19"/>
  <c r="B55" i="19"/>
  <c r="B63" i="19"/>
  <c r="B26" i="19"/>
  <c r="B54" i="19"/>
  <c r="B47" i="19"/>
  <c r="B17" i="19"/>
  <c r="B31" i="19"/>
  <c r="B51" i="19"/>
  <c r="B28" i="19"/>
  <c r="B60" i="19"/>
  <c r="B41" i="19"/>
  <c r="B64" i="19"/>
  <c r="B59" i="19"/>
  <c r="B57" i="19"/>
  <c r="B39" i="19"/>
  <c r="B25" i="19"/>
  <c r="B49" i="19"/>
  <c r="B18" i="19"/>
  <c r="B32" i="19"/>
  <c r="B38" i="19"/>
  <c r="B32" i="18"/>
  <c r="F32" i="18" s="1" a="1"/>
  <c r="F32" i="18" s="1"/>
  <c r="B44" i="18"/>
  <c r="F44" i="18" s="1" a="1"/>
  <c r="F44" i="18" s="1"/>
  <c r="B36" i="18"/>
  <c r="F36" i="18" s="1" a="1"/>
  <c r="F36" i="18" s="1"/>
  <c r="B20" i="18"/>
  <c r="F20" i="18" s="1" a="1"/>
  <c r="F20" i="18" s="1"/>
  <c r="B22" i="18"/>
  <c r="F22" i="18" s="1" a="1"/>
  <c r="F22" i="18" s="1"/>
  <c r="B48" i="18"/>
  <c r="F48" i="18" s="1" a="1"/>
  <c r="F48" i="18" s="1"/>
  <c r="B34" i="18"/>
  <c r="F34" i="18" s="1" a="1"/>
  <c r="F34" i="18" s="1"/>
  <c r="B31" i="18"/>
  <c r="F31" i="18" s="1" a="1"/>
  <c r="F31" i="18" s="1"/>
  <c r="B25" i="18"/>
  <c r="F25" i="18" s="1" a="1"/>
  <c r="F25" i="18" s="1"/>
  <c r="B47" i="18"/>
  <c r="F47" i="18" s="1" a="1"/>
  <c r="F47" i="18" s="1"/>
  <c r="B35" i="18"/>
  <c r="F35" i="18" s="1" a="1"/>
  <c r="F35" i="18" s="1"/>
  <c r="B17" i="18"/>
  <c r="F17" i="18" s="1" a="1"/>
  <c r="F17" i="18" s="1"/>
  <c r="B38" i="18"/>
  <c r="F38" i="18" s="1" a="1"/>
  <c r="F38" i="18" s="1"/>
  <c r="B23" i="18"/>
  <c r="F23" i="18" s="1" a="1"/>
  <c r="F23" i="18" s="1"/>
  <c r="B42" i="18"/>
  <c r="F42" i="18" s="1" a="1"/>
  <c r="F42" i="18" s="1"/>
  <c r="B43" i="18"/>
  <c r="F43" i="18" s="1" a="1"/>
  <c r="F43" i="18" s="1"/>
  <c r="B27" i="18"/>
  <c r="F27" i="18" s="1" a="1"/>
  <c r="F27" i="18" s="1"/>
  <c r="B41" i="18"/>
  <c r="F41" i="18" s="1" a="1"/>
  <c r="F41" i="18" s="1"/>
  <c r="B26" i="18"/>
  <c r="F26" i="18" s="1" a="1"/>
  <c r="F26" i="18" s="1"/>
  <c r="B18" i="18"/>
  <c r="F18" i="18" s="1" a="1"/>
  <c r="F18" i="18" s="1"/>
  <c r="B39" i="18"/>
  <c r="F39" i="18" s="1" a="1"/>
  <c r="F39" i="18" s="1"/>
  <c r="B33" i="18"/>
  <c r="F33" i="18" s="1" a="1"/>
  <c r="F33" i="18" s="1"/>
  <c r="B21" i="18"/>
  <c r="F21" i="18" s="1" a="1"/>
  <c r="F21" i="18" s="1"/>
  <c r="B30" i="18"/>
  <c r="F30" i="18" s="1" a="1"/>
  <c r="F30" i="18" s="1"/>
  <c r="B29" i="18"/>
  <c r="F29" i="18" s="1" a="1"/>
  <c r="F29" i="18" s="1"/>
  <c r="B37" i="18"/>
  <c r="F37" i="18" s="1" a="1"/>
  <c r="F37" i="18" s="1"/>
  <c r="B24" i="18"/>
  <c r="F24" i="18" s="1" a="1"/>
  <c r="F24" i="18" s="1"/>
  <c r="B40" i="18"/>
  <c r="F40" i="18" s="1" a="1"/>
  <c r="F40" i="18" s="1"/>
  <c r="B19" i="18"/>
  <c r="F19" i="18" s="1" a="1"/>
  <c r="F19" i="18" s="1"/>
  <c r="B45" i="18"/>
  <c r="F45" i="18" s="1" a="1"/>
  <c r="F45" i="18" s="1"/>
  <c r="B28" i="18"/>
  <c r="F28" i="18" s="1" a="1"/>
  <c r="F28" i="18" s="1"/>
  <c r="B46" i="18"/>
  <c r="F46" i="18" s="1" a="1"/>
  <c r="F46" i="18" s="1"/>
  <c r="B59" i="22"/>
  <c r="B31" i="22"/>
  <c r="B23" i="22"/>
  <c r="B58" i="22"/>
  <c r="B57" i="22"/>
  <c r="B49" i="22"/>
  <c r="B41" i="22"/>
  <c r="B30" i="22"/>
  <c r="B22" i="22"/>
  <c r="B51" i="22"/>
  <c r="B43" i="22"/>
  <c r="B35" i="22"/>
  <c r="B54" i="22"/>
  <c r="B46" i="22"/>
  <c r="B38" i="22"/>
  <c r="B60" i="22"/>
  <c r="B36" i="22"/>
  <c r="B53" i="22"/>
  <c r="B45" i="22"/>
  <c r="B37" i="22"/>
  <c r="B18" i="22"/>
  <c r="B32" i="22"/>
  <c r="B24" i="22"/>
  <c r="B63" i="22"/>
  <c r="B34" i="22"/>
  <c r="B26" i="22"/>
  <c r="B39" i="22"/>
  <c r="B20" i="22"/>
  <c r="B42" i="22"/>
  <c r="B48" i="22"/>
  <c r="B28" i="22"/>
  <c r="B50" i="22"/>
  <c r="B56" i="22"/>
  <c r="B19" i="22"/>
  <c r="B44" i="22"/>
  <c r="B52" i="22"/>
  <c r="B27" i="22"/>
  <c r="B25" i="22"/>
  <c r="B64" i="22"/>
  <c r="B21" i="22"/>
  <c r="B33" i="22"/>
  <c r="B47" i="22"/>
  <c r="B62" i="22"/>
  <c r="B55" i="22"/>
  <c r="B29" i="22"/>
  <c r="B61" i="22"/>
  <c r="B17" i="22"/>
  <c r="B40" i="22"/>
  <c r="B44" i="20"/>
  <c r="B58" i="20"/>
  <c r="B64" i="20"/>
  <c r="B62" i="20"/>
  <c r="B47" i="20"/>
  <c r="B50" i="20"/>
  <c r="B28" i="20"/>
  <c r="B20" i="20"/>
  <c r="B45" i="20"/>
  <c r="B40" i="20"/>
  <c r="B37" i="20"/>
  <c r="B61" i="20"/>
  <c r="B53" i="20"/>
  <c r="B39" i="20"/>
  <c r="B38" i="20"/>
  <c r="B33" i="20"/>
  <c r="B31" i="20"/>
  <c r="B25" i="20"/>
  <c r="B23" i="20"/>
  <c r="B17" i="20"/>
  <c r="B35" i="20"/>
  <c r="B55" i="20"/>
  <c r="B34" i="20"/>
  <c r="J34" i="20" s="1"/>
  <c r="B26" i="20"/>
  <c r="B18" i="20"/>
  <c r="B48" i="20"/>
  <c r="B42" i="20"/>
  <c r="B41" i="20"/>
  <c r="B51" i="20"/>
  <c r="B49" i="20"/>
  <c r="B22" i="20"/>
  <c r="B52" i="20"/>
  <c r="B19" i="20"/>
  <c r="B57" i="20"/>
  <c r="B21" i="20"/>
  <c r="B29" i="20"/>
  <c r="B24" i="20"/>
  <c r="B59" i="20"/>
  <c r="B54" i="20"/>
  <c r="B43" i="20"/>
  <c r="B63" i="20"/>
  <c r="B60" i="20"/>
  <c r="B32" i="20"/>
  <c r="B30" i="20"/>
  <c r="B46" i="20"/>
  <c r="B36" i="20"/>
  <c r="B27" i="20"/>
  <c r="B56" i="20"/>
  <c r="C72" i="17"/>
  <c r="F72" i="17"/>
  <c r="F80" i="19"/>
  <c r="C80" i="19"/>
  <c r="C80" i="20"/>
  <c r="F80" i="20"/>
  <c r="B57" i="24"/>
  <c r="B63" i="24"/>
  <c r="B55" i="24"/>
  <c r="B47" i="24"/>
  <c r="B39" i="24"/>
  <c r="B31" i="24"/>
  <c r="B23" i="24"/>
  <c r="B59" i="24"/>
  <c r="B51" i="24"/>
  <c r="B43" i="24"/>
  <c r="B35" i="24"/>
  <c r="B27" i="24"/>
  <c r="B19" i="24"/>
  <c r="B61" i="24"/>
  <c r="B53" i="24"/>
  <c r="B45" i="24"/>
  <c r="B37" i="24"/>
  <c r="B29" i="24"/>
  <c r="B21" i="24"/>
  <c r="B52" i="24"/>
  <c r="B58" i="24"/>
  <c r="B25" i="24"/>
  <c r="B50" i="24"/>
  <c r="B24" i="24"/>
  <c r="B22" i="24"/>
  <c r="B33" i="24"/>
  <c r="B18" i="24"/>
  <c r="B32" i="24"/>
  <c r="B41" i="24"/>
  <c r="B20" i="24"/>
  <c r="B34" i="24"/>
  <c r="B30" i="24"/>
  <c r="B54" i="24"/>
  <c r="B44" i="24"/>
  <c r="B60" i="24"/>
  <c r="B40" i="24"/>
  <c r="B38" i="24"/>
  <c r="B49" i="24"/>
  <c r="B48" i="24"/>
  <c r="B28" i="24"/>
  <c r="B46" i="24"/>
  <c r="B56" i="24"/>
  <c r="B26" i="24"/>
  <c r="B62" i="24"/>
  <c r="B42" i="24"/>
  <c r="B64" i="24"/>
  <c r="B36" i="24"/>
  <c r="B17" i="24"/>
  <c r="C71" i="18"/>
  <c r="F71" i="18"/>
  <c r="A75" i="19"/>
  <c r="B75" i="19" s="1"/>
  <c r="D75" i="19" s="1" a="1"/>
  <c r="D75" i="19" s="1"/>
  <c r="A71" i="19"/>
  <c r="B71" i="19" s="1"/>
  <c r="D71" i="19" s="1" a="1"/>
  <c r="D71" i="19" s="1"/>
  <c r="A74" i="19"/>
  <c r="B74" i="19" s="1"/>
  <c r="D74" i="19" s="1" a="1"/>
  <c r="D74" i="19" s="1"/>
  <c r="A70" i="19"/>
  <c r="B70" i="19" s="1"/>
  <c r="D70" i="19" s="1" a="1"/>
  <c r="D70" i="19" s="1"/>
  <c r="A72" i="19"/>
  <c r="B72" i="19" s="1"/>
  <c r="D72" i="19" s="1" a="1"/>
  <c r="D72" i="19" s="1"/>
  <c r="A69" i="19"/>
  <c r="B69" i="19" s="1"/>
  <c r="D69" i="19" s="1" a="1"/>
  <c r="D69" i="19" s="1"/>
  <c r="A68" i="19"/>
  <c r="B68" i="19" s="1"/>
  <c r="D68" i="19" s="1" a="1"/>
  <c r="D68" i="19" s="1"/>
  <c r="A73" i="19"/>
  <c r="B73" i="19" s="1"/>
  <c r="D73" i="19" s="1" a="1"/>
  <c r="D73" i="19" s="1"/>
  <c r="A72" i="23"/>
  <c r="B72" i="23" s="1"/>
  <c r="D72" i="23" s="1" a="1"/>
  <c r="D72" i="23" s="1"/>
  <c r="A70" i="23"/>
  <c r="B70" i="23" s="1"/>
  <c r="D70" i="23" s="1" a="1"/>
  <c r="D70" i="23" s="1"/>
  <c r="A75" i="23"/>
  <c r="B75" i="23" s="1"/>
  <c r="D75" i="23" s="1" a="1"/>
  <c r="D75" i="23" s="1"/>
  <c r="A73" i="23"/>
  <c r="B73" i="23" s="1"/>
  <c r="D73" i="23" s="1" a="1"/>
  <c r="D73" i="23" s="1"/>
  <c r="A71" i="23"/>
  <c r="B71" i="23" s="1"/>
  <c r="D71" i="23" s="1" a="1"/>
  <c r="D71" i="23" s="1"/>
  <c r="A68" i="23"/>
  <c r="B68" i="23" s="1"/>
  <c r="D68" i="23" s="1" a="1"/>
  <c r="D68" i="23" s="1"/>
  <c r="A74" i="23"/>
  <c r="B74" i="23" s="1"/>
  <c r="D74" i="23" s="1" a="1"/>
  <c r="D74" i="23" s="1"/>
  <c r="A69" i="23"/>
  <c r="B69" i="23" s="1"/>
  <c r="D69" i="23" s="1" a="1"/>
  <c r="D69" i="23" s="1"/>
  <c r="C34" i="26" l="1" a="1"/>
  <c r="C34" i="26" s="1"/>
  <c r="C34" i="25" a="1"/>
  <c r="C34" i="25" s="1"/>
  <c r="J54" i="24" a="1"/>
  <c r="J54" i="24" s="1"/>
  <c r="J57" i="24" a="1"/>
  <c r="J57" i="24" s="1"/>
  <c r="J48" i="23" a="1"/>
  <c r="J48" i="23" s="1"/>
  <c r="J38" i="25"/>
  <c r="C38" i="25" s="1" a="1"/>
  <c r="C38" i="25" s="1"/>
  <c r="J30" i="25"/>
  <c r="C30" i="25" s="1" a="1"/>
  <c r="C30" i="25" s="1"/>
  <c r="J23" i="25"/>
  <c r="C23" i="25" s="1" a="1"/>
  <c r="C23" i="25" s="1"/>
  <c r="J17" i="25"/>
  <c r="C17" i="25" s="1" a="1"/>
  <c r="C17" i="25" s="1"/>
  <c r="J20" i="25"/>
  <c r="C20" i="25" s="1" a="1"/>
  <c r="C20" i="25" s="1"/>
  <c r="J43" i="25"/>
  <c r="C43" i="25" s="1" a="1"/>
  <c r="C43" i="25" s="1"/>
  <c r="G68" i="26" a="1"/>
  <c r="G68" i="26" s="1"/>
  <c r="C68" i="26" a="1"/>
  <c r="C68" i="26" s="1"/>
  <c r="F68" i="26" a="1"/>
  <c r="F68" i="26" s="1"/>
  <c r="E68" i="26" a="1"/>
  <c r="E68" i="26" s="1"/>
  <c r="H68" i="26" a="1"/>
  <c r="H68" i="26" s="1"/>
  <c r="J23" i="34" a="1"/>
  <c r="J23" i="34" s="1"/>
  <c r="J43" i="34" a="1"/>
  <c r="J43" i="34" s="1"/>
  <c r="H43" i="34" s="1"/>
  <c r="J59" i="34" a="1"/>
  <c r="J59" i="34" s="1"/>
  <c r="J19" i="34" a="1"/>
  <c r="J19" i="34" s="1"/>
  <c r="J56" i="34" a="1"/>
  <c r="J56" i="34" s="1"/>
  <c r="H56" i="34" s="1"/>
  <c r="J53" i="34" a="1"/>
  <c r="J53" i="34" s="1"/>
  <c r="G72" i="33" a="1"/>
  <c r="G72" i="33" s="1"/>
  <c r="C72" i="33" a="1"/>
  <c r="C72" i="33" s="1"/>
  <c r="F72" i="33" a="1"/>
  <c r="F72" i="33" s="1"/>
  <c r="E72" i="33" a="1"/>
  <c r="E72" i="33" s="1"/>
  <c r="H72" i="33" a="1"/>
  <c r="H72" i="33" s="1"/>
  <c r="J19" i="33" a="1"/>
  <c r="J19" i="33" s="1"/>
  <c r="D19" i="33" s="1"/>
  <c r="J39" i="33" a="1"/>
  <c r="J39" i="33" s="1"/>
  <c r="J25" i="33" a="1"/>
  <c r="J25" i="33" s="1"/>
  <c r="J18" i="33" a="1"/>
  <c r="J18" i="33" s="1"/>
  <c r="D18" i="33" s="1"/>
  <c r="J46" i="33" a="1"/>
  <c r="J46" i="33" s="1"/>
  <c r="J41" i="33" a="1"/>
  <c r="J41" i="33" s="1"/>
  <c r="H41" i="33" s="1"/>
  <c r="H74" i="34" a="1"/>
  <c r="H74" i="34" s="1"/>
  <c r="G74" i="34" a="1"/>
  <c r="G74" i="34" s="1"/>
  <c r="F74" i="34" a="1"/>
  <c r="F74" i="34" s="1"/>
  <c r="E74" i="34" a="1"/>
  <c r="E74" i="34" s="1"/>
  <c r="C74" i="34" a="1"/>
  <c r="C74" i="34" s="1"/>
  <c r="F68" i="23" a="1"/>
  <c r="F68" i="23" s="1"/>
  <c r="E68" i="23" a="1"/>
  <c r="E68" i="23" s="1"/>
  <c r="H68" i="23" a="1"/>
  <c r="H68" i="23" s="1"/>
  <c r="G68" i="23" a="1"/>
  <c r="G68" i="23" s="1"/>
  <c r="C68" i="23" a="1"/>
  <c r="C68" i="23" s="1"/>
  <c r="F69" i="19" a="1"/>
  <c r="F69" i="19" s="1"/>
  <c r="H69" i="19" a="1"/>
  <c r="H69" i="19" s="1"/>
  <c r="G69" i="19" a="1"/>
  <c r="G69" i="19" s="1"/>
  <c r="C69" i="19" a="1"/>
  <c r="C69" i="19" s="1"/>
  <c r="E69" i="19" a="1"/>
  <c r="E69" i="19" s="1"/>
  <c r="J17" i="24" a="1"/>
  <c r="J17" i="24" s="1"/>
  <c r="D17" i="24" s="1"/>
  <c r="J28" i="24" a="1"/>
  <c r="J28" i="24" s="1"/>
  <c r="J30" i="24" a="1"/>
  <c r="J30" i="24" s="1"/>
  <c r="J24" i="24" a="1"/>
  <c r="J24" i="24" s="1"/>
  <c r="J45" i="24" a="1"/>
  <c r="J45" i="24" s="1"/>
  <c r="J59" i="24" a="1"/>
  <c r="J59" i="24" s="1"/>
  <c r="J59" i="20"/>
  <c r="C59" i="20" s="1" a="1"/>
  <c r="C59" i="20" s="1"/>
  <c r="J39" i="20"/>
  <c r="C39" i="20" s="1" a="1"/>
  <c r="C39" i="20" s="1"/>
  <c r="J32" i="22"/>
  <c r="C32" i="22" s="1" a="1"/>
  <c r="C32" i="22" s="1"/>
  <c r="J60" i="19"/>
  <c r="C60" i="19" s="1" a="1"/>
  <c r="C60" i="19" s="1"/>
  <c r="J63" i="19" a="1"/>
  <c r="J63" i="19" s="1"/>
  <c r="D63" i="19" s="1"/>
  <c r="J37" i="19"/>
  <c r="C37" i="19" s="1" a="1"/>
  <c r="C37" i="19" s="1"/>
  <c r="J56" i="19"/>
  <c r="C56" i="19" s="1" a="1"/>
  <c r="C56" i="19" s="1"/>
  <c r="H34" i="19" a="1"/>
  <c r="H34" i="19" s="1"/>
  <c r="D34" i="19" a="1"/>
  <c r="D34" i="19" s="1"/>
  <c r="G34" i="19" a="1"/>
  <c r="G34" i="19" s="1"/>
  <c r="F34" i="19" a="1"/>
  <c r="F34" i="19" s="1"/>
  <c r="E34" i="19" a="1"/>
  <c r="E34" i="19" s="1"/>
  <c r="F69" i="24" a="1"/>
  <c r="F69" i="24" s="1"/>
  <c r="E69" i="24" a="1"/>
  <c r="E69" i="24" s="1"/>
  <c r="H69" i="24" a="1"/>
  <c r="H69" i="24" s="1"/>
  <c r="G69" i="24" a="1"/>
  <c r="G69" i="24" s="1"/>
  <c r="C69" i="24" a="1"/>
  <c r="C69" i="24" s="1"/>
  <c r="J62" i="23" a="1"/>
  <c r="J62" i="23" s="1"/>
  <c r="J20" i="23" a="1"/>
  <c r="J20" i="23" s="1"/>
  <c r="J32" i="23" a="1"/>
  <c r="J32" i="23" s="1"/>
  <c r="J25" i="23" a="1"/>
  <c r="J25" i="23" s="1"/>
  <c r="J47" i="23" a="1"/>
  <c r="J47" i="23" s="1"/>
  <c r="E73" i="22" a="1"/>
  <c r="E73" i="22" s="1"/>
  <c r="H73" i="22" a="1"/>
  <c r="H73" i="22" s="1"/>
  <c r="G73" i="22" a="1"/>
  <c r="G73" i="22" s="1"/>
  <c r="C73" i="22" a="1"/>
  <c r="C73" i="22" s="1"/>
  <c r="F73" i="22" a="1"/>
  <c r="F73" i="22" s="1"/>
  <c r="G68" i="20" a="1"/>
  <c r="G68" i="20" s="1"/>
  <c r="C68" i="20" a="1"/>
  <c r="C68" i="20" s="1"/>
  <c r="F68" i="20" a="1"/>
  <c r="F68" i="20" s="1"/>
  <c r="E68" i="20" a="1"/>
  <c r="E68" i="20" s="1"/>
  <c r="H68" i="20" a="1"/>
  <c r="H68" i="20" s="1"/>
  <c r="J17" i="17" a="1"/>
  <c r="J17" i="17" s="1"/>
  <c r="F17" i="17" a="1"/>
  <c r="F17" i="17" s="1"/>
  <c r="G70" i="21" a="1"/>
  <c r="G70" i="21" s="1"/>
  <c r="C70" i="21" a="1"/>
  <c r="C70" i="21" s="1"/>
  <c r="F70" i="21" a="1"/>
  <c r="F70" i="21" s="1"/>
  <c r="E70" i="21" a="1"/>
  <c r="E70" i="21" s="1"/>
  <c r="H70" i="21" a="1"/>
  <c r="H70" i="21" s="1"/>
  <c r="J32" i="21"/>
  <c r="C32" i="21" s="1" a="1"/>
  <c r="C32" i="21" s="1"/>
  <c r="J28" i="21"/>
  <c r="C28" i="21" s="1" a="1"/>
  <c r="C28" i="21" s="1"/>
  <c r="J64" i="21" a="1"/>
  <c r="J64" i="21" s="1"/>
  <c r="J60" i="18" a="1"/>
  <c r="J60" i="18" s="1"/>
  <c r="H60" i="18" s="1"/>
  <c r="F60" i="18" a="1"/>
  <c r="F60" i="18" s="1"/>
  <c r="J53" i="18" a="1"/>
  <c r="J53" i="18" s="1"/>
  <c r="F53" i="18" a="1"/>
  <c r="F53" i="18" s="1"/>
  <c r="J56" i="17" a="1"/>
  <c r="J56" i="17" s="1"/>
  <c r="F56" i="17" a="1"/>
  <c r="F56" i="17" s="1"/>
  <c r="J50" i="28"/>
  <c r="C50" i="28" s="1" a="1"/>
  <c r="C50" i="28" s="1"/>
  <c r="J47" i="28"/>
  <c r="C47" i="28" s="1" a="1"/>
  <c r="C47" i="28" s="1"/>
  <c r="J39" i="28"/>
  <c r="C39" i="28" s="1" a="1"/>
  <c r="C39" i="28" s="1"/>
  <c r="C70" i="27" a="1"/>
  <c r="C70" i="27" s="1"/>
  <c r="H70" i="27" a="1"/>
  <c r="H70" i="27" s="1"/>
  <c r="G70" i="27" a="1"/>
  <c r="G70" i="27" s="1"/>
  <c r="F70" i="27" a="1"/>
  <c r="F70" i="27" s="1"/>
  <c r="E70" i="27" a="1"/>
  <c r="E70" i="27" s="1"/>
  <c r="J56" i="26"/>
  <c r="C56" i="26" s="1" a="1"/>
  <c r="C56" i="26" s="1"/>
  <c r="J48" i="26"/>
  <c r="C48" i="26" s="1" a="1"/>
  <c r="C48" i="26" s="1"/>
  <c r="J30" i="26"/>
  <c r="C30" i="26" s="1" a="1"/>
  <c r="C30" i="26" s="1"/>
  <c r="J55" i="26"/>
  <c r="C55" i="26" s="1" a="1"/>
  <c r="C55" i="26" s="1"/>
  <c r="J57" i="26"/>
  <c r="C57" i="26" s="1" a="1"/>
  <c r="C57" i="26" s="1"/>
  <c r="J51" i="27"/>
  <c r="C51" i="27" s="1" a="1"/>
  <c r="C51" i="27" s="1"/>
  <c r="E69" i="25" a="1"/>
  <c r="E69" i="25" s="1"/>
  <c r="H69" i="25" a="1"/>
  <c r="H69" i="25" s="1"/>
  <c r="G69" i="25" a="1"/>
  <c r="G69" i="25" s="1"/>
  <c r="C69" i="25" a="1"/>
  <c r="C69" i="25" s="1"/>
  <c r="F69" i="25" a="1"/>
  <c r="F69" i="25" s="1"/>
  <c r="G74" i="28" a="1"/>
  <c r="G74" i="28" s="1"/>
  <c r="E74" i="28" a="1"/>
  <c r="E74" i="28" s="1"/>
  <c r="C74" i="28" a="1"/>
  <c r="C74" i="28" s="1"/>
  <c r="H74" i="28" a="1"/>
  <c r="H74" i="28" s="1"/>
  <c r="F74" i="28" a="1"/>
  <c r="F74" i="28" s="1"/>
  <c r="G68" i="29" a="1"/>
  <c r="G68" i="29" s="1"/>
  <c r="E68" i="29" a="1"/>
  <c r="E68" i="29" s="1"/>
  <c r="H68" i="29" a="1"/>
  <c r="H68" i="29" s="1"/>
  <c r="C68" i="29" a="1"/>
  <c r="C68" i="29" s="1"/>
  <c r="F68" i="29" a="1"/>
  <c r="F68" i="29" s="1"/>
  <c r="J57" i="25"/>
  <c r="C57" i="25" s="1" a="1"/>
  <c r="C57" i="25" s="1"/>
  <c r="J51" i="25"/>
  <c r="C51" i="25" s="1" a="1"/>
  <c r="C51" i="25" s="1"/>
  <c r="J22" i="25"/>
  <c r="C22" i="25" s="1" a="1"/>
  <c r="C22" i="25" s="1"/>
  <c r="J25" i="25"/>
  <c r="C25" i="25" s="1" a="1"/>
  <c r="C25" i="25" s="1"/>
  <c r="J28" i="25"/>
  <c r="C28" i="25" s="1" a="1"/>
  <c r="C28" i="25" s="1"/>
  <c r="J54" i="25"/>
  <c r="C54" i="25" s="1" a="1"/>
  <c r="C54" i="25" s="1"/>
  <c r="G72" i="26" a="1"/>
  <c r="G72" i="26" s="1"/>
  <c r="C72" i="26" a="1"/>
  <c r="C72" i="26" s="1"/>
  <c r="F72" i="26" a="1"/>
  <c r="F72" i="26" s="1"/>
  <c r="E72" i="26" a="1"/>
  <c r="E72" i="26" s="1"/>
  <c r="H72" i="26" a="1"/>
  <c r="H72" i="26" s="1"/>
  <c r="J46" i="34" a="1"/>
  <c r="J46" i="34" s="1"/>
  <c r="J54" i="34" a="1"/>
  <c r="J54" i="34" s="1"/>
  <c r="J18" i="34" a="1"/>
  <c r="J18" i="34" s="1"/>
  <c r="J44" i="34" a="1"/>
  <c r="J44" i="34" s="1"/>
  <c r="J64" i="34" a="1"/>
  <c r="J64" i="34" s="1"/>
  <c r="J61" i="34" a="1"/>
  <c r="J61" i="34" s="1"/>
  <c r="E71" i="33" a="1"/>
  <c r="E71" i="33" s="1"/>
  <c r="H71" i="33" a="1"/>
  <c r="H71" i="33" s="1"/>
  <c r="G71" i="33" a="1"/>
  <c r="G71" i="33" s="1"/>
  <c r="C71" i="33" a="1"/>
  <c r="C71" i="33" s="1"/>
  <c r="F71" i="33" a="1"/>
  <c r="F71" i="33" s="1"/>
  <c r="J51" i="33" a="1"/>
  <c r="J51" i="33" s="1"/>
  <c r="J59" i="33" a="1"/>
  <c r="J59" i="33" s="1"/>
  <c r="J47" i="33" a="1"/>
  <c r="J47" i="33" s="1"/>
  <c r="J50" i="33" a="1"/>
  <c r="J50" i="33" s="1"/>
  <c r="J22" i="33" a="1"/>
  <c r="J22" i="33" s="1"/>
  <c r="D22" i="33" s="1"/>
  <c r="J49" i="33" a="1"/>
  <c r="J49" i="33" s="1"/>
  <c r="G71" i="34" a="1"/>
  <c r="G71" i="34" s="1"/>
  <c r="F71" i="34" a="1"/>
  <c r="F71" i="34" s="1"/>
  <c r="E71" i="34" a="1"/>
  <c r="E71" i="34" s="1"/>
  <c r="C71" i="34" a="1"/>
  <c r="C71" i="34" s="1"/>
  <c r="H71" i="34" a="1"/>
  <c r="H71" i="34" s="1"/>
  <c r="F68" i="19" a="1"/>
  <c r="F68" i="19" s="1"/>
  <c r="E68" i="19" a="1"/>
  <c r="E68" i="19" s="1"/>
  <c r="H68" i="19" a="1"/>
  <c r="H68" i="19" s="1"/>
  <c r="G68" i="19" a="1"/>
  <c r="G68" i="19" s="1"/>
  <c r="C68" i="19" a="1"/>
  <c r="C68" i="19" s="1"/>
  <c r="J22" i="24" a="1"/>
  <c r="J22" i="24" s="1"/>
  <c r="J64" i="22" a="1"/>
  <c r="J64" i="22" s="1"/>
  <c r="J23" i="23" a="1"/>
  <c r="J23" i="23" s="1"/>
  <c r="J67" i="18" a="1"/>
  <c r="J67" i="18" s="1"/>
  <c r="F67" i="18" a="1"/>
  <c r="F67" i="18" s="1"/>
  <c r="J41" i="28"/>
  <c r="C41" i="28" s="1" a="1"/>
  <c r="C41" i="28" s="1"/>
  <c r="J49" i="26"/>
  <c r="C49" i="26" s="1" a="1"/>
  <c r="C49" i="26" s="1"/>
  <c r="J37" i="27"/>
  <c r="C37" i="27" s="1" a="1"/>
  <c r="C37" i="27" s="1"/>
  <c r="G70" i="25" a="1"/>
  <c r="G70" i="25" s="1"/>
  <c r="C70" i="25" a="1"/>
  <c r="C70" i="25" s="1"/>
  <c r="F70" i="25" a="1"/>
  <c r="F70" i="25" s="1"/>
  <c r="E70" i="25" a="1"/>
  <c r="E70" i="25" s="1"/>
  <c r="H70" i="25" a="1"/>
  <c r="H70" i="25" s="1"/>
  <c r="J48" i="24" a="1"/>
  <c r="J48" i="24" s="1"/>
  <c r="J29" i="22"/>
  <c r="C29" i="22" s="1" a="1"/>
  <c r="C29" i="22" s="1"/>
  <c r="J27" i="22"/>
  <c r="C27" i="22" s="1" a="1"/>
  <c r="C27" i="22" s="1"/>
  <c r="J28" i="19"/>
  <c r="C28" i="19" s="1" a="1"/>
  <c r="C28" i="19" s="1"/>
  <c r="J27" i="19"/>
  <c r="C27" i="19" s="1" a="1"/>
  <c r="C27" i="19" s="1"/>
  <c r="F73" i="24" a="1"/>
  <c r="F73" i="24" s="1"/>
  <c r="E73" i="24" a="1"/>
  <c r="E73" i="24" s="1"/>
  <c r="H73" i="24" a="1"/>
  <c r="H73" i="24" s="1"/>
  <c r="G73" i="24" a="1"/>
  <c r="G73" i="24" s="1"/>
  <c r="C73" i="24" a="1"/>
  <c r="C73" i="24" s="1"/>
  <c r="J58" i="23" a="1"/>
  <c r="J58" i="23" s="1"/>
  <c r="J26" i="23" a="1"/>
  <c r="J26" i="23" s="1"/>
  <c r="J63" i="23" a="1"/>
  <c r="J63" i="23" s="1"/>
  <c r="J29" i="23" a="1"/>
  <c r="J29" i="23" s="1"/>
  <c r="J49" i="23" a="1"/>
  <c r="J49" i="23" s="1"/>
  <c r="H49" i="23" s="1"/>
  <c r="J35" i="23" a="1"/>
  <c r="J35" i="23" s="1"/>
  <c r="G74" i="22" a="1"/>
  <c r="G74" i="22" s="1"/>
  <c r="C74" i="22" a="1"/>
  <c r="C74" i="22" s="1"/>
  <c r="F74" i="22" a="1"/>
  <c r="F74" i="22" s="1"/>
  <c r="E74" i="22" a="1"/>
  <c r="E74" i="22" s="1"/>
  <c r="H74" i="22" a="1"/>
  <c r="H74" i="22" s="1"/>
  <c r="G72" i="20" a="1"/>
  <c r="G72" i="20" s="1"/>
  <c r="C72" i="20" a="1"/>
  <c r="C72" i="20" s="1"/>
  <c r="F72" i="20" a="1"/>
  <c r="F72" i="20" s="1"/>
  <c r="E72" i="20" a="1"/>
  <c r="E72" i="20" s="1"/>
  <c r="H72" i="20" a="1"/>
  <c r="H72" i="20" s="1"/>
  <c r="G74" i="21" a="1"/>
  <c r="G74" i="21" s="1"/>
  <c r="C74" i="21" a="1"/>
  <c r="C74" i="21" s="1"/>
  <c r="F74" i="21" a="1"/>
  <c r="F74" i="21" s="1"/>
  <c r="E74" i="21" a="1"/>
  <c r="E74" i="21" s="1"/>
  <c r="H74" i="21" a="1"/>
  <c r="H74" i="21" s="1"/>
  <c r="J31" i="21"/>
  <c r="C31" i="21" s="1" a="1"/>
  <c r="C31" i="21" s="1"/>
  <c r="J39" i="21"/>
  <c r="C39" i="21" s="1" a="1"/>
  <c r="C39" i="21" s="1"/>
  <c r="J64" i="18" a="1"/>
  <c r="J64" i="18" s="1"/>
  <c r="F64" i="18" a="1"/>
  <c r="F64" i="18" s="1"/>
  <c r="J59" i="18" a="1"/>
  <c r="J59" i="18" s="1"/>
  <c r="F59" i="18" a="1"/>
  <c r="F59" i="18" s="1"/>
  <c r="J57" i="17" a="1"/>
  <c r="J57" i="17" s="1"/>
  <c r="F57" i="17" a="1"/>
  <c r="F57" i="17" s="1"/>
  <c r="J60" i="17" a="1"/>
  <c r="J60" i="17" s="1"/>
  <c r="F60" i="17" a="1"/>
  <c r="F60" i="17" s="1"/>
  <c r="J31" i="28"/>
  <c r="C31" i="28" s="1" a="1"/>
  <c r="C31" i="28" s="1"/>
  <c r="J43" i="28"/>
  <c r="C43" i="28" s="1" a="1"/>
  <c r="C43" i="28" s="1"/>
  <c r="G74" i="27" a="1"/>
  <c r="G74" i="27" s="1"/>
  <c r="C74" i="27" a="1"/>
  <c r="C74" i="27" s="1"/>
  <c r="E74" i="27" a="1"/>
  <c r="E74" i="27" s="1"/>
  <c r="H74" i="27" a="1"/>
  <c r="H74" i="27" s="1"/>
  <c r="F74" i="27" a="1"/>
  <c r="F74" i="27" s="1"/>
  <c r="J51" i="26"/>
  <c r="C51" i="26" s="1" a="1"/>
  <c r="C51" i="26" s="1"/>
  <c r="J24" i="26"/>
  <c r="C24" i="26" s="1" a="1"/>
  <c r="C24" i="26" s="1"/>
  <c r="H34" i="26" a="1"/>
  <c r="H34" i="26" s="1"/>
  <c r="D34" i="26" a="1"/>
  <c r="D34" i="26" s="1"/>
  <c r="G34" i="26" a="1"/>
  <c r="G34" i="26" s="1"/>
  <c r="F34" i="26" a="1"/>
  <c r="F34" i="26" s="1"/>
  <c r="E34" i="26" a="1"/>
  <c r="E34" i="26" s="1"/>
  <c r="J28" i="26"/>
  <c r="C28" i="26" s="1" a="1"/>
  <c r="C28" i="26" s="1"/>
  <c r="J57" i="27"/>
  <c r="C57" i="27" s="1" a="1"/>
  <c r="C57" i="27" s="1"/>
  <c r="J53" i="27"/>
  <c r="C53" i="27" s="1" a="1"/>
  <c r="C53" i="27" s="1"/>
  <c r="J39" i="27"/>
  <c r="C39" i="27" s="1" a="1"/>
  <c r="C39" i="27" s="1"/>
  <c r="J32" i="27"/>
  <c r="C32" i="27" s="1" a="1"/>
  <c r="C32" i="27" s="1"/>
  <c r="G72" i="25" a="1"/>
  <c r="G72" i="25" s="1"/>
  <c r="C72" i="25" a="1"/>
  <c r="C72" i="25" s="1"/>
  <c r="F72" i="25" a="1"/>
  <c r="F72" i="25" s="1"/>
  <c r="E72" i="25" a="1"/>
  <c r="E72" i="25" s="1"/>
  <c r="H72" i="25" a="1"/>
  <c r="H72" i="25" s="1"/>
  <c r="E69" i="28" a="1"/>
  <c r="E69" i="28" s="1"/>
  <c r="H69" i="28" a="1"/>
  <c r="H69" i="28" s="1"/>
  <c r="C69" i="28" a="1"/>
  <c r="C69" i="28" s="1"/>
  <c r="G69" i="28" a="1"/>
  <c r="G69" i="28" s="1"/>
  <c r="F69" i="28" a="1"/>
  <c r="F69" i="28" s="1"/>
  <c r="J53" i="25"/>
  <c r="C53" i="25" s="1" a="1"/>
  <c r="C53" i="25" s="1"/>
  <c r="J29" i="25"/>
  <c r="C29" i="25" s="1" a="1"/>
  <c r="C29" i="25" s="1"/>
  <c r="J33" i="25"/>
  <c r="C33" i="25" s="1" a="1"/>
  <c r="C33" i="25" s="1"/>
  <c r="J39" i="25"/>
  <c r="C39" i="25" s="1" a="1"/>
  <c r="C39" i="25" s="1"/>
  <c r="E75" i="26" a="1"/>
  <c r="E75" i="26" s="1"/>
  <c r="H75" i="26" a="1"/>
  <c r="H75" i="26" s="1"/>
  <c r="G75" i="26" a="1"/>
  <c r="G75" i="26" s="1"/>
  <c r="C75" i="26" a="1"/>
  <c r="C75" i="26" s="1"/>
  <c r="F75" i="26" a="1"/>
  <c r="F75" i="26" s="1"/>
  <c r="J57" i="34" a="1"/>
  <c r="J57" i="34" s="1"/>
  <c r="J25" i="34" a="1"/>
  <c r="J25" i="34" s="1"/>
  <c r="J49" i="34" a="1"/>
  <c r="J49" i="34" s="1"/>
  <c r="J52" i="34" a="1"/>
  <c r="J52" i="34" s="1"/>
  <c r="J39" i="34" a="1"/>
  <c r="J39" i="34" s="1"/>
  <c r="J63" i="34" a="1"/>
  <c r="J63" i="34" s="1"/>
  <c r="E69" i="33" a="1"/>
  <c r="E69" i="33" s="1"/>
  <c r="H69" i="33" a="1"/>
  <c r="H69" i="33" s="1"/>
  <c r="G69" i="33" a="1"/>
  <c r="G69" i="33" s="1"/>
  <c r="C69" i="33" a="1"/>
  <c r="C69" i="33" s="1"/>
  <c r="F69" i="33" a="1"/>
  <c r="F69" i="33" s="1"/>
  <c r="J63" i="33" a="1"/>
  <c r="J63" i="33" s="1"/>
  <c r="J27" i="33" a="1"/>
  <c r="J27" i="33" s="1"/>
  <c r="E37" i="33" a="1"/>
  <c r="E37" i="33" s="1"/>
  <c r="F37" i="33" a="1"/>
  <c r="F37" i="33" s="1"/>
  <c r="J24" i="33" a="1"/>
  <c r="J24" i="33" s="1"/>
  <c r="J58" i="33" a="1"/>
  <c r="J58" i="33" s="1"/>
  <c r="J57" i="33" a="1"/>
  <c r="J57" i="33" s="1"/>
  <c r="H75" i="34" a="1"/>
  <c r="H75" i="34" s="1"/>
  <c r="G75" i="34" a="1"/>
  <c r="G75" i="34" s="1"/>
  <c r="F75" i="34" a="1"/>
  <c r="F75" i="34" s="1"/>
  <c r="E75" i="34" a="1"/>
  <c r="E75" i="34" s="1"/>
  <c r="C75" i="34" a="1"/>
  <c r="C75" i="34" s="1"/>
  <c r="J46" i="24" a="1"/>
  <c r="J46" i="24" s="1"/>
  <c r="J51" i="24" a="1"/>
  <c r="J51" i="24" s="1"/>
  <c r="J28" i="20"/>
  <c r="C28" i="20" s="1" a="1"/>
  <c r="C28" i="20" s="1"/>
  <c r="J60" i="23" a="1"/>
  <c r="J60" i="23" s="1"/>
  <c r="J19" i="23" a="1"/>
  <c r="J19" i="23" s="1"/>
  <c r="G72" i="21" a="1"/>
  <c r="G72" i="21" s="1"/>
  <c r="C72" i="21" a="1"/>
  <c r="C72" i="21" s="1"/>
  <c r="F72" i="21" a="1"/>
  <c r="F72" i="21" s="1"/>
  <c r="E72" i="21" a="1"/>
  <c r="E72" i="21" s="1"/>
  <c r="H72" i="21" a="1"/>
  <c r="H72" i="21" s="1"/>
  <c r="J53" i="17" a="1"/>
  <c r="J53" i="17" s="1"/>
  <c r="F53" i="17" a="1"/>
  <c r="F53" i="17" s="1"/>
  <c r="J28" i="28"/>
  <c r="C28" i="28" s="1" a="1"/>
  <c r="C28" i="28" s="1"/>
  <c r="J50" i="26"/>
  <c r="C50" i="26" s="1" a="1"/>
  <c r="C50" i="26" s="1"/>
  <c r="J38" i="27"/>
  <c r="C38" i="27" s="1" a="1"/>
  <c r="C38" i="27" s="1"/>
  <c r="J52" i="27"/>
  <c r="C52" i="27" s="1" a="1"/>
  <c r="C52" i="27" s="1"/>
  <c r="H73" i="28" a="1"/>
  <c r="H73" i="28" s="1"/>
  <c r="G73" i="28" a="1"/>
  <c r="G73" i="28" s="1"/>
  <c r="E73" i="28" a="1"/>
  <c r="E73" i="28" s="1"/>
  <c r="F73" i="28" a="1"/>
  <c r="F73" i="28" s="1"/>
  <c r="C73" i="28" a="1"/>
  <c r="C73" i="28" s="1"/>
  <c r="F72" i="19" a="1"/>
  <c r="F72" i="19" s="1"/>
  <c r="E72" i="19" a="1"/>
  <c r="E72" i="19" s="1"/>
  <c r="H72" i="19" a="1"/>
  <c r="H72" i="19" s="1"/>
  <c r="C72" i="19" a="1"/>
  <c r="C72" i="19" s="1"/>
  <c r="G72" i="19" a="1"/>
  <c r="G72" i="19" s="1"/>
  <c r="J34" i="24" a="1"/>
  <c r="J34" i="24" s="1"/>
  <c r="J50" i="24" a="1"/>
  <c r="J50" i="24" s="1"/>
  <c r="J23" i="24" a="1"/>
  <c r="J23" i="24" s="1"/>
  <c r="F70" i="19" a="1"/>
  <c r="F70" i="19" s="1"/>
  <c r="H70" i="19" a="1"/>
  <c r="H70" i="19" s="1"/>
  <c r="E70" i="19" a="1"/>
  <c r="E70" i="19" s="1"/>
  <c r="G70" i="19" a="1"/>
  <c r="G70" i="19" s="1"/>
  <c r="C70" i="19" a="1"/>
  <c r="C70" i="19" s="1"/>
  <c r="J49" i="24" a="1"/>
  <c r="J49" i="24" s="1"/>
  <c r="J25" i="24" a="1"/>
  <c r="J25" i="24" s="1"/>
  <c r="J61" i="24" a="1"/>
  <c r="J61" i="24" s="1"/>
  <c r="J30" i="20"/>
  <c r="C30" i="20" s="1" a="1"/>
  <c r="C30" i="20" s="1"/>
  <c r="J29" i="20"/>
  <c r="C29" i="20" s="1" a="1"/>
  <c r="C29" i="20" s="1"/>
  <c r="J17" i="20"/>
  <c r="C17" i="20" s="1" a="1"/>
  <c r="C17" i="20" s="1"/>
  <c r="J62" i="20" a="1"/>
  <c r="J62" i="20" s="1"/>
  <c r="D62" i="20" s="1"/>
  <c r="J37" i="22"/>
  <c r="C37" i="22" s="1" a="1"/>
  <c r="C37" i="22" s="1"/>
  <c r="J58" i="22"/>
  <c r="C58" i="22" s="1" a="1"/>
  <c r="C58" i="22" s="1"/>
  <c r="J33" i="19"/>
  <c r="C33" i="19" s="1" a="1"/>
  <c r="C33" i="19" s="1"/>
  <c r="H70" i="24" a="1"/>
  <c r="H70" i="24" s="1"/>
  <c r="G70" i="24" a="1"/>
  <c r="G70" i="24" s="1"/>
  <c r="C70" i="24" a="1"/>
  <c r="C70" i="24" s="1"/>
  <c r="F70" i="24" a="1"/>
  <c r="F70" i="24" s="1"/>
  <c r="E70" i="24" a="1"/>
  <c r="E70" i="24" s="1"/>
  <c r="J24" i="23" a="1"/>
  <c r="J24" i="23" s="1"/>
  <c r="J40" i="23" a="1"/>
  <c r="J40" i="23" s="1"/>
  <c r="J64" i="23" a="1"/>
  <c r="J64" i="23" s="1"/>
  <c r="J31" i="23" a="1"/>
  <c r="J31" i="23" s="1"/>
  <c r="J53" i="23" a="1"/>
  <c r="J53" i="23" s="1"/>
  <c r="J43" i="23" a="1"/>
  <c r="J43" i="23" s="1"/>
  <c r="E69" i="22" a="1"/>
  <c r="E69" i="22" s="1"/>
  <c r="H69" i="22" a="1"/>
  <c r="H69" i="22" s="1"/>
  <c r="G69" i="22" a="1"/>
  <c r="G69" i="22" s="1"/>
  <c r="C69" i="22" a="1"/>
  <c r="C69" i="22" s="1"/>
  <c r="F69" i="22" a="1"/>
  <c r="F69" i="22" s="1"/>
  <c r="E71" i="20" a="1"/>
  <c r="E71" i="20" s="1"/>
  <c r="H71" i="20" a="1"/>
  <c r="H71" i="20" s="1"/>
  <c r="G71" i="20" a="1"/>
  <c r="G71" i="20" s="1"/>
  <c r="C71" i="20" a="1"/>
  <c r="C71" i="20" s="1"/>
  <c r="F71" i="20" a="1"/>
  <c r="F71" i="20" s="1"/>
  <c r="E71" i="21" a="1"/>
  <c r="E71" i="21" s="1"/>
  <c r="H71" i="21" a="1"/>
  <c r="H71" i="21" s="1"/>
  <c r="G71" i="21" a="1"/>
  <c r="G71" i="21" s="1"/>
  <c r="C71" i="21" a="1"/>
  <c r="C71" i="21" s="1"/>
  <c r="F71" i="21" a="1"/>
  <c r="F71" i="21" s="1"/>
  <c r="J57" i="18" a="1"/>
  <c r="J57" i="18" s="1"/>
  <c r="F57" i="18" a="1"/>
  <c r="F57" i="18" s="1"/>
  <c r="J52" i="18" a="1"/>
  <c r="J52" i="18" s="1"/>
  <c r="F52" i="18" a="1"/>
  <c r="F52" i="18" s="1"/>
  <c r="J55" i="17" a="1"/>
  <c r="J55" i="17" s="1"/>
  <c r="F55" i="17" a="1"/>
  <c r="F55" i="17" s="1"/>
  <c r="J52" i="28"/>
  <c r="C52" i="28" s="1" a="1"/>
  <c r="C52" i="28" s="1"/>
  <c r="J40" i="28"/>
  <c r="C40" i="28" s="1" a="1"/>
  <c r="C40" i="28" s="1"/>
  <c r="J51" i="28"/>
  <c r="C51" i="28" s="1" a="1"/>
  <c r="C51" i="28" s="1"/>
  <c r="H69" i="27" a="1"/>
  <c r="H69" i="27" s="1"/>
  <c r="G69" i="27" a="1"/>
  <c r="G69" i="27" s="1"/>
  <c r="F69" i="27" a="1"/>
  <c r="F69" i="27" s="1"/>
  <c r="E69" i="27" a="1"/>
  <c r="E69" i="27" s="1"/>
  <c r="C69" i="27" a="1"/>
  <c r="C69" i="27" s="1"/>
  <c r="J29" i="26"/>
  <c r="C29" i="26" s="1" a="1"/>
  <c r="C29" i="26" s="1"/>
  <c r="J21" i="26"/>
  <c r="C21" i="26" s="1" a="1"/>
  <c r="C21" i="26" s="1"/>
  <c r="J53" i="26"/>
  <c r="C53" i="26" s="1" a="1"/>
  <c r="C53" i="26" s="1"/>
  <c r="J32" i="26"/>
  <c r="C32" i="26" s="1" a="1"/>
  <c r="C32" i="26" s="1"/>
  <c r="J39" i="26"/>
  <c r="C39" i="26" s="1" a="1"/>
  <c r="C39" i="26" s="1"/>
  <c r="J40" i="27"/>
  <c r="C40" i="27" s="1" a="1"/>
  <c r="C40" i="27" s="1"/>
  <c r="J49" i="27"/>
  <c r="C49" i="27" s="1" a="1"/>
  <c r="C49" i="27" s="1"/>
  <c r="J18" i="27"/>
  <c r="C18" i="27" s="1" a="1"/>
  <c r="C18" i="27" s="1"/>
  <c r="J50" i="27"/>
  <c r="C50" i="27" s="1" a="1"/>
  <c r="C50" i="27" s="1"/>
  <c r="J43" i="27"/>
  <c r="C43" i="27" s="1" a="1"/>
  <c r="C43" i="27" s="1"/>
  <c r="G68" i="25" a="1"/>
  <c r="G68" i="25" s="1"/>
  <c r="C68" i="25" a="1"/>
  <c r="C68" i="25" s="1"/>
  <c r="F68" i="25" a="1"/>
  <c r="F68" i="25" s="1"/>
  <c r="E68" i="25" a="1"/>
  <c r="E68" i="25" s="1"/>
  <c r="H68" i="25" a="1"/>
  <c r="H68" i="25" s="1"/>
  <c r="E72" i="28" a="1"/>
  <c r="E72" i="28" s="1"/>
  <c r="H72" i="28" a="1"/>
  <c r="H72" i="28" s="1"/>
  <c r="C72" i="28" a="1"/>
  <c r="C72" i="28" s="1"/>
  <c r="G72" i="28" a="1"/>
  <c r="G72" i="28" s="1"/>
  <c r="F72" i="28" a="1"/>
  <c r="F72" i="28" s="1"/>
  <c r="J21" i="25"/>
  <c r="C21" i="25" s="1" a="1"/>
  <c r="C21" i="25" s="1"/>
  <c r="J31" i="25"/>
  <c r="C31" i="25" s="1" a="1"/>
  <c r="C31" i="25" s="1"/>
  <c r="J48" i="25"/>
  <c r="C48" i="25" s="1" a="1"/>
  <c r="C48" i="25" s="1"/>
  <c r="J37" i="25"/>
  <c r="C37" i="25" s="1" a="1"/>
  <c r="C37" i="25" s="1"/>
  <c r="J50" i="25"/>
  <c r="C50" i="25" s="1" a="1"/>
  <c r="C50" i="25" s="1"/>
  <c r="G74" i="26" a="1"/>
  <c r="G74" i="26" s="1"/>
  <c r="C74" i="26" a="1"/>
  <c r="C74" i="26" s="1"/>
  <c r="F74" i="26" a="1"/>
  <c r="F74" i="26" s="1"/>
  <c r="E74" i="26" a="1"/>
  <c r="E74" i="26" s="1"/>
  <c r="H74" i="26" a="1"/>
  <c r="H74" i="26" s="1"/>
  <c r="J62" i="34" a="1"/>
  <c r="J62" i="34" s="1"/>
  <c r="J33" i="34" a="1"/>
  <c r="J33" i="34" s="1"/>
  <c r="J42" i="34" a="1"/>
  <c r="J42" i="34" s="1"/>
  <c r="J28" i="34" a="1"/>
  <c r="J28" i="34" s="1"/>
  <c r="J60" i="34" a="1"/>
  <c r="J60" i="34" s="1"/>
  <c r="J47" i="34" a="1"/>
  <c r="J47" i="34" s="1"/>
  <c r="G74" i="33" a="1"/>
  <c r="G74" i="33" s="1"/>
  <c r="C74" i="33" a="1"/>
  <c r="C74" i="33" s="1"/>
  <c r="F74" i="33" a="1"/>
  <c r="F74" i="33" s="1"/>
  <c r="E74" i="33" a="1"/>
  <c r="E74" i="33" s="1"/>
  <c r="H74" i="33" a="1"/>
  <c r="H74" i="33" s="1"/>
  <c r="J28" i="33" a="1"/>
  <c r="J28" i="33" s="1"/>
  <c r="J20" i="33" a="1"/>
  <c r="J20" i="33" s="1"/>
  <c r="J44" i="33" a="1"/>
  <c r="J44" i="33" s="1"/>
  <c r="J64" i="33" a="1"/>
  <c r="J64" i="33" s="1"/>
  <c r="J35" i="33" a="1"/>
  <c r="J35" i="33" s="1"/>
  <c r="F38" i="33" a="1"/>
  <c r="F38" i="33" s="1"/>
  <c r="E38" i="33" a="1"/>
  <c r="E38" i="33" s="1"/>
  <c r="F69" i="34" a="1"/>
  <c r="F69" i="34" s="1"/>
  <c r="E69" i="34" a="1"/>
  <c r="E69" i="34" s="1"/>
  <c r="C69" i="34" a="1"/>
  <c r="C69" i="34" s="1"/>
  <c r="H69" i="34" a="1"/>
  <c r="H69" i="34" s="1"/>
  <c r="G69" i="34" a="1"/>
  <c r="G69" i="34" s="1"/>
  <c r="F34" i="20" a="1"/>
  <c r="F34" i="20" s="1"/>
  <c r="E34" i="20" a="1"/>
  <c r="E34" i="20" s="1"/>
  <c r="D34" i="20" a="1"/>
  <c r="D34" i="20" s="1"/>
  <c r="H34" i="20" a="1"/>
  <c r="H34" i="20" s="1"/>
  <c r="G34" i="20" a="1"/>
  <c r="G34" i="20" s="1"/>
  <c r="J36" i="23" a="1"/>
  <c r="J36" i="23" s="1"/>
  <c r="G70" i="22" a="1"/>
  <c r="G70" i="22" s="1"/>
  <c r="C70" i="22" a="1"/>
  <c r="C70" i="22" s="1"/>
  <c r="F70" i="22" a="1"/>
  <c r="F70" i="22" s="1"/>
  <c r="E70" i="22" a="1"/>
  <c r="E70" i="22" s="1"/>
  <c r="H70" i="22" a="1"/>
  <c r="H70" i="22" s="1"/>
  <c r="G74" i="20" a="1"/>
  <c r="G74" i="20" s="1"/>
  <c r="C74" i="20" a="1"/>
  <c r="C74" i="20" s="1"/>
  <c r="F74" i="20" a="1"/>
  <c r="F74" i="20" s="1"/>
  <c r="E74" i="20" a="1"/>
  <c r="E74" i="20" s="1"/>
  <c r="H74" i="20" a="1"/>
  <c r="H74" i="20" s="1"/>
  <c r="J54" i="17" a="1"/>
  <c r="J54" i="17" s="1"/>
  <c r="F54" i="17" a="1"/>
  <c r="F54" i="17" s="1"/>
  <c r="J33" i="28"/>
  <c r="C33" i="28" s="1" a="1"/>
  <c r="C33" i="28" s="1"/>
  <c r="J19" i="26"/>
  <c r="C19" i="26" s="1" a="1"/>
  <c r="C19" i="26" s="1"/>
  <c r="F70" i="29" a="1"/>
  <c r="F70" i="29" s="1"/>
  <c r="E70" i="29" a="1"/>
  <c r="E70" i="29" s="1"/>
  <c r="H75" i="23" a="1"/>
  <c r="H75" i="23" s="1"/>
  <c r="G75" i="23" a="1"/>
  <c r="G75" i="23" s="1"/>
  <c r="C75" i="23" a="1"/>
  <c r="C75" i="23" s="1"/>
  <c r="F75" i="23" a="1"/>
  <c r="F75" i="23" s="1"/>
  <c r="E75" i="23" a="1"/>
  <c r="E75" i="23" s="1"/>
  <c r="G74" i="19" a="1"/>
  <c r="G74" i="19" s="1"/>
  <c r="F74" i="19" a="1"/>
  <c r="F74" i="19" s="1"/>
  <c r="E74" i="19" a="1"/>
  <c r="E74" i="19" s="1"/>
  <c r="H74" i="19" a="1"/>
  <c r="H74" i="19" s="1"/>
  <c r="C74" i="19" a="1"/>
  <c r="C74" i="19" s="1"/>
  <c r="J42" i="24" a="1"/>
  <c r="J42" i="24" s="1"/>
  <c r="J38" i="24" a="1"/>
  <c r="J38" i="24" s="1"/>
  <c r="J41" i="24" a="1"/>
  <c r="J41" i="24" s="1"/>
  <c r="J58" i="24" a="1"/>
  <c r="J58" i="24" s="1"/>
  <c r="J19" i="24" a="1"/>
  <c r="J19" i="24" s="1"/>
  <c r="J39" i="24" a="1"/>
  <c r="J39" i="24" s="1"/>
  <c r="J32" i="20"/>
  <c r="C32" i="20" s="1" a="1"/>
  <c r="C32" i="20" s="1"/>
  <c r="J37" i="20"/>
  <c r="C37" i="20" s="1" a="1"/>
  <c r="C37" i="20" s="1"/>
  <c r="J64" i="20" a="1"/>
  <c r="J64" i="20" s="1"/>
  <c r="D64" i="20" s="1"/>
  <c r="J62" i="22" a="1"/>
  <c r="J62" i="22" s="1"/>
  <c r="J39" i="22"/>
  <c r="C39" i="22" s="1" a="1"/>
  <c r="C39" i="22" s="1"/>
  <c r="J39" i="19"/>
  <c r="C39" i="19" s="1" a="1"/>
  <c r="C39" i="19" s="1"/>
  <c r="J31" i="19"/>
  <c r="C31" i="19" s="1" a="1"/>
  <c r="C31" i="19" s="1"/>
  <c r="J58" i="19"/>
  <c r="H74" i="24" a="1"/>
  <c r="H74" i="24" s="1"/>
  <c r="G74" i="24" a="1"/>
  <c r="G74" i="24" s="1"/>
  <c r="C74" i="24" a="1"/>
  <c r="C74" i="24" s="1"/>
  <c r="F74" i="24" a="1"/>
  <c r="F74" i="24" s="1"/>
  <c r="E74" i="24" a="1"/>
  <c r="E74" i="24" s="1"/>
  <c r="J54" i="23" a="1"/>
  <c r="J54" i="23" s="1"/>
  <c r="J50" i="23" a="1"/>
  <c r="J50" i="23" s="1"/>
  <c r="J46" i="23" a="1"/>
  <c r="J46" i="23" s="1"/>
  <c r="J33" i="23" a="1"/>
  <c r="J33" i="23" s="1"/>
  <c r="J55" i="23" a="1"/>
  <c r="J55" i="23" s="1"/>
  <c r="J51" i="23" a="1"/>
  <c r="J51" i="23" s="1"/>
  <c r="E71" i="22" a="1"/>
  <c r="E71" i="22" s="1"/>
  <c r="H71" i="22" a="1"/>
  <c r="H71" i="22" s="1"/>
  <c r="G71" i="22" a="1"/>
  <c r="G71" i="22" s="1"/>
  <c r="C71" i="22" a="1"/>
  <c r="C71" i="22" s="1"/>
  <c r="F71" i="22" a="1"/>
  <c r="F71" i="22" s="1"/>
  <c r="E75" i="20" a="1"/>
  <c r="E75" i="20" s="1"/>
  <c r="H75" i="20" a="1"/>
  <c r="H75" i="20" s="1"/>
  <c r="G75" i="20" a="1"/>
  <c r="G75" i="20" s="1"/>
  <c r="C75" i="20" a="1"/>
  <c r="C75" i="20" s="1"/>
  <c r="F75" i="20" a="1"/>
  <c r="F75" i="20" s="1"/>
  <c r="E75" i="21" a="1"/>
  <c r="E75" i="21" s="1"/>
  <c r="H75" i="21" a="1"/>
  <c r="H75" i="21" s="1"/>
  <c r="G75" i="21" a="1"/>
  <c r="G75" i="21" s="1"/>
  <c r="C75" i="21" a="1"/>
  <c r="C75" i="21" s="1"/>
  <c r="F75" i="21" a="1"/>
  <c r="F75" i="21" s="1"/>
  <c r="J17" i="21"/>
  <c r="C17" i="21" s="1" a="1"/>
  <c r="C17" i="21" s="1"/>
  <c r="J63" i="21" a="1"/>
  <c r="J63" i="21" s="1"/>
  <c r="J33" i="21"/>
  <c r="C33" i="21" s="1" a="1"/>
  <c r="C33" i="21" s="1"/>
  <c r="J58" i="21"/>
  <c r="C58" i="21" s="1" a="1"/>
  <c r="C58" i="21" s="1"/>
  <c r="J60" i="21"/>
  <c r="C60" i="21" s="1" a="1"/>
  <c r="C60" i="21" s="1"/>
  <c r="J56" i="18" a="1"/>
  <c r="J56" i="18" s="1"/>
  <c r="F56" i="18" a="1"/>
  <c r="F56" i="18" s="1"/>
  <c r="J55" i="18" a="1"/>
  <c r="J55" i="18" s="1"/>
  <c r="F55" i="18" a="1"/>
  <c r="F55" i="18" s="1"/>
  <c r="J58" i="17" a="1"/>
  <c r="J58" i="17" s="1"/>
  <c r="F58" i="17" a="1"/>
  <c r="F58" i="17" s="1"/>
  <c r="J30" i="28"/>
  <c r="C30" i="28" s="1" a="1"/>
  <c r="C30" i="28" s="1"/>
  <c r="J27" i="28"/>
  <c r="C27" i="28" s="1" a="1"/>
  <c r="C27" i="28" s="1"/>
  <c r="J32" i="28"/>
  <c r="C32" i="28" s="1" a="1"/>
  <c r="C32" i="28" s="1"/>
  <c r="J29" i="28"/>
  <c r="H68" i="27" a="1"/>
  <c r="H68" i="27" s="1"/>
  <c r="G68" i="27" a="1"/>
  <c r="G68" i="27" s="1"/>
  <c r="F68" i="27" a="1"/>
  <c r="F68" i="27" s="1"/>
  <c r="E68" i="27" a="1"/>
  <c r="E68" i="27" s="1"/>
  <c r="C68" i="27" a="1"/>
  <c r="C68" i="27" s="1"/>
  <c r="J23" i="26"/>
  <c r="C23" i="26" s="1" a="1"/>
  <c r="C23" i="26" s="1"/>
  <c r="J31" i="26"/>
  <c r="C31" i="26" s="1" a="1"/>
  <c r="C31" i="26" s="1"/>
  <c r="J40" i="26"/>
  <c r="C40" i="26" s="1" a="1"/>
  <c r="C40" i="26" s="1"/>
  <c r="J58" i="26"/>
  <c r="C58" i="26" s="1" a="1"/>
  <c r="C58" i="26" s="1"/>
  <c r="J28" i="27"/>
  <c r="C28" i="27" s="1" a="1"/>
  <c r="C28" i="27" s="1"/>
  <c r="J47" i="27"/>
  <c r="J54" i="27"/>
  <c r="C54" i="27" s="1" a="1"/>
  <c r="C54" i="27" s="1"/>
  <c r="J60" i="29"/>
  <c r="C60" i="29" s="1" a="1"/>
  <c r="C60" i="29" s="1"/>
  <c r="E71" i="25" a="1"/>
  <c r="E71" i="25" s="1"/>
  <c r="H71" i="25" a="1"/>
  <c r="H71" i="25" s="1"/>
  <c r="G71" i="25" a="1"/>
  <c r="G71" i="25" s="1"/>
  <c r="C71" i="25" a="1"/>
  <c r="C71" i="25" s="1"/>
  <c r="F71" i="25" a="1"/>
  <c r="F71" i="25" s="1"/>
  <c r="F68" i="28" a="1"/>
  <c r="F68" i="28" s="1"/>
  <c r="E68" i="28" a="1"/>
  <c r="E68" i="28" s="1"/>
  <c r="H68" i="28" a="1"/>
  <c r="H68" i="28" s="1"/>
  <c r="C68" i="28" a="1"/>
  <c r="C68" i="28" s="1"/>
  <c r="G68" i="28" a="1"/>
  <c r="G68" i="28" s="1"/>
  <c r="J19" i="25"/>
  <c r="J47" i="25"/>
  <c r="C47" i="25" s="1" a="1"/>
  <c r="C47" i="25" s="1"/>
  <c r="J58" i="25"/>
  <c r="C58" i="25" s="1" a="1"/>
  <c r="C58" i="25" s="1"/>
  <c r="E69" i="26" a="1"/>
  <c r="E69" i="26" s="1"/>
  <c r="H69" i="26" a="1"/>
  <c r="H69" i="26" s="1"/>
  <c r="G69" i="26" a="1"/>
  <c r="G69" i="26" s="1"/>
  <c r="C69" i="26" a="1"/>
  <c r="C69" i="26" s="1"/>
  <c r="F69" i="26" a="1"/>
  <c r="F69" i="26" s="1"/>
  <c r="J20" i="34" a="1"/>
  <c r="J20" i="34" s="1"/>
  <c r="J58" i="34" a="1"/>
  <c r="J58" i="34" s="1"/>
  <c r="J41" i="34" a="1"/>
  <c r="J41" i="34" s="1"/>
  <c r="J51" i="34" a="1"/>
  <c r="J51" i="34" s="1"/>
  <c r="J27" i="34" a="1"/>
  <c r="J27" i="34" s="1"/>
  <c r="J55" i="34" a="1"/>
  <c r="J55" i="34" s="1"/>
  <c r="G70" i="33" a="1"/>
  <c r="G70" i="33" s="1"/>
  <c r="C70" i="33" a="1"/>
  <c r="C70" i="33" s="1"/>
  <c r="F70" i="33" a="1"/>
  <c r="F70" i="33" s="1"/>
  <c r="E70" i="33" a="1"/>
  <c r="E70" i="33" s="1"/>
  <c r="H70" i="33" a="1"/>
  <c r="H70" i="33" s="1"/>
  <c r="J55" i="33" a="1"/>
  <c r="J55" i="33" s="1"/>
  <c r="J61" i="33" a="1"/>
  <c r="J61" i="33" s="1"/>
  <c r="J56" i="33" a="1"/>
  <c r="J56" i="33" s="1"/>
  <c r="J45" i="33" a="1"/>
  <c r="J45" i="33" s="1"/>
  <c r="J30" i="33" a="1"/>
  <c r="J30" i="33" s="1"/>
  <c r="J34" i="33" a="1"/>
  <c r="J34" i="33" s="1"/>
  <c r="F68" i="34" a="1"/>
  <c r="F68" i="34" s="1"/>
  <c r="E68" i="34" a="1"/>
  <c r="E68" i="34" s="1"/>
  <c r="C68" i="34" a="1"/>
  <c r="C68" i="34" s="1"/>
  <c r="H68" i="34" a="1"/>
  <c r="H68" i="34" s="1"/>
  <c r="G68" i="34" a="1"/>
  <c r="G68" i="34" s="1"/>
  <c r="F74" i="23" a="1"/>
  <c r="F74" i="23" s="1"/>
  <c r="E74" i="23" a="1"/>
  <c r="E74" i="23" s="1"/>
  <c r="H74" i="23" a="1"/>
  <c r="H74" i="23" s="1"/>
  <c r="G74" i="23" a="1"/>
  <c r="G74" i="23" s="1"/>
  <c r="C74" i="23" a="1"/>
  <c r="C74" i="23" s="1"/>
  <c r="J27" i="20"/>
  <c r="C27" i="20" s="1" a="1"/>
  <c r="C27" i="20" s="1"/>
  <c r="H72" i="24" a="1"/>
  <c r="H72" i="24" s="1"/>
  <c r="G72" i="24" a="1"/>
  <c r="G72" i="24" s="1"/>
  <c r="C72" i="24" a="1"/>
  <c r="C72" i="24" s="1"/>
  <c r="F72" i="24" a="1"/>
  <c r="F72" i="24" s="1"/>
  <c r="E72" i="24" a="1"/>
  <c r="E72" i="24" s="1"/>
  <c r="J66" i="18" a="1"/>
  <c r="J66" i="18" s="1"/>
  <c r="F66" i="18" a="1"/>
  <c r="F66" i="18" s="1"/>
  <c r="J42" i="28"/>
  <c r="C42" i="28" s="1" a="1"/>
  <c r="C42" i="28" s="1"/>
  <c r="C71" i="27" a="1"/>
  <c r="C71" i="27" s="1"/>
  <c r="H71" i="27" a="1"/>
  <c r="H71" i="27" s="1"/>
  <c r="G71" i="27" a="1"/>
  <c r="G71" i="27" s="1"/>
  <c r="F71" i="27" a="1"/>
  <c r="F71" i="27" s="1"/>
  <c r="E71" i="27" a="1"/>
  <c r="E71" i="27" s="1"/>
  <c r="J47" i="26"/>
  <c r="C47" i="26" s="1" a="1"/>
  <c r="C47" i="26" s="1"/>
  <c r="J56" i="27"/>
  <c r="C56" i="27" s="1" a="1"/>
  <c r="C56" i="27" s="1"/>
  <c r="H71" i="23" a="1"/>
  <c r="H71" i="23" s="1"/>
  <c r="G71" i="23" a="1"/>
  <c r="G71" i="23" s="1"/>
  <c r="C71" i="23" a="1"/>
  <c r="C71" i="23" s="1"/>
  <c r="F71" i="23" a="1"/>
  <c r="F71" i="23" s="1"/>
  <c r="E71" i="23" a="1"/>
  <c r="E71" i="23" s="1"/>
  <c r="J36" i="24" a="1"/>
  <c r="J36" i="24" s="1"/>
  <c r="J53" i="24" a="1"/>
  <c r="J53" i="24" s="1"/>
  <c r="H73" i="23" a="1"/>
  <c r="H73" i="23" s="1"/>
  <c r="G73" i="23" a="1"/>
  <c r="G73" i="23" s="1"/>
  <c r="C73" i="23" a="1"/>
  <c r="C73" i="23" s="1"/>
  <c r="F73" i="23" a="1"/>
  <c r="F73" i="23" s="1"/>
  <c r="E73" i="23" a="1"/>
  <c r="E73" i="23" s="1"/>
  <c r="J64" i="24" a="1"/>
  <c r="J64" i="24" s="1"/>
  <c r="J20" i="24" a="1"/>
  <c r="J20" i="24" s="1"/>
  <c r="J31" i="24" a="1"/>
  <c r="J31" i="24" s="1"/>
  <c r="F70" i="23" a="1"/>
  <c r="F70" i="23" s="1"/>
  <c r="E70" i="23" a="1"/>
  <c r="E70" i="23" s="1"/>
  <c r="H70" i="23" a="1"/>
  <c r="H70" i="23" s="1"/>
  <c r="G70" i="23" a="1"/>
  <c r="G70" i="23" s="1"/>
  <c r="C70" i="23" a="1"/>
  <c r="C70" i="23" s="1"/>
  <c r="H71" i="19" a="1"/>
  <c r="H71" i="19" s="1"/>
  <c r="F71" i="19" a="1"/>
  <c r="F71" i="19" s="1"/>
  <c r="G71" i="19" a="1"/>
  <c r="G71" i="19" s="1"/>
  <c r="C71" i="19" a="1"/>
  <c r="C71" i="19" s="1"/>
  <c r="E71" i="19" a="1"/>
  <c r="E71" i="19" s="1"/>
  <c r="J62" i="24" a="1"/>
  <c r="J62" i="24" s="1"/>
  <c r="J40" i="24" a="1"/>
  <c r="J40" i="24" s="1"/>
  <c r="J32" i="24" a="1"/>
  <c r="J32" i="24" s="1"/>
  <c r="J52" i="24" a="1"/>
  <c r="J52" i="24" s="1"/>
  <c r="J47" i="24" a="1"/>
  <c r="J47" i="24" s="1"/>
  <c r="J60" i="20"/>
  <c r="C60" i="20" s="1" a="1"/>
  <c r="C60" i="20" s="1"/>
  <c r="J40" i="20"/>
  <c r="C40" i="20" s="1" a="1"/>
  <c r="C40" i="20" s="1"/>
  <c r="J58" i="20"/>
  <c r="C58" i="20" s="1" a="1"/>
  <c r="C58" i="20" s="1"/>
  <c r="J31" i="22"/>
  <c r="C31" i="22" s="1" a="1"/>
  <c r="C31" i="22" s="1"/>
  <c r="J17" i="19"/>
  <c r="C17" i="19" s="1" a="1"/>
  <c r="C17" i="19" s="1"/>
  <c r="G61" i="19" a="1"/>
  <c r="G61" i="19" s="1"/>
  <c r="E61" i="19" a="1"/>
  <c r="E61" i="19" s="1"/>
  <c r="H61" i="19" a="1"/>
  <c r="H61" i="19" s="1"/>
  <c r="D61" i="19" a="1"/>
  <c r="D61" i="19" s="1"/>
  <c r="F61" i="19" a="1"/>
  <c r="F61" i="19" s="1"/>
  <c r="F71" i="24" a="1"/>
  <c r="F71" i="24" s="1"/>
  <c r="E71" i="24" a="1"/>
  <c r="E71" i="24" s="1"/>
  <c r="H71" i="24" a="1"/>
  <c r="H71" i="24" s="1"/>
  <c r="G71" i="24" a="1"/>
  <c r="G71" i="24" s="1"/>
  <c r="C71" i="24" a="1"/>
  <c r="C71" i="24" s="1"/>
  <c r="J28" i="23" a="1"/>
  <c r="J28" i="23" s="1"/>
  <c r="J38" i="23" a="1"/>
  <c r="J38" i="23" s="1"/>
  <c r="J18" i="23" a="1"/>
  <c r="J18" i="23" s="1"/>
  <c r="J30" i="23" a="1"/>
  <c r="J30" i="23" s="1"/>
  <c r="J37" i="23" a="1"/>
  <c r="J37" i="23" s="1"/>
  <c r="J59" i="23" a="1"/>
  <c r="J59" i="23" s="1"/>
  <c r="E75" i="22" a="1"/>
  <c r="E75" i="22" s="1"/>
  <c r="H75" i="22" a="1"/>
  <c r="H75" i="22" s="1"/>
  <c r="G75" i="22" a="1"/>
  <c r="G75" i="22" s="1"/>
  <c r="C75" i="22" a="1"/>
  <c r="C75" i="22" s="1"/>
  <c r="F75" i="22" a="1"/>
  <c r="F75" i="22" s="1"/>
  <c r="E69" i="20" a="1"/>
  <c r="E69" i="20" s="1"/>
  <c r="H69" i="20" a="1"/>
  <c r="H69" i="20" s="1"/>
  <c r="G69" i="20" a="1"/>
  <c r="G69" i="20" s="1"/>
  <c r="C69" i="20" a="1"/>
  <c r="C69" i="20" s="1"/>
  <c r="F69" i="20" a="1"/>
  <c r="F69" i="20" s="1"/>
  <c r="E69" i="21" a="1"/>
  <c r="E69" i="21" s="1"/>
  <c r="H69" i="21" a="1"/>
  <c r="H69" i="21" s="1"/>
  <c r="G69" i="21" a="1"/>
  <c r="G69" i="21" s="1"/>
  <c r="C69" i="21" a="1"/>
  <c r="C69" i="21" s="1"/>
  <c r="F69" i="21" a="1"/>
  <c r="F69" i="21" s="1"/>
  <c r="J27" i="21"/>
  <c r="C27" i="21" s="1" a="1"/>
  <c r="C27" i="21" s="1"/>
  <c r="J38" i="21"/>
  <c r="J62" i="21" a="1"/>
  <c r="J62" i="21" s="1"/>
  <c r="J54" i="18" a="1"/>
  <c r="J54" i="18" s="1"/>
  <c r="F54" i="18" a="1"/>
  <c r="F54" i="18" s="1"/>
  <c r="J63" i="18" a="1"/>
  <c r="J63" i="18" s="1"/>
  <c r="F63" i="18" a="1"/>
  <c r="F63" i="18" s="1"/>
  <c r="J59" i="17" a="1"/>
  <c r="J59" i="17" s="1"/>
  <c r="F59" i="17" a="1"/>
  <c r="F59" i="17" s="1"/>
  <c r="J67" i="17" a="1"/>
  <c r="J67" i="17" s="1"/>
  <c r="F67" i="17" a="1"/>
  <c r="F67" i="17" s="1"/>
  <c r="J38" i="28"/>
  <c r="C38" i="28" s="1" a="1"/>
  <c r="C38" i="28" s="1"/>
  <c r="J56" i="28"/>
  <c r="J55" i="28"/>
  <c r="J49" i="28"/>
  <c r="C72" i="27" a="1"/>
  <c r="C72" i="27" s="1"/>
  <c r="H72" i="27" a="1"/>
  <c r="H72" i="27" s="1"/>
  <c r="G72" i="27" a="1"/>
  <c r="G72" i="27" s="1"/>
  <c r="F72" i="27" a="1"/>
  <c r="F72" i="27" s="1"/>
  <c r="E72" i="27" a="1"/>
  <c r="E72" i="27" s="1"/>
  <c r="J18" i="26"/>
  <c r="C18" i="26" s="1" a="1"/>
  <c r="C18" i="26" s="1"/>
  <c r="J54" i="26"/>
  <c r="J52" i="26"/>
  <c r="G44" i="26" a="1"/>
  <c r="G44" i="26" s="1"/>
  <c r="F44" i="26" a="1"/>
  <c r="F44" i="26" s="1"/>
  <c r="E44" i="26" a="1"/>
  <c r="E44" i="26" s="1"/>
  <c r="H44" i="26" a="1"/>
  <c r="H44" i="26" s="1"/>
  <c r="D44" i="26" a="1"/>
  <c r="D44" i="26" s="1"/>
  <c r="J37" i="26"/>
  <c r="C37" i="26" s="1" a="1"/>
  <c r="C37" i="26" s="1"/>
  <c r="J55" i="27"/>
  <c r="C55" i="27" s="1" a="1"/>
  <c r="C55" i="27" s="1"/>
  <c r="J27" i="27"/>
  <c r="C27" i="27" s="1" a="1"/>
  <c r="C27" i="27" s="1"/>
  <c r="J42" i="27"/>
  <c r="C42" i="27" s="1" a="1"/>
  <c r="C42" i="27" s="1"/>
  <c r="E75" i="25" a="1"/>
  <c r="E75" i="25" s="1"/>
  <c r="H75" i="25" a="1"/>
  <c r="H75" i="25" s="1"/>
  <c r="G75" i="25" a="1"/>
  <c r="G75" i="25" s="1"/>
  <c r="C75" i="25" a="1"/>
  <c r="C75" i="25" s="1"/>
  <c r="F75" i="25" a="1"/>
  <c r="F75" i="25" s="1"/>
  <c r="F75" i="28" a="1"/>
  <c r="F75" i="28" s="1"/>
  <c r="E75" i="28" a="1"/>
  <c r="E75" i="28" s="1"/>
  <c r="H75" i="28" a="1"/>
  <c r="H75" i="28" s="1"/>
  <c r="G75" i="28" a="1"/>
  <c r="G75" i="28" s="1"/>
  <c r="C75" i="28" a="1"/>
  <c r="C75" i="28" s="1"/>
  <c r="E69" i="29" a="1"/>
  <c r="E69" i="29" s="1"/>
  <c r="H69" i="29" a="1"/>
  <c r="H69" i="29" s="1"/>
  <c r="C69" i="29" a="1"/>
  <c r="C69" i="29" s="1"/>
  <c r="G69" i="29" a="1"/>
  <c r="G69" i="29" s="1"/>
  <c r="F69" i="29" a="1"/>
  <c r="F69" i="29" s="1"/>
  <c r="J42" i="25"/>
  <c r="C42" i="25" s="1" a="1"/>
  <c r="C42" i="25" s="1"/>
  <c r="J59" i="25"/>
  <c r="C59" i="25" s="1" a="1"/>
  <c r="C59" i="25" s="1"/>
  <c r="J18" i="25"/>
  <c r="J55" i="25"/>
  <c r="J52" i="25"/>
  <c r="G70" i="26" a="1"/>
  <c r="G70" i="26" s="1"/>
  <c r="C70" i="26" a="1"/>
  <c r="C70" i="26" s="1"/>
  <c r="F70" i="26" a="1"/>
  <c r="F70" i="26" s="1"/>
  <c r="E70" i="26" a="1"/>
  <c r="E70" i="26" s="1"/>
  <c r="H70" i="26" a="1"/>
  <c r="H70" i="26" s="1"/>
  <c r="J37" i="34" a="1"/>
  <c r="J37" i="34" s="1"/>
  <c r="J22" i="34" a="1"/>
  <c r="J22" i="34" s="1"/>
  <c r="J36" i="34" a="1"/>
  <c r="J36" i="34" s="1"/>
  <c r="J29" i="34" a="1"/>
  <c r="J29" i="34" s="1"/>
  <c r="J35" i="34" a="1"/>
  <c r="J35" i="34" s="1"/>
  <c r="J24" i="34" a="1"/>
  <c r="J24" i="34" s="1"/>
  <c r="E75" i="33" a="1"/>
  <c r="E75" i="33" s="1"/>
  <c r="H75" i="33" a="1"/>
  <c r="H75" i="33" s="1"/>
  <c r="G75" i="33" a="1"/>
  <c r="G75" i="33" s="1"/>
  <c r="C75" i="33" a="1"/>
  <c r="C75" i="33" s="1"/>
  <c r="F75" i="33" a="1"/>
  <c r="F75" i="33" s="1"/>
  <c r="J60" i="33" a="1"/>
  <c r="J60" i="33" s="1"/>
  <c r="J40" i="33" a="1"/>
  <c r="J40" i="33" s="1"/>
  <c r="D40" i="33" s="1"/>
  <c r="J53" i="33" a="1"/>
  <c r="J53" i="33" s="1"/>
  <c r="J32" i="33" a="1"/>
  <c r="J32" i="33" s="1"/>
  <c r="J42" i="33" a="1"/>
  <c r="J42" i="33" s="1"/>
  <c r="J21" i="33" a="1"/>
  <c r="J21" i="33" s="1"/>
  <c r="D21" i="33" s="1"/>
  <c r="H73" i="34" a="1"/>
  <c r="H73" i="34" s="1"/>
  <c r="G73" i="34" a="1"/>
  <c r="G73" i="34" s="1"/>
  <c r="F73" i="34" a="1"/>
  <c r="F73" i="34" s="1"/>
  <c r="E73" i="34" a="1"/>
  <c r="E73" i="34" s="1"/>
  <c r="C73" i="34" a="1"/>
  <c r="C73" i="34" s="1"/>
  <c r="F75" i="19" a="1"/>
  <c r="F75" i="19" s="1"/>
  <c r="E75" i="19" a="1"/>
  <c r="E75" i="19" s="1"/>
  <c r="H75" i="19" a="1"/>
  <c r="H75" i="19" s="1"/>
  <c r="C75" i="19" a="1"/>
  <c r="C75" i="19" s="1"/>
  <c r="G75" i="19" a="1"/>
  <c r="G75" i="19" s="1"/>
  <c r="J60" i="24" a="1"/>
  <c r="J60" i="24" s="1"/>
  <c r="J35" i="24" a="1"/>
  <c r="J35" i="24" s="1"/>
  <c r="J63" i="20" a="1"/>
  <c r="J63" i="20" s="1"/>
  <c r="D63" i="20" s="1"/>
  <c r="J62" i="19" a="1"/>
  <c r="J62" i="19" s="1"/>
  <c r="D62" i="19" s="1"/>
  <c r="J44" i="23" a="1"/>
  <c r="J44" i="23" s="1"/>
  <c r="J22" i="23" a="1"/>
  <c r="J22" i="23" s="1"/>
  <c r="J17" i="23" a="1"/>
  <c r="J17" i="23" s="1"/>
  <c r="J39" i="23" a="1"/>
  <c r="J39" i="23" s="1"/>
  <c r="J57" i="23" a="1"/>
  <c r="J57" i="23" s="1"/>
  <c r="G72" i="22" a="1"/>
  <c r="G72" i="22" s="1"/>
  <c r="C72" i="22" a="1"/>
  <c r="C72" i="22" s="1"/>
  <c r="F72" i="22" a="1"/>
  <c r="F72" i="22" s="1"/>
  <c r="E72" i="22" a="1"/>
  <c r="E72" i="22" s="1"/>
  <c r="H72" i="22" a="1"/>
  <c r="H72" i="22" s="1"/>
  <c r="E73" i="20" a="1"/>
  <c r="E73" i="20" s="1"/>
  <c r="H73" i="20" a="1"/>
  <c r="H73" i="20" s="1"/>
  <c r="G73" i="20" a="1"/>
  <c r="G73" i="20" s="1"/>
  <c r="C73" i="20" a="1"/>
  <c r="C73" i="20" s="1"/>
  <c r="F73" i="20" a="1"/>
  <c r="F73" i="20" s="1"/>
  <c r="E73" i="21" a="1"/>
  <c r="E73" i="21" s="1"/>
  <c r="H73" i="21" a="1"/>
  <c r="H73" i="21" s="1"/>
  <c r="G73" i="21" a="1"/>
  <c r="G73" i="21" s="1"/>
  <c r="C73" i="21" a="1"/>
  <c r="C73" i="21" s="1"/>
  <c r="F73" i="21" a="1"/>
  <c r="F73" i="21" s="1"/>
  <c r="J59" i="21"/>
  <c r="C59" i="21" s="1" a="1"/>
  <c r="C59" i="21" s="1"/>
  <c r="J61" i="18" a="1"/>
  <c r="J61" i="18" s="1"/>
  <c r="F61" i="18" a="1"/>
  <c r="F61" i="18" s="1"/>
  <c r="J65" i="18" a="1"/>
  <c r="J65" i="18" s="1"/>
  <c r="F65" i="18" a="1"/>
  <c r="F65" i="18" s="1"/>
  <c r="J63" i="17" a="1"/>
  <c r="J63" i="17" s="1"/>
  <c r="E63" i="17" s="1" a="1"/>
  <c r="E63" i="17" s="1"/>
  <c r="F63" i="17" a="1"/>
  <c r="F63" i="17" s="1"/>
  <c r="J66" i="17" a="1"/>
  <c r="J66" i="17" s="1"/>
  <c r="F66" i="17" a="1"/>
  <c r="F66" i="17" s="1"/>
  <c r="J53" i="28"/>
  <c r="C53" i="28" s="1" a="1"/>
  <c r="C53" i="28" s="1"/>
  <c r="J57" i="28"/>
  <c r="C57" i="28" s="1" a="1"/>
  <c r="C57" i="28" s="1"/>
  <c r="E75" i="27" a="1"/>
  <c r="E75" i="27" s="1"/>
  <c r="G75" i="27" a="1"/>
  <c r="G75" i="27" s="1"/>
  <c r="F75" i="27" a="1"/>
  <c r="F75" i="27" s="1"/>
  <c r="C75" i="27" a="1"/>
  <c r="C75" i="27" s="1"/>
  <c r="H75" i="27" a="1"/>
  <c r="H75" i="27" s="1"/>
  <c r="J33" i="26"/>
  <c r="C33" i="26" s="1" a="1"/>
  <c r="C33" i="26" s="1"/>
  <c r="J43" i="26"/>
  <c r="C43" i="26" s="1" a="1"/>
  <c r="C43" i="26" s="1"/>
  <c r="J17" i="26"/>
  <c r="C17" i="26" s="1" a="1"/>
  <c r="C17" i="26" s="1"/>
  <c r="J27" i="26"/>
  <c r="J30" i="27"/>
  <c r="G74" i="25" a="1"/>
  <c r="G74" i="25" s="1"/>
  <c r="C74" i="25" a="1"/>
  <c r="C74" i="25" s="1"/>
  <c r="F74" i="25" a="1"/>
  <c r="F74" i="25" s="1"/>
  <c r="E74" i="25" a="1"/>
  <c r="E74" i="25" s="1"/>
  <c r="H74" i="25" a="1"/>
  <c r="H74" i="25" s="1"/>
  <c r="G71" i="28" a="1"/>
  <c r="G71" i="28" s="1"/>
  <c r="E71" i="28" a="1"/>
  <c r="E71" i="28" s="1"/>
  <c r="H71" i="28" a="1"/>
  <c r="H71" i="28" s="1"/>
  <c r="F71" i="28" a="1"/>
  <c r="F71" i="28" s="1"/>
  <c r="C71" i="28" a="1"/>
  <c r="C71" i="28" s="1"/>
  <c r="J56" i="25"/>
  <c r="J49" i="25"/>
  <c r="J40" i="25"/>
  <c r="C40" i="25" s="1" a="1"/>
  <c r="C40" i="25" s="1"/>
  <c r="J32" i="25"/>
  <c r="E73" i="26" a="1"/>
  <c r="E73" i="26" s="1"/>
  <c r="H73" i="26" a="1"/>
  <c r="H73" i="26" s="1"/>
  <c r="G73" i="26" a="1"/>
  <c r="G73" i="26" s="1"/>
  <c r="C73" i="26" a="1"/>
  <c r="C73" i="26" s="1"/>
  <c r="F73" i="26" a="1"/>
  <c r="F73" i="26" s="1"/>
  <c r="J50" i="34" a="1"/>
  <c r="J50" i="34" s="1"/>
  <c r="J21" i="34" a="1"/>
  <c r="J21" i="34" s="1"/>
  <c r="J30" i="34" a="1"/>
  <c r="J30" i="34" s="1"/>
  <c r="J40" i="34" a="1"/>
  <c r="J40" i="34" s="1"/>
  <c r="J32" i="34" a="1"/>
  <c r="J32" i="34" s="1"/>
  <c r="E73" i="33" a="1"/>
  <c r="E73" i="33" s="1"/>
  <c r="H73" i="33" a="1"/>
  <c r="H73" i="33" s="1"/>
  <c r="G73" i="33" a="1"/>
  <c r="G73" i="33" s="1"/>
  <c r="C73" i="33" a="1"/>
  <c r="C73" i="33" s="1"/>
  <c r="F73" i="33" a="1"/>
  <c r="F73" i="33" s="1"/>
  <c r="J52" i="33" a="1"/>
  <c r="J52" i="33" s="1"/>
  <c r="J17" i="33" a="1"/>
  <c r="J17" i="33" s="1"/>
  <c r="D17" i="33" s="1"/>
  <c r="F31" i="33" a="1"/>
  <c r="F31" i="33" s="1"/>
  <c r="E31" i="33" a="1"/>
  <c r="E31" i="33" s="1"/>
  <c r="J23" i="33" a="1"/>
  <c r="J23" i="33" s="1"/>
  <c r="J54" i="33" a="1"/>
  <c r="J54" i="33" s="1"/>
  <c r="J29" i="33" a="1"/>
  <c r="J29" i="33" s="1"/>
  <c r="G70" i="34" a="1"/>
  <c r="G70" i="34" s="1"/>
  <c r="F70" i="34" a="1"/>
  <c r="F70" i="34" s="1"/>
  <c r="E70" i="34" a="1"/>
  <c r="E70" i="34" s="1"/>
  <c r="H70" i="34" a="1"/>
  <c r="H70" i="34" s="1"/>
  <c r="C70" i="34" a="1"/>
  <c r="C70" i="34" s="1"/>
  <c r="J37" i="24" a="1"/>
  <c r="J37" i="24" s="1"/>
  <c r="J38" i="20"/>
  <c r="J28" i="22"/>
  <c r="C28" i="22" s="1" a="1"/>
  <c r="C28" i="22" s="1"/>
  <c r="J38" i="22"/>
  <c r="C38" i="22" s="1" a="1"/>
  <c r="C38" i="22" s="1"/>
  <c r="J32" i="19"/>
  <c r="C32" i="19" s="1" a="1"/>
  <c r="C32" i="19" s="1"/>
  <c r="J45" i="23" a="1"/>
  <c r="J45" i="23" s="1"/>
  <c r="F72" i="23" a="1"/>
  <c r="F72" i="23" s="1"/>
  <c r="E72" i="23" a="1"/>
  <c r="E72" i="23" s="1"/>
  <c r="H72" i="23" a="1"/>
  <c r="H72" i="23" s="1"/>
  <c r="G72" i="23" a="1"/>
  <c r="G72" i="23" s="1"/>
  <c r="C72" i="23" a="1"/>
  <c r="C72" i="23" s="1"/>
  <c r="J26" i="24" a="1"/>
  <c r="J26" i="24" s="1"/>
  <c r="J18" i="24" a="1"/>
  <c r="J18" i="24" s="1"/>
  <c r="J21" i="24" a="1"/>
  <c r="J21" i="24" s="1"/>
  <c r="J55" i="24" a="1"/>
  <c r="J55" i="24" s="1"/>
  <c r="J31" i="20"/>
  <c r="C31" i="20" s="1" a="1"/>
  <c r="C31" i="20" s="1"/>
  <c r="J33" i="22"/>
  <c r="C33" i="22" s="1" a="1"/>
  <c r="C33" i="22" s="1"/>
  <c r="J59" i="22"/>
  <c r="C59" i="22" s="1" a="1"/>
  <c r="C59" i="22" s="1"/>
  <c r="J59" i="19"/>
  <c r="C59" i="19" s="1" a="1"/>
  <c r="C59" i="19" s="1"/>
  <c r="J29" i="19"/>
  <c r="C29" i="19" s="1" a="1"/>
  <c r="C29" i="19" s="1"/>
  <c r="F75" i="24" a="1"/>
  <c r="F75" i="24" s="1"/>
  <c r="E75" i="24" a="1"/>
  <c r="E75" i="24" s="1"/>
  <c r="H75" i="24" a="1"/>
  <c r="H75" i="24" s="1"/>
  <c r="G75" i="24" a="1"/>
  <c r="G75" i="24" s="1"/>
  <c r="C75" i="24" a="1"/>
  <c r="C75" i="24" s="1"/>
  <c r="J56" i="23" a="1"/>
  <c r="J56" i="23" s="1"/>
  <c r="H69" i="23" a="1"/>
  <c r="H69" i="23" s="1"/>
  <c r="G69" i="23" a="1"/>
  <c r="G69" i="23" s="1"/>
  <c r="C69" i="23" a="1"/>
  <c r="C69" i="23" s="1"/>
  <c r="F69" i="23" a="1"/>
  <c r="F69" i="23" s="1"/>
  <c r="E69" i="23" a="1"/>
  <c r="E69" i="23" s="1"/>
  <c r="H73" i="19" a="1"/>
  <c r="H73" i="19" s="1"/>
  <c r="G73" i="19" a="1"/>
  <c r="G73" i="19" s="1"/>
  <c r="C73" i="19" a="1"/>
  <c r="C73" i="19" s="1"/>
  <c r="F73" i="19" a="1"/>
  <c r="F73" i="19" s="1"/>
  <c r="E73" i="19" a="1"/>
  <c r="E73" i="19" s="1"/>
  <c r="J56" i="24" a="1"/>
  <c r="J56" i="24" s="1"/>
  <c r="J44" i="24" a="1"/>
  <c r="J44" i="24" s="1"/>
  <c r="J33" i="24" a="1"/>
  <c r="J33" i="24" s="1"/>
  <c r="J29" i="24" a="1"/>
  <c r="J29" i="24" s="1"/>
  <c r="J43" i="24" a="1"/>
  <c r="J43" i="24" s="1"/>
  <c r="J63" i="24" a="1"/>
  <c r="J63" i="24" s="1"/>
  <c r="J56" i="20"/>
  <c r="C56" i="20" s="1" a="1"/>
  <c r="C56" i="20" s="1"/>
  <c r="J33" i="20"/>
  <c r="C33" i="20" s="1" a="1"/>
  <c r="C33" i="20" s="1"/>
  <c r="J63" i="22" a="1"/>
  <c r="J63" i="22" s="1"/>
  <c r="J60" i="22"/>
  <c r="C60" i="22" s="1" a="1"/>
  <c r="C60" i="22" s="1"/>
  <c r="J30" i="22"/>
  <c r="C30" i="22" s="1" a="1"/>
  <c r="C30" i="22" s="1"/>
  <c r="J38" i="19"/>
  <c r="C38" i="19" s="1" a="1"/>
  <c r="C38" i="19" s="1"/>
  <c r="J64" i="19" a="1"/>
  <c r="J64" i="19" s="1"/>
  <c r="D64" i="19" s="1"/>
  <c r="J30" i="19"/>
  <c r="C30" i="19" s="1" a="1"/>
  <c r="C30" i="19" s="1"/>
  <c r="J40" i="19"/>
  <c r="C40" i="19" s="1" a="1"/>
  <c r="C40" i="19" s="1"/>
  <c r="H68" i="24" a="1"/>
  <c r="H68" i="24" s="1"/>
  <c r="G68" i="24" a="1"/>
  <c r="G68" i="24" s="1"/>
  <c r="C68" i="24" a="1"/>
  <c r="C68" i="24" s="1"/>
  <c r="F68" i="24" a="1"/>
  <c r="F68" i="24" s="1"/>
  <c r="E68" i="24" a="1"/>
  <c r="E68" i="24" s="1"/>
  <c r="J42" i="23" a="1"/>
  <c r="J42" i="23" s="1"/>
  <c r="J52" i="23" a="1"/>
  <c r="J52" i="23" s="1"/>
  <c r="J34" i="23" a="1"/>
  <c r="J34" i="23" s="1"/>
  <c r="J21" i="23" a="1"/>
  <c r="J21" i="23" s="1"/>
  <c r="J41" i="23" a="1"/>
  <c r="J41" i="23" s="1"/>
  <c r="J61" i="23" a="1"/>
  <c r="J61" i="23" s="1"/>
  <c r="G68" i="22" a="1"/>
  <c r="G68" i="22" s="1"/>
  <c r="C68" i="22" a="1"/>
  <c r="C68" i="22" s="1"/>
  <c r="F68" i="22" a="1"/>
  <c r="F68" i="22" s="1"/>
  <c r="E68" i="22" a="1"/>
  <c r="E68" i="22" s="1"/>
  <c r="H68" i="22" a="1"/>
  <c r="H68" i="22" s="1"/>
  <c r="G70" i="20" a="1"/>
  <c r="G70" i="20" s="1"/>
  <c r="C70" i="20" a="1"/>
  <c r="C70" i="20" s="1"/>
  <c r="F70" i="20" a="1"/>
  <c r="F70" i="20" s="1"/>
  <c r="E70" i="20" a="1"/>
  <c r="E70" i="20" s="1"/>
  <c r="H70" i="20" a="1"/>
  <c r="H70" i="20" s="1"/>
  <c r="G68" i="21" a="1"/>
  <c r="G68" i="21" s="1"/>
  <c r="C68" i="21" a="1"/>
  <c r="C68" i="21" s="1"/>
  <c r="F68" i="21" a="1"/>
  <c r="F68" i="21" s="1"/>
  <c r="E68" i="21" a="1"/>
  <c r="E68" i="21" s="1"/>
  <c r="H68" i="21" a="1"/>
  <c r="H68" i="21" s="1"/>
  <c r="J37" i="21"/>
  <c r="C37" i="21" s="1" a="1"/>
  <c r="C37" i="21" s="1"/>
  <c r="J29" i="21"/>
  <c r="C29" i="21" s="1" a="1"/>
  <c r="C29" i="21" s="1"/>
  <c r="J30" i="21"/>
  <c r="C30" i="21" s="1" a="1"/>
  <c r="C30" i="21" s="1"/>
  <c r="J58" i="18" a="1"/>
  <c r="J58" i="18" s="1"/>
  <c r="F58" i="18" a="1"/>
  <c r="F58" i="18" s="1"/>
  <c r="J62" i="18" a="1"/>
  <c r="J62" i="18" s="1"/>
  <c r="F62" i="18" a="1"/>
  <c r="F62" i="18" s="1"/>
  <c r="J52" i="17" a="1"/>
  <c r="J52" i="17" s="1"/>
  <c r="F52" i="17" a="1"/>
  <c r="F52" i="17" s="1"/>
  <c r="J48" i="28"/>
  <c r="C48" i="28" s="1" a="1"/>
  <c r="C48" i="28" s="1"/>
  <c r="J54" i="28"/>
  <c r="C54" i="28" s="1" a="1"/>
  <c r="C54" i="28" s="1"/>
  <c r="J37" i="28"/>
  <c r="C37" i="28" s="1" a="1"/>
  <c r="C37" i="28" s="1"/>
  <c r="C73" i="27" a="1"/>
  <c r="C73" i="27" s="1"/>
  <c r="H73" i="27" a="1"/>
  <c r="H73" i="27" s="1"/>
  <c r="G73" i="27" a="1"/>
  <c r="G73" i="27" s="1"/>
  <c r="F73" i="27" a="1"/>
  <c r="F73" i="27" s="1"/>
  <c r="E73" i="27" a="1"/>
  <c r="E73" i="27" s="1"/>
  <c r="J20" i="26"/>
  <c r="C20" i="26" s="1" a="1"/>
  <c r="C20" i="26" s="1"/>
  <c r="J42" i="26"/>
  <c r="C42" i="26" s="1" a="1"/>
  <c r="C42" i="26" s="1"/>
  <c r="J41" i="26"/>
  <c r="C41" i="26" s="1" a="1"/>
  <c r="C41" i="26" s="1"/>
  <c r="J38" i="26"/>
  <c r="C38" i="26" s="1" a="1"/>
  <c r="C38" i="26" s="1"/>
  <c r="J29" i="27"/>
  <c r="C29" i="27" s="1" a="1"/>
  <c r="C29" i="27" s="1"/>
  <c r="J31" i="27"/>
  <c r="C31" i="27" s="1" a="1"/>
  <c r="C31" i="27" s="1"/>
  <c r="J33" i="27"/>
  <c r="C33" i="27" s="1" a="1"/>
  <c r="C33" i="27" s="1"/>
  <c r="J48" i="27"/>
  <c r="C48" i="27" s="1" a="1"/>
  <c r="C48" i="27" s="1"/>
  <c r="J41" i="27"/>
  <c r="E73" i="25" a="1"/>
  <c r="E73" i="25" s="1"/>
  <c r="H73" i="25" a="1"/>
  <c r="H73" i="25" s="1"/>
  <c r="G73" i="25" a="1"/>
  <c r="G73" i="25" s="1"/>
  <c r="C73" i="25" a="1"/>
  <c r="C73" i="25" s="1"/>
  <c r="F73" i="25" a="1"/>
  <c r="F73" i="25" s="1"/>
  <c r="H70" i="28" a="1"/>
  <c r="H70" i="28" s="1"/>
  <c r="C70" i="28" a="1"/>
  <c r="C70" i="28" s="1"/>
  <c r="F70" i="28" a="1"/>
  <c r="F70" i="28" s="1"/>
  <c r="E70" i="28" a="1"/>
  <c r="E70" i="28" s="1"/>
  <c r="G70" i="28" a="1"/>
  <c r="G70" i="28" s="1"/>
  <c r="H71" i="29" a="1"/>
  <c r="H71" i="29" s="1"/>
  <c r="F71" i="29" a="1"/>
  <c r="F71" i="29" s="1"/>
  <c r="E71" i="29" a="1"/>
  <c r="E71" i="29" s="1"/>
  <c r="C71" i="29" a="1"/>
  <c r="C71" i="29" s="1"/>
  <c r="G71" i="29" a="1"/>
  <c r="G71" i="29" s="1"/>
  <c r="E34" i="25" a="1"/>
  <c r="E34" i="25" s="1"/>
  <c r="H34" i="25" a="1"/>
  <c r="H34" i="25" s="1"/>
  <c r="D34" i="25" a="1"/>
  <c r="D34" i="25" s="1"/>
  <c r="G34" i="25" a="1"/>
  <c r="G34" i="25" s="1"/>
  <c r="F34" i="25" a="1"/>
  <c r="F34" i="25" s="1"/>
  <c r="J27" i="25"/>
  <c r="C27" i="25" s="1" a="1"/>
  <c r="C27" i="25" s="1"/>
  <c r="J41" i="25"/>
  <c r="C41" i="25" s="1" a="1"/>
  <c r="C41" i="25" s="1"/>
  <c r="H44" i="25" a="1"/>
  <c r="H44" i="25" s="1"/>
  <c r="D44" i="25" a="1"/>
  <c r="D44" i="25" s="1"/>
  <c r="G44" i="25" a="1"/>
  <c r="G44" i="25" s="1"/>
  <c r="F44" i="25" a="1"/>
  <c r="F44" i="25" s="1"/>
  <c r="E44" i="25" a="1"/>
  <c r="E44" i="25" s="1"/>
  <c r="J24" i="25"/>
  <c r="C24" i="25" s="1" a="1"/>
  <c r="C24" i="25" s="1"/>
  <c r="E71" i="26" a="1"/>
  <c r="E71" i="26" s="1"/>
  <c r="H71" i="26" a="1"/>
  <c r="H71" i="26" s="1"/>
  <c r="G71" i="26" a="1"/>
  <c r="G71" i="26" s="1"/>
  <c r="C71" i="26" a="1"/>
  <c r="C71" i="26" s="1"/>
  <c r="F71" i="26" a="1"/>
  <c r="F71" i="26" s="1"/>
  <c r="J31" i="34" a="1"/>
  <c r="J31" i="34" s="1"/>
  <c r="J26" i="34" a="1"/>
  <c r="J26" i="34" s="1"/>
  <c r="J34" i="34" a="1"/>
  <c r="J34" i="34" s="1"/>
  <c r="J17" i="34" a="1"/>
  <c r="J17" i="34" s="1"/>
  <c r="J48" i="34" a="1"/>
  <c r="J48" i="34" s="1"/>
  <c r="J45" i="34" a="1"/>
  <c r="J45" i="34" s="1"/>
  <c r="G68" i="33" a="1"/>
  <c r="G68" i="33" s="1"/>
  <c r="C68" i="33" a="1"/>
  <c r="C68" i="33" s="1"/>
  <c r="F68" i="33" a="1"/>
  <c r="F68" i="33" s="1"/>
  <c r="E68" i="33" a="1"/>
  <c r="E68" i="33" s="1"/>
  <c r="H68" i="33" a="1"/>
  <c r="H68" i="33" s="1"/>
  <c r="J43" i="33" a="1"/>
  <c r="J43" i="33" s="1"/>
  <c r="J48" i="33" a="1"/>
  <c r="J48" i="33" s="1"/>
  <c r="J36" i="33" a="1"/>
  <c r="J36" i="33" s="1"/>
  <c r="J62" i="33" a="1"/>
  <c r="J62" i="33" s="1"/>
  <c r="J26" i="33" a="1"/>
  <c r="J26" i="33" s="1"/>
  <c r="J33" i="33" a="1"/>
  <c r="J33" i="33" s="1"/>
  <c r="H72" i="34" a="1"/>
  <c r="H72" i="34" s="1"/>
  <c r="G72" i="34" a="1"/>
  <c r="G72" i="34" s="1"/>
  <c r="F72" i="34" a="1"/>
  <c r="F72" i="34" s="1"/>
  <c r="E72" i="34" a="1"/>
  <c r="E72" i="34" s="1"/>
  <c r="C72" i="34" a="1"/>
  <c r="C72" i="34" s="1"/>
  <c r="J31" i="18" a="1"/>
  <c r="J31" i="18" s="1"/>
  <c r="D31" i="18" s="1"/>
  <c r="J21" i="18" a="1"/>
  <c r="J21" i="18" s="1"/>
  <c r="D21" i="18" s="1"/>
  <c r="J29" i="18" a="1"/>
  <c r="J29" i="18" s="1"/>
  <c r="D29" i="18" s="1"/>
  <c r="J25" i="18" a="1"/>
  <c r="J25" i="18" s="1"/>
  <c r="D25" i="18" s="1"/>
  <c r="J32" i="18" a="1"/>
  <c r="J32" i="18" s="1"/>
  <c r="D32" i="18" s="1"/>
  <c r="J45" i="18" a="1"/>
  <c r="J45" i="18" s="1"/>
  <c r="D45" i="18" s="1"/>
  <c r="J33" i="18" a="1"/>
  <c r="J33" i="18" s="1"/>
  <c r="D33" i="18" s="1"/>
  <c r="J23" i="18" a="1"/>
  <c r="J23" i="18" s="1"/>
  <c r="D23" i="18" s="1"/>
  <c r="J48" i="18" a="1"/>
  <c r="J48" i="18" s="1"/>
  <c r="D48" i="18" s="1"/>
  <c r="J27" i="18" a="1"/>
  <c r="J27" i="18" s="1"/>
  <c r="D27" i="18" s="1"/>
  <c r="J28" i="18" a="1"/>
  <c r="J28" i="18" s="1"/>
  <c r="D28" i="18" s="1"/>
  <c r="J42" i="18" a="1"/>
  <c r="J42" i="18" s="1"/>
  <c r="D42" i="18" s="1"/>
  <c r="J34" i="18" a="1"/>
  <c r="J34" i="18" s="1"/>
  <c r="D34" i="18" s="1"/>
  <c r="J19" i="18" a="1"/>
  <c r="J19" i="18" s="1"/>
  <c r="D19" i="18" s="1"/>
  <c r="J39" i="18" a="1"/>
  <c r="J39" i="18" s="1"/>
  <c r="D39" i="18" s="1"/>
  <c r="J38" i="18" a="1"/>
  <c r="J38" i="18" s="1"/>
  <c r="D38" i="18" s="1"/>
  <c r="J22" i="18" a="1"/>
  <c r="J22" i="18" s="1"/>
  <c r="D22" i="18" s="1"/>
  <c r="J40" i="18" a="1"/>
  <c r="J40" i="18" s="1"/>
  <c r="D40" i="18" s="1"/>
  <c r="J18" i="18" a="1"/>
  <c r="J18" i="18" s="1"/>
  <c r="D18" i="18" s="1"/>
  <c r="J17" i="18" a="1"/>
  <c r="J17" i="18" s="1"/>
  <c r="D17" i="18" s="1"/>
  <c r="J20" i="18" a="1"/>
  <c r="J20" i="18" s="1"/>
  <c r="D20" i="18" s="1"/>
  <c r="J24" i="18" a="1"/>
  <c r="J24" i="18" s="1"/>
  <c r="D24" i="18" s="1"/>
  <c r="J26" i="18" a="1"/>
  <c r="J26" i="18" s="1"/>
  <c r="D26" i="18" s="1"/>
  <c r="J35" i="18" a="1"/>
  <c r="J35" i="18" s="1"/>
  <c r="D35" i="18" s="1"/>
  <c r="J36" i="18" a="1"/>
  <c r="J36" i="18" s="1"/>
  <c r="D36" i="18" s="1"/>
  <c r="J46" i="18" a="1"/>
  <c r="J46" i="18" s="1"/>
  <c r="D46" i="18" s="1"/>
  <c r="J30" i="18" a="1"/>
  <c r="J30" i="18" s="1"/>
  <c r="D30" i="18" s="1"/>
  <c r="J43" i="18" a="1"/>
  <c r="J43" i="18" s="1"/>
  <c r="D43" i="18" s="1"/>
  <c r="J37" i="18" a="1"/>
  <c r="J37" i="18" s="1"/>
  <c r="D37" i="18" s="1"/>
  <c r="J41" i="18" a="1"/>
  <c r="J41" i="18" s="1"/>
  <c r="D41" i="18" s="1"/>
  <c r="J47" i="18" a="1"/>
  <c r="J47" i="18" s="1"/>
  <c r="D47" i="18" s="1"/>
  <c r="J44" i="18" a="1"/>
  <c r="J44" i="18" s="1"/>
  <c r="D44" i="18" s="1"/>
  <c r="J44" i="17" a="1"/>
  <c r="J44" i="17" s="1"/>
  <c r="D44" i="17" s="1"/>
  <c r="J41" i="17" a="1"/>
  <c r="J41" i="17" s="1"/>
  <c r="D41" i="17" s="1"/>
  <c r="J42" i="17" a="1"/>
  <c r="J42" i="17" s="1"/>
  <c r="D42" i="17" s="1"/>
  <c r="J27" i="17" a="1"/>
  <c r="J27" i="17" s="1"/>
  <c r="D27" i="17" s="1"/>
  <c r="J22" i="17" a="1"/>
  <c r="J22" i="17" s="1"/>
  <c r="D22" i="17" s="1"/>
  <c r="J34" i="17" a="1"/>
  <c r="J34" i="17" s="1"/>
  <c r="D34" i="17" s="1"/>
  <c r="J29" i="17" a="1"/>
  <c r="J29" i="17" s="1"/>
  <c r="D29" i="17" s="1"/>
  <c r="J20" i="17" a="1"/>
  <c r="J20" i="17" s="1"/>
  <c r="D20" i="17" s="1"/>
  <c r="J36" i="17" a="1"/>
  <c r="J36" i="17" s="1"/>
  <c r="D36" i="17" s="1"/>
  <c r="J43" i="17" a="1"/>
  <c r="J43" i="17" s="1"/>
  <c r="D43" i="17" s="1"/>
  <c r="J40" i="17" a="1"/>
  <c r="J40" i="17" s="1"/>
  <c r="D40" i="17" s="1"/>
  <c r="J32" i="17" a="1"/>
  <c r="J32" i="17" s="1"/>
  <c r="D32" i="17" s="1"/>
  <c r="J39" i="17" a="1"/>
  <c r="J39" i="17" s="1"/>
  <c r="D39" i="17" s="1"/>
  <c r="J30" i="17" a="1"/>
  <c r="J30" i="17" s="1"/>
  <c r="D30" i="17" s="1"/>
  <c r="J19" i="17" a="1"/>
  <c r="J19" i="17" s="1"/>
  <c r="D19" i="17" s="1"/>
  <c r="J26" i="17" a="1"/>
  <c r="J26" i="17" s="1"/>
  <c r="D26" i="17" s="1"/>
  <c r="J33" i="17" a="1"/>
  <c r="J33" i="17" s="1"/>
  <c r="D33" i="17" s="1"/>
  <c r="J21" i="17" a="1"/>
  <c r="J21" i="17" s="1"/>
  <c r="D21" i="17" s="1"/>
  <c r="J48" i="17" a="1"/>
  <c r="J48" i="17" s="1"/>
  <c r="D48" i="17" s="1"/>
  <c r="J28" i="17" a="1"/>
  <c r="J28" i="17" s="1"/>
  <c r="D28" i="17" s="1"/>
  <c r="J31" i="17" a="1"/>
  <c r="J31" i="17" s="1"/>
  <c r="D31" i="17" s="1"/>
  <c r="J37" i="17" a="1"/>
  <c r="J37" i="17" s="1"/>
  <c r="D37" i="17" s="1"/>
  <c r="J46" i="17" a="1"/>
  <c r="J46" i="17" s="1"/>
  <c r="D46" i="17" s="1"/>
  <c r="J38" i="17" a="1"/>
  <c r="J38" i="17" s="1"/>
  <c r="D38" i="17" s="1"/>
  <c r="J25" i="17" a="1"/>
  <c r="J25" i="17" s="1"/>
  <c r="D25" i="17" s="1"/>
  <c r="J45" i="17" a="1"/>
  <c r="J45" i="17" s="1"/>
  <c r="D45" i="17" s="1"/>
  <c r="J35" i="17" a="1"/>
  <c r="J35" i="17" s="1"/>
  <c r="D35" i="17" s="1"/>
  <c r="J47" i="17" a="1"/>
  <c r="J47" i="17" s="1"/>
  <c r="D47" i="17" s="1"/>
  <c r="J24" i="17" a="1"/>
  <c r="J24" i="17" s="1"/>
  <c r="D24" i="17" s="1"/>
  <c r="J18" i="17" a="1"/>
  <c r="J18" i="17" s="1"/>
  <c r="D18" i="17" s="1"/>
  <c r="J23" i="17" a="1"/>
  <c r="J23" i="17" s="1"/>
  <c r="D23" i="17" s="1"/>
  <c r="J73" i="33" a="1"/>
  <c r="J73" i="33" s="1"/>
  <c r="J70" i="34" a="1"/>
  <c r="J70" i="34" s="1"/>
  <c r="J68" i="33" a="1"/>
  <c r="J68" i="33" s="1"/>
  <c r="J72" i="34" a="1"/>
  <c r="J72" i="34" s="1"/>
  <c r="J72" i="33" a="1"/>
  <c r="J72" i="33" s="1"/>
  <c r="J74" i="34" a="1"/>
  <c r="J74" i="34" s="1"/>
  <c r="J71" i="33" a="1"/>
  <c r="J71" i="33" s="1"/>
  <c r="J71" i="34" a="1"/>
  <c r="J71" i="34" s="1"/>
  <c r="J69" i="33" a="1"/>
  <c r="J69" i="33" s="1"/>
  <c r="J75" i="34" a="1"/>
  <c r="J75" i="34" s="1"/>
  <c r="J74" i="33" a="1"/>
  <c r="J74" i="33" s="1"/>
  <c r="J69" i="34" a="1"/>
  <c r="J69" i="34" s="1"/>
  <c r="J70" i="33" a="1"/>
  <c r="J70" i="33" s="1"/>
  <c r="J68" i="34" a="1"/>
  <c r="J68" i="34" s="1"/>
  <c r="J75" i="33" a="1"/>
  <c r="J75" i="33" s="1"/>
  <c r="J73" i="34" a="1"/>
  <c r="J73" i="34" s="1"/>
  <c r="J68" i="27" a="1"/>
  <c r="J68" i="27" s="1"/>
  <c r="J73" i="28" a="1"/>
  <c r="J73" i="28" s="1"/>
  <c r="J71" i="29" a="1"/>
  <c r="J71" i="29" s="1"/>
  <c r="J73" i="26" a="1"/>
  <c r="J73" i="26" s="1"/>
  <c r="J72" i="27" a="1"/>
  <c r="J72" i="27" s="1"/>
  <c r="J74" i="28" a="1"/>
  <c r="J74" i="28" s="1"/>
  <c r="J70" i="29" a="1"/>
  <c r="J70" i="29" s="1"/>
  <c r="J71" i="26" a="1"/>
  <c r="J71" i="26" s="1"/>
  <c r="J75" i="27" a="1"/>
  <c r="J75" i="27" s="1"/>
  <c r="J69" i="28" a="1"/>
  <c r="J69" i="28" s="1"/>
  <c r="J68" i="29" a="1"/>
  <c r="J68" i="29" s="1"/>
  <c r="J68" i="26" a="1"/>
  <c r="J68" i="26" s="1"/>
  <c r="J73" i="27" a="1"/>
  <c r="J73" i="27" s="1"/>
  <c r="J72" i="28" a="1"/>
  <c r="J72" i="28" s="1"/>
  <c r="J72" i="26" a="1"/>
  <c r="J72" i="26" s="1"/>
  <c r="J71" i="27" a="1"/>
  <c r="J71" i="27" s="1"/>
  <c r="J68" i="28" a="1"/>
  <c r="J68" i="28" s="1"/>
  <c r="J75" i="26" a="1"/>
  <c r="J75" i="26" s="1"/>
  <c r="J70" i="27" a="1"/>
  <c r="J70" i="27" s="1"/>
  <c r="J75" i="28" a="1"/>
  <c r="J75" i="28" s="1"/>
  <c r="J74" i="26" a="1"/>
  <c r="J74" i="26" s="1"/>
  <c r="J74" i="27" a="1"/>
  <c r="J74" i="27" s="1"/>
  <c r="J71" i="28" a="1"/>
  <c r="J71" i="28" s="1"/>
  <c r="J69" i="29" a="1"/>
  <c r="J69" i="29" s="1"/>
  <c r="J69" i="26" a="1"/>
  <c r="J69" i="26" s="1"/>
  <c r="J69" i="27" a="1"/>
  <c r="J69" i="27" s="1"/>
  <c r="J70" i="28" a="1"/>
  <c r="J70" i="28" s="1"/>
  <c r="J70" i="26" a="1"/>
  <c r="J70" i="26" s="1"/>
  <c r="J72" i="25" a="1"/>
  <c r="J72" i="25" s="1"/>
  <c r="J69" i="25" a="1"/>
  <c r="J69" i="25" s="1"/>
  <c r="J68" i="25" a="1"/>
  <c r="J68" i="25" s="1"/>
  <c r="J71" i="25" a="1"/>
  <c r="J71" i="25" s="1"/>
  <c r="J75" i="25" a="1"/>
  <c r="J75" i="25" s="1"/>
  <c r="J74" i="25" a="1"/>
  <c r="J74" i="25" s="1"/>
  <c r="J73" i="25" a="1"/>
  <c r="J73" i="25" s="1"/>
  <c r="J70" i="25" a="1"/>
  <c r="J70" i="25" s="1"/>
  <c r="J74" i="24" a="1"/>
  <c r="J74" i="24" s="1"/>
  <c r="J71" i="24" a="1"/>
  <c r="J71" i="24" s="1"/>
  <c r="J75" i="24" a="1"/>
  <c r="J75" i="24" s="1"/>
  <c r="J68" i="24" a="1"/>
  <c r="J68" i="24" s="1"/>
  <c r="J72" i="24" a="1"/>
  <c r="J72" i="24" s="1"/>
  <c r="J70" i="24" a="1"/>
  <c r="J70" i="24" s="1"/>
  <c r="J69" i="24" a="1"/>
  <c r="J69" i="24" s="1"/>
  <c r="J73" i="24" a="1"/>
  <c r="J73" i="24" s="1"/>
  <c r="J70" i="23" a="1"/>
  <c r="J70" i="23" s="1"/>
  <c r="J69" i="23" a="1"/>
  <c r="J69" i="23" s="1"/>
  <c r="J74" i="23" a="1"/>
  <c r="J74" i="23" s="1"/>
  <c r="J68" i="23" a="1"/>
  <c r="J68" i="23" s="1"/>
  <c r="J71" i="23" a="1"/>
  <c r="J71" i="23" s="1"/>
  <c r="J73" i="23" a="1"/>
  <c r="J73" i="23" s="1"/>
  <c r="J75" i="23" a="1"/>
  <c r="J75" i="23" s="1"/>
  <c r="J72" i="23" a="1"/>
  <c r="J72" i="23" s="1"/>
  <c r="J75" i="22" a="1"/>
  <c r="J75" i="22" s="1"/>
  <c r="J72" i="22" a="1"/>
  <c r="J72" i="22" s="1"/>
  <c r="J68" i="22" a="1"/>
  <c r="J68" i="22" s="1"/>
  <c r="J70" i="22" a="1"/>
  <c r="J70" i="22" s="1"/>
  <c r="J73" i="22" a="1"/>
  <c r="J73" i="22" s="1"/>
  <c r="J74" i="22" a="1"/>
  <c r="J74" i="22" s="1"/>
  <c r="J69" i="22" a="1"/>
  <c r="J69" i="22" s="1"/>
  <c r="J71" i="22" a="1"/>
  <c r="J71" i="22" s="1"/>
  <c r="J75" i="21" a="1"/>
  <c r="J75" i="21" s="1"/>
  <c r="J71" i="21" a="1"/>
  <c r="J71" i="21" s="1"/>
  <c r="J69" i="21" a="1"/>
  <c r="J69" i="21" s="1"/>
  <c r="J73" i="21" a="1"/>
  <c r="J73" i="21" s="1"/>
  <c r="J68" i="21" a="1"/>
  <c r="J68" i="21" s="1"/>
  <c r="J72" i="21" a="1"/>
  <c r="J72" i="21" s="1"/>
  <c r="J70" i="21" a="1"/>
  <c r="J70" i="21" s="1"/>
  <c r="J74" i="21" a="1"/>
  <c r="J74" i="21" s="1"/>
  <c r="J73" i="20" a="1"/>
  <c r="J73" i="20" s="1"/>
  <c r="J70" i="20" a="1"/>
  <c r="J70" i="20" s="1"/>
  <c r="J74" i="20" a="1"/>
  <c r="J74" i="20" s="1"/>
  <c r="H62" i="20"/>
  <c r="J68" i="20" a="1"/>
  <c r="J68" i="20" s="1"/>
  <c r="J72" i="20" a="1"/>
  <c r="J72" i="20" s="1"/>
  <c r="J71" i="20" a="1"/>
  <c r="J71" i="20" s="1"/>
  <c r="J69" i="20" a="1"/>
  <c r="J69" i="20" s="1"/>
  <c r="J75" i="20" a="1"/>
  <c r="J75" i="20" s="1"/>
  <c r="J72" i="19" a="1"/>
  <c r="J72" i="19" s="1"/>
  <c r="J75" i="19" a="1"/>
  <c r="J75" i="19" s="1"/>
  <c r="J73" i="19" a="1"/>
  <c r="J73" i="19" s="1"/>
  <c r="J68" i="19" a="1"/>
  <c r="J68" i="19" s="1"/>
  <c r="J71" i="19" a="1"/>
  <c r="J71" i="19" s="1"/>
  <c r="J69" i="19" a="1"/>
  <c r="J69" i="19" s="1"/>
  <c r="J70" i="19" a="1"/>
  <c r="J70" i="19" s="1"/>
  <c r="J74" i="19" a="1"/>
  <c r="J74" i="19" s="1"/>
  <c r="H65" i="17"/>
  <c r="H64" i="17"/>
  <c r="H62" i="17"/>
  <c r="H61" i="17"/>
  <c r="H18" i="33" l="1"/>
  <c r="G23" i="34" a="1"/>
  <c r="G23" i="34" s="1"/>
  <c r="E23" i="34" a="1"/>
  <c r="E23" i="34" s="1"/>
  <c r="H23" i="34"/>
  <c r="D23" i="34"/>
  <c r="H24" i="34"/>
  <c r="D24" i="34"/>
  <c r="G24" i="34" a="1"/>
  <c r="G24" i="34" s="1"/>
  <c r="E24" i="34" a="1"/>
  <c r="E24" i="34" s="1"/>
  <c r="H24" i="33"/>
  <c r="G24" i="33" a="1"/>
  <c r="G24" i="33" s="1"/>
  <c r="E24" i="33" a="1"/>
  <c r="E24" i="33" s="1"/>
  <c r="D24" i="33"/>
  <c r="G23" i="33" a="1"/>
  <c r="G23" i="33" s="1"/>
  <c r="E23" i="33" a="1"/>
  <c r="E23" i="33" s="1"/>
  <c r="D23" i="33"/>
  <c r="H23" i="33"/>
  <c r="C19" i="34" a="1"/>
  <c r="C19" i="34" s="1"/>
  <c r="D19" i="34"/>
  <c r="C33" i="33" a="1"/>
  <c r="C33" i="33" s="1"/>
  <c r="D33" i="33"/>
  <c r="C31" i="34" a="1"/>
  <c r="C31" i="34" s="1"/>
  <c r="D31" i="34"/>
  <c r="C32" i="34" a="1"/>
  <c r="C32" i="34" s="1"/>
  <c r="D32" i="34"/>
  <c r="H37" i="34"/>
  <c r="D37" i="34"/>
  <c r="C67" i="17" a="1"/>
  <c r="C67" i="17" s="1"/>
  <c r="C48" i="17" s="1"/>
  <c r="D67" i="17"/>
  <c r="H61" i="33"/>
  <c r="D61" i="33"/>
  <c r="C27" i="34" a="1"/>
  <c r="C27" i="34" s="1"/>
  <c r="D27" i="34"/>
  <c r="C62" i="34" a="1"/>
  <c r="C62" i="34" s="1"/>
  <c r="D62" i="34"/>
  <c r="C57" i="33" a="1"/>
  <c r="C57" i="33" s="1"/>
  <c r="D57" i="33"/>
  <c r="C25" i="34" a="1"/>
  <c r="C25" i="34" s="1"/>
  <c r="D25" i="34"/>
  <c r="C51" i="33" a="1"/>
  <c r="C51" i="33" s="1"/>
  <c r="D51" i="33"/>
  <c r="C44" i="34" a="1"/>
  <c r="C44" i="34" s="1"/>
  <c r="D44" i="34"/>
  <c r="H56" i="17"/>
  <c r="D56" i="17"/>
  <c r="C59" i="34" a="1"/>
  <c r="C59" i="34" s="1"/>
  <c r="D59" i="34"/>
  <c r="H64" i="18"/>
  <c r="D64" i="18"/>
  <c r="C59" i="33" a="1"/>
  <c r="C59" i="33" s="1"/>
  <c r="D59" i="33"/>
  <c r="C58" i="18" a="1"/>
  <c r="C58" i="18" s="1"/>
  <c r="C30" i="18" s="1"/>
  <c r="D58" i="18"/>
  <c r="H40" i="34"/>
  <c r="D40" i="34"/>
  <c r="H42" i="33"/>
  <c r="D42" i="33"/>
  <c r="C55" i="33" a="1"/>
  <c r="C55" i="33" s="1"/>
  <c r="D55" i="33"/>
  <c r="C51" i="34" a="1"/>
  <c r="C51" i="34" s="1"/>
  <c r="D51" i="34"/>
  <c r="H56" i="18"/>
  <c r="D56" i="18"/>
  <c r="C35" i="33" a="1"/>
  <c r="C35" i="33" s="1"/>
  <c r="D35" i="33"/>
  <c r="C58" i="33" a="1"/>
  <c r="C58" i="33" s="1"/>
  <c r="D58" i="33"/>
  <c r="C57" i="34" a="1"/>
  <c r="C57" i="34" s="1"/>
  <c r="D57" i="34"/>
  <c r="C60" i="17" a="1"/>
  <c r="C60" i="17" s="1"/>
  <c r="C33" i="17" s="1"/>
  <c r="D60" i="17"/>
  <c r="C18" i="34" a="1"/>
  <c r="C18" i="34" s="1"/>
  <c r="D18" i="34"/>
  <c r="H17" i="17"/>
  <c r="D17" i="17"/>
  <c r="C43" i="34" a="1"/>
  <c r="C43" i="34" s="1"/>
  <c r="D43" i="34"/>
  <c r="C26" i="34" a="1"/>
  <c r="C26" i="34" s="1"/>
  <c r="D26" i="34"/>
  <c r="C55" i="34" a="1"/>
  <c r="C55" i="34" s="1"/>
  <c r="D55" i="34"/>
  <c r="C26" i="33" a="1"/>
  <c r="C26" i="33" s="1"/>
  <c r="D26" i="33"/>
  <c r="C52" i="33" a="1"/>
  <c r="C52" i="33" s="1"/>
  <c r="D52" i="33"/>
  <c r="H30" i="34"/>
  <c r="D30" i="34"/>
  <c r="H32" i="33"/>
  <c r="D32" i="33"/>
  <c r="C59" i="17" a="1"/>
  <c r="C59" i="17" s="1"/>
  <c r="C31" i="17" s="1"/>
  <c r="D59" i="17"/>
  <c r="H66" i="18"/>
  <c r="D66" i="18"/>
  <c r="H41" i="34"/>
  <c r="D41" i="34"/>
  <c r="C64" i="33" a="1"/>
  <c r="C64" i="33" s="1"/>
  <c r="D64" i="33"/>
  <c r="C67" i="18" a="1"/>
  <c r="C67" i="18" s="1"/>
  <c r="C47" i="18" s="1"/>
  <c r="D67" i="18"/>
  <c r="C54" i="34" a="1"/>
  <c r="C54" i="34" s="1"/>
  <c r="D54" i="34"/>
  <c r="C53" i="18" a="1"/>
  <c r="C53" i="18" s="1"/>
  <c r="D53" i="18"/>
  <c r="C41" i="33" a="1"/>
  <c r="C41" i="33" s="1"/>
  <c r="D41" i="33"/>
  <c r="H62" i="18"/>
  <c r="D62" i="18"/>
  <c r="C66" i="17" a="1"/>
  <c r="C66" i="17" s="1"/>
  <c r="D66" i="17"/>
  <c r="C33" i="34" a="1"/>
  <c r="C33" i="34" s="1"/>
  <c r="D33" i="34"/>
  <c r="C49" i="34" a="1"/>
  <c r="C49" i="34" s="1"/>
  <c r="D49" i="34"/>
  <c r="C58" i="34" a="1"/>
  <c r="C58" i="34" s="1"/>
  <c r="D58" i="34"/>
  <c r="C44" i="33" a="1"/>
  <c r="C44" i="33" s="1"/>
  <c r="D44" i="33"/>
  <c r="C47" i="34" a="1"/>
  <c r="C47" i="34" s="1"/>
  <c r="D47" i="34"/>
  <c r="H55" i="17"/>
  <c r="D55" i="17"/>
  <c r="H57" i="17"/>
  <c r="D57" i="17"/>
  <c r="C49" i="33" a="1"/>
  <c r="C49" i="33" s="1"/>
  <c r="D49" i="33"/>
  <c r="C46" i="34" a="1"/>
  <c r="C46" i="34" s="1"/>
  <c r="D46" i="34"/>
  <c r="C46" i="33" a="1"/>
  <c r="C46" i="33" s="1"/>
  <c r="D46" i="33"/>
  <c r="C55" i="18" a="1"/>
  <c r="C55" i="18" s="1"/>
  <c r="C24" i="18" s="1"/>
  <c r="D55" i="18"/>
  <c r="H65" i="18"/>
  <c r="D65" i="18"/>
  <c r="H53" i="33"/>
  <c r="D53" i="33"/>
  <c r="H19" i="33"/>
  <c r="C48" i="33" a="1"/>
  <c r="C48" i="33" s="1"/>
  <c r="D48" i="33"/>
  <c r="C48" i="34" a="1"/>
  <c r="C48" i="34" s="1"/>
  <c r="D48" i="34"/>
  <c r="C29" i="33" a="1"/>
  <c r="C29" i="33" s="1"/>
  <c r="D29" i="33"/>
  <c r="H50" i="34"/>
  <c r="D50" i="34"/>
  <c r="H35" i="34"/>
  <c r="D35" i="34"/>
  <c r="C63" i="18" a="1"/>
  <c r="C63" i="18" s="1"/>
  <c r="C40" i="18" s="1"/>
  <c r="D63" i="18"/>
  <c r="H34" i="33"/>
  <c r="D34" i="33"/>
  <c r="C20" i="34" a="1"/>
  <c r="C20" i="34" s="1"/>
  <c r="D20" i="34"/>
  <c r="H54" i="17"/>
  <c r="D54" i="17"/>
  <c r="G20" i="33" a="1"/>
  <c r="G20" i="33" s="1"/>
  <c r="D20" i="33"/>
  <c r="C60" i="34" a="1"/>
  <c r="C60" i="34" s="1"/>
  <c r="D60" i="34"/>
  <c r="C63" i="34" a="1"/>
  <c r="C63" i="34" s="1"/>
  <c r="D63" i="34"/>
  <c r="C60" i="18" a="1"/>
  <c r="C60" i="18" s="1"/>
  <c r="C33" i="18" s="1"/>
  <c r="D60" i="18"/>
  <c r="C56" i="33" a="1"/>
  <c r="C56" i="33" s="1"/>
  <c r="D56" i="33"/>
  <c r="C57" i="18" a="1"/>
  <c r="C57" i="18" s="1"/>
  <c r="C27" i="18" s="1"/>
  <c r="D57" i="18"/>
  <c r="C45" i="34" a="1"/>
  <c r="C45" i="34" s="1"/>
  <c r="D45" i="34"/>
  <c r="C21" i="34" a="1"/>
  <c r="C21" i="34" s="1"/>
  <c r="D21" i="34"/>
  <c r="C43" i="33" a="1"/>
  <c r="C43" i="33" s="1"/>
  <c r="D43" i="33"/>
  <c r="C17" i="34" a="1"/>
  <c r="C17" i="34" s="1"/>
  <c r="D17" i="34"/>
  <c r="C52" i="17" a="1"/>
  <c r="C52" i="17" s="1"/>
  <c r="C17" i="17" s="1"/>
  <c r="D52" i="17"/>
  <c r="C54" i="33" a="1"/>
  <c r="C54" i="33" s="1"/>
  <c r="D54" i="33"/>
  <c r="H61" i="18"/>
  <c r="D61" i="18"/>
  <c r="H60" i="33"/>
  <c r="D60" i="33"/>
  <c r="H29" i="34"/>
  <c r="D29" i="34"/>
  <c r="C30" i="33" a="1"/>
  <c r="C30" i="33" s="1"/>
  <c r="D30" i="33"/>
  <c r="C58" i="17" a="1"/>
  <c r="C58" i="17" s="1"/>
  <c r="C30" i="17" s="1"/>
  <c r="D58" i="17"/>
  <c r="C28" i="33" a="1"/>
  <c r="C28" i="33" s="1"/>
  <c r="D28" i="33"/>
  <c r="C28" i="34" a="1"/>
  <c r="C28" i="34" s="1"/>
  <c r="D28" i="34"/>
  <c r="C52" i="18" a="1"/>
  <c r="C52" i="18" s="1"/>
  <c r="C18" i="18" s="1"/>
  <c r="D52" i="18"/>
  <c r="C27" i="33" a="1"/>
  <c r="C27" i="33" s="1"/>
  <c r="D27" i="33"/>
  <c r="C39" i="34" a="1"/>
  <c r="C39" i="34" s="1"/>
  <c r="D39" i="34"/>
  <c r="C59" i="18" a="1"/>
  <c r="C59" i="18" s="1"/>
  <c r="C31" i="18" s="1"/>
  <c r="D59" i="18"/>
  <c r="C50" i="33" a="1"/>
  <c r="C50" i="33" s="1"/>
  <c r="D50" i="33"/>
  <c r="C25" i="33" a="1"/>
  <c r="C25" i="33" s="1"/>
  <c r="D25" i="33"/>
  <c r="C53" i="34" a="1"/>
  <c r="C53" i="34" s="1"/>
  <c r="D53" i="34"/>
  <c r="H22" i="34"/>
  <c r="D22" i="34"/>
  <c r="C64" i="34" a="1"/>
  <c r="C64" i="34" s="1"/>
  <c r="D64" i="34"/>
  <c r="C62" i="33" a="1"/>
  <c r="C62" i="33" s="1"/>
  <c r="D62" i="33"/>
  <c r="C36" i="33" a="1"/>
  <c r="C36" i="33" s="1"/>
  <c r="D36" i="33"/>
  <c r="C34" i="34" a="1"/>
  <c r="C34" i="34" s="1"/>
  <c r="D34" i="34"/>
  <c r="C36" i="34" a="1"/>
  <c r="C36" i="34" s="1"/>
  <c r="D36" i="34"/>
  <c r="C54" i="18" a="1"/>
  <c r="C54" i="18" s="1"/>
  <c r="C21" i="18" s="1"/>
  <c r="D54" i="18"/>
  <c r="C45" i="33" a="1"/>
  <c r="C45" i="33" s="1"/>
  <c r="D45" i="33"/>
  <c r="C42" i="34" a="1"/>
  <c r="C42" i="34" s="1"/>
  <c r="D42" i="34"/>
  <c r="C53" i="17" a="1"/>
  <c r="C53" i="17" s="1"/>
  <c r="D53" i="17"/>
  <c r="C63" i="33" a="1"/>
  <c r="C63" i="33" s="1"/>
  <c r="D63" i="33"/>
  <c r="C52" i="34" a="1"/>
  <c r="C52" i="34" s="1"/>
  <c r="D52" i="34"/>
  <c r="C47" i="33" a="1"/>
  <c r="C47" i="33" s="1"/>
  <c r="D47" i="33"/>
  <c r="C61" i="34" a="1"/>
  <c r="C61" i="34" s="1"/>
  <c r="D61" i="34"/>
  <c r="C39" i="33" a="1"/>
  <c r="C39" i="33" s="1"/>
  <c r="D39" i="33"/>
  <c r="C56" i="34" a="1"/>
  <c r="C56" i="34" s="1"/>
  <c r="D56" i="34"/>
  <c r="H58" i="33"/>
  <c r="C22" i="33" a="1"/>
  <c r="C22" i="33" s="1"/>
  <c r="G22" i="33" a="1"/>
  <c r="G22" i="33" s="1"/>
  <c r="C21" i="33" a="1"/>
  <c r="C21" i="33" s="1"/>
  <c r="G21" i="33" a="1"/>
  <c r="G21" i="33" s="1"/>
  <c r="C18" i="33" a="1"/>
  <c r="C18" i="33" s="1"/>
  <c r="G18" i="33" a="1"/>
  <c r="G18" i="33" s="1"/>
  <c r="C17" i="33" a="1"/>
  <c r="C17" i="33" s="1"/>
  <c r="G17" i="33" a="1"/>
  <c r="G17" i="33" s="1"/>
  <c r="C19" i="33" a="1"/>
  <c r="C19" i="33" s="1"/>
  <c r="G19" i="33" a="1"/>
  <c r="G19" i="33" s="1"/>
  <c r="H60" i="24"/>
  <c r="E60" i="24" a="1"/>
  <c r="E60" i="24" s="1"/>
  <c r="G60" i="24" a="1"/>
  <c r="G60" i="24" s="1"/>
  <c r="D60" i="24"/>
  <c r="H40" i="24"/>
  <c r="G40" i="24" a="1"/>
  <c r="G40" i="24" s="1"/>
  <c r="E40" i="24" a="1"/>
  <c r="E40" i="24" s="1"/>
  <c r="D40" i="24"/>
  <c r="G49" i="24" a="1"/>
  <c r="G49" i="24" s="1"/>
  <c r="H49" i="24"/>
  <c r="E49" i="24" a="1"/>
  <c r="E49" i="24" s="1"/>
  <c r="D49" i="24"/>
  <c r="G23" i="24" a="1"/>
  <c r="G23" i="24" s="1"/>
  <c r="E23" i="24" a="1"/>
  <c r="E23" i="24" s="1"/>
  <c r="D23" i="24"/>
  <c r="H23" i="24"/>
  <c r="H44" i="24"/>
  <c r="G44" i="24" a="1"/>
  <c r="G44" i="24" s="1"/>
  <c r="E44" i="24" a="1"/>
  <c r="E44" i="24" s="1"/>
  <c r="D44" i="24"/>
  <c r="H56" i="24"/>
  <c r="G56" i="24" a="1"/>
  <c r="G56" i="24" s="1"/>
  <c r="E56" i="24" a="1"/>
  <c r="E56" i="24" s="1"/>
  <c r="D56" i="24"/>
  <c r="E62" i="24" a="1"/>
  <c r="E62" i="24" s="1"/>
  <c r="D62" i="24"/>
  <c r="G62" i="24" a="1"/>
  <c r="G62" i="24" s="1"/>
  <c r="H62" i="24"/>
  <c r="E50" i="24" a="1"/>
  <c r="E50" i="24" s="1"/>
  <c r="D50" i="24"/>
  <c r="G50" i="24" a="1"/>
  <c r="G50" i="24" s="1"/>
  <c r="H50" i="24"/>
  <c r="H48" i="24"/>
  <c r="G48" i="24" a="1"/>
  <c r="G48" i="24" s="1"/>
  <c r="E48" i="24" a="1"/>
  <c r="E48" i="24" s="1"/>
  <c r="D48" i="24"/>
  <c r="E34" i="24" a="1"/>
  <c r="E34" i="24" s="1"/>
  <c r="D34" i="24"/>
  <c r="H34" i="24"/>
  <c r="G34" i="24" a="1"/>
  <c r="G34" i="24" s="1"/>
  <c r="G51" i="24" a="1"/>
  <c r="G51" i="24" s="1"/>
  <c r="E51" i="24" a="1"/>
  <c r="E51" i="24" s="1"/>
  <c r="H51" i="24"/>
  <c r="D51" i="24"/>
  <c r="G59" i="24" a="1"/>
  <c r="G59" i="24" s="1"/>
  <c r="H59" i="24"/>
  <c r="E59" i="24" a="1"/>
  <c r="E59" i="24" s="1"/>
  <c r="D59" i="24"/>
  <c r="H36" i="24"/>
  <c r="G36" i="24" a="1"/>
  <c r="G36" i="24" s="1"/>
  <c r="E36" i="24" a="1"/>
  <c r="E36" i="24" s="1"/>
  <c r="D36" i="24"/>
  <c r="G39" i="24" a="1"/>
  <c r="G39" i="24" s="1"/>
  <c r="H39" i="24"/>
  <c r="E39" i="24" a="1"/>
  <c r="E39" i="24" s="1"/>
  <c r="D39" i="24"/>
  <c r="G19" i="24" a="1"/>
  <c r="G19" i="24" s="1"/>
  <c r="E19" i="24" a="1"/>
  <c r="E19" i="24" s="1"/>
  <c r="D19" i="24"/>
  <c r="H19" i="24"/>
  <c r="E46" i="24" a="1"/>
  <c r="E46" i="24" s="1"/>
  <c r="D46" i="24"/>
  <c r="H46" i="24"/>
  <c r="G46" i="24" a="1"/>
  <c r="G46" i="24" s="1"/>
  <c r="E22" i="24" a="1"/>
  <c r="E22" i="24" s="1"/>
  <c r="D22" i="24"/>
  <c r="H22" i="24"/>
  <c r="G22" i="24" a="1"/>
  <c r="G22" i="24" s="1"/>
  <c r="G45" i="24" a="1"/>
  <c r="G45" i="24" s="1"/>
  <c r="H45" i="24"/>
  <c r="D45" i="24"/>
  <c r="E45" i="24" a="1"/>
  <c r="E45" i="24" s="1"/>
  <c r="D57" i="24"/>
  <c r="H57" i="24"/>
  <c r="G57" i="24" a="1"/>
  <c r="G57" i="24" s="1"/>
  <c r="E57" i="24" a="1"/>
  <c r="E57" i="24" s="1"/>
  <c r="G63" i="24" a="1"/>
  <c r="G63" i="24" s="1"/>
  <c r="E63" i="24" a="1"/>
  <c r="E63" i="24" s="1"/>
  <c r="H63" i="24"/>
  <c r="D63" i="24"/>
  <c r="G55" i="24" a="1"/>
  <c r="G55" i="24" s="1"/>
  <c r="E55" i="24" a="1"/>
  <c r="E55" i="24" s="1"/>
  <c r="H55" i="24"/>
  <c r="D55" i="24"/>
  <c r="G47" i="24" a="1"/>
  <c r="G47" i="24" s="1"/>
  <c r="H47" i="24"/>
  <c r="E47" i="24" a="1"/>
  <c r="E47" i="24" s="1"/>
  <c r="D47" i="24"/>
  <c r="E58" i="24" a="1"/>
  <c r="E58" i="24" s="1"/>
  <c r="D58" i="24"/>
  <c r="H58" i="24"/>
  <c r="G58" i="24" a="1"/>
  <c r="G58" i="24" s="1"/>
  <c r="H24" i="24"/>
  <c r="E24" i="24" a="1"/>
  <c r="E24" i="24" s="1"/>
  <c r="G24" i="24" a="1"/>
  <c r="G24" i="24" s="1"/>
  <c r="D24" i="24"/>
  <c r="E54" i="24" a="1"/>
  <c r="E54" i="24" s="1"/>
  <c r="D54" i="24"/>
  <c r="H54" i="24"/>
  <c r="G54" i="24" a="1"/>
  <c r="G54" i="24" s="1"/>
  <c r="G43" i="24" a="1"/>
  <c r="G43" i="24" s="1"/>
  <c r="H43" i="24"/>
  <c r="E43" i="24" a="1"/>
  <c r="E43" i="24" s="1"/>
  <c r="D43" i="24"/>
  <c r="E21" i="24" a="1"/>
  <c r="E21" i="24" s="1"/>
  <c r="H21" i="24"/>
  <c r="G21" i="24" a="1"/>
  <c r="G21" i="24" s="1"/>
  <c r="D21" i="24"/>
  <c r="G31" i="24" a="1"/>
  <c r="G31" i="24" s="1"/>
  <c r="H31" i="24"/>
  <c r="E31" i="24" a="1"/>
  <c r="E31" i="24" s="1"/>
  <c r="D31" i="24"/>
  <c r="G41" i="24" a="1"/>
  <c r="G41" i="24" s="1"/>
  <c r="H41" i="24"/>
  <c r="E41" i="24" a="1"/>
  <c r="E41" i="24" s="1"/>
  <c r="D41" i="24"/>
  <c r="E30" i="24" a="1"/>
  <c r="E30" i="24" s="1"/>
  <c r="D30" i="24"/>
  <c r="H30" i="24"/>
  <c r="G30" i="24" a="1"/>
  <c r="G30" i="24" s="1"/>
  <c r="H29" i="24"/>
  <c r="G29" i="24" a="1"/>
  <c r="G29" i="24" s="1"/>
  <c r="D29" i="24"/>
  <c r="E29" i="24" a="1"/>
  <c r="E29" i="24" s="1"/>
  <c r="E18" i="24" a="1"/>
  <c r="E18" i="24" s="1"/>
  <c r="D18" i="24"/>
  <c r="H18" i="24"/>
  <c r="G18" i="24" a="1"/>
  <c r="G18" i="24" s="1"/>
  <c r="G37" i="24" a="1"/>
  <c r="G37" i="24" s="1"/>
  <c r="E37" i="24" a="1"/>
  <c r="E37" i="24" s="1"/>
  <c r="H37" i="24"/>
  <c r="D37" i="24"/>
  <c r="H52" i="24"/>
  <c r="E52" i="24" a="1"/>
  <c r="E52" i="24" s="1"/>
  <c r="G52" i="24" a="1"/>
  <c r="G52" i="24" s="1"/>
  <c r="D52" i="24"/>
  <c r="H20" i="24"/>
  <c r="G20" i="24" a="1"/>
  <c r="G20" i="24" s="1"/>
  <c r="E20" i="24" a="1"/>
  <c r="E20" i="24" s="1"/>
  <c r="D20" i="24"/>
  <c r="E38" i="24" a="1"/>
  <c r="E38" i="24" s="1"/>
  <c r="H38" i="24"/>
  <c r="D38" i="24"/>
  <c r="G38" i="24" a="1"/>
  <c r="G38" i="24" s="1"/>
  <c r="G61" i="24" a="1"/>
  <c r="G61" i="24" s="1"/>
  <c r="H61" i="24"/>
  <c r="E61" i="24" a="1"/>
  <c r="E61" i="24" s="1"/>
  <c r="D61" i="24"/>
  <c r="H28" i="24"/>
  <c r="G28" i="24" a="1"/>
  <c r="G28" i="24" s="1"/>
  <c r="E28" i="24" a="1"/>
  <c r="E28" i="24" s="1"/>
  <c r="D28" i="24"/>
  <c r="E26" i="24" a="1"/>
  <c r="E26" i="24" s="1"/>
  <c r="D26" i="24"/>
  <c r="H26" i="24"/>
  <c r="G26" i="24" a="1"/>
  <c r="G26" i="24" s="1"/>
  <c r="G35" i="24" a="1"/>
  <c r="G35" i="24" s="1"/>
  <c r="E35" i="24" a="1"/>
  <c r="E35" i="24" s="1"/>
  <c r="H35" i="24"/>
  <c r="D35" i="24"/>
  <c r="H32" i="24"/>
  <c r="G32" i="24" a="1"/>
  <c r="G32" i="24" s="1"/>
  <c r="E32" i="24" a="1"/>
  <c r="E32" i="24" s="1"/>
  <c r="D32" i="24"/>
  <c r="H64" i="24"/>
  <c r="G64" i="24" a="1"/>
  <c r="G64" i="24" s="1"/>
  <c r="E64" i="24" a="1"/>
  <c r="E64" i="24" s="1"/>
  <c r="D64" i="24"/>
  <c r="H53" i="24"/>
  <c r="G53" i="24" a="1"/>
  <c r="G53" i="24" s="1"/>
  <c r="E53" i="24" a="1"/>
  <c r="E53" i="24" s="1"/>
  <c r="D53" i="24"/>
  <c r="E42" i="24" a="1"/>
  <c r="E42" i="24" s="1"/>
  <c r="D42" i="24"/>
  <c r="H42" i="24"/>
  <c r="G42" i="24" a="1"/>
  <c r="G42" i="24" s="1"/>
  <c r="E25" i="24" a="1"/>
  <c r="E25" i="24" s="1"/>
  <c r="H25" i="24"/>
  <c r="G25" i="24" a="1"/>
  <c r="G25" i="24" s="1"/>
  <c r="D25" i="24"/>
  <c r="E17" i="24" a="1"/>
  <c r="E17" i="24" s="1"/>
  <c r="G17" i="24" a="1"/>
  <c r="G17" i="24" s="1"/>
  <c r="H17" i="24"/>
  <c r="C44" i="24" a="1"/>
  <c r="C44" i="24" s="1"/>
  <c r="C60" i="24" a="1"/>
  <c r="C60" i="24" s="1"/>
  <c r="C40" i="24" a="1"/>
  <c r="C40" i="24" s="1"/>
  <c r="C36" i="24" a="1"/>
  <c r="C36" i="24" s="1"/>
  <c r="C49" i="24" a="1"/>
  <c r="C49" i="24" s="1"/>
  <c r="C23" i="24" a="1"/>
  <c r="C23" i="24" s="1"/>
  <c r="C50" i="24" a="1"/>
  <c r="C50" i="24" s="1"/>
  <c r="C48" i="24" a="1"/>
  <c r="C48" i="24" s="1"/>
  <c r="C39" i="24" a="1"/>
  <c r="C39" i="24" s="1"/>
  <c r="C34" i="24" a="1"/>
  <c r="C34" i="24" s="1"/>
  <c r="C51" i="24" a="1"/>
  <c r="C51" i="24" s="1"/>
  <c r="C59" i="24" a="1"/>
  <c r="C59" i="24" s="1"/>
  <c r="C46" i="24" a="1"/>
  <c r="C46" i="24" s="1"/>
  <c r="C22" i="24" a="1"/>
  <c r="C22" i="24" s="1"/>
  <c r="C45" i="24" a="1"/>
  <c r="C45" i="24" s="1"/>
  <c r="C57" i="24" a="1"/>
  <c r="C57" i="24" s="1"/>
  <c r="C56" i="24" a="1"/>
  <c r="C56" i="24" s="1"/>
  <c r="C19" i="24" a="1"/>
  <c r="C19" i="24" s="1"/>
  <c r="C55" i="24" a="1"/>
  <c r="C55" i="24" s="1"/>
  <c r="C47" i="24" a="1"/>
  <c r="C47" i="24" s="1"/>
  <c r="C58" i="24" a="1"/>
  <c r="C58" i="24" s="1"/>
  <c r="C24" i="24" a="1"/>
  <c r="C24" i="24" s="1"/>
  <c r="C54" i="24" a="1"/>
  <c r="C54" i="24" s="1"/>
  <c r="C43" i="24" a="1"/>
  <c r="C43" i="24" s="1"/>
  <c r="C31" i="24" a="1"/>
  <c r="C31" i="24" s="1"/>
  <c r="C41" i="24" a="1"/>
  <c r="C41" i="24" s="1"/>
  <c r="C30" i="24" a="1"/>
  <c r="C30" i="24" s="1"/>
  <c r="C29" i="24" a="1"/>
  <c r="C29" i="24" s="1"/>
  <c r="C18" i="24" a="1"/>
  <c r="C18" i="24" s="1"/>
  <c r="C37" i="24" a="1"/>
  <c r="C37" i="24" s="1"/>
  <c r="C52" i="24" a="1"/>
  <c r="C52" i="24" s="1"/>
  <c r="C20" i="24" a="1"/>
  <c r="C20" i="24" s="1"/>
  <c r="C38" i="24" a="1"/>
  <c r="C38" i="24" s="1"/>
  <c r="C61" i="24" a="1"/>
  <c r="C61" i="24" s="1"/>
  <c r="C28" i="24" a="1"/>
  <c r="C28" i="24" s="1"/>
  <c r="C26" i="24" a="1"/>
  <c r="C26" i="24" s="1"/>
  <c r="C35" i="24" a="1"/>
  <c r="C35" i="24" s="1"/>
  <c r="C32" i="24" a="1"/>
  <c r="C32" i="24" s="1"/>
  <c r="C53" i="24" a="1"/>
  <c r="C53" i="24" s="1"/>
  <c r="C42" i="24" a="1"/>
  <c r="C42" i="24" s="1"/>
  <c r="C25" i="24" a="1"/>
  <c r="C25" i="24" s="1"/>
  <c r="C17" i="24" a="1"/>
  <c r="C17" i="24" s="1"/>
  <c r="D64" i="23"/>
  <c r="H64" i="23"/>
  <c r="G64" i="23" a="1"/>
  <c r="G64" i="23" s="1"/>
  <c r="E64" i="23" a="1"/>
  <c r="E64" i="23" s="1"/>
  <c r="D63" i="23"/>
  <c r="G63" i="23" a="1"/>
  <c r="G63" i="23" s="1"/>
  <c r="E63" i="23" a="1"/>
  <c r="E63" i="23" s="1"/>
  <c r="H63" i="23"/>
  <c r="D62" i="23"/>
  <c r="H62" i="23"/>
  <c r="G62" i="23" a="1"/>
  <c r="G62" i="23" s="1"/>
  <c r="E62" i="23" a="1"/>
  <c r="E62" i="23" s="1"/>
  <c r="C41" i="23" a="1"/>
  <c r="C41" i="23" s="1"/>
  <c r="D41" i="23"/>
  <c r="C51" i="23" a="1"/>
  <c r="C51" i="23" s="1"/>
  <c r="D51" i="23"/>
  <c r="C31" i="23" a="1"/>
  <c r="C31" i="23" s="1"/>
  <c r="D31" i="23"/>
  <c r="C29" i="23" a="1"/>
  <c r="C29" i="23" s="1"/>
  <c r="D29" i="23"/>
  <c r="C48" i="23" a="1"/>
  <c r="C48" i="23" s="1"/>
  <c r="D48" i="23"/>
  <c r="C40" i="23" a="1"/>
  <c r="C40" i="23" s="1"/>
  <c r="D40" i="23"/>
  <c r="C34" i="23" a="1"/>
  <c r="C34" i="23" s="1"/>
  <c r="D34" i="23"/>
  <c r="C55" i="23" a="1"/>
  <c r="C55" i="23" s="1"/>
  <c r="D55" i="23"/>
  <c r="C47" i="23" a="1"/>
  <c r="C47" i="23" s="1"/>
  <c r="D47" i="23"/>
  <c r="C58" i="23" a="1"/>
  <c r="C58" i="23" s="1"/>
  <c r="D58" i="23"/>
  <c r="C32" i="23" a="1"/>
  <c r="C32" i="23" s="1"/>
  <c r="D32" i="23"/>
  <c r="C25" i="23" a="1"/>
  <c r="C25" i="23" s="1"/>
  <c r="D25" i="23"/>
  <c r="C42" i="23" a="1"/>
  <c r="C42" i="23" s="1"/>
  <c r="D42" i="23"/>
  <c r="C57" i="23" a="1"/>
  <c r="C57" i="23" s="1"/>
  <c r="D57" i="23"/>
  <c r="C46" i="23" a="1"/>
  <c r="C46" i="23" s="1"/>
  <c r="D46" i="23"/>
  <c r="C39" i="23" a="1"/>
  <c r="C39" i="23" s="1"/>
  <c r="D39" i="23"/>
  <c r="C30" i="23" a="1"/>
  <c r="C30" i="23" s="1"/>
  <c r="D30" i="23"/>
  <c r="C50" i="23" a="1"/>
  <c r="C50" i="23" s="1"/>
  <c r="D50" i="23"/>
  <c r="C52" i="23" a="1"/>
  <c r="C52" i="23" s="1"/>
  <c r="D52" i="23"/>
  <c r="H59" i="23"/>
  <c r="D59" i="23"/>
  <c r="C26" i="23" a="1"/>
  <c r="C26" i="23" s="1"/>
  <c r="D26" i="23"/>
  <c r="C54" i="23" a="1"/>
  <c r="C54" i="23" s="1"/>
  <c r="D54" i="23"/>
  <c r="C37" i="23" a="1"/>
  <c r="C37" i="23" s="1"/>
  <c r="D37" i="23"/>
  <c r="C61" i="23" a="1"/>
  <c r="C61" i="23" s="1"/>
  <c r="D61" i="23"/>
  <c r="C56" i="23" a="1"/>
  <c r="C56" i="23" s="1"/>
  <c r="D56" i="23"/>
  <c r="H38" i="23"/>
  <c r="D38" i="23"/>
  <c r="C36" i="23" a="1"/>
  <c r="C36" i="23" s="1"/>
  <c r="D36" i="23"/>
  <c r="C43" i="23" a="1"/>
  <c r="C43" i="23" s="1"/>
  <c r="D43" i="23"/>
  <c r="C35" i="23" a="1"/>
  <c r="C35" i="23" s="1"/>
  <c r="D35" i="23"/>
  <c r="C45" i="23" a="1"/>
  <c r="C45" i="23" s="1"/>
  <c r="D45" i="23"/>
  <c r="C44" i="23" a="1"/>
  <c r="C44" i="23" s="1"/>
  <c r="D44" i="23"/>
  <c r="C28" i="23" a="1"/>
  <c r="C28" i="23" s="1"/>
  <c r="D28" i="23"/>
  <c r="C53" i="23" a="1"/>
  <c r="C53" i="23" s="1"/>
  <c r="D53" i="23"/>
  <c r="C60" i="23" a="1"/>
  <c r="C60" i="23" s="1"/>
  <c r="D60" i="23"/>
  <c r="C49" i="23" a="1"/>
  <c r="C49" i="23" s="1"/>
  <c r="D49" i="23"/>
  <c r="C21" i="23" a="1"/>
  <c r="C21" i="23" s="1"/>
  <c r="D21" i="23"/>
  <c r="C24" i="23" a="1"/>
  <c r="C24" i="23" s="1"/>
  <c r="D24" i="23"/>
  <c r="C20" i="23" a="1"/>
  <c r="C20" i="23" s="1"/>
  <c r="D20" i="23"/>
  <c r="H60" i="17"/>
  <c r="H18" i="23"/>
  <c r="D18" i="23"/>
  <c r="C22" i="23" a="1"/>
  <c r="C22" i="23" s="1"/>
  <c r="D22" i="23"/>
  <c r="C19" i="23" a="1"/>
  <c r="C19" i="23" s="1"/>
  <c r="D19" i="23"/>
  <c r="C23" i="23" a="1"/>
  <c r="C23" i="23" s="1"/>
  <c r="D23" i="23"/>
  <c r="H57" i="18"/>
  <c r="C17" i="23" a="1"/>
  <c r="C17" i="23" s="1"/>
  <c r="D17" i="23"/>
  <c r="H20" i="33"/>
  <c r="H63" i="33"/>
  <c r="C62" i="22" a="1"/>
  <c r="C62" i="22" s="1"/>
  <c r="D62" i="22"/>
  <c r="C63" i="21" a="1"/>
  <c r="C63" i="21" s="1"/>
  <c r="D63" i="21"/>
  <c r="C62" i="21" a="1"/>
  <c r="C62" i="21" s="1"/>
  <c r="D62" i="21"/>
  <c r="C64" i="24" a="1"/>
  <c r="C64" i="24" s="1"/>
  <c r="C62" i="23" a="1"/>
  <c r="C62" i="23" s="1"/>
  <c r="C63" i="24" a="1"/>
  <c r="C63" i="24" s="1"/>
  <c r="C63" i="22" a="1"/>
  <c r="C63" i="22" s="1"/>
  <c r="D63" i="22"/>
  <c r="C64" i="23" a="1"/>
  <c r="C64" i="23" s="1"/>
  <c r="C64" i="21" a="1"/>
  <c r="C64" i="21" s="1"/>
  <c r="D64" i="21"/>
  <c r="C63" i="23" a="1"/>
  <c r="C63" i="23" s="1"/>
  <c r="C64" i="22" a="1"/>
  <c r="C64" i="22" s="1"/>
  <c r="D64" i="22"/>
  <c r="H64" i="19"/>
  <c r="E64" i="19" a="1"/>
  <c r="E64" i="19" s="1"/>
  <c r="G64" i="19" a="1"/>
  <c r="G64" i="19" s="1"/>
  <c r="E62" i="19" a="1"/>
  <c r="E62" i="19" s="1"/>
  <c r="G62" i="19" a="1"/>
  <c r="G62" i="19" s="1"/>
  <c r="H62" i="19"/>
  <c r="H63" i="19"/>
  <c r="E63" i="19" a="1"/>
  <c r="E63" i="19" s="1"/>
  <c r="G63" i="19" a="1"/>
  <c r="G63" i="19" s="1"/>
  <c r="C64" i="19" a="1"/>
  <c r="C64" i="19" s="1"/>
  <c r="C63" i="19" a="1"/>
  <c r="C63" i="19" s="1"/>
  <c r="C62" i="19" a="1"/>
  <c r="C62" i="19" s="1"/>
  <c r="H57" i="33"/>
  <c r="C63" i="20" a="1"/>
  <c r="C63" i="20" s="1"/>
  <c r="C64" i="20" a="1"/>
  <c r="C64" i="20" s="1"/>
  <c r="C62" i="20" a="1"/>
  <c r="C62" i="20" s="1"/>
  <c r="H26" i="23"/>
  <c r="H50" i="33"/>
  <c r="H25" i="34"/>
  <c r="H42" i="34"/>
  <c r="H55" i="23"/>
  <c r="H52" i="18"/>
  <c r="H49" i="34"/>
  <c r="H28" i="34"/>
  <c r="H52" i="34"/>
  <c r="H40" i="23"/>
  <c r="H30" i="33"/>
  <c r="H23" i="23"/>
  <c r="H18" i="34"/>
  <c r="H39" i="34"/>
  <c r="H58" i="17"/>
  <c r="H63" i="22"/>
  <c r="H20" i="34"/>
  <c r="H64" i="20"/>
  <c r="H28" i="33"/>
  <c r="H63" i="21"/>
  <c r="H60" i="34"/>
  <c r="H32" i="23"/>
  <c r="H51" i="33"/>
  <c r="H64" i="34"/>
  <c r="H19" i="23"/>
  <c r="H53" i="23"/>
  <c r="H53" i="18"/>
  <c r="H53" i="17"/>
  <c r="H67" i="18"/>
  <c r="H64" i="33"/>
  <c r="H28" i="23"/>
  <c r="H50" i="23"/>
  <c r="H58" i="34"/>
  <c r="H44" i="34"/>
  <c r="H26" i="33"/>
  <c r="H42" i="23"/>
  <c r="H31" i="34"/>
  <c r="H59" i="17"/>
  <c r="H63" i="34"/>
  <c r="H17" i="23"/>
  <c r="H46" i="33"/>
  <c r="H20" i="23"/>
  <c r="H30" i="23"/>
  <c r="H29" i="33"/>
  <c r="H54" i="18"/>
  <c r="H47" i="34"/>
  <c r="H54" i="33"/>
  <c r="H62" i="22"/>
  <c r="H51" i="34"/>
  <c r="H57" i="23"/>
  <c r="H39" i="23"/>
  <c r="H56" i="23"/>
  <c r="H59" i="34"/>
  <c r="H21" i="34"/>
  <c r="H45" i="34"/>
  <c r="H31" i="23"/>
  <c r="H48" i="23"/>
  <c r="H27" i="33"/>
  <c r="H60" i="23"/>
  <c r="H44" i="23"/>
  <c r="H25" i="23"/>
  <c r="H52" i="23"/>
  <c r="H35" i="23"/>
  <c r="H17" i="34"/>
  <c r="H36" i="23"/>
  <c r="H34" i="34"/>
  <c r="H63" i="18"/>
  <c r="H54" i="34"/>
  <c r="H58" i="23"/>
  <c r="H63" i="20"/>
  <c r="H52" i="17"/>
  <c r="H34" i="23"/>
  <c r="H22" i="23"/>
  <c r="H39" i="33"/>
  <c r="H36" i="33"/>
  <c r="H64" i="21"/>
  <c r="H45" i="23"/>
  <c r="H45" i="33"/>
  <c r="H49" i="33"/>
  <c r="H33" i="34"/>
  <c r="H67" i="17"/>
  <c r="H61" i="23"/>
  <c r="H51" i="23"/>
  <c r="H35" i="33"/>
  <c r="H43" i="33"/>
  <c r="H48" i="34"/>
  <c r="H25" i="33"/>
  <c r="H62" i="21"/>
  <c r="H64" i="22"/>
  <c r="H43" i="23"/>
  <c r="H22" i="33"/>
  <c r="H46" i="34"/>
  <c r="H36" i="34"/>
  <c r="H55" i="34"/>
  <c r="H62" i="34"/>
  <c r="H56" i="33"/>
  <c r="H53" i="34"/>
  <c r="H37" i="23"/>
  <c r="H21" i="33"/>
  <c r="H47" i="33"/>
  <c r="H48" i="33"/>
  <c r="H54" i="23"/>
  <c r="H21" i="23"/>
  <c r="H29" i="23"/>
  <c r="H17" i="33"/>
  <c r="H58" i="18"/>
  <c r="H47" i="23"/>
  <c r="H27" i="34"/>
  <c r="H57" i="34"/>
  <c r="H19" i="34"/>
  <c r="C20" i="33" a="1"/>
  <c r="C20" i="33" s="1"/>
  <c r="H59" i="18"/>
  <c r="H61" i="34"/>
  <c r="H66" i="17"/>
  <c r="H59" i="33"/>
  <c r="H33" i="33"/>
  <c r="H46" i="23"/>
  <c r="H26" i="34"/>
  <c r="H55" i="33"/>
  <c r="H62" i="33"/>
  <c r="H52" i="33"/>
  <c r="H55" i="18"/>
  <c r="H41" i="23"/>
  <c r="H24" i="23"/>
  <c r="H32" i="34"/>
  <c r="H44" i="33"/>
  <c r="G21" i="17" a="1"/>
  <c r="G21" i="17" s="1"/>
  <c r="E21" i="17" a="1"/>
  <c r="E21" i="17" s="1"/>
  <c r="G40" i="33" a="1"/>
  <c r="G40" i="33" s="1"/>
  <c r="F40" i="33" a="1"/>
  <c r="F40" i="33" s="1"/>
  <c r="E40" i="33" a="1"/>
  <c r="E40" i="33" s="1"/>
  <c r="G25" i="17" a="1"/>
  <c r="G25" i="17" s="1"/>
  <c r="E25" i="17" a="1"/>
  <c r="E25" i="17" s="1"/>
  <c r="G33" i="17" a="1"/>
  <c r="G33" i="17" s="1"/>
  <c r="E33" i="17" a="1"/>
  <c r="E33" i="17" s="1"/>
  <c r="E36" i="17" a="1"/>
  <c r="E36" i="17" s="1"/>
  <c r="G36" i="17" a="1"/>
  <c r="G36" i="17" s="1"/>
  <c r="E44" i="17" a="1"/>
  <c r="E44" i="17" s="1"/>
  <c r="G44" i="17" a="1"/>
  <c r="G44" i="17" s="1"/>
  <c r="E36" i="18" a="1"/>
  <c r="E36" i="18" s="1"/>
  <c r="G36" i="18" a="1"/>
  <c r="G36" i="18" s="1"/>
  <c r="G22" i="18" a="1"/>
  <c r="G22" i="18" s="1"/>
  <c r="E22" i="18" a="1"/>
  <c r="E22" i="18" s="1"/>
  <c r="E48" i="18" a="1"/>
  <c r="E48" i="18" s="1"/>
  <c r="G48" i="18" a="1"/>
  <c r="G48" i="18" s="1"/>
  <c r="E31" i="18" a="1"/>
  <c r="E31" i="18" s="1"/>
  <c r="G31" i="18" a="1"/>
  <c r="G31" i="18" s="1"/>
  <c r="G33" i="33" a="1"/>
  <c r="G33" i="33" s="1"/>
  <c r="F33" i="33" a="1"/>
  <c r="F33" i="33" s="1"/>
  <c r="E33" i="33" a="1"/>
  <c r="E33" i="33" s="1"/>
  <c r="G48" i="33" a="1"/>
  <c r="G48" i="33" s="1"/>
  <c r="F48" i="33" a="1"/>
  <c r="F48" i="33" s="1"/>
  <c r="E48" i="33" a="1"/>
  <c r="E48" i="33" s="1"/>
  <c r="G34" i="34" a="1"/>
  <c r="G34" i="34" s="1"/>
  <c r="E34" i="34" a="1"/>
  <c r="E34" i="34" s="1"/>
  <c r="E41" i="25" a="1"/>
  <c r="E41" i="25" s="1"/>
  <c r="H41" i="25" a="1"/>
  <c r="H41" i="25" s="1"/>
  <c r="D41" i="25" a="1"/>
  <c r="D41" i="25" s="1"/>
  <c r="G41" i="25" a="1"/>
  <c r="G41" i="25" s="1"/>
  <c r="F41" i="25" a="1"/>
  <c r="F41" i="25" s="1"/>
  <c r="G20" i="26" a="1"/>
  <c r="G20" i="26" s="1"/>
  <c r="F20" i="26" a="1"/>
  <c r="F20" i="26" s="1"/>
  <c r="E20" i="26" a="1"/>
  <c r="E20" i="26" s="1"/>
  <c r="H20" i="26" a="1"/>
  <c r="H20" i="26" s="1"/>
  <c r="D20" i="26" a="1"/>
  <c r="D20" i="26" s="1"/>
  <c r="D54" i="28" a="1"/>
  <c r="D54" i="28" s="1"/>
  <c r="H54" i="28" a="1"/>
  <c r="H54" i="28" s="1"/>
  <c r="G54" i="28" a="1"/>
  <c r="G54" i="28" s="1"/>
  <c r="E54" i="28" a="1"/>
  <c r="E54" i="28" s="1"/>
  <c r="F54" i="28" a="1"/>
  <c r="F54" i="28" s="1"/>
  <c r="E62" i="18" a="1"/>
  <c r="E62" i="18" s="1"/>
  <c r="G62" i="18" a="1"/>
  <c r="G62" i="18" s="1"/>
  <c r="G41" i="23" a="1"/>
  <c r="G41" i="23" s="1"/>
  <c r="E41" i="23" a="1"/>
  <c r="E41" i="23" s="1"/>
  <c r="G42" i="23" a="1"/>
  <c r="G42" i="23" s="1"/>
  <c r="E42" i="23" a="1"/>
  <c r="E42" i="23" s="1"/>
  <c r="H40" i="19" a="1"/>
  <c r="H40" i="19" s="1"/>
  <c r="F40" i="19" a="1"/>
  <c r="F40" i="19" s="1"/>
  <c r="D40" i="19" a="1"/>
  <c r="D40" i="19" s="1"/>
  <c r="E40" i="19" a="1"/>
  <c r="E40" i="19" s="1"/>
  <c r="G40" i="19" a="1"/>
  <c r="G40" i="19" s="1"/>
  <c r="G63" i="22" a="1"/>
  <c r="G63" i="22" s="1"/>
  <c r="E63" i="22" a="1"/>
  <c r="E63" i="22" s="1"/>
  <c r="G21" i="34" a="1"/>
  <c r="G21" i="34" s="1"/>
  <c r="E21" i="34" a="1"/>
  <c r="E21" i="34" s="1"/>
  <c r="G60" i="33" a="1"/>
  <c r="G60" i="33" s="1"/>
  <c r="E60" i="33" a="1"/>
  <c r="E60" i="33" s="1"/>
  <c r="F60" i="33" a="1"/>
  <c r="F60" i="33" s="1"/>
  <c r="C60" i="33" a="1"/>
  <c r="C60" i="33" s="1"/>
  <c r="E35" i="34" a="1"/>
  <c r="E35" i="34" s="1"/>
  <c r="G35" i="34" a="1"/>
  <c r="G35" i="34" s="1"/>
  <c r="C35" i="34" a="1"/>
  <c r="C35" i="34" s="1"/>
  <c r="E52" i="26" a="1"/>
  <c r="E52" i="26" s="1"/>
  <c r="H52" i="26" a="1"/>
  <c r="H52" i="26" s="1"/>
  <c r="D52" i="26" a="1"/>
  <c r="D52" i="26" s="1"/>
  <c r="G52" i="26" a="1"/>
  <c r="G52" i="26" s="1"/>
  <c r="F52" i="26" a="1"/>
  <c r="F52" i="26" s="1"/>
  <c r="C52" i="26" a="1"/>
  <c r="C52" i="26" s="1"/>
  <c r="E40" i="18" a="1"/>
  <c r="E40" i="18" s="1"/>
  <c r="G40" i="18" a="1"/>
  <c r="G40" i="18" s="1"/>
  <c r="F56" i="28" a="1"/>
  <c r="F56" i="28" s="1"/>
  <c r="E56" i="28" a="1"/>
  <c r="E56" i="28" s="1"/>
  <c r="D56" i="28" a="1"/>
  <c r="D56" i="28" s="1"/>
  <c r="H56" i="28" a="1"/>
  <c r="H56" i="28" s="1"/>
  <c r="G56" i="28" a="1"/>
  <c r="G56" i="28" s="1"/>
  <c r="C56" i="28" a="1"/>
  <c r="C56" i="28" s="1"/>
  <c r="G38" i="17" a="1"/>
  <c r="G38" i="17" s="1"/>
  <c r="E38" i="17" a="1"/>
  <c r="E38" i="17" s="1"/>
  <c r="G26" i="17" a="1"/>
  <c r="G26" i="17" s="1"/>
  <c r="E26" i="17" a="1"/>
  <c r="E26" i="17" s="1"/>
  <c r="E20" i="17" a="1"/>
  <c r="E20" i="17" s="1"/>
  <c r="G20" i="17" a="1"/>
  <c r="G20" i="17" s="1"/>
  <c r="E44" i="18" a="1"/>
  <c r="E44" i="18" s="1"/>
  <c r="G44" i="18" a="1"/>
  <c r="G44" i="18" s="1"/>
  <c r="E35" i="18" a="1"/>
  <c r="E35" i="18" s="1"/>
  <c r="G35" i="18" a="1"/>
  <c r="G35" i="18" s="1"/>
  <c r="G38" i="18" a="1"/>
  <c r="G38" i="18" s="1"/>
  <c r="E38" i="18" a="1"/>
  <c r="E38" i="18" s="1"/>
  <c r="E23" i="18" a="1"/>
  <c r="E23" i="18" s="1"/>
  <c r="G23" i="18" a="1"/>
  <c r="G23" i="18" s="1"/>
  <c r="G48" i="27" a="1"/>
  <c r="G48" i="27" s="1"/>
  <c r="F48" i="27" a="1"/>
  <c r="F48" i="27" s="1"/>
  <c r="E48" i="27" a="1"/>
  <c r="E48" i="27" s="1"/>
  <c r="D48" i="27" a="1"/>
  <c r="D48" i="27" s="1"/>
  <c r="H48" i="27" a="1"/>
  <c r="H48" i="27" s="1"/>
  <c r="G29" i="27" a="1"/>
  <c r="G29" i="27" s="1"/>
  <c r="F29" i="27" a="1"/>
  <c r="F29" i="27" s="1"/>
  <c r="E29" i="27" a="1"/>
  <c r="E29" i="27" s="1"/>
  <c r="D29" i="27" a="1"/>
  <c r="D29" i="27" s="1"/>
  <c r="H29" i="27" a="1"/>
  <c r="H29" i="27" s="1"/>
  <c r="G31" i="20" a="1"/>
  <c r="G31" i="20" s="1"/>
  <c r="F31" i="20" a="1"/>
  <c r="F31" i="20" s="1"/>
  <c r="E31" i="20" a="1"/>
  <c r="E31" i="20" s="1"/>
  <c r="D31" i="20" a="1"/>
  <c r="D31" i="20" s="1"/>
  <c r="H31" i="20" a="1"/>
  <c r="H31" i="20" s="1"/>
  <c r="G32" i="19" a="1"/>
  <c r="G32" i="19" s="1"/>
  <c r="F32" i="19" a="1"/>
  <c r="F32" i="19" s="1"/>
  <c r="E32" i="19" a="1"/>
  <c r="E32" i="19" s="1"/>
  <c r="H32" i="19" a="1"/>
  <c r="H32" i="19" s="1"/>
  <c r="D32" i="19" a="1"/>
  <c r="D32" i="19" s="1"/>
  <c r="G50" i="34" a="1"/>
  <c r="G50" i="34" s="1"/>
  <c r="E50" i="34" a="1"/>
  <c r="E50" i="34" s="1"/>
  <c r="C50" i="34" a="1"/>
  <c r="C50" i="34" s="1"/>
  <c r="G65" i="18" a="1"/>
  <c r="G65" i="18" s="1"/>
  <c r="E65" i="18" a="1"/>
  <c r="E65" i="18" s="1"/>
  <c r="G29" i="34" a="1"/>
  <c r="G29" i="34" s="1"/>
  <c r="E29" i="34" a="1"/>
  <c r="E29" i="34" s="1"/>
  <c r="C29" i="34" a="1"/>
  <c r="C29" i="34" s="1"/>
  <c r="G41" i="34" a="1"/>
  <c r="G41" i="34" s="1"/>
  <c r="E41" i="34" a="1"/>
  <c r="E41" i="34" s="1"/>
  <c r="C41" i="34" a="1"/>
  <c r="C41" i="34" s="1"/>
  <c r="E47" i="27" a="1"/>
  <c r="E47" i="27" s="1"/>
  <c r="H47" i="27" a="1"/>
  <c r="H47" i="27" s="1"/>
  <c r="D47" i="27" a="1"/>
  <c r="D47" i="27" s="1"/>
  <c r="G47" i="27" a="1"/>
  <c r="G47" i="27" s="1"/>
  <c r="F47" i="27" a="1"/>
  <c r="F47" i="27" s="1"/>
  <c r="C47" i="27" a="1"/>
  <c r="C47" i="27" s="1"/>
  <c r="F58" i="19" a="1"/>
  <c r="F58" i="19" s="1"/>
  <c r="H58" i="19" a="1"/>
  <c r="H58" i="19" s="1"/>
  <c r="E58" i="19" a="1"/>
  <c r="E58" i="19" s="1"/>
  <c r="D58" i="19" a="1"/>
  <c r="D58" i="19" s="1"/>
  <c r="G58" i="19" a="1"/>
  <c r="G58" i="19" s="1"/>
  <c r="C58" i="19" a="1"/>
  <c r="C58" i="19" s="1"/>
  <c r="E27" i="18" a="1"/>
  <c r="E27" i="18" s="1"/>
  <c r="G27" i="18" a="1"/>
  <c r="G27" i="18" s="1"/>
  <c r="H18" i="25" a="1"/>
  <c r="H18" i="25" s="1"/>
  <c r="D18" i="25" a="1"/>
  <c r="D18" i="25" s="1"/>
  <c r="G18" i="25" a="1"/>
  <c r="G18" i="25" s="1"/>
  <c r="F18" i="25" a="1"/>
  <c r="F18" i="25" s="1"/>
  <c r="E18" i="25" a="1"/>
  <c r="E18" i="25" s="1"/>
  <c r="H40" i="33"/>
  <c r="E23" i="17" a="1"/>
  <c r="E23" i="17" s="1"/>
  <c r="G23" i="17" a="1"/>
  <c r="G23" i="17" s="1"/>
  <c r="G46" i="17" a="1"/>
  <c r="G46" i="17" s="1"/>
  <c r="E46" i="17" a="1"/>
  <c r="E46" i="17" s="1"/>
  <c r="E19" i="17" a="1"/>
  <c r="E19" i="17" s="1"/>
  <c r="G19" i="17" a="1"/>
  <c r="G19" i="17" s="1"/>
  <c r="G29" i="17" a="1"/>
  <c r="G29" i="17" s="1"/>
  <c r="E29" i="17" a="1"/>
  <c r="E29" i="17" s="1"/>
  <c r="E47" i="18" a="1"/>
  <c r="E47" i="18" s="1"/>
  <c r="G47" i="18" a="1"/>
  <c r="G47" i="18" s="1"/>
  <c r="G26" i="18" a="1"/>
  <c r="G26" i="18" s="1"/>
  <c r="E26" i="18" a="1"/>
  <c r="E26" i="18" s="1"/>
  <c r="E39" i="18" a="1"/>
  <c r="E39" i="18" s="1"/>
  <c r="G39" i="18" a="1"/>
  <c r="G39" i="18" s="1"/>
  <c r="G33" i="18" a="1"/>
  <c r="G33" i="18" s="1"/>
  <c r="E33" i="18" a="1"/>
  <c r="E33" i="18" s="1"/>
  <c r="F26" i="33" a="1"/>
  <c r="F26" i="33" s="1"/>
  <c r="E26" i="33" a="1"/>
  <c r="E26" i="33" s="1"/>
  <c r="G26" i="33" a="1"/>
  <c r="G26" i="33" s="1"/>
  <c r="G43" i="33" a="1"/>
  <c r="G43" i="33" s="1"/>
  <c r="F43" i="33" a="1"/>
  <c r="F43" i="33" s="1"/>
  <c r="E43" i="33" a="1"/>
  <c r="E43" i="33" s="1"/>
  <c r="G45" i="34" a="1"/>
  <c r="G45" i="34" s="1"/>
  <c r="E45" i="34" a="1"/>
  <c r="E45" i="34" s="1"/>
  <c r="G26" i="34" a="1"/>
  <c r="G26" i="34" s="1"/>
  <c r="E26" i="34" a="1"/>
  <c r="E26" i="34" s="1"/>
  <c r="F27" i="25" a="1"/>
  <c r="F27" i="25" s="1"/>
  <c r="E27" i="25" a="1"/>
  <c r="E27" i="25" s="1"/>
  <c r="H27" i="25" a="1"/>
  <c r="H27" i="25" s="1"/>
  <c r="D27" i="25" a="1"/>
  <c r="D27" i="25" s="1"/>
  <c r="G27" i="25" a="1"/>
  <c r="G27" i="25" s="1"/>
  <c r="H41" i="26" a="1"/>
  <c r="H41" i="26" s="1"/>
  <c r="D41" i="26" a="1"/>
  <c r="D41" i="26" s="1"/>
  <c r="G41" i="26" a="1"/>
  <c r="G41" i="26" s="1"/>
  <c r="F41" i="26" a="1"/>
  <c r="F41" i="26" s="1"/>
  <c r="E41" i="26" a="1"/>
  <c r="E41" i="26" s="1"/>
  <c r="H48" i="28" a="1"/>
  <c r="H48" i="28" s="1"/>
  <c r="F48" i="28" a="1"/>
  <c r="F48" i="28" s="1"/>
  <c r="G48" i="28" a="1"/>
  <c r="G48" i="28" s="1"/>
  <c r="E48" i="28" a="1"/>
  <c r="E48" i="28" s="1"/>
  <c r="D48" i="28" a="1"/>
  <c r="D48" i="28" s="1"/>
  <c r="G30" i="21" a="1"/>
  <c r="G30" i="21" s="1"/>
  <c r="F30" i="21" a="1"/>
  <c r="F30" i="21" s="1"/>
  <c r="E30" i="21" a="1"/>
  <c r="E30" i="21" s="1"/>
  <c r="H30" i="21" a="1"/>
  <c r="H30" i="21" s="1"/>
  <c r="D30" i="21" a="1"/>
  <c r="D30" i="21" s="1"/>
  <c r="G21" i="23" a="1"/>
  <c r="G21" i="23" s="1"/>
  <c r="E21" i="23" a="1"/>
  <c r="E21" i="23" s="1"/>
  <c r="G30" i="19" a="1"/>
  <c r="G30" i="19" s="1"/>
  <c r="E30" i="19" a="1"/>
  <c r="E30" i="19" s="1"/>
  <c r="F30" i="19" a="1"/>
  <c r="F30" i="19" s="1"/>
  <c r="H30" i="19" a="1"/>
  <c r="H30" i="19" s="1"/>
  <c r="D30" i="19" a="1"/>
  <c r="D30" i="19" s="1"/>
  <c r="D38" i="19" a="1"/>
  <c r="D38" i="19" s="1"/>
  <c r="F38" i="19" a="1"/>
  <c r="F38" i="19" s="1"/>
  <c r="E38" i="19" a="1"/>
  <c r="E38" i="19" s="1"/>
  <c r="H38" i="19" a="1"/>
  <c r="H38" i="19" s="1"/>
  <c r="G38" i="19" a="1"/>
  <c r="G38" i="19" s="1"/>
  <c r="F33" i="20" a="1"/>
  <c r="F33" i="20" s="1"/>
  <c r="E33" i="20" a="1"/>
  <c r="E33" i="20" s="1"/>
  <c r="D33" i="20" a="1"/>
  <c r="D33" i="20" s="1"/>
  <c r="H33" i="20" a="1"/>
  <c r="H33" i="20" s="1"/>
  <c r="G33" i="20" a="1"/>
  <c r="G33" i="20" s="1"/>
  <c r="G56" i="20" a="1"/>
  <c r="G56" i="20" s="1"/>
  <c r="F56" i="20" a="1"/>
  <c r="F56" i="20" s="1"/>
  <c r="E56" i="20" a="1"/>
  <c r="E56" i="20" s="1"/>
  <c r="H56" i="20" a="1"/>
  <c r="H56" i="20" s="1"/>
  <c r="D56" i="20" a="1"/>
  <c r="D56" i="20" s="1"/>
  <c r="F59" i="19" a="1"/>
  <c r="F59" i="19" s="1"/>
  <c r="H59" i="19" a="1"/>
  <c r="H59" i="19" s="1"/>
  <c r="D59" i="19" a="1"/>
  <c r="D59" i="19" s="1"/>
  <c r="G59" i="19" a="1"/>
  <c r="G59" i="19" s="1"/>
  <c r="E59" i="19" a="1"/>
  <c r="E59" i="19" s="1"/>
  <c r="E17" i="33" a="1"/>
  <c r="E17" i="33" s="1"/>
  <c r="H32" i="25" a="1"/>
  <c r="H32" i="25" s="1"/>
  <c r="D32" i="25" a="1"/>
  <c r="D32" i="25" s="1"/>
  <c r="G32" i="25" a="1"/>
  <c r="G32" i="25" s="1"/>
  <c r="F32" i="25" a="1"/>
  <c r="F32" i="25" s="1"/>
  <c r="E32" i="25" a="1"/>
  <c r="E32" i="25" s="1"/>
  <c r="C32" i="25" a="1"/>
  <c r="C32" i="25" s="1"/>
  <c r="E59" i="21" a="1"/>
  <c r="E59" i="21" s="1"/>
  <c r="H59" i="21" a="1"/>
  <c r="H59" i="21" s="1"/>
  <c r="D59" i="21" a="1"/>
  <c r="D59" i="21" s="1"/>
  <c r="G59" i="21" a="1"/>
  <c r="G59" i="21" s="1"/>
  <c r="F59" i="21" a="1"/>
  <c r="F59" i="21" s="1"/>
  <c r="G39" i="23" a="1"/>
  <c r="G39" i="23" s="1"/>
  <c r="E39" i="23" a="1"/>
  <c r="E39" i="23" s="1"/>
  <c r="E21" i="33" a="1"/>
  <c r="E21" i="33" s="1"/>
  <c r="E54" i="26" a="1"/>
  <c r="E54" i="26" s="1"/>
  <c r="H54" i="26" a="1"/>
  <c r="H54" i="26" s="1"/>
  <c r="D54" i="26" a="1"/>
  <c r="D54" i="26" s="1"/>
  <c r="G54" i="26" a="1"/>
  <c r="G54" i="26" s="1"/>
  <c r="F54" i="26" a="1"/>
  <c r="F54" i="26" s="1"/>
  <c r="C54" i="26" a="1"/>
  <c r="C54" i="26" s="1"/>
  <c r="E59" i="23" a="1"/>
  <c r="E59" i="23" s="1"/>
  <c r="G59" i="23" a="1"/>
  <c r="G59" i="23" s="1"/>
  <c r="C59" i="23" a="1"/>
  <c r="C59" i="23" s="1"/>
  <c r="G34" i="33" a="1"/>
  <c r="G34" i="33" s="1"/>
  <c r="F34" i="33" a="1"/>
  <c r="F34" i="33" s="1"/>
  <c r="E34" i="33" a="1"/>
  <c r="E34" i="33" s="1"/>
  <c r="C34" i="33" a="1"/>
  <c r="C34" i="33" s="1"/>
  <c r="G45" i="17" a="1"/>
  <c r="G45" i="17" s="1"/>
  <c r="E45" i="17" a="1"/>
  <c r="E45" i="17" s="1"/>
  <c r="G21" i="18" a="1"/>
  <c r="G21" i="18" s="1"/>
  <c r="E21" i="18" a="1"/>
  <c r="E21" i="18" s="1"/>
  <c r="G18" i="17" a="1"/>
  <c r="G18" i="17" s="1"/>
  <c r="E18" i="17" a="1"/>
  <c r="E18" i="17" s="1"/>
  <c r="G37" i="17" a="1"/>
  <c r="G37" i="17" s="1"/>
  <c r="E37" i="17" a="1"/>
  <c r="E37" i="17" s="1"/>
  <c r="G30" i="17" a="1"/>
  <c r="G30" i="17" s="1"/>
  <c r="E30" i="17" a="1"/>
  <c r="E30" i="17" s="1"/>
  <c r="G34" i="17" a="1"/>
  <c r="G34" i="17" s="1"/>
  <c r="E34" i="17" a="1"/>
  <c r="E34" i="17" s="1"/>
  <c r="G41" i="18" a="1"/>
  <c r="G41" i="18" s="1"/>
  <c r="E41" i="18" a="1"/>
  <c r="E41" i="18" s="1"/>
  <c r="E24" i="18" a="1"/>
  <c r="E24" i="18" s="1"/>
  <c r="G24" i="18" a="1"/>
  <c r="G24" i="18" s="1"/>
  <c r="E19" i="18" a="1"/>
  <c r="E19" i="18" s="1"/>
  <c r="G19" i="18" a="1"/>
  <c r="G19" i="18" s="1"/>
  <c r="G45" i="18" a="1"/>
  <c r="G45" i="18" s="1"/>
  <c r="E45" i="18" a="1"/>
  <c r="E45" i="18" s="1"/>
  <c r="G33" i="27" a="1"/>
  <c r="G33" i="27" s="1"/>
  <c r="F33" i="27" a="1"/>
  <c r="F33" i="27" s="1"/>
  <c r="E33" i="27" a="1"/>
  <c r="E33" i="27" s="1"/>
  <c r="H33" i="27" a="1"/>
  <c r="H33" i="27" s="1"/>
  <c r="D33" i="27" a="1"/>
  <c r="D33" i="27" s="1"/>
  <c r="F38" i="26" a="1"/>
  <c r="F38" i="26" s="1"/>
  <c r="E38" i="26" a="1"/>
  <c r="E38" i="26" s="1"/>
  <c r="H38" i="26" a="1"/>
  <c r="H38" i="26" s="1"/>
  <c r="D38" i="26" a="1"/>
  <c r="D38" i="26" s="1"/>
  <c r="G38" i="26" a="1"/>
  <c r="G38" i="26" s="1"/>
  <c r="E58" i="18" a="1"/>
  <c r="E58" i="18" s="1"/>
  <c r="G58" i="18" a="1"/>
  <c r="G58" i="18" s="1"/>
  <c r="F38" i="22" a="1"/>
  <c r="F38" i="22" s="1"/>
  <c r="E38" i="22" a="1"/>
  <c r="E38" i="22" s="1"/>
  <c r="H38" i="22" a="1"/>
  <c r="H38" i="22" s="1"/>
  <c r="D38" i="22" a="1"/>
  <c r="D38" i="22" s="1"/>
  <c r="G38" i="22" a="1"/>
  <c r="G38" i="22" s="1"/>
  <c r="F29" i="33" a="1"/>
  <c r="F29" i="33" s="1"/>
  <c r="E29" i="33" a="1"/>
  <c r="E29" i="33" s="1"/>
  <c r="G29" i="33" a="1"/>
  <c r="G29" i="33" s="1"/>
  <c r="E27" i="26" a="1"/>
  <c r="E27" i="26" s="1"/>
  <c r="H27" i="26" a="1"/>
  <c r="H27" i="26" s="1"/>
  <c r="D27" i="26" a="1"/>
  <c r="D27" i="26" s="1"/>
  <c r="G27" i="26" a="1"/>
  <c r="G27" i="26" s="1"/>
  <c r="F27" i="26" a="1"/>
  <c r="F27" i="26" s="1"/>
  <c r="C27" i="26" a="1"/>
  <c r="C27" i="26" s="1"/>
  <c r="E61" i="18" a="1"/>
  <c r="E61" i="18" s="1"/>
  <c r="G61" i="18" a="1"/>
  <c r="G61" i="18" s="1"/>
  <c r="C61" i="18" a="1"/>
  <c r="C61" i="18" s="1"/>
  <c r="C35" i="18" s="1"/>
  <c r="G42" i="33" a="1"/>
  <c r="G42" i="33" s="1"/>
  <c r="F42" i="33" a="1"/>
  <c r="F42" i="33" s="1"/>
  <c r="E42" i="33" a="1"/>
  <c r="E42" i="33" s="1"/>
  <c r="C42" i="33" a="1"/>
  <c r="C42" i="33" s="1"/>
  <c r="G36" i="34" a="1"/>
  <c r="G36" i="34" s="1"/>
  <c r="E36" i="34" a="1"/>
  <c r="E36" i="34" s="1"/>
  <c r="C62" i="24" a="1"/>
  <c r="C62" i="24" s="1"/>
  <c r="E43" i="17" a="1"/>
  <c r="E43" i="17" s="1"/>
  <c r="G43" i="17" a="1"/>
  <c r="G43" i="17" s="1"/>
  <c r="E24" i="17" a="1"/>
  <c r="E24" i="17" s="1"/>
  <c r="G24" i="17" a="1"/>
  <c r="G24" i="17" s="1"/>
  <c r="E31" i="17" a="1"/>
  <c r="E31" i="17" s="1"/>
  <c r="G31" i="17" a="1"/>
  <c r="G31" i="17" s="1"/>
  <c r="E39" i="17" a="1"/>
  <c r="E39" i="17" s="1"/>
  <c r="G39" i="17" a="1"/>
  <c r="G39" i="17" s="1"/>
  <c r="G22" i="17" a="1"/>
  <c r="G22" i="17" s="1"/>
  <c r="E22" i="17" a="1"/>
  <c r="E22" i="17" s="1"/>
  <c r="G37" i="18" a="1"/>
  <c r="G37" i="18" s="1"/>
  <c r="E37" i="18" a="1"/>
  <c r="E37" i="18" s="1"/>
  <c r="E20" i="18" a="1"/>
  <c r="E20" i="18" s="1"/>
  <c r="G20" i="18" a="1"/>
  <c r="G20" i="18" s="1"/>
  <c r="G34" i="18" a="1"/>
  <c r="G34" i="18" s="1"/>
  <c r="E34" i="18" a="1"/>
  <c r="E34" i="18" s="1"/>
  <c r="E32" i="18" a="1"/>
  <c r="E32" i="18" s="1"/>
  <c r="G32" i="18" a="1"/>
  <c r="G32" i="18" s="1"/>
  <c r="G62" i="33" a="1"/>
  <c r="G62" i="33" s="1"/>
  <c r="E62" i="33" a="1"/>
  <c r="E62" i="33" s="1"/>
  <c r="F62" i="33" a="1"/>
  <c r="F62" i="33" s="1"/>
  <c r="G48" i="34" a="1"/>
  <c r="G48" i="34" s="1"/>
  <c r="E48" i="34" a="1"/>
  <c r="E48" i="34" s="1"/>
  <c r="E31" i="34" a="1"/>
  <c r="E31" i="34" s="1"/>
  <c r="G31" i="34" a="1"/>
  <c r="G31" i="34" s="1"/>
  <c r="H24" i="25" a="1"/>
  <c r="H24" i="25" s="1"/>
  <c r="D24" i="25" a="1"/>
  <c r="D24" i="25" s="1"/>
  <c r="G24" i="25" a="1"/>
  <c r="G24" i="25" s="1"/>
  <c r="F24" i="25" a="1"/>
  <c r="F24" i="25" s="1"/>
  <c r="E24" i="25" a="1"/>
  <c r="E24" i="25" s="1"/>
  <c r="F42" i="26" a="1"/>
  <c r="F42" i="26" s="1"/>
  <c r="E42" i="26" a="1"/>
  <c r="E42" i="26" s="1"/>
  <c r="H42" i="26" a="1"/>
  <c r="H42" i="26" s="1"/>
  <c r="D42" i="26" a="1"/>
  <c r="D42" i="26" s="1"/>
  <c r="G42" i="26" a="1"/>
  <c r="G42" i="26" s="1"/>
  <c r="E37" i="28" a="1"/>
  <c r="E37" i="28" s="1"/>
  <c r="H37" i="28" a="1"/>
  <c r="H37" i="28" s="1"/>
  <c r="D37" i="28" a="1"/>
  <c r="D37" i="28" s="1"/>
  <c r="F37" i="28" a="1"/>
  <c r="F37" i="28" s="1"/>
  <c r="G37" i="28" a="1"/>
  <c r="G37" i="28" s="1"/>
  <c r="E29" i="21" a="1"/>
  <c r="E29" i="21" s="1"/>
  <c r="H29" i="21" a="1"/>
  <c r="H29" i="21" s="1"/>
  <c r="D29" i="21" a="1"/>
  <c r="D29" i="21" s="1"/>
  <c r="G29" i="21" a="1"/>
  <c r="G29" i="21" s="1"/>
  <c r="F29" i="21" a="1"/>
  <c r="F29" i="21" s="1"/>
  <c r="G34" i="23" a="1"/>
  <c r="G34" i="23" s="1"/>
  <c r="E34" i="23" a="1"/>
  <c r="E34" i="23" s="1"/>
  <c r="G30" i="22" a="1"/>
  <c r="G30" i="22" s="1"/>
  <c r="F30" i="22" a="1"/>
  <c r="F30" i="22" s="1"/>
  <c r="E30" i="22" a="1"/>
  <c r="E30" i="22" s="1"/>
  <c r="H30" i="22" a="1"/>
  <c r="H30" i="22" s="1"/>
  <c r="D30" i="22" a="1"/>
  <c r="D30" i="22" s="1"/>
  <c r="G56" i="23" a="1"/>
  <c r="G56" i="23" s="1"/>
  <c r="E56" i="23" a="1"/>
  <c r="E56" i="23" s="1"/>
  <c r="E29" i="19" a="1"/>
  <c r="E29" i="19" s="1"/>
  <c r="H29" i="19" a="1"/>
  <c r="H29" i="19" s="1"/>
  <c r="D29" i="19" a="1"/>
  <c r="D29" i="19" s="1"/>
  <c r="G29" i="19" a="1"/>
  <c r="G29" i="19" s="1"/>
  <c r="F29" i="19" a="1"/>
  <c r="F29" i="19" s="1"/>
  <c r="E59" i="22" a="1"/>
  <c r="E59" i="22" s="1"/>
  <c r="H59" i="22" a="1"/>
  <c r="H59" i="22" s="1"/>
  <c r="D59" i="22" a="1"/>
  <c r="D59" i="22" s="1"/>
  <c r="G59" i="22" a="1"/>
  <c r="G59" i="22" s="1"/>
  <c r="F59" i="22" a="1"/>
  <c r="F59" i="22" s="1"/>
  <c r="E52" i="33" a="1"/>
  <c r="E52" i="33" s="1"/>
  <c r="G52" i="33" a="1"/>
  <c r="G52" i="33" s="1"/>
  <c r="F52" i="33" a="1"/>
  <c r="F52" i="33" s="1"/>
  <c r="G32" i="34" a="1"/>
  <c r="G32" i="34" s="1"/>
  <c r="E32" i="34" a="1"/>
  <c r="E32" i="34" s="1"/>
  <c r="G40" i="25" a="1"/>
  <c r="G40" i="25" s="1"/>
  <c r="F40" i="25" a="1"/>
  <c r="F40" i="25" s="1"/>
  <c r="E40" i="25" a="1"/>
  <c r="E40" i="25" s="1"/>
  <c r="H40" i="25" a="1"/>
  <c r="H40" i="25" s="1"/>
  <c r="D40" i="25" a="1"/>
  <c r="D40" i="25" s="1"/>
  <c r="E30" i="27" a="1"/>
  <c r="E30" i="27" s="1"/>
  <c r="H30" i="27" a="1"/>
  <c r="H30" i="27" s="1"/>
  <c r="D30" i="27" a="1"/>
  <c r="D30" i="27" s="1"/>
  <c r="G30" i="27" a="1"/>
  <c r="G30" i="27" s="1"/>
  <c r="F30" i="27" a="1"/>
  <c r="F30" i="27" s="1"/>
  <c r="C30" i="27" a="1"/>
  <c r="C30" i="27" s="1"/>
  <c r="E17" i="26" a="1"/>
  <c r="E17" i="26" s="1"/>
  <c r="H17" i="26" a="1"/>
  <c r="H17" i="26" s="1"/>
  <c r="D17" i="26" a="1"/>
  <c r="D17" i="26" s="1"/>
  <c r="G17" i="26" a="1"/>
  <c r="G17" i="26" s="1"/>
  <c r="F17" i="26" a="1"/>
  <c r="F17" i="26" s="1"/>
  <c r="G32" i="33" a="1"/>
  <c r="G32" i="33" s="1"/>
  <c r="F32" i="33" a="1"/>
  <c r="F32" i="33" s="1"/>
  <c r="E32" i="33" a="1"/>
  <c r="E32" i="33" s="1"/>
  <c r="C32" i="33" a="1"/>
  <c r="C32" i="33" s="1"/>
  <c r="G22" i="34" a="1"/>
  <c r="G22" i="34" s="1"/>
  <c r="E22" i="34" a="1"/>
  <c r="E22" i="34" s="1"/>
  <c r="C22" i="34" a="1"/>
  <c r="C22" i="34" s="1"/>
  <c r="E52" i="25" a="1"/>
  <c r="E52" i="25" s="1"/>
  <c r="H52" i="25" a="1"/>
  <c r="H52" i="25" s="1"/>
  <c r="D52" i="25" a="1"/>
  <c r="D52" i="25" s="1"/>
  <c r="G52" i="25" a="1"/>
  <c r="G52" i="25" s="1"/>
  <c r="F52" i="25" a="1"/>
  <c r="F52" i="25" s="1"/>
  <c r="C52" i="25" a="1"/>
  <c r="C52" i="25" s="1"/>
  <c r="F19" i="25" a="1"/>
  <c r="F19" i="25" s="1"/>
  <c r="E19" i="25" a="1"/>
  <c r="E19" i="25" s="1"/>
  <c r="H19" i="25" a="1"/>
  <c r="H19" i="25" s="1"/>
  <c r="D19" i="25" a="1"/>
  <c r="D19" i="25" s="1"/>
  <c r="G19" i="25" a="1"/>
  <c r="G19" i="25" s="1"/>
  <c r="C19" i="25" a="1"/>
  <c r="C19" i="25" s="1"/>
  <c r="G41" i="17" a="1"/>
  <c r="G41" i="17" s="1"/>
  <c r="E41" i="17" a="1"/>
  <c r="E41" i="17" s="1"/>
  <c r="F38" i="20" a="1"/>
  <c r="F38" i="20" s="1"/>
  <c r="E38" i="20" a="1"/>
  <c r="E38" i="20" s="1"/>
  <c r="D38" i="20" a="1"/>
  <c r="D38" i="20" s="1"/>
  <c r="H38" i="20" a="1"/>
  <c r="H38" i="20" s="1"/>
  <c r="G38" i="20" a="1"/>
  <c r="G38" i="20" s="1"/>
  <c r="G38" i="23" a="1"/>
  <c r="G38" i="23" s="1"/>
  <c r="E38" i="23" a="1"/>
  <c r="E38" i="23" s="1"/>
  <c r="C38" i="23" a="1"/>
  <c r="C38" i="23" s="1"/>
  <c r="H63" i="17"/>
  <c r="E47" i="17" a="1"/>
  <c r="E47" i="17" s="1"/>
  <c r="G47" i="17" a="1"/>
  <c r="G47" i="17" s="1"/>
  <c r="E28" i="17" a="1"/>
  <c r="E28" i="17" s="1"/>
  <c r="G28" i="17" a="1"/>
  <c r="G28" i="17" s="1"/>
  <c r="E32" i="17" a="1"/>
  <c r="E32" i="17" s="1"/>
  <c r="G32" i="17" a="1"/>
  <c r="G32" i="17" s="1"/>
  <c r="E27" i="17" a="1"/>
  <c r="E27" i="17" s="1"/>
  <c r="G27" i="17" a="1"/>
  <c r="G27" i="17" s="1"/>
  <c r="E43" i="18" a="1"/>
  <c r="E43" i="18" s="1"/>
  <c r="G43" i="18" a="1"/>
  <c r="G43" i="18" s="1"/>
  <c r="G17" i="18" a="1"/>
  <c r="G17" i="18" s="1"/>
  <c r="E17" i="18" a="1"/>
  <c r="E17" i="18" s="1"/>
  <c r="G42" i="18" a="1"/>
  <c r="G42" i="18" s="1"/>
  <c r="E42" i="18" a="1"/>
  <c r="E42" i="18" s="1"/>
  <c r="G25" i="18" a="1"/>
  <c r="G25" i="18" s="1"/>
  <c r="E25" i="18" a="1"/>
  <c r="E25" i="18" s="1"/>
  <c r="G31" i="27" a="1"/>
  <c r="G31" i="27" s="1"/>
  <c r="F31" i="27" a="1"/>
  <c r="F31" i="27" s="1"/>
  <c r="E31" i="27" a="1"/>
  <c r="E31" i="27" s="1"/>
  <c r="D31" i="27" a="1"/>
  <c r="D31" i="27" s="1"/>
  <c r="H31" i="27" a="1"/>
  <c r="H31" i="27" s="1"/>
  <c r="E52" i="17" a="1"/>
  <c r="E52" i="17" s="1"/>
  <c r="G52" i="17" a="1"/>
  <c r="G52" i="17" s="1"/>
  <c r="E33" i="22" a="1"/>
  <c r="E33" i="22" s="1"/>
  <c r="H33" i="22" a="1"/>
  <c r="H33" i="22" s="1"/>
  <c r="D33" i="22" a="1"/>
  <c r="D33" i="22" s="1"/>
  <c r="G33" i="22" a="1"/>
  <c r="G33" i="22" s="1"/>
  <c r="F33" i="22" a="1"/>
  <c r="F33" i="22" s="1"/>
  <c r="G45" i="23" a="1"/>
  <c r="G45" i="23" s="1"/>
  <c r="E45" i="23" a="1"/>
  <c r="E45" i="23" s="1"/>
  <c r="G28" i="22" a="1"/>
  <c r="G28" i="22" s="1"/>
  <c r="F28" i="22" a="1"/>
  <c r="F28" i="22" s="1"/>
  <c r="E28" i="22" a="1"/>
  <c r="E28" i="22" s="1"/>
  <c r="H28" i="22" a="1"/>
  <c r="H28" i="22" s="1"/>
  <c r="D28" i="22" a="1"/>
  <c r="D28" i="22" s="1"/>
  <c r="G54" i="33" a="1"/>
  <c r="G54" i="33" s="1"/>
  <c r="E54" i="33" a="1"/>
  <c r="E54" i="33" s="1"/>
  <c r="F54" i="33" a="1"/>
  <c r="F54" i="33" s="1"/>
  <c r="E40" i="34" a="1"/>
  <c r="E40" i="34" s="1"/>
  <c r="G40" i="34" a="1"/>
  <c r="G40" i="34" s="1"/>
  <c r="C40" i="34" a="1"/>
  <c r="C40" i="34" s="1"/>
  <c r="G49" i="25" a="1"/>
  <c r="G49" i="25" s="1"/>
  <c r="F49" i="25" a="1"/>
  <c r="F49" i="25" s="1"/>
  <c r="E49" i="25" a="1"/>
  <c r="E49" i="25" s="1"/>
  <c r="H49" i="25" a="1"/>
  <c r="H49" i="25" s="1"/>
  <c r="D49" i="25" a="1"/>
  <c r="D49" i="25" s="1"/>
  <c r="C49" i="25" a="1"/>
  <c r="C49" i="25" s="1"/>
  <c r="G66" i="17" a="1"/>
  <c r="G66" i="17" s="1"/>
  <c r="E66" i="17" a="1"/>
  <c r="E66" i="17" s="1"/>
  <c r="G53" i="33" a="1"/>
  <c r="G53" i="33" s="1"/>
  <c r="E53" i="33" a="1"/>
  <c r="E53" i="33" s="1"/>
  <c r="F53" i="33" a="1"/>
  <c r="F53" i="33" s="1"/>
  <c r="C53" i="33" a="1"/>
  <c r="C53" i="33" s="1"/>
  <c r="G37" i="34" a="1"/>
  <c r="G37" i="34" s="1"/>
  <c r="E37" i="34" a="1"/>
  <c r="E37" i="34" s="1"/>
  <c r="C37" i="34" a="1"/>
  <c r="C37" i="34" s="1"/>
  <c r="G55" i="25" a="1"/>
  <c r="G55" i="25" s="1"/>
  <c r="F55" i="25" a="1"/>
  <c r="F55" i="25" s="1"/>
  <c r="E55" i="25" a="1"/>
  <c r="E55" i="25" s="1"/>
  <c r="H55" i="25" a="1"/>
  <c r="H55" i="25" s="1"/>
  <c r="D55" i="25" a="1"/>
  <c r="D55" i="25" s="1"/>
  <c r="C55" i="25" a="1"/>
  <c r="C55" i="25" s="1"/>
  <c r="F49" i="28" a="1"/>
  <c r="F49" i="28" s="1"/>
  <c r="E49" i="28" a="1"/>
  <c r="E49" i="28" s="1"/>
  <c r="H49" i="28" a="1"/>
  <c r="H49" i="28" s="1"/>
  <c r="G49" i="28" a="1"/>
  <c r="G49" i="28" s="1"/>
  <c r="D49" i="28" a="1"/>
  <c r="D49" i="28" s="1"/>
  <c r="C49" i="28" a="1"/>
  <c r="C49" i="28" s="1"/>
  <c r="G66" i="18" a="1"/>
  <c r="G66" i="18" s="1"/>
  <c r="E66" i="18" a="1"/>
  <c r="E66" i="18" s="1"/>
  <c r="C66" i="18" a="1"/>
  <c r="C66" i="18" s="1"/>
  <c r="G46" i="18" a="1"/>
  <c r="G46" i="18" s="1"/>
  <c r="E46" i="18" a="1"/>
  <c r="E46" i="18" s="1"/>
  <c r="F41" i="27" a="1"/>
  <c r="F41" i="27" s="1"/>
  <c r="E41" i="27" a="1"/>
  <c r="E41" i="27" s="1"/>
  <c r="H41" i="27" a="1"/>
  <c r="H41" i="27" s="1"/>
  <c r="D41" i="27" a="1"/>
  <c r="D41" i="27" s="1"/>
  <c r="G41" i="27" a="1"/>
  <c r="G41" i="27" s="1"/>
  <c r="E35" i="17" a="1"/>
  <c r="E35" i="17" s="1"/>
  <c r="G35" i="17" a="1"/>
  <c r="G35" i="17" s="1"/>
  <c r="E48" i="17" a="1"/>
  <c r="E48" i="17" s="1"/>
  <c r="G48" i="17" a="1"/>
  <c r="G48" i="17" s="1"/>
  <c r="E40" i="17" a="1"/>
  <c r="E40" i="17" s="1"/>
  <c r="G40" i="17" a="1"/>
  <c r="G40" i="17" s="1"/>
  <c r="G42" i="17" a="1"/>
  <c r="G42" i="17" s="1"/>
  <c r="E42" i="17" a="1"/>
  <c r="E42" i="17" s="1"/>
  <c r="G30" i="18" a="1"/>
  <c r="G30" i="18" s="1"/>
  <c r="E30" i="18" a="1"/>
  <c r="E30" i="18" s="1"/>
  <c r="G18" i="18" a="1"/>
  <c r="G18" i="18" s="1"/>
  <c r="E18" i="18" a="1"/>
  <c r="E18" i="18" s="1"/>
  <c r="E28" i="18" a="1"/>
  <c r="E28" i="18" s="1"/>
  <c r="G28" i="18" a="1"/>
  <c r="G28" i="18" s="1"/>
  <c r="G29" i="18" a="1"/>
  <c r="G29" i="18" s="1"/>
  <c r="E29" i="18" a="1"/>
  <c r="E29" i="18" s="1"/>
  <c r="G36" i="33" a="1"/>
  <c r="G36" i="33" s="1"/>
  <c r="F36" i="33" a="1"/>
  <c r="F36" i="33" s="1"/>
  <c r="E36" i="33" a="1"/>
  <c r="E36" i="33" s="1"/>
  <c r="G17" i="34" a="1"/>
  <c r="G17" i="34" s="1"/>
  <c r="E17" i="34" a="1"/>
  <c r="E17" i="34" s="1"/>
  <c r="C41" i="27" a="1"/>
  <c r="C41" i="27" s="1"/>
  <c r="C62" i="18" a="1"/>
  <c r="C62" i="18" s="1"/>
  <c r="H37" i="21" a="1"/>
  <c r="H37" i="21" s="1"/>
  <c r="D37" i="21" a="1"/>
  <c r="D37" i="21" s="1"/>
  <c r="G37" i="21" a="1"/>
  <c r="G37" i="21" s="1"/>
  <c r="F37" i="21" a="1"/>
  <c r="F37" i="21" s="1"/>
  <c r="E37" i="21" a="1"/>
  <c r="E37" i="21" s="1"/>
  <c r="G61" i="23" a="1"/>
  <c r="G61" i="23" s="1"/>
  <c r="E61" i="23" a="1"/>
  <c r="E61" i="23" s="1"/>
  <c r="E52" i="23" a="1"/>
  <c r="E52" i="23" s="1"/>
  <c r="G52" i="23" a="1"/>
  <c r="G52" i="23" s="1"/>
  <c r="G60" i="22" a="1"/>
  <c r="G60" i="22" s="1"/>
  <c r="F60" i="22" a="1"/>
  <c r="F60" i="22" s="1"/>
  <c r="E60" i="22" a="1"/>
  <c r="E60" i="22" s="1"/>
  <c r="H60" i="22" a="1"/>
  <c r="H60" i="22" s="1"/>
  <c r="D60" i="22" a="1"/>
  <c r="D60" i="22" s="1"/>
  <c r="C21" i="24" a="1"/>
  <c r="C21" i="24" s="1"/>
  <c r="C38" i="20" a="1"/>
  <c r="C38" i="20" s="1"/>
  <c r="G30" i="34" a="1"/>
  <c r="G30" i="34" s="1"/>
  <c r="E30" i="34" a="1"/>
  <c r="E30" i="34" s="1"/>
  <c r="C30" i="34" a="1"/>
  <c r="C30" i="34" s="1"/>
  <c r="E56" i="25" a="1"/>
  <c r="E56" i="25" s="1"/>
  <c r="H56" i="25" a="1"/>
  <c r="H56" i="25" s="1"/>
  <c r="D56" i="25" a="1"/>
  <c r="D56" i="25" s="1"/>
  <c r="G56" i="25" a="1"/>
  <c r="G56" i="25" s="1"/>
  <c r="F56" i="25" a="1"/>
  <c r="F56" i="25" s="1"/>
  <c r="C56" i="25" a="1"/>
  <c r="C56" i="25" s="1"/>
  <c r="C40" i="33" a="1"/>
  <c r="C40" i="33" s="1"/>
  <c r="C18" i="25" a="1"/>
  <c r="C18" i="25" s="1"/>
  <c r="G59" i="25" a="1"/>
  <c r="G59" i="25" s="1"/>
  <c r="F59" i="25" a="1"/>
  <c r="F59" i="25" s="1"/>
  <c r="E59" i="25" a="1"/>
  <c r="E59" i="25" s="1"/>
  <c r="H59" i="25" a="1"/>
  <c r="H59" i="25" s="1"/>
  <c r="D59" i="25" a="1"/>
  <c r="D59" i="25" s="1"/>
  <c r="G27" i="27" a="1"/>
  <c r="G27" i="27" s="1"/>
  <c r="F27" i="27" a="1"/>
  <c r="F27" i="27" s="1"/>
  <c r="E27" i="27" a="1"/>
  <c r="E27" i="27" s="1"/>
  <c r="D27" i="27" a="1"/>
  <c r="D27" i="27" s="1"/>
  <c r="H27" i="27" a="1"/>
  <c r="H27" i="27" s="1"/>
  <c r="G55" i="28" a="1"/>
  <c r="G55" i="28" s="1"/>
  <c r="E55" i="28" a="1"/>
  <c r="E55" i="28" s="1"/>
  <c r="D55" i="28" a="1"/>
  <c r="D55" i="28" s="1"/>
  <c r="H55" i="28" a="1"/>
  <c r="H55" i="28" s="1"/>
  <c r="F55" i="28" a="1"/>
  <c r="F55" i="28" s="1"/>
  <c r="C55" i="28" a="1"/>
  <c r="C55" i="28" s="1"/>
  <c r="E63" i="18" a="1"/>
  <c r="E63" i="18" s="1"/>
  <c r="G63" i="18" a="1"/>
  <c r="G63" i="18" s="1"/>
  <c r="F38" i="21" a="1"/>
  <c r="F38" i="21" s="1"/>
  <c r="E38" i="21" a="1"/>
  <c r="E38" i="21" s="1"/>
  <c r="H38" i="21" a="1"/>
  <c r="H38" i="21" s="1"/>
  <c r="D38" i="21" a="1"/>
  <c r="D38" i="21" s="1"/>
  <c r="G38" i="21" a="1"/>
  <c r="G38" i="21" s="1"/>
  <c r="C38" i="21" a="1"/>
  <c r="C38" i="21" s="1"/>
  <c r="G18" i="23" a="1"/>
  <c r="G18" i="23" s="1"/>
  <c r="E18" i="23" a="1"/>
  <c r="E18" i="23" s="1"/>
  <c r="C18" i="23" a="1"/>
  <c r="C18" i="23" s="1"/>
  <c r="G61" i="33" a="1"/>
  <c r="G61" i="33" s="1"/>
  <c r="E61" i="33" a="1"/>
  <c r="E61" i="33" s="1"/>
  <c r="F61" i="33" a="1"/>
  <c r="F61" i="33" s="1"/>
  <c r="C61" i="33" a="1"/>
  <c r="C61" i="33" s="1"/>
  <c r="F29" i="28" a="1"/>
  <c r="F29" i="28" s="1"/>
  <c r="E29" i="28" a="1"/>
  <c r="E29" i="28" s="1"/>
  <c r="H29" i="28" a="1"/>
  <c r="H29" i="28" s="1"/>
  <c r="G29" i="28" a="1"/>
  <c r="G29" i="28" s="1"/>
  <c r="D29" i="28" a="1"/>
  <c r="D29" i="28" s="1"/>
  <c r="C29" i="28" a="1"/>
  <c r="C29" i="28" s="1"/>
  <c r="H43" i="26" a="1"/>
  <c r="H43" i="26" s="1"/>
  <c r="D43" i="26" a="1"/>
  <c r="D43" i="26" s="1"/>
  <c r="G43" i="26" a="1"/>
  <c r="G43" i="26" s="1"/>
  <c r="F43" i="26" a="1"/>
  <c r="F43" i="26" s="1"/>
  <c r="E43" i="26" a="1"/>
  <c r="E43" i="26" s="1"/>
  <c r="G17" i="23" a="1"/>
  <c r="G17" i="23" s="1"/>
  <c r="E17" i="23" a="1"/>
  <c r="E17" i="23" s="1"/>
  <c r="G63" i="20" a="1"/>
  <c r="G63" i="20" s="1"/>
  <c r="E63" i="20" a="1"/>
  <c r="E63" i="20" s="1"/>
  <c r="G42" i="25" a="1"/>
  <c r="G42" i="25" s="1"/>
  <c r="F42" i="25" a="1"/>
  <c r="F42" i="25" s="1"/>
  <c r="E42" i="25" a="1"/>
  <c r="E42" i="25" s="1"/>
  <c r="H42" i="25" a="1"/>
  <c r="H42" i="25" s="1"/>
  <c r="D42" i="25" a="1"/>
  <c r="D42" i="25" s="1"/>
  <c r="E55" i="27" a="1"/>
  <c r="E55" i="27" s="1"/>
  <c r="H55" i="27" a="1"/>
  <c r="H55" i="27" s="1"/>
  <c r="D55" i="27" a="1"/>
  <c r="D55" i="27" s="1"/>
  <c r="G55" i="27" a="1"/>
  <c r="G55" i="27" s="1"/>
  <c r="F55" i="27" a="1"/>
  <c r="F55" i="27" s="1"/>
  <c r="E54" i="18" a="1"/>
  <c r="E54" i="18" s="1"/>
  <c r="G54" i="18" a="1"/>
  <c r="G54" i="18" s="1"/>
  <c r="E17" i="19" a="1"/>
  <c r="E17" i="19" s="1"/>
  <c r="H17" i="19" a="1"/>
  <c r="H17" i="19" s="1"/>
  <c r="D17" i="19" a="1"/>
  <c r="D17" i="19" s="1"/>
  <c r="G17" i="19" a="1"/>
  <c r="G17" i="19" s="1"/>
  <c r="F17" i="19" a="1"/>
  <c r="F17" i="19" s="1"/>
  <c r="G58" i="20" a="1"/>
  <c r="G58" i="20" s="1"/>
  <c r="F58" i="20" a="1"/>
  <c r="F58" i="20" s="1"/>
  <c r="E58" i="20" a="1"/>
  <c r="E58" i="20" s="1"/>
  <c r="H58" i="20" a="1"/>
  <c r="H58" i="20" s="1"/>
  <c r="D58" i="20" a="1"/>
  <c r="D58" i="20" s="1"/>
  <c r="D60" i="29" a="1"/>
  <c r="D60" i="29" s="1"/>
  <c r="H60" i="29" a="1"/>
  <c r="H60" i="29" s="1"/>
  <c r="F60" i="29" a="1"/>
  <c r="F60" i="29" s="1"/>
  <c r="E60" i="29" a="1"/>
  <c r="E60" i="29" s="1"/>
  <c r="G60" i="29" a="1"/>
  <c r="G60" i="29" s="1"/>
  <c r="E31" i="26" a="1"/>
  <c r="E31" i="26" s="1"/>
  <c r="H31" i="26" a="1"/>
  <c r="H31" i="26" s="1"/>
  <c r="D31" i="26" a="1"/>
  <c r="D31" i="26" s="1"/>
  <c r="G31" i="26" a="1"/>
  <c r="G31" i="26" s="1"/>
  <c r="F31" i="26" a="1"/>
  <c r="F31" i="26" s="1"/>
  <c r="E56" i="18" a="1"/>
  <c r="E56" i="18" s="1"/>
  <c r="G56" i="18" a="1"/>
  <c r="G56" i="18" s="1"/>
  <c r="E33" i="21" a="1"/>
  <c r="E33" i="21" s="1"/>
  <c r="H33" i="21" a="1"/>
  <c r="H33" i="21" s="1"/>
  <c r="D33" i="21" a="1"/>
  <c r="D33" i="21" s="1"/>
  <c r="G33" i="21" a="1"/>
  <c r="G33" i="21" s="1"/>
  <c r="F33" i="21" a="1"/>
  <c r="F33" i="21" s="1"/>
  <c r="G51" i="23" a="1"/>
  <c r="G51" i="23" s="1"/>
  <c r="E51" i="23" a="1"/>
  <c r="E51" i="23" s="1"/>
  <c r="G50" i="23" a="1"/>
  <c r="G50" i="23" s="1"/>
  <c r="E50" i="23" a="1"/>
  <c r="E50" i="23" s="1"/>
  <c r="G35" i="33" a="1"/>
  <c r="G35" i="33" s="1"/>
  <c r="F35" i="33" a="1"/>
  <c r="F35" i="33" s="1"/>
  <c r="E35" i="33" a="1"/>
  <c r="E35" i="33" s="1"/>
  <c r="F28" i="33" a="1"/>
  <c r="F28" i="33" s="1"/>
  <c r="E28" i="33" a="1"/>
  <c r="E28" i="33" s="1"/>
  <c r="G28" i="33" a="1"/>
  <c r="G28" i="33" s="1"/>
  <c r="E47" i="34" a="1"/>
  <c r="E47" i="34" s="1"/>
  <c r="G47" i="34" a="1"/>
  <c r="G47" i="34" s="1"/>
  <c r="E33" i="34" a="1"/>
  <c r="E33" i="34" s="1"/>
  <c r="G33" i="34" a="1"/>
  <c r="G33" i="34" s="1"/>
  <c r="E55" i="17" a="1"/>
  <c r="E55" i="17" s="1"/>
  <c r="G55" i="17" a="1"/>
  <c r="G55" i="17" s="1"/>
  <c r="G52" i="27" a="1"/>
  <c r="G52" i="27" s="1"/>
  <c r="F52" i="27" a="1"/>
  <c r="F52" i="27" s="1"/>
  <c r="E52" i="27" a="1"/>
  <c r="E52" i="27" s="1"/>
  <c r="H52" i="27" a="1"/>
  <c r="H52" i="27" s="1"/>
  <c r="D52" i="27" a="1"/>
  <c r="D52" i="27" s="1"/>
  <c r="E50" i="26" a="1"/>
  <c r="E50" i="26" s="1"/>
  <c r="H50" i="26" a="1"/>
  <c r="H50" i="26" s="1"/>
  <c r="D50" i="26" a="1"/>
  <c r="D50" i="26" s="1"/>
  <c r="G50" i="26" a="1"/>
  <c r="G50" i="26" s="1"/>
  <c r="F50" i="26" a="1"/>
  <c r="F50" i="26" s="1"/>
  <c r="G51" i="26" a="1"/>
  <c r="G51" i="26" s="1"/>
  <c r="F51" i="26" a="1"/>
  <c r="F51" i="26" s="1"/>
  <c r="E51" i="26" a="1"/>
  <c r="E51" i="26" s="1"/>
  <c r="H51" i="26" a="1"/>
  <c r="H51" i="26" s="1"/>
  <c r="D51" i="26" a="1"/>
  <c r="D51" i="26" s="1"/>
  <c r="H39" i="21" a="1"/>
  <c r="H39" i="21" s="1"/>
  <c r="D39" i="21" a="1"/>
  <c r="D39" i="21" s="1"/>
  <c r="G39" i="21" a="1"/>
  <c r="G39" i="21" s="1"/>
  <c r="F39" i="21" a="1"/>
  <c r="F39" i="21" s="1"/>
  <c r="E39" i="21" a="1"/>
  <c r="E39" i="21" s="1"/>
  <c r="G49" i="23" a="1"/>
  <c r="G49" i="23" s="1"/>
  <c r="E49" i="23" a="1"/>
  <c r="E49" i="23" s="1"/>
  <c r="G58" i="23" a="1"/>
  <c r="G58" i="23" s="1"/>
  <c r="E58" i="23" a="1"/>
  <c r="E58" i="23" s="1"/>
  <c r="G28" i="19" a="1"/>
  <c r="G28" i="19" s="1"/>
  <c r="F28" i="19" a="1"/>
  <c r="F28" i="19" s="1"/>
  <c r="E28" i="19" a="1"/>
  <c r="E28" i="19" s="1"/>
  <c r="H28" i="19" a="1"/>
  <c r="H28" i="19" s="1"/>
  <c r="D28" i="19" a="1"/>
  <c r="D28" i="19" s="1"/>
  <c r="E56" i="17" a="1"/>
  <c r="E56" i="17" s="1"/>
  <c r="G56" i="17" a="1"/>
  <c r="G56" i="17" s="1"/>
  <c r="G64" i="21" a="1"/>
  <c r="G64" i="21" s="1"/>
  <c r="E64" i="21" a="1"/>
  <c r="E64" i="21" s="1"/>
  <c r="G32" i="21" a="1"/>
  <c r="G32" i="21" s="1"/>
  <c r="F32" i="21" a="1"/>
  <c r="F32" i="21" s="1"/>
  <c r="E32" i="21" a="1"/>
  <c r="E32" i="21" s="1"/>
  <c r="H32" i="21" a="1"/>
  <c r="H32" i="21" s="1"/>
  <c r="D32" i="21" a="1"/>
  <c r="D32" i="21" s="1"/>
  <c r="E20" i="23" a="1"/>
  <c r="E20" i="23" s="1"/>
  <c r="G20" i="23" a="1"/>
  <c r="G20" i="23" s="1"/>
  <c r="E59" i="20" a="1"/>
  <c r="E59" i="20" s="1"/>
  <c r="H59" i="20" a="1"/>
  <c r="H59" i="20" s="1"/>
  <c r="D59" i="20" a="1"/>
  <c r="D59" i="20" s="1"/>
  <c r="G59" i="20" a="1"/>
  <c r="G59" i="20" s="1"/>
  <c r="F59" i="20" a="1"/>
  <c r="F59" i="20" s="1"/>
  <c r="E54" i="17" a="1"/>
  <c r="E54" i="17" s="1"/>
  <c r="G54" i="17" a="1"/>
  <c r="G54" i="17" s="1"/>
  <c r="E37" i="25" a="1"/>
  <c r="E37" i="25" s="1"/>
  <c r="H37" i="25" a="1"/>
  <c r="H37" i="25" s="1"/>
  <c r="D37" i="25" a="1"/>
  <c r="D37" i="25" s="1"/>
  <c r="G37" i="25" a="1"/>
  <c r="G37" i="25" s="1"/>
  <c r="F37" i="25" a="1"/>
  <c r="F37" i="25" s="1"/>
  <c r="G50" i="27" a="1"/>
  <c r="G50" i="27" s="1"/>
  <c r="F50" i="27" a="1"/>
  <c r="F50" i="27" s="1"/>
  <c r="E50" i="27" a="1"/>
  <c r="E50" i="27" s="1"/>
  <c r="H50" i="27" a="1"/>
  <c r="H50" i="27" s="1"/>
  <c r="D50" i="27" a="1"/>
  <c r="D50" i="27" s="1"/>
  <c r="E21" i="26" a="1"/>
  <c r="E21" i="26" s="1"/>
  <c r="H21" i="26" a="1"/>
  <c r="H21" i="26" s="1"/>
  <c r="D21" i="26" a="1"/>
  <c r="D21" i="26" s="1"/>
  <c r="G21" i="26" a="1"/>
  <c r="G21" i="26" s="1"/>
  <c r="F21" i="26" a="1"/>
  <c r="F21" i="26" s="1"/>
  <c r="G43" i="23" a="1"/>
  <c r="G43" i="23" s="1"/>
  <c r="E43" i="23" a="1"/>
  <c r="E43" i="23" s="1"/>
  <c r="E40" i="23" a="1"/>
  <c r="E40" i="23" s="1"/>
  <c r="G40" i="23" a="1"/>
  <c r="G40" i="23" s="1"/>
  <c r="G60" i="23" a="1"/>
  <c r="G60" i="23" s="1"/>
  <c r="E60" i="23" a="1"/>
  <c r="E60" i="23" s="1"/>
  <c r="G57" i="33" a="1"/>
  <c r="G57" i="33" s="1"/>
  <c r="E57" i="33" a="1"/>
  <c r="E57" i="33" s="1"/>
  <c r="F57" i="33" a="1"/>
  <c r="F57" i="33" s="1"/>
  <c r="F27" i="33" a="1"/>
  <c r="F27" i="33" s="1"/>
  <c r="E27" i="33" a="1"/>
  <c r="E27" i="33" s="1"/>
  <c r="G27" i="33" a="1"/>
  <c r="G27" i="33" s="1"/>
  <c r="G49" i="34" a="1"/>
  <c r="G49" i="34" s="1"/>
  <c r="E49" i="34" a="1"/>
  <c r="E49" i="34" s="1"/>
  <c r="F33" i="25" a="1"/>
  <c r="F33" i="25" s="1"/>
  <c r="E33" i="25" a="1"/>
  <c r="E33" i="25" s="1"/>
  <c r="H33" i="25" a="1"/>
  <c r="H33" i="25" s="1"/>
  <c r="D33" i="25" a="1"/>
  <c r="D33" i="25" s="1"/>
  <c r="G33" i="25" a="1"/>
  <c r="G33" i="25" s="1"/>
  <c r="E32" i="27" a="1"/>
  <c r="E32" i="27" s="1"/>
  <c r="H32" i="27" a="1"/>
  <c r="H32" i="27" s="1"/>
  <c r="D32" i="27" a="1"/>
  <c r="D32" i="27" s="1"/>
  <c r="G32" i="27" a="1"/>
  <c r="G32" i="27" s="1"/>
  <c r="F32" i="27" a="1"/>
  <c r="F32" i="27" s="1"/>
  <c r="E57" i="17" a="1"/>
  <c r="E57" i="17" s="1"/>
  <c r="G57" i="17" a="1"/>
  <c r="G57" i="17" s="1"/>
  <c r="E29" i="22" a="1"/>
  <c r="E29" i="22" s="1"/>
  <c r="H29" i="22" a="1"/>
  <c r="H29" i="22" s="1"/>
  <c r="D29" i="22" a="1"/>
  <c r="D29" i="22" s="1"/>
  <c r="G29" i="22" a="1"/>
  <c r="G29" i="22" s="1"/>
  <c r="F29" i="22" a="1"/>
  <c r="F29" i="22" s="1"/>
  <c r="G23" i="23" a="1"/>
  <c r="G23" i="23" s="1"/>
  <c r="E23" i="23" a="1"/>
  <c r="E23" i="23" s="1"/>
  <c r="E22" i="33" a="1"/>
  <c r="E22" i="33" s="1"/>
  <c r="E51" i="33" a="1"/>
  <c r="E51" i="33" s="1"/>
  <c r="F51" i="33" a="1"/>
  <c r="F51" i="33" s="1"/>
  <c r="G51" i="33" a="1"/>
  <c r="G51" i="33" s="1"/>
  <c r="G61" i="34" a="1"/>
  <c r="G61" i="34" s="1"/>
  <c r="E61" i="34" a="1"/>
  <c r="E61" i="34" s="1"/>
  <c r="G54" i="34" a="1"/>
  <c r="G54" i="34" s="1"/>
  <c r="E54" i="34" a="1"/>
  <c r="E54" i="34" s="1"/>
  <c r="H22" i="25" a="1"/>
  <c r="H22" i="25" s="1"/>
  <c r="D22" i="25" a="1"/>
  <c r="D22" i="25" s="1"/>
  <c r="G22" i="25" a="1"/>
  <c r="G22" i="25" s="1"/>
  <c r="F22" i="25" a="1"/>
  <c r="F22" i="25" s="1"/>
  <c r="E22" i="25" a="1"/>
  <c r="E22" i="25" s="1"/>
  <c r="G57" i="26" a="1"/>
  <c r="G57" i="26" s="1"/>
  <c r="F57" i="26" a="1"/>
  <c r="F57" i="26" s="1"/>
  <c r="E57" i="26" a="1"/>
  <c r="E57" i="26" s="1"/>
  <c r="H57" i="26" a="1"/>
  <c r="H57" i="26" s="1"/>
  <c r="D57" i="26" a="1"/>
  <c r="D57" i="26" s="1"/>
  <c r="E56" i="26" a="1"/>
  <c r="E56" i="26" s="1"/>
  <c r="H56" i="26" a="1"/>
  <c r="H56" i="26" s="1"/>
  <c r="D56" i="26" a="1"/>
  <c r="D56" i="26" s="1"/>
  <c r="G56" i="26" a="1"/>
  <c r="G56" i="26" s="1"/>
  <c r="F56" i="26" a="1"/>
  <c r="F56" i="26" s="1"/>
  <c r="H37" i="19" a="1"/>
  <c r="H37" i="19" s="1"/>
  <c r="D37" i="19" a="1"/>
  <c r="D37" i="19" s="1"/>
  <c r="G37" i="19" a="1"/>
  <c r="G37" i="19" s="1"/>
  <c r="F37" i="19" a="1"/>
  <c r="F37" i="19" s="1"/>
  <c r="E37" i="19" a="1"/>
  <c r="E37" i="19" s="1"/>
  <c r="E18" i="33" a="1"/>
  <c r="E18" i="33" s="1"/>
  <c r="G56" i="34" a="1"/>
  <c r="G56" i="34" s="1"/>
  <c r="E56" i="34" a="1"/>
  <c r="E56" i="34" s="1"/>
  <c r="E43" i="25" a="1"/>
  <c r="E43" i="25" s="1"/>
  <c r="H43" i="25" a="1"/>
  <c r="H43" i="25" s="1"/>
  <c r="D43" i="25" a="1"/>
  <c r="D43" i="25" s="1"/>
  <c r="G43" i="25" a="1"/>
  <c r="G43" i="25" s="1"/>
  <c r="F43" i="25" a="1"/>
  <c r="F43" i="25" s="1"/>
  <c r="H30" i="25" a="1"/>
  <c r="H30" i="25" s="1"/>
  <c r="D30" i="25" a="1"/>
  <c r="D30" i="25" s="1"/>
  <c r="G30" i="25" a="1"/>
  <c r="G30" i="25" s="1"/>
  <c r="F30" i="25" a="1"/>
  <c r="F30" i="25" s="1"/>
  <c r="E30" i="25" a="1"/>
  <c r="E30" i="25" s="1"/>
  <c r="E33" i="26" a="1"/>
  <c r="E33" i="26" s="1"/>
  <c r="H33" i="26" a="1"/>
  <c r="H33" i="26" s="1"/>
  <c r="D33" i="26" a="1"/>
  <c r="D33" i="26" s="1"/>
  <c r="G33" i="26" a="1"/>
  <c r="G33" i="26" s="1"/>
  <c r="F33" i="26" a="1"/>
  <c r="F33" i="26" s="1"/>
  <c r="G22" i="23" a="1"/>
  <c r="G22" i="23" s="1"/>
  <c r="E22" i="23" a="1"/>
  <c r="E22" i="23" s="1"/>
  <c r="H37" i="26" a="1"/>
  <c r="H37" i="26" s="1"/>
  <c r="D37" i="26" a="1"/>
  <c r="D37" i="26" s="1"/>
  <c r="G37" i="26" a="1"/>
  <c r="G37" i="26" s="1"/>
  <c r="F37" i="26" a="1"/>
  <c r="F37" i="26" s="1"/>
  <c r="E37" i="26" a="1"/>
  <c r="E37" i="26" s="1"/>
  <c r="E59" i="17" a="1"/>
  <c r="E59" i="17" s="1"/>
  <c r="G59" i="17" a="1"/>
  <c r="G59" i="17" s="1"/>
  <c r="D40" i="20" a="1"/>
  <c r="D40" i="20" s="1"/>
  <c r="H40" i="20" a="1"/>
  <c r="H40" i="20" s="1"/>
  <c r="G40" i="20" a="1"/>
  <c r="G40" i="20" s="1"/>
  <c r="F40" i="20" a="1"/>
  <c r="F40" i="20" s="1"/>
  <c r="E40" i="20" a="1"/>
  <c r="E40" i="20" s="1"/>
  <c r="G60" i="20" a="1"/>
  <c r="G60" i="20" s="1"/>
  <c r="F60" i="20" a="1"/>
  <c r="F60" i="20" s="1"/>
  <c r="E60" i="20" a="1"/>
  <c r="E60" i="20" s="1"/>
  <c r="H60" i="20" a="1"/>
  <c r="H60" i="20" s="1"/>
  <c r="D60" i="20" a="1"/>
  <c r="D60" i="20" s="1"/>
  <c r="E23" i="26" a="1"/>
  <c r="E23" i="26" s="1"/>
  <c r="H23" i="26" a="1"/>
  <c r="H23" i="26" s="1"/>
  <c r="D23" i="26" a="1"/>
  <c r="D23" i="26" s="1"/>
  <c r="G23" i="26" a="1"/>
  <c r="G23" i="26" s="1"/>
  <c r="F23" i="26" a="1"/>
  <c r="F23" i="26" s="1"/>
  <c r="E58" i="17" a="1"/>
  <c r="E58" i="17" s="1"/>
  <c r="G58" i="17" a="1"/>
  <c r="G58" i="17" s="1"/>
  <c r="G60" i="21" a="1"/>
  <c r="G60" i="21" s="1"/>
  <c r="F60" i="21" a="1"/>
  <c r="F60" i="21" s="1"/>
  <c r="E60" i="21" a="1"/>
  <c r="E60" i="21" s="1"/>
  <c r="H60" i="21" a="1"/>
  <c r="H60" i="21" s="1"/>
  <c r="D60" i="21" a="1"/>
  <c r="D60" i="21" s="1"/>
  <c r="G63" i="21" a="1"/>
  <c r="G63" i="21" s="1"/>
  <c r="E63" i="21" a="1"/>
  <c r="E63" i="21" s="1"/>
  <c r="E55" i="23" a="1"/>
  <c r="E55" i="23" s="1"/>
  <c r="G55" i="23" a="1"/>
  <c r="G55" i="23" s="1"/>
  <c r="G54" i="23" a="1"/>
  <c r="G54" i="23" s="1"/>
  <c r="E54" i="23" a="1"/>
  <c r="E54" i="23" s="1"/>
  <c r="G64" i="33" a="1"/>
  <c r="G64" i="33" s="1"/>
  <c r="F64" i="33" a="1"/>
  <c r="F64" i="33" s="1"/>
  <c r="E64" i="33" a="1"/>
  <c r="E64" i="33" s="1"/>
  <c r="G60" i="34" a="1"/>
  <c r="G60" i="34" s="1"/>
  <c r="E60" i="34" a="1"/>
  <c r="E60" i="34" s="1"/>
  <c r="E62" i="34" a="1"/>
  <c r="E62" i="34" s="1"/>
  <c r="G62" i="34" a="1"/>
  <c r="G62" i="34" s="1"/>
  <c r="E50" i="25" a="1"/>
  <c r="E50" i="25" s="1"/>
  <c r="H50" i="25" a="1"/>
  <c r="H50" i="25" s="1"/>
  <c r="D50" i="25" a="1"/>
  <c r="D50" i="25" s="1"/>
  <c r="G50" i="25" a="1"/>
  <c r="G50" i="25" s="1"/>
  <c r="F50" i="25" a="1"/>
  <c r="F50" i="25" s="1"/>
  <c r="F29" i="20" a="1"/>
  <c r="F29" i="20" s="1"/>
  <c r="H29" i="20" a="1"/>
  <c r="H29" i="20" s="1"/>
  <c r="G29" i="20" a="1"/>
  <c r="G29" i="20" s="1"/>
  <c r="E29" i="20" a="1"/>
  <c r="E29" i="20" s="1"/>
  <c r="D29" i="20" a="1"/>
  <c r="D29" i="20" s="1"/>
  <c r="H38" i="27" a="1"/>
  <c r="H38" i="27" s="1"/>
  <c r="D38" i="27" a="1"/>
  <c r="D38" i="27" s="1"/>
  <c r="G38" i="27" a="1"/>
  <c r="G38" i="27" s="1"/>
  <c r="F38" i="27" a="1"/>
  <c r="F38" i="27" s="1"/>
  <c r="E38" i="27" a="1"/>
  <c r="E38" i="27" s="1"/>
  <c r="H28" i="28" a="1"/>
  <c r="H28" i="28" s="1"/>
  <c r="D28" i="28" a="1"/>
  <c r="D28" i="28" s="1"/>
  <c r="G28" i="28" a="1"/>
  <c r="G28" i="28" s="1"/>
  <c r="F28" i="28" a="1"/>
  <c r="F28" i="28" s="1"/>
  <c r="E28" i="28" a="1"/>
  <c r="E28" i="28" s="1"/>
  <c r="E53" i="27" a="1"/>
  <c r="E53" i="27" s="1"/>
  <c r="H53" i="27" a="1"/>
  <c r="H53" i="27" s="1"/>
  <c r="D53" i="27" a="1"/>
  <c r="D53" i="27" s="1"/>
  <c r="G53" i="27" a="1"/>
  <c r="G53" i="27" s="1"/>
  <c r="F53" i="27" a="1"/>
  <c r="F53" i="27" s="1"/>
  <c r="G24" i="26" a="1"/>
  <c r="G24" i="26" s="1"/>
  <c r="F24" i="26" a="1"/>
  <c r="F24" i="26" s="1"/>
  <c r="E24" i="26" a="1"/>
  <c r="E24" i="26" s="1"/>
  <c r="H24" i="26" a="1"/>
  <c r="H24" i="26" s="1"/>
  <c r="D24" i="26" a="1"/>
  <c r="D24" i="26" s="1"/>
  <c r="E31" i="21" a="1"/>
  <c r="E31" i="21" s="1"/>
  <c r="H31" i="21" a="1"/>
  <c r="H31" i="21" s="1"/>
  <c r="D31" i="21" a="1"/>
  <c r="D31" i="21" s="1"/>
  <c r="G31" i="21" a="1"/>
  <c r="G31" i="21" s="1"/>
  <c r="F31" i="21" a="1"/>
  <c r="F31" i="21" s="1"/>
  <c r="G29" i="23" a="1"/>
  <c r="G29" i="23" s="1"/>
  <c r="E29" i="23" a="1"/>
  <c r="E29" i="23" s="1"/>
  <c r="E41" i="28" a="1"/>
  <c r="E41" i="28" s="1"/>
  <c r="H41" i="28" a="1"/>
  <c r="H41" i="28" s="1"/>
  <c r="D41" i="28" a="1"/>
  <c r="D41" i="28" s="1"/>
  <c r="G41" i="28" a="1"/>
  <c r="G41" i="28" s="1"/>
  <c r="F41" i="28" a="1"/>
  <c r="F41" i="28" s="1"/>
  <c r="G17" i="17" a="1"/>
  <c r="G17" i="17" s="1"/>
  <c r="E17" i="17" a="1"/>
  <c r="E17" i="17" s="1"/>
  <c r="G47" i="23" a="1"/>
  <c r="G47" i="23" s="1"/>
  <c r="E47" i="23" a="1"/>
  <c r="E47" i="23" s="1"/>
  <c r="E39" i="20" a="1"/>
  <c r="E39" i="20" s="1"/>
  <c r="D39" i="20" a="1"/>
  <c r="D39" i="20" s="1"/>
  <c r="H39" i="20" a="1"/>
  <c r="H39" i="20" s="1"/>
  <c r="G39" i="20" a="1"/>
  <c r="G39" i="20" s="1"/>
  <c r="F39" i="20" a="1"/>
  <c r="F39" i="20" s="1"/>
  <c r="E27" i="20" a="1"/>
  <c r="E27" i="20" s="1"/>
  <c r="D27" i="20" a="1"/>
  <c r="D27" i="20" s="1"/>
  <c r="G27" i="20" a="1"/>
  <c r="G27" i="20" s="1"/>
  <c r="H27" i="20" a="1"/>
  <c r="H27" i="20" s="1"/>
  <c r="F27" i="20" a="1"/>
  <c r="F27" i="20" s="1"/>
  <c r="F30" i="33" a="1"/>
  <c r="F30" i="33" s="1"/>
  <c r="E30" i="33" a="1"/>
  <c r="E30" i="33" s="1"/>
  <c r="G30" i="33" a="1"/>
  <c r="G30" i="33" s="1"/>
  <c r="G55" i="33" a="1"/>
  <c r="G55" i="33" s="1"/>
  <c r="E55" i="33" a="1"/>
  <c r="E55" i="33" s="1"/>
  <c r="F55" i="33" a="1"/>
  <c r="F55" i="33" s="1"/>
  <c r="E55" i="34" a="1"/>
  <c r="E55" i="34" s="1"/>
  <c r="G55" i="34" a="1"/>
  <c r="G55" i="34" s="1"/>
  <c r="G58" i="34" a="1"/>
  <c r="G58" i="34" s="1"/>
  <c r="E58" i="34" a="1"/>
  <c r="E58" i="34" s="1"/>
  <c r="E28" i="27" a="1"/>
  <c r="E28" i="27" s="1"/>
  <c r="H28" i="27" a="1"/>
  <c r="H28" i="27" s="1"/>
  <c r="D28" i="27" a="1"/>
  <c r="D28" i="27" s="1"/>
  <c r="G28" i="27" a="1"/>
  <c r="G28" i="27" s="1"/>
  <c r="F28" i="27" a="1"/>
  <c r="F28" i="27" s="1"/>
  <c r="H32" i="28" a="1"/>
  <c r="H32" i="28" s="1"/>
  <c r="D32" i="28" a="1"/>
  <c r="D32" i="28" s="1"/>
  <c r="G32" i="28" a="1"/>
  <c r="G32" i="28" s="1"/>
  <c r="F32" i="28" a="1"/>
  <c r="F32" i="28" s="1"/>
  <c r="E32" i="28" a="1"/>
  <c r="E32" i="28" s="1"/>
  <c r="E62" i="22" a="1"/>
  <c r="E62" i="22" s="1"/>
  <c r="G62" i="22" a="1"/>
  <c r="G62" i="22" s="1"/>
  <c r="E36" i="23" a="1"/>
  <c r="E36" i="23" s="1"/>
  <c r="G36" i="23" a="1"/>
  <c r="G36" i="23" s="1"/>
  <c r="F48" i="25" a="1"/>
  <c r="F48" i="25" s="1"/>
  <c r="E48" i="25" a="1"/>
  <c r="E48" i="25" s="1"/>
  <c r="H48" i="25" a="1"/>
  <c r="H48" i="25" s="1"/>
  <c r="D48" i="25" a="1"/>
  <c r="D48" i="25" s="1"/>
  <c r="G48" i="25" a="1"/>
  <c r="G48" i="25" s="1"/>
  <c r="E18" i="27" a="1"/>
  <c r="E18" i="27" s="1"/>
  <c r="H18" i="27" a="1"/>
  <c r="H18" i="27" s="1"/>
  <c r="D18" i="27" a="1"/>
  <c r="D18" i="27" s="1"/>
  <c r="G18" i="27" a="1"/>
  <c r="G18" i="27" s="1"/>
  <c r="F18" i="27" a="1"/>
  <c r="F18" i="27" s="1"/>
  <c r="E29" i="26" a="1"/>
  <c r="E29" i="26" s="1"/>
  <c r="H29" i="26" a="1"/>
  <c r="H29" i="26" s="1"/>
  <c r="D29" i="26" a="1"/>
  <c r="D29" i="26" s="1"/>
  <c r="G29" i="26" a="1"/>
  <c r="G29" i="26" s="1"/>
  <c r="F29" i="26" a="1"/>
  <c r="F29" i="26" s="1"/>
  <c r="D51" i="28" a="1"/>
  <c r="D51" i="28" s="1"/>
  <c r="H51" i="28" a="1"/>
  <c r="H51" i="28" s="1"/>
  <c r="F51" i="28" a="1"/>
  <c r="F51" i="28" s="1"/>
  <c r="E51" i="28" a="1"/>
  <c r="E51" i="28" s="1"/>
  <c r="G51" i="28" a="1"/>
  <c r="G51" i="28" s="1"/>
  <c r="E52" i="18" a="1"/>
  <c r="E52" i="18" s="1"/>
  <c r="G52" i="18" a="1"/>
  <c r="G52" i="18" s="1"/>
  <c r="G53" i="23" a="1"/>
  <c r="G53" i="23" s="1"/>
  <c r="E53" i="23" a="1"/>
  <c r="E53" i="23" s="1"/>
  <c r="E24" i="23" a="1"/>
  <c r="E24" i="23" s="1"/>
  <c r="G24" i="23" a="1"/>
  <c r="G24" i="23" s="1"/>
  <c r="G58" i="33" a="1"/>
  <c r="G58" i="33" s="1"/>
  <c r="E58" i="33" a="1"/>
  <c r="E58" i="33" s="1"/>
  <c r="F58" i="33" a="1"/>
  <c r="F58" i="33" s="1"/>
  <c r="G63" i="33" a="1"/>
  <c r="G63" i="33" s="1"/>
  <c r="E63" i="33" a="1"/>
  <c r="E63" i="33" s="1"/>
  <c r="F63" i="33" a="1"/>
  <c r="F63" i="33" s="1"/>
  <c r="G63" i="34" a="1"/>
  <c r="G63" i="34" s="1"/>
  <c r="E63" i="34" a="1"/>
  <c r="E63" i="34" s="1"/>
  <c r="E25" i="34" a="1"/>
  <c r="E25" i="34" s="1"/>
  <c r="G25" i="34" a="1"/>
  <c r="G25" i="34" s="1"/>
  <c r="F29" i="25" a="1"/>
  <c r="F29" i="25" s="1"/>
  <c r="E29" i="25" a="1"/>
  <c r="E29" i="25" s="1"/>
  <c r="H29" i="25" a="1"/>
  <c r="H29" i="25" s="1"/>
  <c r="D29" i="25" a="1"/>
  <c r="D29" i="25" s="1"/>
  <c r="G29" i="25" a="1"/>
  <c r="G29" i="25" s="1"/>
  <c r="F39" i="27" a="1"/>
  <c r="F39" i="27" s="1"/>
  <c r="E39" i="27" a="1"/>
  <c r="E39" i="27" s="1"/>
  <c r="H39" i="27" a="1"/>
  <c r="H39" i="27" s="1"/>
  <c r="D39" i="27" a="1"/>
  <c r="D39" i="27" s="1"/>
  <c r="G39" i="27" a="1"/>
  <c r="G39" i="27" s="1"/>
  <c r="G28" i="26" a="1"/>
  <c r="G28" i="26" s="1"/>
  <c r="F28" i="26" a="1"/>
  <c r="F28" i="26" s="1"/>
  <c r="E28" i="26" a="1"/>
  <c r="E28" i="26" s="1"/>
  <c r="H28" i="26" a="1"/>
  <c r="H28" i="26" s="1"/>
  <c r="D28" i="26" a="1"/>
  <c r="D28" i="26" s="1"/>
  <c r="F31" i="28" a="1"/>
  <c r="F31" i="28" s="1"/>
  <c r="E31" i="28" a="1"/>
  <c r="E31" i="28" s="1"/>
  <c r="G31" i="28" a="1"/>
  <c r="G31" i="28" s="1"/>
  <c r="D31" i="28" a="1"/>
  <c r="D31" i="28" s="1"/>
  <c r="H31" i="28" a="1"/>
  <c r="H31" i="28" s="1"/>
  <c r="G50" i="33" a="1"/>
  <c r="G50" i="33" s="1"/>
  <c r="F50" i="33" a="1"/>
  <c r="F50" i="33" s="1"/>
  <c r="E50" i="33" a="1"/>
  <c r="E50" i="33" s="1"/>
  <c r="E64" i="34" a="1"/>
  <c r="E64" i="34" s="1"/>
  <c r="G64" i="34" a="1"/>
  <c r="G64" i="34" s="1"/>
  <c r="G46" i="34" a="1"/>
  <c r="G46" i="34" s="1"/>
  <c r="E46" i="34" a="1"/>
  <c r="E46" i="34" s="1"/>
  <c r="E54" i="25" a="1"/>
  <c r="E54" i="25" s="1"/>
  <c r="H54" i="25" a="1"/>
  <c r="H54" i="25" s="1"/>
  <c r="D54" i="25" a="1"/>
  <c r="D54" i="25" s="1"/>
  <c r="G54" i="25" a="1"/>
  <c r="G54" i="25" s="1"/>
  <c r="F54" i="25" a="1"/>
  <c r="F54" i="25" s="1"/>
  <c r="G51" i="25" a="1"/>
  <c r="G51" i="25" s="1"/>
  <c r="F51" i="25" a="1"/>
  <c r="F51" i="25" s="1"/>
  <c r="E51" i="25" a="1"/>
  <c r="E51" i="25" s="1"/>
  <c r="H51" i="25" a="1"/>
  <c r="H51" i="25" s="1"/>
  <c r="D51" i="25" a="1"/>
  <c r="D51" i="25" s="1"/>
  <c r="G55" i="26" a="1"/>
  <c r="G55" i="26" s="1"/>
  <c r="F55" i="26" a="1"/>
  <c r="F55" i="26" s="1"/>
  <c r="E55" i="26" a="1"/>
  <c r="E55" i="26" s="1"/>
  <c r="H55" i="26" a="1"/>
  <c r="H55" i="26" s="1"/>
  <c r="D55" i="26" a="1"/>
  <c r="D55" i="26" s="1"/>
  <c r="E39" i="28" a="1"/>
  <c r="E39" i="28" s="1"/>
  <c r="H39" i="28" a="1"/>
  <c r="H39" i="28" s="1"/>
  <c r="D39" i="28" a="1"/>
  <c r="D39" i="28" s="1"/>
  <c r="G39" i="28" a="1"/>
  <c r="G39" i="28" s="1"/>
  <c r="F39" i="28" a="1"/>
  <c r="F39" i="28" s="1"/>
  <c r="E50" i="28" a="1"/>
  <c r="E50" i="28" s="1"/>
  <c r="H50" i="28" a="1"/>
  <c r="H50" i="28" s="1"/>
  <c r="G50" i="28" a="1"/>
  <c r="G50" i="28" s="1"/>
  <c r="F50" i="28" a="1"/>
  <c r="F50" i="28" s="1"/>
  <c r="D50" i="28" a="1"/>
  <c r="D50" i="28" s="1"/>
  <c r="E53" i="18" a="1"/>
  <c r="E53" i="18" s="1"/>
  <c r="G53" i="18" a="1"/>
  <c r="G53" i="18" s="1"/>
  <c r="F25" i="33" a="1"/>
  <c r="F25" i="33" s="1"/>
  <c r="E25" i="33" a="1"/>
  <c r="E25" i="33" s="1"/>
  <c r="G25" i="33" a="1"/>
  <c r="G25" i="33" s="1"/>
  <c r="G19" i="34" a="1"/>
  <c r="G19" i="34" s="1"/>
  <c r="E19" i="34" a="1"/>
  <c r="E19" i="34" s="1"/>
  <c r="H20" i="25" a="1"/>
  <c r="H20" i="25" s="1"/>
  <c r="D20" i="25" a="1"/>
  <c r="D20" i="25" s="1"/>
  <c r="G20" i="25" a="1"/>
  <c r="G20" i="25" s="1"/>
  <c r="F20" i="25" a="1"/>
  <c r="F20" i="25" s="1"/>
  <c r="E20" i="25" a="1"/>
  <c r="E20" i="25" s="1"/>
  <c r="G38" i="25" a="1"/>
  <c r="G38" i="25" s="1"/>
  <c r="F38" i="25" a="1"/>
  <c r="F38" i="25" s="1"/>
  <c r="E38" i="25" a="1"/>
  <c r="E38" i="25" s="1"/>
  <c r="H38" i="25" a="1"/>
  <c r="H38" i="25" s="1"/>
  <c r="D38" i="25" a="1"/>
  <c r="D38" i="25" s="1"/>
  <c r="D57" i="28" a="1"/>
  <c r="D57" i="28" s="1"/>
  <c r="G57" i="28" a="1"/>
  <c r="G57" i="28" s="1"/>
  <c r="H57" i="28" a="1"/>
  <c r="H57" i="28" s="1"/>
  <c r="F57" i="28" a="1"/>
  <c r="F57" i="28" s="1"/>
  <c r="E57" i="28" a="1"/>
  <c r="E57" i="28" s="1"/>
  <c r="E53" i="28" a="1"/>
  <c r="E53" i="28" s="1"/>
  <c r="D53" i="28" a="1"/>
  <c r="D53" i="28" s="1"/>
  <c r="H53" i="28" a="1"/>
  <c r="H53" i="28" s="1"/>
  <c r="G53" i="28" a="1"/>
  <c r="G53" i="28" s="1"/>
  <c r="F53" i="28" a="1"/>
  <c r="F53" i="28" s="1"/>
  <c r="G57" i="23" a="1"/>
  <c r="G57" i="23" s="1"/>
  <c r="E57" i="23" a="1"/>
  <c r="E57" i="23" s="1"/>
  <c r="E44" i="23" a="1"/>
  <c r="E44" i="23" s="1"/>
  <c r="G44" i="23" a="1"/>
  <c r="G44" i="23" s="1"/>
  <c r="H42" i="27" a="1"/>
  <c r="H42" i="27" s="1"/>
  <c r="D42" i="27" a="1"/>
  <c r="D42" i="27" s="1"/>
  <c r="G42" i="27" a="1"/>
  <c r="G42" i="27" s="1"/>
  <c r="F42" i="27" a="1"/>
  <c r="F42" i="27" s="1"/>
  <c r="E42" i="27" a="1"/>
  <c r="E42" i="27" s="1"/>
  <c r="G38" i="28" a="1"/>
  <c r="G38" i="28" s="1"/>
  <c r="F38" i="28" a="1"/>
  <c r="F38" i="28" s="1"/>
  <c r="H38" i="28" a="1"/>
  <c r="H38" i="28" s="1"/>
  <c r="E38" i="28" a="1"/>
  <c r="E38" i="28" s="1"/>
  <c r="D38" i="28" a="1"/>
  <c r="D38" i="28" s="1"/>
  <c r="E62" i="21" a="1"/>
  <c r="E62" i="21" s="1"/>
  <c r="G62" i="21" a="1"/>
  <c r="G62" i="21" s="1"/>
  <c r="E31" i="22" a="1"/>
  <c r="E31" i="22" s="1"/>
  <c r="H31" i="22" a="1"/>
  <c r="H31" i="22" s="1"/>
  <c r="D31" i="22" a="1"/>
  <c r="D31" i="22" s="1"/>
  <c r="G31" i="22" a="1"/>
  <c r="G31" i="22" s="1"/>
  <c r="F31" i="22" a="1"/>
  <c r="F31" i="22" s="1"/>
  <c r="G56" i="27" a="1"/>
  <c r="G56" i="27" s="1"/>
  <c r="F56" i="27" a="1"/>
  <c r="F56" i="27" s="1"/>
  <c r="E56" i="27" a="1"/>
  <c r="E56" i="27" s="1"/>
  <c r="D56" i="27" a="1"/>
  <c r="D56" i="27" s="1"/>
  <c r="H56" i="27" a="1"/>
  <c r="H56" i="27" s="1"/>
  <c r="E17" i="21" a="1"/>
  <c r="E17" i="21" s="1"/>
  <c r="H17" i="21" a="1"/>
  <c r="H17" i="21" s="1"/>
  <c r="D17" i="21" a="1"/>
  <c r="D17" i="21" s="1"/>
  <c r="G17" i="21" a="1"/>
  <c r="G17" i="21" s="1"/>
  <c r="F17" i="21" a="1"/>
  <c r="F17" i="21" s="1"/>
  <c r="E19" i="26" a="1"/>
  <c r="E19" i="26" s="1"/>
  <c r="H19" i="26" a="1"/>
  <c r="H19" i="26" s="1"/>
  <c r="D19" i="26" a="1"/>
  <c r="D19" i="26" s="1"/>
  <c r="G19" i="26" a="1"/>
  <c r="G19" i="26" s="1"/>
  <c r="F19" i="26" a="1"/>
  <c r="F19" i="26" s="1"/>
  <c r="G44" i="33" a="1"/>
  <c r="G44" i="33" s="1"/>
  <c r="F44" i="33" a="1"/>
  <c r="F44" i="33" s="1"/>
  <c r="E44" i="33" a="1"/>
  <c r="E44" i="33" s="1"/>
  <c r="G28" i="34" a="1"/>
  <c r="G28" i="34" s="1"/>
  <c r="E28" i="34" a="1"/>
  <c r="E28" i="34" s="1"/>
  <c r="H40" i="27" a="1"/>
  <c r="H40" i="27" s="1"/>
  <c r="D40" i="27" a="1"/>
  <c r="D40" i="27" s="1"/>
  <c r="G40" i="27" a="1"/>
  <c r="G40" i="27" s="1"/>
  <c r="F40" i="27" a="1"/>
  <c r="F40" i="27" s="1"/>
  <c r="E40" i="27" a="1"/>
  <c r="E40" i="27" s="1"/>
  <c r="E62" i="20" a="1"/>
  <c r="E62" i="20" s="1"/>
  <c r="G62" i="20" a="1"/>
  <c r="G62" i="20" s="1"/>
  <c r="H30" i="20" a="1"/>
  <c r="H30" i="20" s="1"/>
  <c r="G30" i="20" a="1"/>
  <c r="G30" i="20" s="1"/>
  <c r="F30" i="20" a="1"/>
  <c r="F30" i="20" s="1"/>
  <c r="E30" i="20" a="1"/>
  <c r="E30" i="20" s="1"/>
  <c r="D30" i="20" a="1"/>
  <c r="D30" i="20" s="1"/>
  <c r="E57" i="27" a="1"/>
  <c r="E57" i="27" s="1"/>
  <c r="H57" i="27" a="1"/>
  <c r="H57" i="27" s="1"/>
  <c r="D57" i="27" a="1"/>
  <c r="D57" i="27" s="1"/>
  <c r="G57" i="27" a="1"/>
  <c r="G57" i="27" s="1"/>
  <c r="F57" i="27" a="1"/>
  <c r="F57" i="27" s="1"/>
  <c r="E43" i="28" a="1"/>
  <c r="E43" i="28" s="1"/>
  <c r="H43" i="28" a="1"/>
  <c r="H43" i="28" s="1"/>
  <c r="D43" i="28" a="1"/>
  <c r="D43" i="28" s="1"/>
  <c r="G43" i="28" a="1"/>
  <c r="G43" i="28" s="1"/>
  <c r="F43" i="28" a="1"/>
  <c r="F43" i="28" s="1"/>
  <c r="E59" i="18" a="1"/>
  <c r="E59" i="18" s="1"/>
  <c r="G59" i="18" a="1"/>
  <c r="G59" i="18" s="1"/>
  <c r="E27" i="19" a="1"/>
  <c r="E27" i="19" s="1"/>
  <c r="H27" i="19" a="1"/>
  <c r="H27" i="19" s="1"/>
  <c r="D27" i="19" a="1"/>
  <c r="D27" i="19" s="1"/>
  <c r="G27" i="19" a="1"/>
  <c r="G27" i="19" s="1"/>
  <c r="F27" i="19" a="1"/>
  <c r="F27" i="19" s="1"/>
  <c r="F37" i="27" a="1"/>
  <c r="F37" i="27" s="1"/>
  <c r="E37" i="27" a="1"/>
  <c r="E37" i="27" s="1"/>
  <c r="H37" i="27" a="1"/>
  <c r="H37" i="27" s="1"/>
  <c r="D37" i="27" a="1"/>
  <c r="D37" i="27" s="1"/>
  <c r="G37" i="27" a="1"/>
  <c r="G37" i="27" s="1"/>
  <c r="G28" i="21" a="1"/>
  <c r="G28" i="21" s="1"/>
  <c r="F28" i="21" a="1"/>
  <c r="F28" i="21" s="1"/>
  <c r="E28" i="21" a="1"/>
  <c r="E28" i="21" s="1"/>
  <c r="H28" i="21" a="1"/>
  <c r="H28" i="21" s="1"/>
  <c r="D28" i="21" a="1"/>
  <c r="D28" i="21" s="1"/>
  <c r="G25" i="23" a="1"/>
  <c r="G25" i="23" s="1"/>
  <c r="E25" i="23" a="1"/>
  <c r="E25" i="23" s="1"/>
  <c r="G37" i="23" a="1"/>
  <c r="G37" i="23" s="1"/>
  <c r="E37" i="23" a="1"/>
  <c r="E37" i="23" s="1"/>
  <c r="E28" i="23" a="1"/>
  <c r="E28" i="23" s="1"/>
  <c r="G28" i="23" a="1"/>
  <c r="G28" i="23" s="1"/>
  <c r="G45" i="33" a="1"/>
  <c r="G45" i="33" s="1"/>
  <c r="F45" i="33" a="1"/>
  <c r="F45" i="33" s="1"/>
  <c r="E45" i="33" a="1"/>
  <c r="E45" i="33" s="1"/>
  <c r="G27" i="34" a="1"/>
  <c r="G27" i="34" s="1"/>
  <c r="E27" i="34" a="1"/>
  <c r="E27" i="34" s="1"/>
  <c r="G20" i="34" a="1"/>
  <c r="G20" i="34" s="1"/>
  <c r="E20" i="34" a="1"/>
  <c r="E20" i="34" s="1"/>
  <c r="E58" i="25" a="1"/>
  <c r="E58" i="25" s="1"/>
  <c r="H58" i="25" a="1"/>
  <c r="H58" i="25" s="1"/>
  <c r="D58" i="25" a="1"/>
  <c r="D58" i="25" s="1"/>
  <c r="G58" i="25" a="1"/>
  <c r="G58" i="25" s="1"/>
  <c r="F58" i="25" a="1"/>
  <c r="F58" i="25" s="1"/>
  <c r="E58" i="26" a="1"/>
  <c r="E58" i="26" s="1"/>
  <c r="H58" i="26" a="1"/>
  <c r="H58" i="26" s="1"/>
  <c r="D58" i="26" a="1"/>
  <c r="D58" i="26" s="1"/>
  <c r="G58" i="26" a="1"/>
  <c r="G58" i="26" s="1"/>
  <c r="F58" i="26" a="1"/>
  <c r="F58" i="26" s="1"/>
  <c r="F27" i="28" a="1"/>
  <c r="F27" i="28" s="1"/>
  <c r="E27" i="28" a="1"/>
  <c r="E27" i="28" s="1"/>
  <c r="H27" i="28" a="1"/>
  <c r="H27" i="28" s="1"/>
  <c r="G27" i="28" a="1"/>
  <c r="G27" i="28" s="1"/>
  <c r="D27" i="28" a="1"/>
  <c r="D27" i="28" s="1"/>
  <c r="E55" i="18" a="1"/>
  <c r="E55" i="18" s="1"/>
  <c r="G55" i="18" a="1"/>
  <c r="G55" i="18" s="1"/>
  <c r="G31" i="19" a="1"/>
  <c r="G31" i="19" s="1"/>
  <c r="E31" i="19" a="1"/>
  <c r="E31" i="19" s="1"/>
  <c r="H31" i="19" a="1"/>
  <c r="H31" i="19" s="1"/>
  <c r="D31" i="19" a="1"/>
  <c r="D31" i="19" s="1"/>
  <c r="F31" i="19" a="1"/>
  <c r="F31" i="19" s="1"/>
  <c r="G64" i="20" a="1"/>
  <c r="G64" i="20" s="1"/>
  <c r="E64" i="20" a="1"/>
  <c r="E64" i="20" s="1"/>
  <c r="F31" i="25" a="1"/>
  <c r="F31" i="25" s="1"/>
  <c r="E31" i="25" a="1"/>
  <c r="E31" i="25" s="1"/>
  <c r="H31" i="25" a="1"/>
  <c r="H31" i="25" s="1"/>
  <c r="D31" i="25" a="1"/>
  <c r="D31" i="25" s="1"/>
  <c r="G31" i="25" a="1"/>
  <c r="G31" i="25" s="1"/>
  <c r="E49" i="27" a="1"/>
  <c r="E49" i="27" s="1"/>
  <c r="H49" i="27" a="1"/>
  <c r="H49" i="27" s="1"/>
  <c r="D49" i="27" a="1"/>
  <c r="D49" i="27" s="1"/>
  <c r="G49" i="27" a="1"/>
  <c r="G49" i="27" s="1"/>
  <c r="F49" i="27" a="1"/>
  <c r="F49" i="27" s="1"/>
  <c r="G32" i="26" a="1"/>
  <c r="G32" i="26" s="1"/>
  <c r="F32" i="26" a="1"/>
  <c r="F32" i="26" s="1"/>
  <c r="E32" i="26" a="1"/>
  <c r="E32" i="26" s="1"/>
  <c r="H32" i="26" a="1"/>
  <c r="H32" i="26" s="1"/>
  <c r="D32" i="26" a="1"/>
  <c r="D32" i="26" s="1"/>
  <c r="G40" i="28" a="1"/>
  <c r="G40" i="28" s="1"/>
  <c r="F40" i="28" a="1"/>
  <c r="F40" i="28" s="1"/>
  <c r="H40" i="28" a="1"/>
  <c r="H40" i="28" s="1"/>
  <c r="E40" i="28" a="1"/>
  <c r="E40" i="28" s="1"/>
  <c r="D40" i="28" a="1"/>
  <c r="D40" i="28" s="1"/>
  <c r="G52" i="28" a="1"/>
  <c r="G52" i="28" s="1"/>
  <c r="E52" i="28" a="1"/>
  <c r="E52" i="28" s="1"/>
  <c r="H52" i="28" a="1"/>
  <c r="H52" i="28" s="1"/>
  <c r="F52" i="28" a="1"/>
  <c r="F52" i="28" s="1"/>
  <c r="D52" i="28" a="1"/>
  <c r="D52" i="28" s="1"/>
  <c r="G31" i="23" a="1"/>
  <c r="G31" i="23" s="1"/>
  <c r="E31" i="23" a="1"/>
  <c r="E31" i="23" s="1"/>
  <c r="G33" i="19" a="1"/>
  <c r="G33" i="19" s="1"/>
  <c r="E33" i="19" a="1"/>
  <c r="E33" i="19" s="1"/>
  <c r="H33" i="19" a="1"/>
  <c r="H33" i="19" s="1"/>
  <c r="D33" i="19" a="1"/>
  <c r="D33" i="19" s="1"/>
  <c r="F33" i="19" a="1"/>
  <c r="F33" i="19" s="1"/>
  <c r="E53" i="17" a="1"/>
  <c r="E53" i="17" s="1"/>
  <c r="G53" i="17" a="1"/>
  <c r="G53" i="17" s="1"/>
  <c r="D28" i="20" a="1"/>
  <c r="D28" i="20" s="1"/>
  <c r="H28" i="20" a="1"/>
  <c r="H28" i="20" s="1"/>
  <c r="G28" i="20" a="1"/>
  <c r="G28" i="20" s="1"/>
  <c r="F28" i="20" a="1"/>
  <c r="F28" i="20" s="1"/>
  <c r="E28" i="20" a="1"/>
  <c r="E28" i="20" s="1"/>
  <c r="G39" i="34" a="1"/>
  <c r="G39" i="34" s="1"/>
  <c r="E39" i="34" a="1"/>
  <c r="E39" i="34" s="1"/>
  <c r="E57" i="34" a="1"/>
  <c r="E57" i="34" s="1"/>
  <c r="G57" i="34" a="1"/>
  <c r="G57" i="34" s="1"/>
  <c r="G67" i="18" a="1"/>
  <c r="G67" i="18" s="1"/>
  <c r="E67" i="18" a="1"/>
  <c r="E67" i="18" s="1"/>
  <c r="G64" i="22" a="1"/>
  <c r="G64" i="22" s="1"/>
  <c r="E64" i="22" a="1"/>
  <c r="E64" i="22" s="1"/>
  <c r="G47" i="33" a="1"/>
  <c r="G47" i="33" s="1"/>
  <c r="F47" i="33" a="1"/>
  <c r="F47" i="33" s="1"/>
  <c r="E47" i="33" a="1"/>
  <c r="E47" i="33" s="1"/>
  <c r="G44" i="34" a="1"/>
  <c r="G44" i="34" s="1"/>
  <c r="E44" i="34" a="1"/>
  <c r="E44" i="34" s="1"/>
  <c r="H28" i="25" a="1"/>
  <c r="H28" i="25" s="1"/>
  <c r="D28" i="25" a="1"/>
  <c r="D28" i="25" s="1"/>
  <c r="G28" i="25" a="1"/>
  <c r="G28" i="25" s="1"/>
  <c r="F28" i="25" a="1"/>
  <c r="F28" i="25" s="1"/>
  <c r="E28" i="25" a="1"/>
  <c r="E28" i="25" s="1"/>
  <c r="G57" i="25" a="1"/>
  <c r="G57" i="25" s="1"/>
  <c r="F57" i="25" a="1"/>
  <c r="F57" i="25" s="1"/>
  <c r="E57" i="25" a="1"/>
  <c r="E57" i="25" s="1"/>
  <c r="H57" i="25" a="1"/>
  <c r="H57" i="25" s="1"/>
  <c r="D57" i="25" a="1"/>
  <c r="D57" i="25" s="1"/>
  <c r="G30" i="26" a="1"/>
  <c r="G30" i="26" s="1"/>
  <c r="F30" i="26" a="1"/>
  <c r="F30" i="26" s="1"/>
  <c r="E30" i="26" a="1"/>
  <c r="E30" i="26" s="1"/>
  <c r="H30" i="26" a="1"/>
  <c r="H30" i="26" s="1"/>
  <c r="D30" i="26" a="1"/>
  <c r="D30" i="26" s="1"/>
  <c r="E47" i="28" a="1"/>
  <c r="E47" i="28" s="1"/>
  <c r="H47" i="28" a="1"/>
  <c r="H47" i="28" s="1"/>
  <c r="G47" i="28" a="1"/>
  <c r="G47" i="28" s="1"/>
  <c r="F47" i="28" a="1"/>
  <c r="F47" i="28" s="1"/>
  <c r="D47" i="28" a="1"/>
  <c r="D47" i="28" s="1"/>
  <c r="F60" i="19" a="1"/>
  <c r="F60" i="19" s="1"/>
  <c r="D60" i="19" a="1"/>
  <c r="D60" i="19" s="1"/>
  <c r="E60" i="19" a="1"/>
  <c r="E60" i="19" s="1"/>
  <c r="H60" i="19" a="1"/>
  <c r="H60" i="19" s="1"/>
  <c r="G60" i="19" a="1"/>
  <c r="G60" i="19" s="1"/>
  <c r="G32" i="22" a="1"/>
  <c r="G32" i="22" s="1"/>
  <c r="F32" i="22" a="1"/>
  <c r="F32" i="22" s="1"/>
  <c r="E32" i="22" a="1"/>
  <c r="E32" i="22" s="1"/>
  <c r="H32" i="22" a="1"/>
  <c r="H32" i="22" s="1"/>
  <c r="D32" i="22" a="1"/>
  <c r="D32" i="22" s="1"/>
  <c r="G41" i="33" a="1"/>
  <c r="G41" i="33" s="1"/>
  <c r="F41" i="33" a="1"/>
  <c r="F41" i="33" s="1"/>
  <c r="E41" i="33" a="1"/>
  <c r="E41" i="33" s="1"/>
  <c r="G39" i="33" a="1"/>
  <c r="G39" i="33" s="1"/>
  <c r="F39" i="33" a="1"/>
  <c r="F39" i="33" s="1"/>
  <c r="E39" i="33" a="1"/>
  <c r="E39" i="33" s="1"/>
  <c r="G59" i="34" a="1"/>
  <c r="G59" i="34" s="1"/>
  <c r="E59" i="34" a="1"/>
  <c r="E59" i="34" s="1"/>
  <c r="F17" i="25" a="1"/>
  <c r="F17" i="25" s="1"/>
  <c r="E17" i="25" a="1"/>
  <c r="E17" i="25" s="1"/>
  <c r="H17" i="25" a="1"/>
  <c r="H17" i="25" s="1"/>
  <c r="D17" i="25" a="1"/>
  <c r="D17" i="25" s="1"/>
  <c r="G17" i="25" a="1"/>
  <c r="G17" i="25" s="1"/>
  <c r="G47" i="26" a="1"/>
  <c r="G47" i="26" s="1"/>
  <c r="F47" i="26" a="1"/>
  <c r="F47" i="26" s="1"/>
  <c r="E47" i="26" a="1"/>
  <c r="E47" i="26" s="1"/>
  <c r="H47" i="26" a="1"/>
  <c r="H47" i="26" s="1"/>
  <c r="D47" i="26" a="1"/>
  <c r="D47" i="26" s="1"/>
  <c r="G42" i="28" a="1"/>
  <c r="G42" i="28" s="1"/>
  <c r="F42" i="28" a="1"/>
  <c r="F42" i="28" s="1"/>
  <c r="H42" i="28" a="1"/>
  <c r="H42" i="28" s="1"/>
  <c r="E42" i="28" a="1"/>
  <c r="E42" i="28" s="1"/>
  <c r="D42" i="28" a="1"/>
  <c r="D42" i="28" s="1"/>
  <c r="G54" i="27" a="1"/>
  <c r="G54" i="27" s="1"/>
  <c r="F54" i="27" a="1"/>
  <c r="F54" i="27" s="1"/>
  <c r="E54" i="27" a="1"/>
  <c r="E54" i="27" s="1"/>
  <c r="H54" i="27" a="1"/>
  <c r="H54" i="27" s="1"/>
  <c r="D54" i="27" a="1"/>
  <c r="D54" i="27" s="1"/>
  <c r="F40" i="26" a="1"/>
  <c r="F40" i="26" s="1"/>
  <c r="E40" i="26" a="1"/>
  <c r="E40" i="26" s="1"/>
  <c r="H40" i="26" a="1"/>
  <c r="H40" i="26" s="1"/>
  <c r="D40" i="26" a="1"/>
  <c r="D40" i="26" s="1"/>
  <c r="G40" i="26" a="1"/>
  <c r="G40" i="26" s="1"/>
  <c r="C56" i="18" a="1"/>
  <c r="C56" i="18" s="1"/>
  <c r="C26" i="18" s="1"/>
  <c r="G58" i="21" a="1"/>
  <c r="G58" i="21" s="1"/>
  <c r="F58" i="21" a="1"/>
  <c r="F58" i="21" s="1"/>
  <c r="E58" i="21" a="1"/>
  <c r="E58" i="21" s="1"/>
  <c r="H58" i="21" a="1"/>
  <c r="H58" i="21" s="1"/>
  <c r="D58" i="21" a="1"/>
  <c r="D58" i="21" s="1"/>
  <c r="G46" i="23" a="1"/>
  <c r="G46" i="23" s="1"/>
  <c r="E46" i="23" a="1"/>
  <c r="E46" i="23" s="1"/>
  <c r="F33" i="28" a="1"/>
  <c r="F33" i="28" s="1"/>
  <c r="E33" i="28" a="1"/>
  <c r="E33" i="28" s="1"/>
  <c r="D33" i="28" a="1"/>
  <c r="D33" i="28" s="1"/>
  <c r="H33" i="28" a="1"/>
  <c r="H33" i="28" s="1"/>
  <c r="G33" i="28" a="1"/>
  <c r="G33" i="28" s="1"/>
  <c r="E20" i="33" a="1"/>
  <c r="E20" i="33" s="1"/>
  <c r="G42" i="34" a="1"/>
  <c r="G42" i="34" s="1"/>
  <c r="E42" i="34" a="1"/>
  <c r="E42" i="34" s="1"/>
  <c r="H39" i="26" a="1"/>
  <c r="H39" i="26" s="1"/>
  <c r="D39" i="26" a="1"/>
  <c r="D39" i="26" s="1"/>
  <c r="G39" i="26" a="1"/>
  <c r="G39" i="26" s="1"/>
  <c r="F39" i="26" a="1"/>
  <c r="F39" i="26" s="1"/>
  <c r="E39" i="26" a="1"/>
  <c r="E39" i="26" s="1"/>
  <c r="C55" i="17" a="1"/>
  <c r="C55" i="17" s="1"/>
  <c r="C24" i="17" s="1"/>
  <c r="E57" i="18" a="1"/>
  <c r="E57" i="18" s="1"/>
  <c r="G57" i="18" a="1"/>
  <c r="G57" i="18" s="1"/>
  <c r="H37" i="22" a="1"/>
  <c r="H37" i="22" s="1"/>
  <c r="D37" i="22" a="1"/>
  <c r="D37" i="22" s="1"/>
  <c r="G37" i="22" a="1"/>
  <c r="G37" i="22" s="1"/>
  <c r="F37" i="22" a="1"/>
  <c r="F37" i="22" s="1"/>
  <c r="E37" i="22" a="1"/>
  <c r="E37" i="22" s="1"/>
  <c r="F17" i="20" a="1"/>
  <c r="F17" i="20" s="1"/>
  <c r="E17" i="20" a="1"/>
  <c r="E17" i="20" s="1"/>
  <c r="D17" i="20" a="1"/>
  <c r="D17" i="20" s="1"/>
  <c r="H17" i="20" a="1"/>
  <c r="H17" i="20" s="1"/>
  <c r="G17" i="20" a="1"/>
  <c r="G17" i="20" s="1"/>
  <c r="G60" i="17" a="1"/>
  <c r="G60" i="17" s="1"/>
  <c r="E60" i="17" a="1"/>
  <c r="E60" i="17" s="1"/>
  <c r="G64" i="18" a="1"/>
  <c r="G64" i="18" s="1"/>
  <c r="E64" i="18" a="1"/>
  <c r="E64" i="18" s="1"/>
  <c r="G35" i="23" a="1"/>
  <c r="G35" i="23" s="1"/>
  <c r="E35" i="23" a="1"/>
  <c r="E35" i="23" s="1"/>
  <c r="G26" i="23" a="1"/>
  <c r="G26" i="23" s="1"/>
  <c r="E26" i="23" a="1"/>
  <c r="E26" i="23" s="1"/>
  <c r="G49" i="26" a="1"/>
  <c r="G49" i="26" s="1"/>
  <c r="F49" i="26" a="1"/>
  <c r="F49" i="26" s="1"/>
  <c r="E49" i="26" a="1"/>
  <c r="E49" i="26" s="1"/>
  <c r="H49" i="26" a="1"/>
  <c r="H49" i="26" s="1"/>
  <c r="D49" i="26" a="1"/>
  <c r="D49" i="26" s="1"/>
  <c r="C56" i="17" a="1"/>
  <c r="C56" i="17" s="1"/>
  <c r="C25" i="17" s="1"/>
  <c r="E60" i="18" a="1"/>
  <c r="E60" i="18" s="1"/>
  <c r="G60" i="18" a="1"/>
  <c r="G60" i="18" s="1"/>
  <c r="E32" i="23" a="1"/>
  <c r="E32" i="23" s="1"/>
  <c r="G32" i="23" a="1"/>
  <c r="G32" i="23" s="1"/>
  <c r="G18" i="26" a="1"/>
  <c r="G18" i="26" s="1"/>
  <c r="F18" i="26" a="1"/>
  <c r="F18" i="26" s="1"/>
  <c r="E18" i="26" a="1"/>
  <c r="E18" i="26" s="1"/>
  <c r="H18" i="26" a="1"/>
  <c r="H18" i="26" s="1"/>
  <c r="D18" i="26" a="1"/>
  <c r="D18" i="26" s="1"/>
  <c r="G67" i="17" a="1"/>
  <c r="G67" i="17" s="1"/>
  <c r="E67" i="17" a="1"/>
  <c r="E67" i="17" s="1"/>
  <c r="E27" i="21" a="1"/>
  <c r="E27" i="21" s="1"/>
  <c r="H27" i="21" a="1"/>
  <c r="H27" i="21" s="1"/>
  <c r="D27" i="21" a="1"/>
  <c r="D27" i="21" s="1"/>
  <c r="G27" i="21" a="1"/>
  <c r="G27" i="21" s="1"/>
  <c r="F27" i="21" a="1"/>
  <c r="F27" i="21" s="1"/>
  <c r="G30" i="23" a="1"/>
  <c r="G30" i="23" s="1"/>
  <c r="E30" i="23" a="1"/>
  <c r="E30" i="23" s="1"/>
  <c r="G56" i="33" a="1"/>
  <c r="G56" i="33" s="1"/>
  <c r="E56" i="33" a="1"/>
  <c r="E56" i="33" s="1"/>
  <c r="F56" i="33" a="1"/>
  <c r="F56" i="33" s="1"/>
  <c r="G51" i="34" a="1"/>
  <c r="G51" i="34" s="1"/>
  <c r="E51" i="34" a="1"/>
  <c r="E51" i="34" s="1"/>
  <c r="H47" i="25" a="1"/>
  <c r="H47" i="25" s="1"/>
  <c r="D47" i="25" a="1"/>
  <c r="D47" i="25" s="1"/>
  <c r="G47" i="25" a="1"/>
  <c r="G47" i="25" s="1"/>
  <c r="F47" i="25" a="1"/>
  <c r="F47" i="25" s="1"/>
  <c r="E47" i="25" a="1"/>
  <c r="E47" i="25" s="1"/>
  <c r="H30" i="28" a="1"/>
  <c r="H30" i="28" s="1"/>
  <c r="D30" i="28" a="1"/>
  <c r="D30" i="28" s="1"/>
  <c r="G30" i="28" a="1"/>
  <c r="G30" i="28" s="1"/>
  <c r="F30" i="28" a="1"/>
  <c r="F30" i="28" s="1"/>
  <c r="E30" i="28" a="1"/>
  <c r="E30" i="28" s="1"/>
  <c r="H39" i="19" a="1"/>
  <c r="H39" i="19" s="1"/>
  <c r="D39" i="19" a="1"/>
  <c r="D39" i="19" s="1"/>
  <c r="G39" i="19" a="1"/>
  <c r="G39" i="19" s="1"/>
  <c r="F39" i="19" a="1"/>
  <c r="F39" i="19" s="1"/>
  <c r="E39" i="19" a="1"/>
  <c r="E39" i="19" s="1"/>
  <c r="H39" i="22" a="1"/>
  <c r="H39" i="22" s="1"/>
  <c r="D39" i="22" a="1"/>
  <c r="D39" i="22" s="1"/>
  <c r="G39" i="22" a="1"/>
  <c r="G39" i="22" s="1"/>
  <c r="F39" i="22" a="1"/>
  <c r="F39" i="22" s="1"/>
  <c r="E39" i="22" a="1"/>
  <c r="E39" i="22" s="1"/>
  <c r="F37" i="20" a="1"/>
  <c r="F37" i="20" s="1"/>
  <c r="E37" i="20" a="1"/>
  <c r="E37" i="20" s="1"/>
  <c r="D37" i="20" a="1"/>
  <c r="D37" i="20" s="1"/>
  <c r="H37" i="20" a="1"/>
  <c r="H37" i="20" s="1"/>
  <c r="G37" i="20" a="1"/>
  <c r="G37" i="20" s="1"/>
  <c r="G32" i="20" a="1"/>
  <c r="G32" i="20" s="1"/>
  <c r="F32" i="20" a="1"/>
  <c r="F32" i="20" s="1"/>
  <c r="E32" i="20" a="1"/>
  <c r="E32" i="20" s="1"/>
  <c r="D32" i="20" a="1"/>
  <c r="D32" i="20" s="1"/>
  <c r="H32" i="20" a="1"/>
  <c r="H32" i="20" s="1"/>
  <c r="C54" i="17" a="1"/>
  <c r="C54" i="17" s="1"/>
  <c r="C22" i="17" s="1"/>
  <c r="F21" i="25" a="1"/>
  <c r="F21" i="25" s="1"/>
  <c r="E21" i="25" a="1"/>
  <c r="E21" i="25" s="1"/>
  <c r="H21" i="25" a="1"/>
  <c r="H21" i="25" s="1"/>
  <c r="D21" i="25" a="1"/>
  <c r="D21" i="25" s="1"/>
  <c r="G21" i="25" a="1"/>
  <c r="G21" i="25" s="1"/>
  <c r="F43" i="27" a="1"/>
  <c r="F43" i="27" s="1"/>
  <c r="E43" i="27" a="1"/>
  <c r="E43" i="27" s="1"/>
  <c r="H43" i="27" a="1"/>
  <c r="H43" i="27" s="1"/>
  <c r="D43" i="27" a="1"/>
  <c r="D43" i="27" s="1"/>
  <c r="G43" i="27" a="1"/>
  <c r="G43" i="27" s="1"/>
  <c r="G53" i="26" a="1"/>
  <c r="G53" i="26" s="1"/>
  <c r="F53" i="26" a="1"/>
  <c r="F53" i="26" s="1"/>
  <c r="E53" i="26" a="1"/>
  <c r="E53" i="26" s="1"/>
  <c r="H53" i="26" a="1"/>
  <c r="H53" i="26" s="1"/>
  <c r="D53" i="26" a="1"/>
  <c r="D53" i="26" s="1"/>
  <c r="G58" i="22" a="1"/>
  <c r="G58" i="22" s="1"/>
  <c r="F58" i="22" a="1"/>
  <c r="F58" i="22" s="1"/>
  <c r="E58" i="22" a="1"/>
  <c r="E58" i="22" s="1"/>
  <c r="H58" i="22" a="1"/>
  <c r="H58" i="22" s="1"/>
  <c r="D58" i="22" a="1"/>
  <c r="D58" i="22" s="1"/>
  <c r="G19" i="23" a="1"/>
  <c r="G19" i="23" s="1"/>
  <c r="E19" i="23" a="1"/>
  <c r="E19" i="23" s="1"/>
  <c r="G52" i="34" a="1"/>
  <c r="G52" i="34" s="1"/>
  <c r="E52" i="34" a="1"/>
  <c r="E52" i="34" s="1"/>
  <c r="E39" i="25" a="1"/>
  <c r="E39" i="25" s="1"/>
  <c r="H39" i="25" a="1"/>
  <c r="H39" i="25" s="1"/>
  <c r="D39" i="25" a="1"/>
  <c r="D39" i="25" s="1"/>
  <c r="G39" i="25" a="1"/>
  <c r="G39" i="25" s="1"/>
  <c r="F39" i="25" a="1"/>
  <c r="F39" i="25" s="1"/>
  <c r="G53" i="25" a="1"/>
  <c r="G53" i="25" s="1"/>
  <c r="F53" i="25" a="1"/>
  <c r="F53" i="25" s="1"/>
  <c r="E53" i="25" a="1"/>
  <c r="E53" i="25" s="1"/>
  <c r="H53" i="25" a="1"/>
  <c r="H53" i="25" s="1"/>
  <c r="D53" i="25" a="1"/>
  <c r="D53" i="25" s="1"/>
  <c r="C57" i="17" a="1"/>
  <c r="C57" i="17" s="1"/>
  <c r="C27" i="17" s="1"/>
  <c r="E27" i="22" a="1"/>
  <c r="E27" i="22" s="1"/>
  <c r="H27" i="22" a="1"/>
  <c r="H27" i="22" s="1"/>
  <c r="D27" i="22" a="1"/>
  <c r="D27" i="22" s="1"/>
  <c r="G27" i="22" a="1"/>
  <c r="G27" i="22" s="1"/>
  <c r="F27" i="22" a="1"/>
  <c r="F27" i="22" s="1"/>
  <c r="G49" i="33" a="1"/>
  <c r="G49" i="33" s="1"/>
  <c r="F49" i="33" a="1"/>
  <c r="F49" i="33" s="1"/>
  <c r="E49" i="33" a="1"/>
  <c r="E49" i="33" s="1"/>
  <c r="G59" i="33" a="1"/>
  <c r="G59" i="33" s="1"/>
  <c r="E59" i="33" a="1"/>
  <c r="E59" i="33" s="1"/>
  <c r="F59" i="33" a="1"/>
  <c r="F59" i="33" s="1"/>
  <c r="E18" i="34" a="1"/>
  <c r="E18" i="34" s="1"/>
  <c r="G18" i="34" a="1"/>
  <c r="G18" i="34" s="1"/>
  <c r="F25" i="25" a="1"/>
  <c r="F25" i="25" s="1"/>
  <c r="E25" i="25" a="1"/>
  <c r="E25" i="25" s="1"/>
  <c r="H25" i="25" a="1"/>
  <c r="H25" i="25" s="1"/>
  <c r="D25" i="25" a="1"/>
  <c r="D25" i="25" s="1"/>
  <c r="G25" i="25" a="1"/>
  <c r="G25" i="25" s="1"/>
  <c r="E51" i="27" a="1"/>
  <c r="E51" i="27" s="1"/>
  <c r="H51" i="27" a="1"/>
  <c r="H51" i="27" s="1"/>
  <c r="D51" i="27" a="1"/>
  <c r="D51" i="27" s="1"/>
  <c r="G51" i="27" a="1"/>
  <c r="G51" i="27" s="1"/>
  <c r="F51" i="27" a="1"/>
  <c r="F51" i="27" s="1"/>
  <c r="E48" i="26" a="1"/>
  <c r="E48" i="26" s="1"/>
  <c r="H48" i="26" a="1"/>
  <c r="H48" i="26" s="1"/>
  <c r="D48" i="26" a="1"/>
  <c r="D48" i="26" s="1"/>
  <c r="G48" i="26" a="1"/>
  <c r="G48" i="26" s="1"/>
  <c r="F48" i="26" a="1"/>
  <c r="F48" i="26" s="1"/>
  <c r="F56" i="19" a="1"/>
  <c r="F56" i="19" s="1"/>
  <c r="E56" i="19" a="1"/>
  <c r="E56" i="19" s="1"/>
  <c r="D56" i="19" a="1"/>
  <c r="D56" i="19" s="1"/>
  <c r="H56" i="19" a="1"/>
  <c r="H56" i="19" s="1"/>
  <c r="G56" i="19" a="1"/>
  <c r="G56" i="19" s="1"/>
  <c r="G46" i="33" a="1"/>
  <c r="G46" i="33" s="1"/>
  <c r="F46" i="33" a="1"/>
  <c r="F46" i="33" s="1"/>
  <c r="E46" i="33" a="1"/>
  <c r="E46" i="33" s="1"/>
  <c r="E19" i="33" a="1"/>
  <c r="E19" i="33" s="1"/>
  <c r="E53" i="34" a="1"/>
  <c r="E53" i="34" s="1"/>
  <c r="G53" i="34" a="1"/>
  <c r="G53" i="34" s="1"/>
  <c r="G43" i="34" a="1"/>
  <c r="G43" i="34" s="1"/>
  <c r="E43" i="34" a="1"/>
  <c r="E43" i="34" s="1"/>
  <c r="F23" i="25" a="1"/>
  <c r="F23" i="25" s="1"/>
  <c r="E23" i="25" a="1"/>
  <c r="E23" i="25" s="1"/>
  <c r="H23" i="25" a="1"/>
  <c r="H23" i="25" s="1"/>
  <c r="D23" i="25" a="1"/>
  <c r="D23" i="25" s="1"/>
  <c r="G23" i="25" a="1"/>
  <c r="G23" i="25" s="1"/>
  <c r="E48" i="23" a="1"/>
  <c r="E48" i="23" s="1"/>
  <c r="G48" i="23" a="1"/>
  <c r="G48" i="23" s="1"/>
  <c r="H35" i="18"/>
  <c r="H42" i="18"/>
  <c r="H47" i="18"/>
  <c r="H30" i="18"/>
  <c r="H26" i="18"/>
  <c r="H18" i="18"/>
  <c r="H39" i="18"/>
  <c r="H28" i="18"/>
  <c r="H33" i="18"/>
  <c r="H29" i="18"/>
  <c r="H17" i="18"/>
  <c r="H43" i="18"/>
  <c r="H41" i="18"/>
  <c r="H46" i="18"/>
  <c r="H24" i="18"/>
  <c r="H40" i="18"/>
  <c r="H19" i="18"/>
  <c r="H27" i="18"/>
  <c r="H45" i="18"/>
  <c r="H21" i="18"/>
  <c r="H44" i="18"/>
  <c r="H25" i="18"/>
  <c r="C23" i="18"/>
  <c r="H23" i="18"/>
  <c r="H37" i="18"/>
  <c r="H36" i="18"/>
  <c r="H20" i="18"/>
  <c r="H22" i="18"/>
  <c r="H34" i="18"/>
  <c r="H48" i="18"/>
  <c r="H32" i="18"/>
  <c r="H31" i="18"/>
  <c r="H38" i="18"/>
  <c r="H47" i="17"/>
  <c r="H38" i="17"/>
  <c r="H28" i="17"/>
  <c r="H26" i="17"/>
  <c r="H32" i="17"/>
  <c r="H20" i="17"/>
  <c r="H27" i="17"/>
  <c r="H23" i="17"/>
  <c r="H35" i="17"/>
  <c r="H46" i="17"/>
  <c r="H48" i="17"/>
  <c r="H19" i="17"/>
  <c r="H40" i="17"/>
  <c r="H29" i="17"/>
  <c r="H42" i="17"/>
  <c r="H18" i="17"/>
  <c r="H45" i="17"/>
  <c r="H37" i="17"/>
  <c r="H21" i="17"/>
  <c r="H30" i="17"/>
  <c r="H43" i="17"/>
  <c r="H34" i="17"/>
  <c r="H41" i="17"/>
  <c r="H24" i="17"/>
  <c r="H25" i="17"/>
  <c r="H31" i="17"/>
  <c r="H33" i="17"/>
  <c r="H39" i="17"/>
  <c r="H36" i="17"/>
  <c r="H22" i="17"/>
  <c r="H44" i="17"/>
  <c r="C32" i="17"/>
  <c r="C48" i="18" l="1"/>
  <c r="C29" i="17"/>
  <c r="C47" i="17"/>
  <c r="C29" i="18"/>
  <c r="C28" i="18"/>
  <c r="C17" i="18"/>
  <c r="C39" i="18"/>
  <c r="C34" i="17"/>
  <c r="C34" i="18"/>
  <c r="C32" i="18"/>
  <c r="C18" i="17"/>
  <c r="C22" i="18"/>
  <c r="C36" i="18"/>
  <c r="C23" i="17"/>
  <c r="C21" i="17"/>
  <c r="C28" i="17"/>
  <c r="C25" i="18"/>
  <c r="C26" i="17"/>
  <c r="C38" i="18"/>
  <c r="C37" i="18"/>
  <c r="C19" i="18"/>
  <c r="C20" i="18"/>
  <c r="C45" i="18"/>
  <c r="C46" i="18"/>
  <c r="C45" i="17"/>
  <c r="C46" i="17"/>
  <c r="C19" i="17"/>
  <c r="C20" i="17"/>
  <c r="C32" i="3" l="1" a="1"/>
  <c r="C32" i="3" s="1"/>
  <c r="D41" i="2" l="1"/>
  <c r="J19" i="37"/>
  <c r="E19" i="37" s="1" a="1"/>
  <c r="E19" i="37" s="1"/>
  <c r="J18" i="36"/>
  <c r="C18" i="36" s="1" a="1"/>
  <c r="C18" i="36" s="1"/>
  <c r="J29" i="37"/>
  <c r="E29" i="37" s="1" a="1"/>
  <c r="E29" i="37" s="1"/>
  <c r="J19" i="39"/>
  <c r="E19" i="39" s="1" a="1"/>
  <c r="E19" i="39" s="1"/>
  <c r="J19" i="35"/>
  <c r="E19" i="35" s="1" a="1"/>
  <c r="E19" i="35" s="1"/>
  <c r="J18" i="35"/>
  <c r="C18" i="35" s="1" a="1"/>
  <c r="C18" i="35" s="1"/>
  <c r="J19" i="36"/>
  <c r="E19" i="36" s="1" a="1"/>
  <c r="E19" i="36" s="1"/>
  <c r="J59" i="27"/>
  <c r="J62" i="25"/>
  <c r="C62" i="25" s="1" a="1"/>
  <c r="C62" i="25" s="1"/>
  <c r="J21" i="27"/>
  <c r="C21" i="27" s="1" a="1"/>
  <c r="C21" i="27" s="1"/>
  <c r="J43" i="29"/>
  <c r="J43" i="21"/>
  <c r="G43" i="21" s="1" a="1"/>
  <c r="G43" i="21" s="1"/>
  <c r="J59" i="26"/>
  <c r="H59" i="26" s="1" a="1"/>
  <c r="H59" i="26" s="1"/>
  <c r="J55" i="19"/>
  <c r="F55" i="19" s="1" a="1"/>
  <c r="F55" i="19" s="1"/>
  <c r="J17" i="32"/>
  <c r="E17" i="32" s="1" a="1"/>
  <c r="E17" i="32" s="1"/>
  <c r="J17" i="35"/>
  <c r="E17" i="35" s="1" a="1"/>
  <c r="E17" i="35" s="1"/>
  <c r="J21" i="20"/>
  <c r="J23" i="19"/>
  <c r="C23" i="19" s="1" a="1"/>
  <c r="C23" i="19" s="1"/>
  <c r="J49" i="19"/>
  <c r="J62" i="28"/>
  <c r="D62" i="28" s="1" a="1"/>
  <c r="D62" i="28" s="1"/>
  <c r="J57" i="20"/>
  <c r="C57" i="20" s="1" a="1"/>
  <c r="C57" i="20" s="1"/>
  <c r="J25" i="20"/>
  <c r="C25" i="20" s="1" a="1"/>
  <c r="C25" i="20" s="1"/>
  <c r="J55" i="22"/>
  <c r="H55" i="22" s="1" a="1"/>
  <c r="H55" i="22" s="1"/>
  <c r="J17" i="39"/>
  <c r="E17" i="39" s="1" a="1"/>
  <c r="E17" i="39" s="1"/>
  <c r="J50" i="19"/>
  <c r="C50" i="19" s="1" a="1"/>
  <c r="C50" i="19" s="1"/>
  <c r="J48" i="21"/>
  <c r="H48" i="21" s="1" a="1"/>
  <c r="H48" i="21" s="1"/>
  <c r="J60" i="27"/>
  <c r="C60" i="27" s="1" a="1"/>
  <c r="C60" i="27" s="1"/>
  <c r="J53" i="20"/>
  <c r="C53" i="20" s="1" a="1"/>
  <c r="C53" i="20" s="1"/>
  <c r="J61" i="25"/>
  <c r="C61" i="25" s="1" a="1"/>
  <c r="C61" i="25" s="1"/>
  <c r="J53" i="21"/>
  <c r="H53" i="21" s="1" a="1"/>
  <c r="H53" i="21" s="1"/>
  <c r="J31" i="29"/>
  <c r="G31" i="29" s="1" a="1"/>
  <c r="G31" i="29" s="1"/>
  <c r="J26" i="19"/>
  <c r="E26" i="19" s="1" a="1"/>
  <c r="E26" i="19" s="1"/>
  <c r="J45" i="22"/>
  <c r="J55" i="20"/>
  <c r="H55" i="20" s="1" a="1"/>
  <c r="H55" i="20" s="1"/>
  <c r="J26" i="26"/>
  <c r="H26" i="26" s="1" a="1"/>
  <c r="H26" i="26" s="1"/>
  <c r="J46" i="20"/>
  <c r="E46" i="20" s="1" a="1"/>
  <c r="E46" i="20" s="1"/>
  <c r="J25" i="26"/>
  <c r="G25" i="26" s="1" a="1"/>
  <c r="G25" i="26" s="1"/>
  <c r="J32" i="29"/>
  <c r="F32" i="29" s="1" a="1"/>
  <c r="F32" i="29" s="1"/>
  <c r="J46" i="22"/>
  <c r="E46" i="22" s="1" a="1"/>
  <c r="E46" i="22" s="1"/>
  <c r="J45" i="19"/>
  <c r="J47" i="20"/>
  <c r="C47" i="20" s="1" a="1"/>
  <c r="C47" i="20" s="1"/>
  <c r="J20" i="21"/>
  <c r="G20" i="21" s="1" a="1"/>
  <c r="G20" i="21" s="1"/>
  <c r="J42" i="20"/>
  <c r="J47" i="21"/>
  <c r="C47" i="21" s="1" a="1"/>
  <c r="C47" i="21" s="1"/>
  <c r="J24" i="19"/>
  <c r="E24" i="19" s="1" a="1"/>
  <c r="E24" i="19" s="1"/>
  <c r="J36" i="29"/>
  <c r="F36" i="29" s="1" a="1"/>
  <c r="F36" i="29" s="1"/>
  <c r="J43" i="19"/>
  <c r="C43" i="19" s="1" a="1"/>
  <c r="C43" i="19" s="1"/>
  <c r="J26" i="28"/>
  <c r="D26" i="28" s="1" a="1"/>
  <c r="D26" i="28" s="1"/>
  <c r="J38" i="29"/>
  <c r="G38" i="29" s="1" a="1"/>
  <c r="G38" i="29" s="1"/>
  <c r="J23" i="20"/>
  <c r="D23" i="20" s="1" a="1"/>
  <c r="D23" i="20" s="1"/>
  <c r="J44" i="22"/>
  <c r="D44" i="22" s="1" a="1"/>
  <c r="D44" i="22" s="1"/>
  <c r="J42" i="19"/>
  <c r="H42" i="19" s="1" a="1"/>
  <c r="H42" i="19" s="1"/>
  <c r="J41" i="20"/>
  <c r="C41" i="20" s="1" a="1"/>
  <c r="C41" i="20" s="1"/>
  <c r="J51" i="21"/>
  <c r="G51" i="21" s="1" a="1"/>
  <c r="G51" i="21" s="1"/>
  <c r="J58" i="27"/>
  <c r="C58" i="27" s="1" a="1"/>
  <c r="C58" i="27" s="1"/>
  <c r="J53" i="22"/>
  <c r="G53" i="22" s="1" a="1"/>
  <c r="G53" i="22" s="1"/>
  <c r="J18" i="28"/>
  <c r="H18" i="28" s="1" a="1"/>
  <c r="H18" i="28" s="1"/>
  <c r="J52" i="20"/>
  <c r="H52" i="20" s="1" a="1"/>
  <c r="H52" i="20" s="1"/>
  <c r="J22" i="20"/>
  <c r="F22" i="20" s="1" a="1"/>
  <c r="F22" i="20" s="1"/>
  <c r="J41" i="22"/>
  <c r="H41" i="22" s="1" a="1"/>
  <c r="H41" i="22" s="1"/>
  <c r="J21" i="21"/>
  <c r="G21" i="21" s="1" a="1"/>
  <c r="G21" i="21" s="1"/>
  <c r="J22" i="26"/>
  <c r="E22" i="26" s="1" a="1"/>
  <c r="E22" i="26" s="1"/>
  <c r="J46" i="21"/>
  <c r="E46" i="21" s="1" a="1"/>
  <c r="E46" i="21" s="1"/>
  <c r="J48" i="29"/>
  <c r="H48" i="29" s="1" a="1"/>
  <c r="H48" i="29" s="1"/>
  <c r="J44" i="20"/>
  <c r="H44" i="20" s="1" a="1"/>
  <c r="H44" i="20" s="1"/>
  <c r="J51" i="19"/>
  <c r="G51" i="19" s="1" a="1"/>
  <c r="G51" i="19" s="1"/>
  <c r="J26" i="25"/>
  <c r="H26" i="25" s="1" a="1"/>
  <c r="H26" i="25" s="1"/>
  <c r="J25" i="27"/>
  <c r="D25" i="27" s="1" a="1"/>
  <c r="D25" i="27" s="1"/>
  <c r="J50" i="21"/>
  <c r="H50" i="21" s="1" a="1"/>
  <c r="H50" i="21" s="1"/>
  <c r="J52" i="21"/>
  <c r="D52" i="21" s="1" a="1"/>
  <c r="D52" i="21" s="1"/>
  <c r="J55" i="21"/>
  <c r="H55" i="21" s="1" a="1"/>
  <c r="H55" i="21" s="1"/>
  <c r="J64" i="25"/>
  <c r="C64" i="25" s="1" a="1"/>
  <c r="C64" i="25" s="1"/>
  <c r="J21" i="22"/>
  <c r="H21" i="22" s="1" a="1"/>
  <c r="H21" i="22" s="1"/>
  <c r="J23" i="27"/>
  <c r="F23" i="27" s="1" a="1"/>
  <c r="F23" i="27" s="1"/>
  <c r="J46" i="26"/>
  <c r="H46" i="26" s="1" a="1"/>
  <c r="H46" i="26" s="1"/>
  <c r="J36" i="26"/>
  <c r="D36" i="26" s="1" a="1"/>
  <c r="D36" i="26" s="1"/>
  <c r="J43" i="32"/>
  <c r="H43" i="32" s="1" a="1"/>
  <c r="H43" i="32" s="1"/>
  <c r="J52" i="32"/>
  <c r="G52" i="32" s="1" a="1"/>
  <c r="G52" i="32" s="1"/>
  <c r="J23" i="21"/>
  <c r="D23" i="21" s="1" a="1"/>
  <c r="D23" i="21" s="1"/>
  <c r="J35" i="21"/>
  <c r="H35" i="21" s="1" a="1"/>
  <c r="H35" i="21" s="1"/>
  <c r="J46" i="25"/>
  <c r="E46" i="25" s="1" a="1"/>
  <c r="E46" i="25" s="1"/>
  <c r="J25" i="32"/>
  <c r="G25" i="32" s="1" a="1"/>
  <c r="G25" i="32" s="1"/>
  <c r="J44" i="27"/>
  <c r="G44" i="27" s="1" a="1"/>
  <c r="G44" i="27" s="1"/>
  <c r="J44" i="29"/>
  <c r="H44" i="29" s="1" a="1"/>
  <c r="H44" i="29" s="1"/>
  <c r="J36" i="32"/>
  <c r="H36" i="32" s="1" a="1"/>
  <c r="H36" i="32" s="1"/>
  <c r="J48" i="37"/>
  <c r="E48" i="37" s="1" a="1"/>
  <c r="E48" i="37" s="1"/>
  <c r="J47" i="37"/>
  <c r="D47" i="37" s="1" a="1"/>
  <c r="D47" i="37" s="1"/>
  <c r="J61" i="37"/>
  <c r="G61" i="37" s="1" a="1"/>
  <c r="G61" i="37" s="1"/>
  <c r="J56" i="37"/>
  <c r="F56" i="37" s="1" a="1"/>
  <c r="F56" i="37" s="1"/>
  <c r="J37" i="38"/>
  <c r="H37" i="38" s="1" a="1"/>
  <c r="H37" i="38" s="1"/>
  <c r="J38" i="38"/>
  <c r="F38" i="38" s="1" a="1"/>
  <c r="F38" i="38" s="1"/>
  <c r="J62" i="37"/>
  <c r="F62" i="37" s="1" a="1"/>
  <c r="F62" i="37" s="1"/>
  <c r="J43" i="38"/>
  <c r="F43" i="38" s="1" a="1"/>
  <c r="F43" i="38" s="1"/>
  <c r="J21" i="31"/>
  <c r="H21" i="31" s="1" a="1"/>
  <c r="H21" i="31" s="1"/>
  <c r="J26" i="31"/>
  <c r="F26" i="31" s="1" a="1"/>
  <c r="F26" i="31" s="1"/>
  <c r="J23" i="31"/>
  <c r="H23" i="31" s="1" a="1"/>
  <c r="H23" i="31" s="1"/>
  <c r="J58" i="32"/>
  <c r="D58" i="32" s="1" a="1"/>
  <c r="D58" i="32" s="1"/>
  <c r="J50" i="22"/>
  <c r="G50" i="22" s="1" a="1"/>
  <c r="G50" i="22" s="1"/>
  <c r="J31" i="38"/>
  <c r="J46" i="38"/>
  <c r="E46" i="38" s="1" a="1"/>
  <c r="E46" i="38" s="1"/>
  <c r="J24" i="38"/>
  <c r="H24" i="38" s="1" a="1"/>
  <c r="H24" i="38" s="1"/>
  <c r="J49" i="32"/>
  <c r="E49" i="32" s="1" a="1"/>
  <c r="E49" i="32" s="1"/>
  <c r="J57" i="38"/>
  <c r="F57" i="38" s="1" a="1"/>
  <c r="F57" i="38" s="1"/>
  <c r="J37" i="32"/>
  <c r="G37" i="32" s="1" a="1"/>
  <c r="G37" i="32" s="1"/>
  <c r="J48" i="39"/>
  <c r="F48" i="39" s="1" a="1"/>
  <c r="F48" i="39" s="1"/>
  <c r="J36" i="39"/>
  <c r="H36" i="39" s="1" a="1"/>
  <c r="H36" i="39" s="1"/>
  <c r="J46" i="39"/>
  <c r="D46" i="39" s="1" a="1"/>
  <c r="D46" i="39" s="1"/>
  <c r="J35" i="35"/>
  <c r="H35" i="35" s="1" a="1"/>
  <c r="H35" i="35" s="1"/>
  <c r="J58" i="35"/>
  <c r="D58" i="35" s="1" a="1"/>
  <c r="D58" i="35" s="1"/>
  <c r="J31" i="35"/>
  <c r="J29" i="35"/>
  <c r="G29" i="35" s="1" a="1"/>
  <c r="G29" i="35" s="1"/>
  <c r="J23" i="35"/>
  <c r="E23" i="35" s="1" a="1"/>
  <c r="E23" i="35" s="1"/>
  <c r="J30" i="36"/>
  <c r="F30" i="36" s="1" a="1"/>
  <c r="F30" i="36" s="1"/>
  <c r="J32" i="36"/>
  <c r="G32" i="36" s="1" a="1"/>
  <c r="G32" i="36" s="1"/>
  <c r="J55" i="31"/>
  <c r="G55" i="31" s="1" a="1"/>
  <c r="G55" i="31" s="1"/>
  <c r="J64" i="26"/>
  <c r="F64" i="26" s="1" a="1"/>
  <c r="F64" i="26" s="1"/>
  <c r="J19" i="28"/>
  <c r="J24" i="22"/>
  <c r="H24" i="22" s="1" a="1"/>
  <c r="H24" i="22" s="1"/>
  <c r="J61" i="28"/>
  <c r="H61" i="28" s="1" a="1"/>
  <c r="H61" i="28" s="1"/>
  <c r="J41" i="19"/>
  <c r="C41" i="19" s="1" a="1"/>
  <c r="C41" i="19" s="1"/>
  <c r="J26" i="27"/>
  <c r="G26" i="27" s="1" a="1"/>
  <c r="G26" i="27" s="1"/>
  <c r="J48" i="20"/>
  <c r="J64" i="28"/>
  <c r="H64" i="28" s="1" a="1"/>
  <c r="H64" i="28" s="1"/>
  <c r="J62" i="27"/>
  <c r="G62" i="27" s="1" a="1"/>
  <c r="G62" i="27" s="1"/>
  <c r="J48" i="19"/>
  <c r="G48" i="19" s="1" a="1"/>
  <c r="G48" i="19" s="1"/>
  <c r="J22" i="22"/>
  <c r="E22" i="22" s="1" a="1"/>
  <c r="E22" i="22" s="1"/>
  <c r="J43" i="20"/>
  <c r="F43" i="20" s="1" a="1"/>
  <c r="F43" i="20" s="1"/>
  <c r="J19" i="27"/>
  <c r="H19" i="27" s="1" a="1"/>
  <c r="H19" i="27" s="1"/>
  <c r="J36" i="22"/>
  <c r="H36" i="22" s="1" a="1"/>
  <c r="H36" i="22" s="1"/>
  <c r="J34" i="22"/>
  <c r="D34" i="22" s="1" a="1"/>
  <c r="D34" i="22" s="1"/>
  <c r="J57" i="21"/>
  <c r="E57" i="21" s="1" a="1"/>
  <c r="E57" i="21" s="1"/>
  <c r="J45" i="28"/>
  <c r="D45" i="28" s="1" a="1"/>
  <c r="D45" i="28" s="1"/>
  <c r="J35" i="22"/>
  <c r="G35" i="22" s="1" a="1"/>
  <c r="G35" i="22" s="1"/>
  <c r="J34" i="28"/>
  <c r="H34" i="28" s="1" a="1"/>
  <c r="H34" i="28" s="1"/>
  <c r="J40" i="32"/>
  <c r="J48" i="32"/>
  <c r="H48" i="32" s="1" a="1"/>
  <c r="H48" i="32" s="1"/>
  <c r="J56" i="32"/>
  <c r="E56" i="32" s="1" a="1"/>
  <c r="E56" i="32" s="1"/>
  <c r="J28" i="32"/>
  <c r="C28" i="32" s="1" a="1"/>
  <c r="C28" i="32" s="1"/>
  <c r="J64" i="27"/>
  <c r="C64" i="27" s="1" a="1"/>
  <c r="C64" i="27" s="1"/>
  <c r="J50" i="20"/>
  <c r="G50" i="20" s="1" a="1"/>
  <c r="G50" i="20" s="1"/>
  <c r="J40" i="22"/>
  <c r="E40" i="22" s="1" a="1"/>
  <c r="E40" i="22" s="1"/>
  <c r="J17" i="27"/>
  <c r="H17" i="27" s="1" a="1"/>
  <c r="H17" i="27" s="1"/>
  <c r="J20" i="20"/>
  <c r="D20" i="20" s="1" a="1"/>
  <c r="D20" i="20" s="1"/>
  <c r="J45" i="26"/>
  <c r="D45" i="26" s="1" a="1"/>
  <c r="D45" i="26" s="1"/>
  <c r="J35" i="19"/>
  <c r="J35" i="28"/>
  <c r="J34" i="27"/>
  <c r="F34" i="27" s="1" a="1"/>
  <c r="F34" i="27" s="1"/>
  <c r="J35" i="20"/>
  <c r="E35" i="20" s="1" a="1"/>
  <c r="E35" i="20" s="1"/>
  <c r="J61" i="22"/>
  <c r="D61" i="22" s="1" a="1"/>
  <c r="D61" i="22" s="1"/>
  <c r="J44" i="32"/>
  <c r="D44" i="32" s="1" a="1"/>
  <c r="D44" i="32" s="1"/>
  <c r="J26" i="21"/>
  <c r="G26" i="21" s="1" a="1"/>
  <c r="G26" i="21" s="1"/>
  <c r="J54" i="22"/>
  <c r="F54" i="22" s="1" a="1"/>
  <c r="F54" i="22" s="1"/>
  <c r="J36" i="20"/>
  <c r="E36" i="20" s="1" a="1"/>
  <c r="E36" i="20" s="1"/>
  <c r="J30" i="32"/>
  <c r="G30" i="32" s="1" a="1"/>
  <c r="G30" i="32" s="1"/>
  <c r="J32" i="32"/>
  <c r="F32" i="32" s="1" a="1"/>
  <c r="F32" i="32" s="1"/>
  <c r="J19" i="20"/>
  <c r="J63" i="26"/>
  <c r="C63" i="26" s="1" a="1"/>
  <c r="C63" i="26" s="1"/>
  <c r="J21" i="32"/>
  <c r="G21" i="32" s="1" a="1"/>
  <c r="G21" i="32" s="1"/>
  <c r="J23" i="32"/>
  <c r="E23" i="32" s="1" a="1"/>
  <c r="E23" i="32" s="1"/>
  <c r="J51" i="32"/>
  <c r="J34" i="32"/>
  <c r="J57" i="37"/>
  <c r="F57" i="37" s="1" a="1"/>
  <c r="F57" i="37" s="1"/>
  <c r="J26" i="37"/>
  <c r="J63" i="37"/>
  <c r="J33" i="37"/>
  <c r="J64" i="37"/>
  <c r="J59" i="37"/>
  <c r="C59" i="37" s="1" a="1"/>
  <c r="C59" i="37" s="1"/>
  <c r="J52" i="37"/>
  <c r="J27" i="37"/>
  <c r="J37" i="37"/>
  <c r="H37" i="37" s="1" a="1"/>
  <c r="H37" i="37" s="1"/>
  <c r="J22" i="37"/>
  <c r="G22" i="37" s="1" a="1"/>
  <c r="G22" i="37" s="1"/>
  <c r="J54" i="37"/>
  <c r="J24" i="37"/>
  <c r="J48" i="38"/>
  <c r="D48" i="38" s="1" a="1"/>
  <c r="D48" i="38" s="1"/>
  <c r="J33" i="38"/>
  <c r="E33" i="38" s="1" a="1"/>
  <c r="E33" i="38" s="1"/>
  <c r="J59" i="38"/>
  <c r="J60" i="32"/>
  <c r="J38" i="32"/>
  <c r="E38" i="32" s="1" a="1"/>
  <c r="E38" i="32" s="1"/>
  <c r="J25" i="37"/>
  <c r="J51" i="37"/>
  <c r="J28" i="38"/>
  <c r="G28" i="38" s="1" a="1"/>
  <c r="G28" i="38" s="1"/>
  <c r="J56" i="38"/>
  <c r="C56" i="38" s="1" a="1"/>
  <c r="C56" i="38" s="1"/>
  <c r="J26" i="38"/>
  <c r="J51" i="38"/>
  <c r="D51" i="38" s="1" a="1"/>
  <c r="D51" i="38" s="1"/>
  <c r="J36" i="31"/>
  <c r="E36" i="31" s="1" a="1"/>
  <c r="E36" i="31" s="1"/>
  <c r="J34" i="31"/>
  <c r="J52" i="31"/>
  <c r="G52" i="31" s="1" a="1"/>
  <c r="G52" i="31" s="1"/>
  <c r="J20" i="31"/>
  <c r="G20" i="31" s="1" a="1"/>
  <c r="G20" i="31" s="1"/>
  <c r="J33" i="31"/>
  <c r="C33" i="31" s="1" a="1"/>
  <c r="C33" i="31" s="1"/>
  <c r="J22" i="31"/>
  <c r="J24" i="31"/>
  <c r="D24" i="31" s="1" a="1"/>
  <c r="D24" i="31" s="1"/>
  <c r="J29" i="31"/>
  <c r="D29" i="31" s="1" a="1"/>
  <c r="D29" i="31" s="1"/>
  <c r="J32" i="31"/>
  <c r="D32" i="31" s="1" a="1"/>
  <c r="D32" i="31" s="1"/>
  <c r="J46" i="32"/>
  <c r="E46" i="32" s="1" a="1"/>
  <c r="E46" i="32" s="1"/>
  <c r="J59" i="32"/>
  <c r="H59" i="32" s="1" a="1"/>
  <c r="H59" i="32" s="1"/>
  <c r="J51" i="22"/>
  <c r="H51" i="22" s="1" a="1"/>
  <c r="H51" i="22" s="1"/>
  <c r="J20" i="19"/>
  <c r="F20" i="19" s="1" a="1"/>
  <c r="F20" i="19" s="1"/>
  <c r="J63" i="25"/>
  <c r="F63" i="25" s="1" a="1"/>
  <c r="F63" i="25" s="1"/>
  <c r="J43" i="37"/>
  <c r="C43" i="37" s="1" a="1"/>
  <c r="C43" i="37" s="1"/>
  <c r="J28" i="37"/>
  <c r="F28" i="37" s="1" a="1"/>
  <c r="F28" i="37" s="1"/>
  <c r="J54" i="38"/>
  <c r="H54" i="38" s="1" a="1"/>
  <c r="H54" i="38" s="1"/>
  <c r="J49" i="38"/>
  <c r="H49" i="38" s="1" a="1"/>
  <c r="H49" i="38" s="1"/>
  <c r="J29" i="38"/>
  <c r="G29" i="38" s="1" a="1"/>
  <c r="G29" i="38" s="1"/>
  <c r="J18" i="37"/>
  <c r="D18" i="37" s="1" a="1"/>
  <c r="D18" i="37" s="1"/>
  <c r="J18" i="38"/>
  <c r="H18" i="38" s="1" a="1"/>
  <c r="H18" i="38" s="1"/>
  <c r="H74" i="38" s="1" a="1"/>
  <c r="H74" i="38" s="1"/>
  <c r="J50" i="32"/>
  <c r="H50" i="32" s="1" a="1"/>
  <c r="H50" i="32" s="1"/>
  <c r="J41" i="32"/>
  <c r="C41" i="32" s="1" a="1"/>
  <c r="C41" i="32" s="1"/>
  <c r="J54" i="32"/>
  <c r="J47" i="38"/>
  <c r="C47" i="38" s="1" a="1"/>
  <c r="C47" i="38" s="1"/>
  <c r="J20" i="38"/>
  <c r="J62" i="38"/>
  <c r="C62" i="38" s="1" a="1"/>
  <c r="C62" i="38" s="1"/>
  <c r="J41" i="39"/>
  <c r="D41" i="39" s="1" a="1"/>
  <c r="D41" i="39" s="1"/>
  <c r="J50" i="39"/>
  <c r="C50" i="39" s="1" a="1"/>
  <c r="C50" i="39" s="1"/>
  <c r="J27" i="39"/>
  <c r="H27" i="39" s="1" a="1"/>
  <c r="H27" i="39" s="1"/>
  <c r="J43" i="39"/>
  <c r="F43" i="39" s="1" a="1"/>
  <c r="F43" i="39" s="1"/>
  <c r="J52" i="39"/>
  <c r="F52" i="39" s="1" a="1"/>
  <c r="F52" i="39" s="1"/>
  <c r="J56" i="39"/>
  <c r="C56" i="39" s="1" a="1"/>
  <c r="C56" i="39" s="1"/>
  <c r="J55" i="39"/>
  <c r="H55" i="39" s="1" a="1"/>
  <c r="H55" i="39" s="1"/>
  <c r="J61" i="39"/>
  <c r="E61" i="39" s="1" a="1"/>
  <c r="E61" i="39" s="1"/>
  <c r="J20" i="39"/>
  <c r="F20" i="39" s="1" a="1"/>
  <c r="F20" i="39" s="1"/>
  <c r="J40" i="39"/>
  <c r="J45" i="38"/>
  <c r="J20" i="35"/>
  <c r="J55" i="35"/>
  <c r="D55" i="35" s="1" a="1"/>
  <c r="D55" i="35" s="1"/>
  <c r="J61" i="35"/>
  <c r="J62" i="35"/>
  <c r="D62" i="35" s="1" a="1"/>
  <c r="D62" i="35" s="1"/>
  <c r="J57" i="35"/>
  <c r="E57" i="35" s="1" a="1"/>
  <c r="E57" i="35" s="1"/>
  <c r="J37" i="35"/>
  <c r="D37" i="35" s="1" a="1"/>
  <c r="D37" i="35" s="1"/>
  <c r="J56" i="35"/>
  <c r="J48" i="35"/>
  <c r="C48" i="35" s="1" a="1"/>
  <c r="C48" i="35" s="1"/>
  <c r="J33" i="35"/>
  <c r="F33" i="35" s="1" a="1"/>
  <c r="F33" i="35" s="1"/>
  <c r="J28" i="35"/>
  <c r="H28" i="35" s="1" a="1"/>
  <c r="H28" i="35" s="1"/>
  <c r="J40" i="35"/>
  <c r="H40" i="35" s="1" a="1"/>
  <c r="H40" i="35" s="1"/>
  <c r="J41" i="35"/>
  <c r="H41" i="35" s="1" a="1"/>
  <c r="H41" i="35" s="1"/>
  <c r="J32" i="35"/>
  <c r="D32" i="35" s="1" a="1"/>
  <c r="D32" i="35" s="1"/>
  <c r="J25" i="35"/>
  <c r="D25" i="35" s="1" a="1"/>
  <c r="D25" i="35" s="1"/>
  <c r="J64" i="35"/>
  <c r="D64" i="35" s="1" a="1"/>
  <c r="D64" i="35" s="1"/>
  <c r="J49" i="35"/>
  <c r="F49" i="35" s="1" a="1"/>
  <c r="F49" i="35" s="1"/>
  <c r="J47" i="35"/>
  <c r="F47" i="35" s="1" a="1"/>
  <c r="F47" i="35" s="1"/>
  <c r="J36" i="35"/>
  <c r="H36" i="35" s="1" a="1"/>
  <c r="H36" i="35" s="1"/>
  <c r="J38" i="35"/>
  <c r="E38" i="35" s="1" a="1"/>
  <c r="E38" i="35" s="1"/>
  <c r="J48" i="31"/>
  <c r="J44" i="31"/>
  <c r="G44" i="31" s="1" a="1"/>
  <c r="G44" i="31" s="1"/>
  <c r="J64" i="31"/>
  <c r="D64" i="31" s="1" a="1"/>
  <c r="D64" i="31" s="1"/>
  <c r="J49" i="21"/>
  <c r="D49" i="21" s="1" a="1"/>
  <c r="D49" i="21" s="1"/>
  <c r="J21" i="38"/>
  <c r="C21" i="38" s="1" a="1"/>
  <c r="C21" i="38" s="1"/>
  <c r="J52" i="38"/>
  <c r="H52" i="38" s="1" a="1"/>
  <c r="H52" i="38" s="1"/>
  <c r="J42" i="31"/>
  <c r="J46" i="31"/>
  <c r="E46" i="31" s="1" a="1"/>
  <c r="E46" i="31" s="1"/>
  <c r="J29" i="39"/>
  <c r="J44" i="28"/>
  <c r="F44" i="28" s="1" a="1"/>
  <c r="F44" i="28" s="1"/>
  <c r="J39" i="31"/>
  <c r="J64" i="32"/>
  <c r="J35" i="32"/>
  <c r="G35" i="32" s="1" a="1"/>
  <c r="G35" i="32" s="1"/>
  <c r="J41" i="38"/>
  <c r="E41" i="38" s="1" a="1"/>
  <c r="E41" i="38" s="1"/>
  <c r="J64" i="38"/>
  <c r="E64" i="38" s="1" a="1"/>
  <c r="E64" i="38" s="1"/>
  <c r="J42" i="38"/>
  <c r="G42" i="38" s="1" a="1"/>
  <c r="G42" i="38" s="1"/>
  <c r="J38" i="39"/>
  <c r="D38" i="39" s="1" a="1"/>
  <c r="D38" i="39" s="1"/>
  <c r="J28" i="39"/>
  <c r="C28" i="39" s="1" a="1"/>
  <c r="C28" i="39" s="1"/>
  <c r="J43" i="35"/>
  <c r="F43" i="35" s="1" a="1"/>
  <c r="F43" i="35" s="1"/>
  <c r="J40" i="36"/>
  <c r="J19" i="31"/>
  <c r="E19" i="31" s="1" a="1"/>
  <c r="E19" i="31" s="1"/>
  <c r="J47" i="39"/>
  <c r="E47" i="39" s="1" a="1"/>
  <c r="E47" i="39" s="1"/>
  <c r="J39" i="39"/>
  <c r="E39" i="39" s="1" a="1"/>
  <c r="E39" i="39" s="1"/>
  <c r="J23" i="39"/>
  <c r="D23" i="39" s="1" a="1"/>
  <c r="D23" i="39" s="1"/>
  <c r="J54" i="39"/>
  <c r="E54" i="39" s="1" a="1"/>
  <c r="E54" i="39" s="1"/>
  <c r="J35" i="39"/>
  <c r="C35" i="39" s="1" a="1"/>
  <c r="C35" i="39" s="1"/>
  <c r="J27" i="32"/>
  <c r="F27" i="32" s="1" a="1"/>
  <c r="F27" i="32" s="1"/>
  <c r="J27" i="35"/>
  <c r="H27" i="35" s="1" a="1"/>
  <c r="H27" i="35" s="1"/>
  <c r="J45" i="35"/>
  <c r="H45" i="35" s="1" a="1"/>
  <c r="H45" i="35" s="1"/>
  <c r="J53" i="35"/>
  <c r="F53" i="35" s="1" a="1"/>
  <c r="F53" i="35" s="1"/>
  <c r="J59" i="35"/>
  <c r="D59" i="35" s="1" a="1"/>
  <c r="D59" i="35" s="1"/>
  <c r="J60" i="35"/>
  <c r="F60" i="35" s="1" a="1"/>
  <c r="F60" i="35" s="1"/>
  <c r="J47" i="31"/>
  <c r="J59" i="31"/>
  <c r="F59" i="31" s="1" a="1"/>
  <c r="F59" i="31" s="1"/>
  <c r="J44" i="36"/>
  <c r="J23" i="38"/>
  <c r="C23" i="38" s="1" a="1"/>
  <c r="C23" i="38" s="1"/>
  <c r="J41" i="36"/>
  <c r="F41" i="36" s="1" a="1"/>
  <c r="F41" i="36" s="1"/>
  <c r="J55" i="36"/>
  <c r="G55" i="36" s="1" a="1"/>
  <c r="G55" i="36" s="1"/>
  <c r="J54" i="36"/>
  <c r="J36" i="45"/>
  <c r="D36" i="45" s="1" a="1"/>
  <c r="D36" i="45" s="1"/>
  <c r="J43" i="45"/>
  <c r="J58" i="45"/>
  <c r="D58" i="45" s="1" a="1"/>
  <c r="D58" i="45" s="1"/>
  <c r="J33" i="45"/>
  <c r="D33" i="45" s="1" a="1"/>
  <c r="D33" i="45" s="1"/>
  <c r="J59" i="45"/>
  <c r="D59" i="45" s="1" a="1"/>
  <c r="D59" i="45" s="1"/>
  <c r="J19" i="32"/>
  <c r="E19" i="32" s="1" a="1"/>
  <c r="E19" i="32" s="1"/>
  <c r="J25" i="36"/>
  <c r="H25" i="36" s="1" a="1"/>
  <c r="H25" i="36" s="1"/>
  <c r="J42" i="35"/>
  <c r="G42" i="35" s="1" a="1"/>
  <c r="G42" i="35" s="1"/>
  <c r="J23" i="36"/>
  <c r="D23" i="36" s="1" a="1"/>
  <c r="D23" i="36" s="1"/>
  <c r="J62" i="31"/>
  <c r="J41" i="31"/>
  <c r="J50" i="31"/>
  <c r="E50" i="31" s="1" a="1"/>
  <c r="E50" i="31" s="1"/>
  <c r="J37" i="39"/>
  <c r="C37" i="39" s="1" a="1"/>
  <c r="C37" i="39" s="1"/>
  <c r="J62" i="36"/>
  <c r="F62" i="36" s="1" a="1"/>
  <c r="F62" i="36" s="1"/>
  <c r="J24" i="39"/>
  <c r="G24" i="39" s="1" a="1"/>
  <c r="G24" i="39" s="1"/>
  <c r="J61" i="36"/>
  <c r="C61" i="36" s="1" a="1"/>
  <c r="C61" i="36" s="1"/>
  <c r="J28" i="36"/>
  <c r="H28" i="36" s="1" a="1"/>
  <c r="H28" i="36" s="1"/>
  <c r="J44" i="37"/>
  <c r="J57" i="39"/>
  <c r="H57" i="39" s="1" a="1"/>
  <c r="H57" i="39" s="1"/>
  <c r="J42" i="39"/>
  <c r="J22" i="39"/>
  <c r="G22" i="39" s="1" a="1"/>
  <c r="G22" i="39" s="1"/>
  <c r="J31" i="36"/>
  <c r="F31" i="36" s="1" a="1"/>
  <c r="F31" i="36" s="1"/>
  <c r="J43" i="36"/>
  <c r="G43" i="36" s="1" a="1"/>
  <c r="G43" i="36" s="1"/>
  <c r="J42" i="36"/>
  <c r="C42" i="36" s="1" a="1"/>
  <c r="C42" i="36" s="1"/>
  <c r="J50" i="36"/>
  <c r="F50" i="36" s="1" a="1"/>
  <c r="F50" i="36" s="1"/>
  <c r="J22" i="36"/>
  <c r="D22" i="36" s="1" a="1"/>
  <c r="D22" i="36" s="1"/>
  <c r="J58" i="36"/>
  <c r="C58" i="36" s="1" a="1"/>
  <c r="C58" i="36" s="1"/>
  <c r="J61" i="45"/>
  <c r="J47" i="45"/>
  <c r="D47" i="45" s="1" a="1"/>
  <c r="D47" i="45" s="1"/>
  <c r="J40" i="45"/>
  <c r="G40" i="45" s="1" a="1"/>
  <c r="G40" i="45" s="1"/>
  <c r="J30" i="45"/>
  <c r="J46" i="45"/>
  <c r="E46" i="45" s="1" a="1"/>
  <c r="E46" i="45" s="1"/>
  <c r="J34" i="45"/>
  <c r="F34" i="45" s="1" a="1"/>
  <c r="F34" i="45" s="1"/>
  <c r="J27" i="45"/>
  <c r="F27" i="45" s="1" a="1"/>
  <c r="F27" i="45" s="1"/>
  <c r="J42" i="45"/>
  <c r="E42" i="45" s="1" a="1"/>
  <c r="E42" i="45" s="1"/>
  <c r="J38" i="45"/>
  <c r="H38" i="45" s="1" a="1"/>
  <c r="H38" i="45" s="1"/>
  <c r="J53" i="45"/>
  <c r="D53" i="45" s="1" a="1"/>
  <c r="D53" i="45" s="1"/>
  <c r="J41" i="46"/>
  <c r="J49" i="46"/>
  <c r="H49" i="46" s="1" a="1"/>
  <c r="H49" i="46" s="1"/>
  <c r="J17" i="37"/>
  <c r="E17" i="37" s="1" a="1"/>
  <c r="E17" i="37" s="1"/>
  <c r="J17" i="36"/>
  <c r="E17" i="36" s="1" a="1"/>
  <c r="E17" i="36" s="1"/>
  <c r="J21" i="35"/>
  <c r="E21" i="35" s="1" a="1"/>
  <c r="E21" i="35" s="1"/>
  <c r="J42" i="47"/>
  <c r="E42" i="47" s="1" a="1"/>
  <c r="E42" i="47" s="1"/>
  <c r="J52" i="47"/>
  <c r="H52" i="47" s="1" a="1"/>
  <c r="H52" i="47" s="1"/>
  <c r="J44" i="47"/>
  <c r="C44" i="47" s="1" a="1"/>
  <c r="C44" i="47" s="1"/>
  <c r="J45" i="39"/>
  <c r="D45" i="39" s="1" a="1"/>
  <c r="D45" i="39" s="1"/>
  <c r="J51" i="36"/>
  <c r="H51" i="36" s="1" a="1"/>
  <c r="H51" i="36" s="1"/>
  <c r="J21" i="46"/>
  <c r="G21" i="46" s="1" a="1"/>
  <c r="G21" i="46" s="1"/>
  <c r="J60" i="46"/>
  <c r="D60" i="46" s="1" a="1"/>
  <c r="D60" i="46" s="1"/>
  <c r="J59" i="47"/>
  <c r="H59" i="47" s="1" a="1"/>
  <c r="H59" i="47" s="1"/>
  <c r="J60" i="47"/>
  <c r="F60" i="47" s="1" a="1"/>
  <c r="F60" i="47" s="1"/>
  <c r="J54" i="46"/>
  <c r="H54" i="46" s="1" a="1"/>
  <c r="H54" i="46" s="1"/>
  <c r="J37" i="47"/>
  <c r="G37" i="47" s="1" a="1"/>
  <c r="G37" i="47" s="1"/>
  <c r="J35" i="47"/>
  <c r="J35" i="46"/>
  <c r="F35" i="46" s="1" a="1"/>
  <c r="F35" i="46" s="1"/>
  <c r="J21" i="36"/>
  <c r="E21" i="36" s="1" a="1"/>
  <c r="E21" i="36" s="1"/>
  <c r="J55" i="47"/>
  <c r="D55" i="47" s="1" a="1"/>
  <c r="D55" i="47" s="1"/>
  <c r="J40" i="47"/>
  <c r="F40" i="47" s="1" a="1"/>
  <c r="F40" i="47" s="1"/>
  <c r="J47" i="47"/>
  <c r="D47" i="47" s="1" a="1"/>
  <c r="D47" i="47" s="1"/>
  <c r="J27" i="46"/>
  <c r="G27" i="46" s="1" a="1"/>
  <c r="G27" i="46" s="1"/>
  <c r="J28" i="45"/>
  <c r="F28" i="45" s="1" a="1"/>
  <c r="F28" i="45" s="1"/>
  <c r="J41" i="45"/>
  <c r="F41" i="45" s="1" a="1"/>
  <c r="F41" i="45" s="1"/>
  <c r="J17" i="46"/>
  <c r="D17" i="46" s="1" a="1"/>
  <c r="D17" i="46" s="1"/>
  <c r="J43" i="46"/>
  <c r="H43" i="46" s="1" a="1"/>
  <c r="H43" i="46" s="1"/>
  <c r="J44" i="46"/>
  <c r="E44" i="46" s="1" a="1"/>
  <c r="E44" i="46" s="1"/>
  <c r="J39" i="46"/>
  <c r="H39" i="46" s="1" a="1"/>
  <c r="H39" i="46" s="1"/>
  <c r="J28" i="46"/>
  <c r="J30" i="46"/>
  <c r="F30" i="46" s="1" a="1"/>
  <c r="F30" i="46" s="1"/>
  <c r="J24" i="46"/>
  <c r="H24" i="46" s="1" a="1"/>
  <c r="H24" i="46" s="1"/>
  <c r="J18" i="47"/>
  <c r="D18" i="47" s="1" a="1"/>
  <c r="D18" i="47" s="1"/>
  <c r="J25" i="47"/>
  <c r="C25" i="47" s="1" a="1"/>
  <c r="C25" i="47" s="1"/>
  <c r="J54" i="47"/>
  <c r="H54" i="47" s="1" a="1"/>
  <c r="H54" i="47" s="1"/>
  <c r="J49" i="47"/>
  <c r="D49" i="47" s="1" a="1"/>
  <c r="D49" i="47" s="1"/>
  <c r="J39" i="47"/>
  <c r="C39" i="47" s="1" a="1"/>
  <c r="C39" i="47" s="1"/>
  <c r="J33" i="47"/>
  <c r="G33" i="47" s="1" a="1"/>
  <c r="G33" i="47" s="1"/>
  <c r="J19" i="47"/>
  <c r="F19" i="47" s="1" a="1"/>
  <c r="F19" i="47" s="1"/>
  <c r="J43" i="47"/>
  <c r="H43" i="47" s="1" a="1"/>
  <c r="H43" i="47" s="1"/>
  <c r="J22" i="47"/>
  <c r="G22" i="47" s="1" a="1"/>
  <c r="G22" i="47" s="1"/>
  <c r="J60" i="36"/>
  <c r="J56" i="36"/>
  <c r="F56" i="36" s="1" a="1"/>
  <c r="F56" i="36" s="1"/>
  <c r="J52" i="36"/>
  <c r="F52" i="36" s="1" a="1"/>
  <c r="F52" i="36" s="1"/>
  <c r="J46" i="36"/>
  <c r="D46" i="36" s="1" a="1"/>
  <c r="D46" i="36" s="1"/>
  <c r="J57" i="45"/>
  <c r="D57" i="45" s="1" a="1"/>
  <c r="D57" i="45" s="1"/>
  <c r="J51" i="45"/>
  <c r="F51" i="45" s="1" a="1"/>
  <c r="F51" i="45" s="1"/>
  <c r="J26" i="46"/>
  <c r="F26" i="46" s="1" a="1"/>
  <c r="F26" i="46" s="1"/>
  <c r="J32" i="46"/>
  <c r="D32" i="46" s="1" a="1"/>
  <c r="D32" i="46" s="1"/>
  <c r="J42" i="46"/>
  <c r="D42" i="46" s="1" a="1"/>
  <c r="D42" i="46" s="1"/>
  <c r="J33" i="46"/>
  <c r="F33" i="46" s="1" a="1"/>
  <c r="F33" i="46" s="1"/>
  <c r="J38" i="46"/>
  <c r="H38" i="46" s="1" a="1"/>
  <c r="H38" i="46" s="1"/>
  <c r="J46" i="46"/>
  <c r="F46" i="46" s="1" a="1"/>
  <c r="F46" i="46" s="1"/>
  <c r="J31" i="47"/>
  <c r="D31" i="47" s="1" a="1"/>
  <c r="D31" i="47" s="1"/>
  <c r="J30" i="47"/>
  <c r="F30" i="47" s="1" a="1"/>
  <c r="F30" i="47" s="1"/>
  <c r="J21" i="47"/>
  <c r="H21" i="47" s="1" a="1"/>
  <c r="H21" i="47" s="1"/>
  <c r="J56" i="47"/>
  <c r="G56" i="47" s="1" a="1"/>
  <c r="G56" i="47" s="1"/>
  <c r="J34" i="46"/>
  <c r="F34" i="46" s="1" a="1"/>
  <c r="F34" i="46" s="1"/>
  <c r="J47" i="22"/>
  <c r="G47" i="22" s="1" a="1"/>
  <c r="G47" i="22" s="1"/>
  <c r="J31" i="46"/>
  <c r="D31" i="46" s="1" a="1"/>
  <c r="D31" i="46" s="1"/>
  <c r="J56" i="46"/>
  <c r="G56" i="46" s="1" a="1"/>
  <c r="G56" i="46" s="1"/>
  <c r="J29" i="46"/>
  <c r="J23" i="47"/>
  <c r="E23" i="47" s="1" a="1"/>
  <c r="E23" i="47" s="1"/>
  <c r="J28" i="47"/>
  <c r="F28" i="47" s="1" a="1"/>
  <c r="F28" i="47" s="1"/>
  <c r="J34" i="47"/>
  <c r="G34" i="47" s="1" a="1"/>
  <c r="G34" i="47" s="1"/>
  <c r="J17" i="31"/>
  <c r="E17" i="31" s="1" a="1"/>
  <c r="E17" i="31" s="1"/>
  <c r="J56" i="45"/>
  <c r="F56" i="45" s="1" a="1"/>
  <c r="F56" i="45" s="1"/>
  <c r="J49" i="45"/>
  <c r="G49" i="45" s="1" a="1"/>
  <c r="G49" i="45" s="1"/>
  <c r="J36" i="47"/>
  <c r="F36" i="47" s="1" a="1"/>
  <c r="F36" i="47" s="1"/>
  <c r="J48" i="47"/>
  <c r="F48" i="47" s="1" a="1"/>
  <c r="F48" i="47" s="1"/>
  <c r="J51" i="47"/>
  <c r="D51" i="47" s="1" a="1"/>
  <c r="D51" i="47" s="1"/>
  <c r="J41" i="47"/>
  <c r="D41" i="47" s="1" a="1"/>
  <c r="D41" i="47" s="1"/>
  <c r="J26" i="47"/>
  <c r="F26" i="47" s="1" a="1"/>
  <c r="F26" i="47" s="1"/>
  <c r="J20" i="47"/>
  <c r="H20" i="47" s="1" a="1"/>
  <c r="H20" i="47" s="1"/>
  <c r="J50" i="47"/>
  <c r="D50" i="47" s="1" a="1"/>
  <c r="D50" i="47" s="1"/>
  <c r="J17" i="47"/>
  <c r="J58" i="46"/>
  <c r="D58" i="46" s="1" a="1"/>
  <c r="D58" i="46" s="1"/>
  <c r="J47" i="46"/>
  <c r="E47" i="46" s="1" a="1"/>
  <c r="E47" i="46" s="1"/>
  <c r="J48" i="46"/>
  <c r="D48" i="46" s="1" a="1"/>
  <c r="D48" i="46" s="1"/>
  <c r="J52" i="46"/>
  <c r="C52" i="46" s="1" a="1"/>
  <c r="C52" i="46" s="1"/>
  <c r="J63" i="45"/>
  <c r="E63" i="45" s="1" a="1"/>
  <c r="E63" i="45" s="1"/>
  <c r="J27" i="47"/>
  <c r="D27" i="47" s="1" a="1"/>
  <c r="D27" i="47" s="1"/>
  <c r="J57" i="46"/>
  <c r="D57" i="46" s="1" a="1"/>
  <c r="D57" i="46" s="1"/>
  <c r="J59" i="46"/>
  <c r="H59" i="46" s="1" a="1"/>
  <c r="H59" i="46" s="1"/>
  <c r="J40" i="46"/>
  <c r="H40" i="46" s="1" a="1"/>
  <c r="H40" i="46" s="1"/>
  <c r="J45" i="45"/>
  <c r="D45" i="45" s="1" a="1"/>
  <c r="D45" i="45" s="1"/>
  <c r="J52" i="45"/>
  <c r="F52" i="45" s="1" a="1"/>
  <c r="F52" i="45" s="1"/>
  <c r="J49" i="36"/>
  <c r="J18" i="39"/>
  <c r="H18" i="39" s="1" a="1"/>
  <c r="H18" i="39" s="1"/>
  <c r="H74" i="39" s="1" a="1"/>
  <c r="H74" i="39" s="1"/>
  <c r="J45" i="31"/>
  <c r="G45" i="31" s="1" a="1"/>
  <c r="G45" i="31" s="1"/>
  <c r="J50" i="35"/>
  <c r="E50" i="35" s="1" a="1"/>
  <c r="E50" i="35" s="1"/>
  <c r="J50" i="45"/>
  <c r="J47" i="36"/>
  <c r="G47" i="36" s="1" a="1"/>
  <c r="G47" i="36" s="1"/>
  <c r="J27" i="36"/>
  <c r="J34" i="35"/>
  <c r="J44" i="45"/>
  <c r="D44" i="45" s="1" a="1"/>
  <c r="D44" i="45" s="1"/>
  <c r="J39" i="36"/>
  <c r="G39" i="36" s="1" a="1"/>
  <c r="G39" i="36" s="1"/>
  <c r="J53" i="36"/>
  <c r="H53" i="36" s="1" a="1"/>
  <c r="H53" i="36" s="1"/>
  <c r="J61" i="47"/>
  <c r="H61" i="47" s="1" a="1"/>
  <c r="H61" i="47" s="1"/>
  <c r="J25" i="46"/>
  <c r="J45" i="36"/>
  <c r="J35" i="45"/>
  <c r="J54" i="31"/>
  <c r="J20" i="46"/>
  <c r="J55" i="46"/>
  <c r="J51" i="46"/>
  <c r="C51" i="46" s="1" a="1"/>
  <c r="C51" i="46" s="1"/>
  <c r="J54" i="45"/>
  <c r="J48" i="45"/>
  <c r="J36" i="46"/>
  <c r="D36" i="46" s="1" a="1"/>
  <c r="D36" i="46" s="1"/>
  <c r="J53" i="47"/>
  <c r="D53" i="47" s="1" a="1"/>
  <c r="D53" i="47" s="1"/>
  <c r="J45" i="47"/>
  <c r="J38" i="47"/>
  <c r="J24" i="47"/>
  <c r="J23" i="46"/>
  <c r="F23" i="46" s="1" a="1"/>
  <c r="F23" i="46" s="1"/>
  <c r="J45" i="46"/>
  <c r="J19" i="46"/>
  <c r="D19" i="46" s="1" a="1"/>
  <c r="D19" i="46" s="1"/>
  <c r="J50" i="46"/>
  <c r="G50" i="46" s="1" a="1"/>
  <c r="G50" i="46" s="1"/>
  <c r="J18" i="46"/>
  <c r="F18" i="46" s="1" a="1"/>
  <c r="F18" i="46" s="1"/>
  <c r="J58" i="47"/>
  <c r="D58" i="47" s="1" a="1"/>
  <c r="D58" i="47" s="1"/>
  <c r="J32" i="47"/>
  <c r="F32" i="47" s="1" a="1"/>
  <c r="F32" i="47" s="1"/>
  <c r="J57" i="47"/>
  <c r="E57" i="47" s="1" a="1"/>
  <c r="E57" i="47" s="1"/>
  <c r="J60" i="45"/>
  <c r="J29" i="45"/>
  <c r="D29" i="45" s="1" a="1"/>
  <c r="D29" i="45" s="1"/>
  <c r="J31" i="45"/>
  <c r="G31" i="45" s="1" a="1"/>
  <c r="G31" i="45" s="1"/>
  <c r="J62" i="45"/>
  <c r="C62" i="45" s="1" a="1"/>
  <c r="C62" i="45" s="1"/>
  <c r="J33" i="36"/>
  <c r="J63" i="36"/>
  <c r="H63" i="36" s="1" a="1"/>
  <c r="H63" i="36" s="1"/>
  <c r="J34" i="36"/>
  <c r="D34" i="36" s="1" a="1"/>
  <c r="D34" i="36" s="1"/>
  <c r="J35" i="36"/>
  <c r="E35" i="36" s="1" a="1"/>
  <c r="E35" i="36" s="1"/>
  <c r="J29" i="36"/>
  <c r="J49" i="39"/>
  <c r="G49" i="39" s="1" a="1"/>
  <c r="G49" i="39" s="1"/>
  <c r="J63" i="31"/>
  <c r="G63" i="31" s="1" a="1"/>
  <c r="G63" i="31" s="1"/>
  <c r="J60" i="31"/>
  <c r="D60" i="31" s="1" a="1"/>
  <c r="D60" i="31" s="1"/>
  <c r="J56" i="31"/>
  <c r="J57" i="31"/>
  <c r="D57" i="31" s="1" a="1"/>
  <c r="D57" i="31" s="1"/>
  <c r="J24" i="35"/>
  <c r="F24" i="35" s="1" a="1"/>
  <c r="F24" i="35" s="1"/>
  <c r="J52" i="35"/>
  <c r="C52" i="35" s="1" a="1"/>
  <c r="C52" i="35" s="1"/>
  <c r="J26" i="45"/>
  <c r="J59" i="36"/>
  <c r="G59" i="36" s="1" a="1"/>
  <c r="G59" i="36" s="1"/>
  <c r="J24" i="36"/>
  <c r="C24" i="36" s="1" a="1"/>
  <c r="C24" i="36" s="1"/>
  <c r="J36" i="36"/>
  <c r="E36" i="36" s="1" a="1"/>
  <c r="E36" i="36" s="1"/>
  <c r="J21" i="39"/>
  <c r="J28" i="31"/>
  <c r="G28" i="31" s="1" a="1"/>
  <c r="G28" i="31" s="1"/>
  <c r="J43" i="31"/>
  <c r="E43" i="31" s="1" a="1"/>
  <c r="E43" i="31" s="1"/>
  <c r="J30" i="35"/>
  <c r="J26" i="35"/>
  <c r="J44" i="35"/>
  <c r="C44" i="35" s="1" a="1"/>
  <c r="C44" i="35" s="1"/>
  <c r="J51" i="35"/>
  <c r="G51" i="35" s="1" a="1"/>
  <c r="G51" i="35" s="1"/>
  <c r="J37" i="45"/>
  <c r="H37" i="45" s="1" a="1"/>
  <c r="H37" i="45" s="1"/>
  <c r="J39" i="45"/>
  <c r="J57" i="36"/>
  <c r="F57" i="36" s="1" a="1"/>
  <c r="F57" i="36" s="1"/>
  <c r="J20" i="36"/>
  <c r="D20" i="36" s="1" a="1"/>
  <c r="D20" i="36" s="1"/>
  <c r="J51" i="31"/>
  <c r="H51" i="31" s="1" a="1"/>
  <c r="H51" i="31" s="1"/>
  <c r="J61" i="31"/>
  <c r="J64" i="36"/>
  <c r="C64" i="36" s="1" a="1"/>
  <c r="C64" i="36" s="1"/>
  <c r="J61" i="46"/>
  <c r="H61" i="46" s="1" a="1"/>
  <c r="H61" i="46" s="1"/>
  <c r="J29" i="47"/>
  <c r="F29" i="47" s="1" a="1"/>
  <c r="F29" i="47" s="1"/>
  <c r="J46" i="47"/>
  <c r="H46" i="47" s="1" a="1"/>
  <c r="H46" i="47" s="1"/>
  <c r="J53" i="46"/>
  <c r="F53" i="46" s="1" a="1"/>
  <c r="F53" i="46" s="1"/>
  <c r="J37" i="46"/>
  <c r="H37" i="46" s="1" a="1"/>
  <c r="H37" i="46" s="1"/>
  <c r="J22" i="46"/>
  <c r="G22" i="46" s="1" a="1"/>
  <c r="G22" i="46" s="1"/>
  <c r="J55" i="45"/>
  <c r="E55" i="45" s="1" a="1"/>
  <c r="E55" i="45" s="1"/>
  <c r="J64" i="45"/>
  <c r="C64" i="45" s="1" a="1"/>
  <c r="C64" i="45" s="1"/>
  <c r="J37" i="36"/>
  <c r="J53" i="31"/>
  <c r="J26" i="36"/>
  <c r="D26" i="36" s="1" a="1"/>
  <c r="D26" i="36" s="1"/>
  <c r="J48" i="36"/>
  <c r="H48" i="36" s="1" a="1"/>
  <c r="H48" i="36" s="1"/>
  <c r="J32" i="45"/>
  <c r="J34" i="39"/>
  <c r="D34" i="39" s="1" a="1"/>
  <c r="D34" i="39" s="1"/>
  <c r="J25" i="39"/>
  <c r="D25" i="39" s="1" a="1"/>
  <c r="D25" i="39" s="1"/>
  <c r="J39" i="38"/>
  <c r="J57" i="32"/>
  <c r="J34" i="38"/>
  <c r="J44" i="38"/>
  <c r="D44" i="38" s="1" a="1"/>
  <c r="D44" i="38" s="1"/>
  <c r="J31" i="39"/>
  <c r="E31" i="39" s="1" a="1"/>
  <c r="E31" i="39" s="1"/>
  <c r="J58" i="31"/>
  <c r="D58" i="31" s="1" a="1"/>
  <c r="D58" i="31" s="1"/>
  <c r="J38" i="36"/>
  <c r="H38" i="36" s="1" a="1"/>
  <c r="H38" i="36" s="1"/>
  <c r="J22" i="35"/>
  <c r="E22" i="35" s="1" a="1"/>
  <c r="E22" i="35" s="1"/>
  <c r="J54" i="35"/>
  <c r="D54" i="35" s="1" a="1"/>
  <c r="D54" i="35" s="1"/>
  <c r="J33" i="39"/>
  <c r="E33" i="39" s="1" a="1"/>
  <c r="E33" i="39" s="1"/>
  <c r="J53" i="39"/>
  <c r="G53" i="39" s="1" a="1"/>
  <c r="G53" i="39" s="1"/>
  <c r="J51" i="39"/>
  <c r="H51" i="39" s="1" a="1"/>
  <c r="H51" i="39" s="1"/>
  <c r="J26" i="39"/>
  <c r="D26" i="39" s="1" a="1"/>
  <c r="D26" i="39" s="1"/>
  <c r="J58" i="39"/>
  <c r="C58" i="39" s="1" a="1"/>
  <c r="C58" i="39" s="1"/>
  <c r="J60" i="39"/>
  <c r="G60" i="39" s="1" a="1"/>
  <c r="G60" i="39" s="1"/>
  <c r="J58" i="38"/>
  <c r="C58" i="38" s="1" a="1"/>
  <c r="C58" i="38" s="1"/>
  <c r="J53" i="38"/>
  <c r="H53" i="38" s="1" a="1"/>
  <c r="H53" i="38" s="1"/>
  <c r="J63" i="32"/>
  <c r="H63" i="32" s="1" a="1"/>
  <c r="H63" i="32" s="1"/>
  <c r="J55" i="32"/>
  <c r="H55" i="32" s="1" a="1"/>
  <c r="H55" i="32" s="1"/>
  <c r="J47" i="32"/>
  <c r="G47" i="32" s="1" a="1"/>
  <c r="G47" i="32" s="1"/>
  <c r="J50" i="38"/>
  <c r="D50" i="38" s="1" a="1"/>
  <c r="D50" i="38" s="1"/>
  <c r="J61" i="32"/>
  <c r="J42" i="32"/>
  <c r="J62" i="32"/>
  <c r="D62" i="32" s="1" a="1"/>
  <c r="D62" i="32" s="1"/>
  <c r="J55" i="38"/>
  <c r="J46" i="35"/>
  <c r="J63" i="35"/>
  <c r="D63" i="35" s="1" a="1"/>
  <c r="D63" i="35" s="1"/>
  <c r="J64" i="39"/>
  <c r="F64" i="39" s="1" a="1"/>
  <c r="F64" i="39" s="1"/>
  <c r="J61" i="38"/>
  <c r="E61" i="38" s="1" a="1"/>
  <c r="E61" i="38" s="1"/>
  <c r="J40" i="31"/>
  <c r="J30" i="31"/>
  <c r="H30" i="31" s="1" a="1"/>
  <c r="H30" i="31" s="1"/>
  <c r="J18" i="31"/>
  <c r="E18" i="31" s="1" a="1"/>
  <c r="E18" i="31" s="1"/>
  <c r="J49" i="31"/>
  <c r="F49" i="31" s="1" a="1"/>
  <c r="F49" i="31" s="1"/>
  <c r="J35" i="31"/>
  <c r="E35" i="31" s="1" a="1"/>
  <c r="E35" i="31" s="1"/>
  <c r="J63" i="38"/>
  <c r="C63" i="38" s="1" a="1"/>
  <c r="C63" i="38" s="1"/>
  <c r="J38" i="31"/>
  <c r="D38" i="31" s="1" a="1"/>
  <c r="D38" i="31" s="1"/>
  <c r="J19" i="38"/>
  <c r="C19" i="38" s="1" a="1"/>
  <c r="C19" i="38" s="1"/>
  <c r="J22" i="38"/>
  <c r="D22" i="38" s="1" a="1"/>
  <c r="D22" i="38" s="1"/>
  <c r="J35" i="38"/>
  <c r="J53" i="37"/>
  <c r="C53" i="37" s="1" a="1"/>
  <c r="C53" i="37" s="1"/>
  <c r="J32" i="37"/>
  <c r="E32" i="37" s="1" a="1"/>
  <c r="E32" i="37" s="1"/>
  <c r="J34" i="37"/>
  <c r="F34" i="37" s="1" a="1"/>
  <c r="F34" i="37" s="1"/>
  <c r="J46" i="37"/>
  <c r="J30" i="38"/>
  <c r="C30" i="38" s="1" a="1"/>
  <c r="C30" i="38" s="1"/>
  <c r="J25" i="38"/>
  <c r="G25" i="38" s="1" a="1"/>
  <c r="G25" i="38" s="1"/>
  <c r="J37" i="31"/>
  <c r="H37" i="31" s="1" a="1"/>
  <c r="H37" i="31" s="1"/>
  <c r="J25" i="31"/>
  <c r="J32" i="38"/>
  <c r="F32" i="38" s="1" a="1"/>
  <c r="F32" i="38" s="1"/>
  <c r="J40" i="38"/>
  <c r="H40" i="38" s="1" a="1"/>
  <c r="H40" i="38" s="1"/>
  <c r="J36" i="38"/>
  <c r="J17" i="38"/>
  <c r="H17" i="38" s="1" a="1"/>
  <c r="H17" i="38" s="1"/>
  <c r="H73" i="38" s="1" a="1"/>
  <c r="H73" i="38" s="1"/>
  <c r="J30" i="37"/>
  <c r="J35" i="37"/>
  <c r="D35" i="37" s="1" a="1"/>
  <c r="D35" i="37" s="1"/>
  <c r="J45" i="37"/>
  <c r="E45" i="37" s="1" a="1"/>
  <c r="E45" i="37" s="1"/>
  <c r="J39" i="37"/>
  <c r="H39" i="37" s="1" a="1"/>
  <c r="H39" i="37" s="1"/>
  <c r="J40" i="37"/>
  <c r="C40" i="37" s="1" a="1"/>
  <c r="C40" i="37" s="1"/>
  <c r="J38" i="37"/>
  <c r="G38" i="37" s="1" a="1"/>
  <c r="G38" i="37" s="1"/>
  <c r="J42" i="37"/>
  <c r="D42" i="37" s="1" a="1"/>
  <c r="D42" i="37" s="1"/>
  <c r="J58" i="37"/>
  <c r="D58" i="37" s="1" a="1"/>
  <c r="D58" i="37" s="1"/>
  <c r="J50" i="37"/>
  <c r="C50" i="37" s="1" a="1"/>
  <c r="C50" i="37" s="1"/>
  <c r="J31" i="37"/>
  <c r="G31" i="37" s="1" a="1"/>
  <c r="G31" i="37" s="1"/>
  <c r="J21" i="37"/>
  <c r="E21" i="37" s="1" a="1"/>
  <c r="E21" i="37" s="1"/>
  <c r="J60" i="38"/>
  <c r="E60" i="38" s="1" a="1"/>
  <c r="E60" i="38" s="1"/>
  <c r="J60" i="37"/>
  <c r="J41" i="37"/>
  <c r="H41" i="37" s="1" a="1"/>
  <c r="H41" i="37" s="1"/>
  <c r="J49" i="37"/>
  <c r="E49" i="37" s="1" a="1"/>
  <c r="E49" i="37" s="1"/>
  <c r="J36" i="37"/>
  <c r="E36" i="37" s="1" a="1"/>
  <c r="E36" i="37" s="1"/>
  <c r="J23" i="37"/>
  <c r="J18" i="32"/>
  <c r="C18" i="32" s="1" a="1"/>
  <c r="C18" i="32" s="1"/>
  <c r="J24" i="32"/>
  <c r="E24" i="32" s="1" a="1"/>
  <c r="E24" i="32" s="1"/>
  <c r="J36" i="19"/>
  <c r="G36" i="19" s="1" a="1"/>
  <c r="G36" i="19" s="1"/>
  <c r="J20" i="32"/>
  <c r="F20" i="32" s="1" a="1"/>
  <c r="F20" i="32" s="1"/>
  <c r="J61" i="20"/>
  <c r="H61" i="20" s="1" a="1"/>
  <c r="H61" i="20" s="1"/>
  <c r="J39" i="32"/>
  <c r="H39" i="32" s="1" a="1"/>
  <c r="H39" i="32" s="1"/>
  <c r="J54" i="21"/>
  <c r="C54" i="21" s="1" a="1"/>
  <c r="C54" i="21" s="1"/>
  <c r="J25" i="21"/>
  <c r="G25" i="21" s="1" a="1"/>
  <c r="G25" i="21" s="1"/>
  <c r="J45" i="20"/>
  <c r="E45" i="20" s="1" a="1"/>
  <c r="E45" i="20" s="1"/>
  <c r="J24" i="20"/>
  <c r="G24" i="20" s="1" a="1"/>
  <c r="G24" i="20" s="1"/>
  <c r="J26" i="20"/>
  <c r="D26" i="20" s="1" a="1"/>
  <c r="D26" i="20" s="1"/>
  <c r="J23" i="29"/>
  <c r="F23" i="29" s="1" a="1"/>
  <c r="F23" i="29" s="1"/>
  <c r="J29" i="32"/>
  <c r="H29" i="32" s="1" a="1"/>
  <c r="H29" i="32" s="1"/>
  <c r="J53" i="32"/>
  <c r="J46" i="28"/>
  <c r="F46" i="28" s="1" a="1"/>
  <c r="F46" i="28" s="1"/>
  <c r="J35" i="27"/>
  <c r="G35" i="27" s="1" a="1"/>
  <c r="G35" i="27" s="1"/>
  <c r="J36" i="25"/>
  <c r="E36" i="25" s="1" a="1"/>
  <c r="E36" i="25" s="1"/>
  <c r="J36" i="21"/>
  <c r="J26" i="32"/>
  <c r="E26" i="32" s="1" a="1"/>
  <c r="E26" i="32" s="1"/>
  <c r="J46" i="27"/>
  <c r="G46" i="27" s="1" a="1"/>
  <c r="G46" i="27" s="1"/>
  <c r="J35" i="26"/>
  <c r="E35" i="26" s="1" a="1"/>
  <c r="E35" i="26" s="1"/>
  <c r="J35" i="25"/>
  <c r="F35" i="25" s="1" a="1"/>
  <c r="F35" i="25" s="1"/>
  <c r="J36" i="28"/>
  <c r="F36" i="28" s="1" a="1"/>
  <c r="F36" i="28" s="1"/>
  <c r="J34" i="21"/>
  <c r="E34" i="21" s="1" a="1"/>
  <c r="E34" i="21" s="1"/>
  <c r="J22" i="32"/>
  <c r="G22" i="32" s="1" a="1"/>
  <c r="G22" i="32" s="1"/>
  <c r="J61" i="21"/>
  <c r="F61" i="21" s="1" a="1"/>
  <c r="F61" i="21" s="1"/>
  <c r="J33" i="32"/>
  <c r="F33" i="32" s="1" a="1"/>
  <c r="F33" i="32" s="1"/>
  <c r="J57" i="22"/>
  <c r="J45" i="25"/>
  <c r="E45" i="25" s="1" a="1"/>
  <c r="E45" i="25" s="1"/>
  <c r="J60" i="25"/>
  <c r="F60" i="25" s="1" a="1"/>
  <c r="F60" i="25" s="1"/>
  <c r="J54" i="20"/>
  <c r="D54" i="20" s="1" a="1"/>
  <c r="D54" i="20" s="1"/>
  <c r="J18" i="20"/>
  <c r="C18" i="20" s="1" a="1"/>
  <c r="C18" i="20" s="1"/>
  <c r="J56" i="22"/>
  <c r="D56" i="22" s="1" a="1"/>
  <c r="D56" i="22" s="1"/>
  <c r="J45" i="21"/>
  <c r="E45" i="21" s="1" a="1"/>
  <c r="E45" i="21" s="1"/>
  <c r="J17" i="28"/>
  <c r="C17" i="28" s="1" a="1"/>
  <c r="C17" i="28" s="1"/>
  <c r="J54" i="19"/>
  <c r="C54" i="19" s="1" a="1"/>
  <c r="C54" i="19" s="1"/>
  <c r="J22" i="27"/>
  <c r="E22" i="27" s="1" a="1"/>
  <c r="E22" i="27" s="1"/>
  <c r="J24" i="27"/>
  <c r="H24" i="27" s="1" a="1"/>
  <c r="H24" i="27" s="1"/>
  <c r="J47" i="19"/>
  <c r="D47" i="19" s="1" a="1"/>
  <c r="D47" i="19" s="1"/>
  <c r="J22" i="21"/>
  <c r="F22" i="21" s="1" a="1"/>
  <c r="F22" i="21" s="1"/>
  <c r="J26" i="29"/>
  <c r="D26" i="29" s="1" a="1"/>
  <c r="D26" i="29" s="1"/>
  <c r="J22" i="28"/>
  <c r="D22" i="28" s="1" a="1"/>
  <c r="D22" i="28" s="1"/>
  <c r="J42" i="21"/>
  <c r="E42" i="21" s="1" a="1"/>
  <c r="E42" i="21" s="1"/>
  <c r="J22" i="19"/>
  <c r="C22" i="19" s="1" a="1"/>
  <c r="C22" i="19" s="1"/>
  <c r="J46" i="19"/>
  <c r="F46" i="19" s="1" a="1"/>
  <c r="F46" i="19" s="1"/>
  <c r="J25" i="22"/>
  <c r="D25" i="22" s="1" a="1"/>
  <c r="D25" i="22" s="1"/>
  <c r="J23" i="28"/>
  <c r="F23" i="28" s="1" a="1"/>
  <c r="F23" i="28" s="1"/>
  <c r="J45" i="32"/>
  <c r="E45" i="32" s="1" a="1"/>
  <c r="E45" i="32" s="1"/>
  <c r="J59" i="39"/>
  <c r="H59" i="39" s="1" a="1"/>
  <c r="H59" i="39" s="1"/>
  <c r="J62" i="39"/>
  <c r="C62" i="39" s="1" a="1"/>
  <c r="C62" i="39" s="1"/>
  <c r="J55" i="37"/>
  <c r="H55" i="37" s="1" a="1"/>
  <c r="H55" i="37" s="1"/>
  <c r="J39" i="35"/>
  <c r="G39" i="35" s="1" a="1"/>
  <c r="G39" i="35" s="1"/>
  <c r="J44" i="39"/>
  <c r="G44" i="39" s="1" a="1"/>
  <c r="G44" i="39" s="1"/>
  <c r="J32" i="39"/>
  <c r="C32" i="39" s="1" a="1"/>
  <c r="C32" i="39" s="1"/>
  <c r="J63" i="39"/>
  <c r="D63" i="39" s="1" a="1"/>
  <c r="D63" i="39" s="1"/>
  <c r="J30" i="39"/>
  <c r="D30" i="39" s="1" a="1"/>
  <c r="D30" i="39" s="1"/>
  <c r="J27" i="31"/>
  <c r="E27" i="31" s="1" a="1"/>
  <c r="E27" i="31" s="1"/>
  <c r="J27" i="38"/>
  <c r="G27" i="38" s="1" a="1"/>
  <c r="G27" i="38" s="1"/>
  <c r="J20" i="37"/>
  <c r="C20" i="37" s="1" a="1"/>
  <c r="C20" i="37" s="1"/>
  <c r="J31" i="32"/>
  <c r="C31" i="32" s="1" a="1"/>
  <c r="C31" i="32" s="1"/>
  <c r="J45" i="27"/>
  <c r="H45" i="27" s="1" a="1"/>
  <c r="H45" i="27" s="1"/>
  <c r="J36" i="27"/>
  <c r="F36" i="27" s="1" a="1"/>
  <c r="F36" i="27" s="1"/>
  <c r="J20" i="22"/>
  <c r="E20" i="22" s="1" a="1"/>
  <c r="E20" i="22" s="1"/>
  <c r="J63" i="27"/>
  <c r="E63" i="27" s="1" a="1"/>
  <c r="E63" i="27" s="1"/>
  <c r="J26" i="22"/>
  <c r="D26" i="22" s="1" a="1"/>
  <c r="D26" i="22" s="1"/>
  <c r="J24" i="21"/>
  <c r="G24" i="21" s="1" a="1"/>
  <c r="G24" i="21" s="1"/>
  <c r="J20" i="28"/>
  <c r="G20" i="28" s="1" a="1"/>
  <c r="G20" i="28" s="1"/>
  <c r="J25" i="28"/>
  <c r="E25" i="28" s="1" a="1"/>
  <c r="E25" i="28" s="1"/>
  <c r="J23" i="22"/>
  <c r="D23" i="22" s="1" a="1"/>
  <c r="D23" i="22" s="1"/>
  <c r="J52" i="22"/>
  <c r="D52" i="22" s="1" a="1"/>
  <c r="D52" i="22" s="1"/>
  <c r="J31" i="31"/>
  <c r="E31" i="31" s="1" a="1"/>
  <c r="E31" i="31" s="1"/>
  <c r="J49" i="22"/>
  <c r="F49" i="22" s="1" a="1"/>
  <c r="F49" i="22" s="1"/>
  <c r="J57" i="19"/>
  <c r="D57" i="19" s="1" a="1"/>
  <c r="D57" i="19" s="1"/>
  <c r="J53" i="19"/>
  <c r="D53" i="19" s="1" a="1"/>
  <c r="D53" i="19" s="1"/>
  <c r="J44" i="21"/>
  <c r="F44" i="21" s="1" a="1"/>
  <c r="F44" i="21" s="1"/>
  <c r="J59" i="28"/>
  <c r="D59" i="28" s="1" a="1"/>
  <c r="D59" i="28" s="1"/>
  <c r="J51" i="20"/>
  <c r="F51" i="20" s="1" a="1"/>
  <c r="F51" i="20" s="1"/>
  <c r="J61" i="26"/>
  <c r="G61" i="26" s="1" a="1"/>
  <c r="G61" i="26" s="1"/>
  <c r="J52" i="19"/>
  <c r="D52" i="19" s="1" a="1"/>
  <c r="D52" i="19" s="1"/>
  <c r="J19" i="21"/>
  <c r="C19" i="21" s="1" a="1"/>
  <c r="C19" i="21" s="1"/>
  <c r="J21" i="19"/>
  <c r="F21" i="19" s="1" a="1"/>
  <c r="F21" i="19" s="1"/>
  <c r="J56" i="21"/>
  <c r="D56" i="21" s="1" a="1"/>
  <c r="D56" i="21" s="1"/>
  <c r="J19" i="22"/>
  <c r="H19" i="22" s="1" a="1"/>
  <c r="H19" i="22" s="1"/>
  <c r="J40" i="21"/>
  <c r="C40" i="21" s="1" a="1"/>
  <c r="C40" i="21" s="1"/>
  <c r="J63" i="28"/>
  <c r="H63" i="28" s="1" a="1"/>
  <c r="H63" i="28" s="1"/>
  <c r="J62" i="26"/>
  <c r="E62" i="26" s="1" a="1"/>
  <c r="E62" i="26" s="1"/>
  <c r="J61" i="27"/>
  <c r="H61" i="27" s="1" a="1"/>
  <c r="H61" i="27" s="1"/>
  <c r="J49" i="20"/>
  <c r="F49" i="20" s="1" a="1"/>
  <c r="F49" i="20" s="1"/>
  <c r="J59" i="29"/>
  <c r="C59" i="29" s="1" a="1"/>
  <c r="C59" i="29" s="1"/>
  <c r="J43" i="22"/>
  <c r="C43" i="22" s="1" a="1"/>
  <c r="C43" i="22" s="1"/>
  <c r="J60" i="26"/>
  <c r="H60" i="26" s="1" a="1"/>
  <c r="H60" i="26" s="1"/>
  <c r="J58" i="28"/>
  <c r="D58" i="28" s="1" a="1"/>
  <c r="D58" i="28" s="1"/>
  <c r="J19" i="19"/>
  <c r="H19" i="19" s="1" a="1"/>
  <c r="H19" i="19" s="1"/>
  <c r="J18" i="21"/>
  <c r="D18" i="21" s="1" a="1"/>
  <c r="D18" i="21" s="1"/>
  <c r="J25" i="19"/>
  <c r="E25" i="19" s="1" a="1"/>
  <c r="E25" i="19" s="1"/>
  <c r="J42" i="22"/>
  <c r="H42" i="22" s="1" a="1"/>
  <c r="H42" i="22" s="1"/>
  <c r="J17" i="22"/>
  <c r="E17" i="22" s="1" a="1"/>
  <c r="E17" i="22" s="1"/>
  <c r="J60" i="28"/>
  <c r="G60" i="28" s="1" a="1"/>
  <c r="G60" i="28" s="1"/>
  <c r="J20" i="27"/>
  <c r="E20" i="27" s="1" a="1"/>
  <c r="E20" i="27" s="1"/>
  <c r="J18" i="19"/>
  <c r="G18" i="19" s="1" a="1"/>
  <c r="G18" i="19" s="1"/>
  <c r="J21" i="28"/>
  <c r="E21" i="28" s="1" a="1"/>
  <c r="E21" i="28" s="1"/>
  <c r="J24" i="28"/>
  <c r="C24" i="28" s="1" a="1"/>
  <c r="C24" i="28" s="1"/>
  <c r="J48" i="22"/>
  <c r="E48" i="22" s="1" a="1"/>
  <c r="E48" i="22" s="1"/>
  <c r="J20" i="29"/>
  <c r="G20" i="29" s="1" a="1"/>
  <c r="G20" i="29" s="1"/>
  <c r="J44" i="19"/>
  <c r="E44" i="19" s="1" a="1"/>
  <c r="E44" i="19" s="1"/>
  <c r="J18" i="22"/>
  <c r="F18" i="22" s="1" a="1"/>
  <c r="F18" i="22" s="1"/>
  <c r="J41" i="21"/>
  <c r="E41" i="21" s="1" a="1"/>
  <c r="E41" i="21" s="1"/>
  <c r="J41" i="29"/>
  <c r="J47" i="30"/>
  <c r="J37" i="29"/>
  <c r="J18" i="29"/>
  <c r="J30" i="29"/>
  <c r="J53" i="29"/>
  <c r="J35" i="30"/>
  <c r="J61" i="30"/>
  <c r="J17" i="29"/>
  <c r="J24" i="29"/>
  <c r="J40" i="29"/>
  <c r="J40" i="30"/>
  <c r="J45" i="30"/>
  <c r="J46" i="29"/>
  <c r="J55" i="29"/>
  <c r="J18" i="30"/>
  <c r="J27" i="30"/>
  <c r="J22" i="29"/>
  <c r="J30" i="30"/>
  <c r="J49" i="30"/>
  <c r="J50" i="29"/>
  <c r="J54" i="29"/>
  <c r="J57" i="29"/>
  <c r="J39" i="30"/>
  <c r="J42" i="29"/>
  <c r="J62" i="29"/>
  <c r="J63" i="29"/>
  <c r="J25" i="30"/>
  <c r="Q260" i="8"/>
  <c r="J29" i="30"/>
  <c r="J60" i="30"/>
  <c r="J25" i="29"/>
  <c r="J27" i="29"/>
  <c r="J28" i="30"/>
  <c r="J46" i="30"/>
  <c r="J19" i="29"/>
  <c r="J62" i="30"/>
  <c r="J61" i="29"/>
  <c r="J64" i="29"/>
  <c r="J34" i="30"/>
  <c r="J34" i="29"/>
  <c r="J37" i="30"/>
  <c r="J56" i="29"/>
  <c r="J63" i="30"/>
  <c r="J29" i="29"/>
  <c r="J42" i="30"/>
  <c r="J21" i="29"/>
  <c r="J17" i="30"/>
  <c r="J58" i="29"/>
  <c r="J33" i="29"/>
  <c r="J20" i="30"/>
  <c r="J24" i="30"/>
  <c r="J21" i="30"/>
  <c r="J52" i="29"/>
  <c r="J39" i="29"/>
  <c r="J45" i="29"/>
  <c r="J35" i="29"/>
  <c r="J64" i="30"/>
  <c r="J51" i="29"/>
  <c r="J19" i="30"/>
  <c r="J47" i="29"/>
  <c r="J49" i="29"/>
  <c r="J22" i="30"/>
  <c r="J33" i="30"/>
  <c r="J28" i="29"/>
  <c r="H23" i="32" l="1" a="1"/>
  <c r="H23" i="32" s="1"/>
  <c r="E33" i="45" a="1"/>
  <c r="E33" i="45" s="1"/>
  <c r="C33" i="38" a="1"/>
  <c r="C33" i="38" s="1"/>
  <c r="E22" i="38" a="1"/>
  <c r="E22" i="38" s="1"/>
  <c r="H33" i="38" a="1"/>
  <c r="H33" i="38" s="1"/>
  <c r="D54" i="22" a="1"/>
  <c r="D54" i="22" s="1"/>
  <c r="G34" i="28" a="1"/>
  <c r="G34" i="28" s="1"/>
  <c r="C23" i="22" a="1"/>
  <c r="C23" i="22" s="1"/>
  <c r="H36" i="28" a="1"/>
  <c r="H36" i="28" s="1"/>
  <c r="E22" i="36" a="1"/>
  <c r="E22" i="36" s="1"/>
  <c r="D57" i="39" a="1"/>
  <c r="D57" i="39" s="1"/>
  <c r="H43" i="37" a="1"/>
  <c r="H43" i="37" s="1"/>
  <c r="C23" i="32" a="1"/>
  <c r="C23" i="32" s="1"/>
  <c r="E49" i="46" a="1"/>
  <c r="E49" i="46" s="1"/>
  <c r="H46" i="45" a="1"/>
  <c r="H46" i="45" s="1"/>
  <c r="E52" i="39" a="1"/>
  <c r="E52" i="39" s="1"/>
  <c r="G54" i="22" a="1"/>
  <c r="G54" i="22" s="1"/>
  <c r="G49" i="20" a="1"/>
  <c r="G49" i="20" s="1"/>
  <c r="F40" i="22" a="1"/>
  <c r="F40" i="22" s="1"/>
  <c r="D17" i="28" a="1"/>
  <c r="D17" i="28" s="1"/>
  <c r="C58" i="37" a="1"/>
  <c r="C58" i="37" s="1"/>
  <c r="F33" i="47" a="1"/>
  <c r="F33" i="47" s="1"/>
  <c r="D49" i="20" a="1"/>
  <c r="D49" i="20" s="1"/>
  <c r="G22" i="38" a="1"/>
  <c r="G22" i="38" s="1"/>
  <c r="D49" i="45" a="1"/>
  <c r="D49" i="45" s="1"/>
  <c r="G59" i="35" a="1"/>
  <c r="G59" i="35" s="1"/>
  <c r="C44" i="20" a="1"/>
  <c r="C44" i="20" s="1"/>
  <c r="H60" i="38" a="1"/>
  <c r="H60" i="38" s="1"/>
  <c r="F58" i="36" a="1"/>
  <c r="F58" i="36" s="1"/>
  <c r="G64" i="38" a="1"/>
  <c r="G64" i="38" s="1"/>
  <c r="G48" i="22" a="1"/>
  <c r="G48" i="22" s="1"/>
  <c r="E23" i="22" a="1"/>
  <c r="E23" i="22" s="1"/>
  <c r="D54" i="19" a="1"/>
  <c r="D54" i="19" s="1"/>
  <c r="D24" i="20" a="1"/>
  <c r="D24" i="20" s="1"/>
  <c r="E26" i="39" a="1"/>
  <c r="E26" i="39" s="1"/>
  <c r="G33" i="39" a="1"/>
  <c r="G33" i="39" s="1"/>
  <c r="E37" i="45" a="1"/>
  <c r="E37" i="45" s="1"/>
  <c r="E51" i="47" a="1"/>
  <c r="E51" i="47" s="1"/>
  <c r="C25" i="36" a="1"/>
  <c r="C25" i="36" s="1"/>
  <c r="H35" i="39" a="1"/>
  <c r="H35" i="39" s="1"/>
  <c r="C42" i="38" a="1"/>
  <c r="C42" i="38" s="1"/>
  <c r="F28" i="32" a="1"/>
  <c r="F28" i="32" s="1"/>
  <c r="C25" i="27" a="1"/>
  <c r="C25" i="27" s="1"/>
  <c r="D58" i="27" a="1"/>
  <c r="D58" i="27" s="1"/>
  <c r="E49" i="20" a="1"/>
  <c r="E49" i="20" s="1"/>
  <c r="H51" i="20" a="1"/>
  <c r="H51" i="20" s="1"/>
  <c r="H25" i="28" a="1"/>
  <c r="H25" i="28" s="1"/>
  <c r="G36" i="28" a="1"/>
  <c r="G36" i="28" s="1"/>
  <c r="C22" i="38" a="1"/>
  <c r="C22" i="38" s="1"/>
  <c r="C38" i="36" a="1"/>
  <c r="C38" i="36" s="1"/>
  <c r="H44" i="45" a="1"/>
  <c r="H44" i="45" s="1"/>
  <c r="C51" i="47" a="1"/>
  <c r="C51" i="47" s="1"/>
  <c r="F42" i="46" a="1"/>
  <c r="F42" i="46" s="1"/>
  <c r="E27" i="32" a="1"/>
  <c r="E27" i="32" s="1"/>
  <c r="E35" i="39" a="1"/>
  <c r="E35" i="39" s="1"/>
  <c r="E42" i="38" a="1"/>
  <c r="E42" i="38" s="1"/>
  <c r="H35" i="32" a="1"/>
  <c r="H35" i="32" s="1"/>
  <c r="C38" i="35" a="1"/>
  <c r="C38" i="35" s="1"/>
  <c r="H62" i="35" a="1"/>
  <c r="H62" i="35" s="1"/>
  <c r="H61" i="39" a="1"/>
  <c r="H61" i="39" s="1"/>
  <c r="E50" i="32" a="1"/>
  <c r="E50" i="32" s="1"/>
  <c r="E29" i="38" a="1"/>
  <c r="E29" i="38" s="1"/>
  <c r="D30" i="32" a="1"/>
  <c r="D30" i="32" s="1"/>
  <c r="D35" i="20" a="1"/>
  <c r="D35" i="20" s="1"/>
  <c r="D64" i="27" a="1"/>
  <c r="D64" i="27" s="1"/>
  <c r="H57" i="21" a="1"/>
  <c r="H57" i="21" s="1"/>
  <c r="D32" i="36" a="1"/>
  <c r="D32" i="36" s="1"/>
  <c r="C46" i="39" a="1"/>
  <c r="C46" i="39" s="1"/>
  <c r="G64" i="25" a="1"/>
  <c r="G64" i="25" s="1"/>
  <c r="F46" i="20" a="1"/>
  <c r="F46" i="20" s="1"/>
  <c r="G54" i="19" a="1"/>
  <c r="G54" i="19" s="1"/>
  <c r="D48" i="47" a="1"/>
  <c r="D48" i="47" s="1"/>
  <c r="F35" i="32" a="1"/>
  <c r="F35" i="32" s="1"/>
  <c r="E43" i="39" a="1"/>
  <c r="E43" i="39" s="1"/>
  <c r="G28" i="32" a="1"/>
  <c r="G28" i="32" s="1"/>
  <c r="C22" i="22" a="1"/>
  <c r="C22" i="22" s="1"/>
  <c r="C50" i="22" a="1"/>
  <c r="C50" i="22" s="1"/>
  <c r="E64" i="25" a="1"/>
  <c r="E64" i="25" s="1"/>
  <c r="G50" i="21" a="1"/>
  <c r="G50" i="21" s="1"/>
  <c r="F53" i="22" a="1"/>
  <c r="F53" i="22" s="1"/>
  <c r="D41" i="20" a="1"/>
  <c r="D41" i="20" s="1"/>
  <c r="F62" i="28" a="1"/>
  <c r="F62" i="28" s="1"/>
  <c r="F42" i="22" a="1"/>
  <c r="F42" i="22" s="1"/>
  <c r="D22" i="21" a="1"/>
  <c r="D22" i="21" s="1"/>
  <c r="C47" i="19" a="1"/>
  <c r="C47" i="19" s="1"/>
  <c r="H23" i="29" a="1"/>
  <c r="H23" i="29" s="1"/>
  <c r="F18" i="32" a="1"/>
  <c r="F18" i="32" s="1"/>
  <c r="C36" i="36" a="1"/>
  <c r="C36" i="36" s="1"/>
  <c r="F39" i="36" a="1"/>
  <c r="F39" i="36" s="1"/>
  <c r="C47" i="46" a="1"/>
  <c r="C47" i="46" s="1"/>
  <c r="E53" i="35" a="1"/>
  <c r="E53" i="35" s="1"/>
  <c r="C20" i="29" a="1"/>
  <c r="C20" i="29" s="1"/>
  <c r="F19" i="22" a="1"/>
  <c r="F19" i="22" s="1"/>
  <c r="E51" i="20" a="1"/>
  <c r="E51" i="20" s="1"/>
  <c r="D25" i="28" a="1"/>
  <c r="D25" i="28" s="1"/>
  <c r="F26" i="22" a="1"/>
  <c r="F26" i="22" s="1"/>
  <c r="E22" i="21" a="1"/>
  <c r="E22" i="21" s="1"/>
  <c r="E47" i="19" a="1"/>
  <c r="E47" i="19" s="1"/>
  <c r="H54" i="19" a="1"/>
  <c r="H54" i="19" s="1"/>
  <c r="E56" i="22" a="1"/>
  <c r="E56" i="22" s="1"/>
  <c r="E35" i="25" a="1"/>
  <c r="E35" i="25" s="1"/>
  <c r="D18" i="32" a="1"/>
  <c r="D18" i="32" s="1"/>
  <c r="D40" i="38" a="1"/>
  <c r="D40" i="38" s="1"/>
  <c r="G36" i="36" a="1"/>
  <c r="G36" i="36" s="1"/>
  <c r="H35" i="36" a="1"/>
  <c r="H35" i="36" s="1"/>
  <c r="E39" i="36" a="1"/>
  <c r="E39" i="36" s="1"/>
  <c r="G52" i="46" a="1"/>
  <c r="G52" i="46" s="1"/>
  <c r="F20" i="47" a="1"/>
  <c r="F20" i="47" s="1"/>
  <c r="H51" i="47" a="1"/>
  <c r="H51" i="47" s="1"/>
  <c r="G51" i="47" a="1"/>
  <c r="G51" i="47" s="1"/>
  <c r="H31" i="47" a="1"/>
  <c r="H31" i="47" s="1"/>
  <c r="G47" i="47" a="1"/>
  <c r="G47" i="47" s="1"/>
  <c r="C53" i="35" a="1"/>
  <c r="C53" i="35" s="1"/>
  <c r="F37" i="35" a="1"/>
  <c r="F37" i="35" s="1"/>
  <c r="D61" i="39" a="1"/>
  <c r="D61" i="39" s="1"/>
  <c r="F62" i="38" a="1"/>
  <c r="F62" i="38" s="1"/>
  <c r="E43" i="37" a="1"/>
  <c r="E43" i="37" s="1"/>
  <c r="C37" i="37" a="1"/>
  <c r="C37" i="37" s="1"/>
  <c r="H64" i="27" a="1"/>
  <c r="H64" i="27" s="1"/>
  <c r="G34" i="22" a="1"/>
  <c r="G34" i="22" s="1"/>
  <c r="D48" i="19" a="1"/>
  <c r="D48" i="19" s="1"/>
  <c r="G46" i="26" a="1"/>
  <c r="G46" i="26" s="1"/>
  <c r="G48" i="29" a="1"/>
  <c r="G48" i="29" s="1"/>
  <c r="F26" i="28" a="1"/>
  <c r="F26" i="28" s="1"/>
  <c r="D55" i="20" a="1"/>
  <c r="D55" i="20" s="1"/>
  <c r="E31" i="29" a="1"/>
  <c r="E31" i="29" s="1"/>
  <c r="F61" i="25" a="1"/>
  <c r="F61" i="25" s="1"/>
  <c r="H62" i="28" a="1"/>
  <c r="H62" i="28" s="1"/>
  <c r="E59" i="28" a="1"/>
  <c r="E59" i="28" s="1"/>
  <c r="H57" i="19" a="1"/>
  <c r="H57" i="19" s="1"/>
  <c r="G59" i="46" a="1"/>
  <c r="G59" i="46" s="1"/>
  <c r="E25" i="47" a="1"/>
  <c r="E25" i="47" s="1"/>
  <c r="G57" i="35" a="1"/>
  <c r="G57" i="35" s="1"/>
  <c r="C42" i="22" a="1"/>
  <c r="C42" i="22" s="1"/>
  <c r="F59" i="28" a="1"/>
  <c r="F59" i="28" s="1"/>
  <c r="H22" i="21" a="1"/>
  <c r="H22" i="21" s="1"/>
  <c r="C22" i="21" a="1"/>
  <c r="C22" i="21" s="1"/>
  <c r="H47" i="19" a="1"/>
  <c r="H47" i="19" s="1"/>
  <c r="E25" i="21" a="1"/>
  <c r="E25" i="21" s="1"/>
  <c r="H18" i="32" a="1"/>
  <c r="H18" i="32" s="1"/>
  <c r="H74" i="32" s="1" a="1"/>
  <c r="H74" i="32" s="1"/>
  <c r="G18" i="32" a="1"/>
  <c r="G18" i="32" s="1"/>
  <c r="E63" i="38" a="1"/>
  <c r="E63" i="38" s="1"/>
  <c r="D61" i="38" a="1"/>
  <c r="D61" i="38" s="1"/>
  <c r="D36" i="36" a="1"/>
  <c r="D36" i="36" s="1"/>
  <c r="F35" i="36" a="1"/>
  <c r="F35" i="36" s="1"/>
  <c r="F55" i="36" a="1"/>
  <c r="F55" i="36" s="1"/>
  <c r="D35" i="32" a="1"/>
  <c r="D35" i="32" s="1"/>
  <c r="F38" i="35" a="1"/>
  <c r="F38" i="35" s="1"/>
  <c r="F57" i="35" a="1"/>
  <c r="F57" i="35" s="1"/>
  <c r="H57" i="35" a="1"/>
  <c r="H57" i="35" s="1"/>
  <c r="H41" i="39" a="1"/>
  <c r="H41" i="39" s="1"/>
  <c r="E24" i="31" a="1"/>
  <c r="E24" i="31" s="1"/>
  <c r="H52" i="31" a="1"/>
  <c r="H52" i="31" s="1"/>
  <c r="C30" i="32" a="1"/>
  <c r="C30" i="32" s="1"/>
  <c r="H54" i="22" a="1"/>
  <c r="H54" i="22" s="1"/>
  <c r="H45" i="26" a="1"/>
  <c r="H45" i="26" s="1"/>
  <c r="H40" i="22" a="1"/>
  <c r="H40" i="22" s="1"/>
  <c r="D34" i="28" a="1"/>
  <c r="D34" i="28" s="1"/>
  <c r="G57" i="21" a="1"/>
  <c r="G57" i="21" s="1"/>
  <c r="H22" i="22" a="1"/>
  <c r="H22" i="22" s="1"/>
  <c r="C32" i="36" a="1"/>
  <c r="C32" i="36" s="1"/>
  <c r="E46" i="39" a="1"/>
  <c r="E46" i="39" s="1"/>
  <c r="E24" i="38" a="1"/>
  <c r="E24" i="38" s="1"/>
  <c r="E36" i="26" a="1"/>
  <c r="E36" i="26" s="1"/>
  <c r="D46" i="26" a="1"/>
  <c r="D46" i="26" s="1"/>
  <c r="E44" i="20" a="1"/>
  <c r="E44" i="20" s="1"/>
  <c r="C53" i="22" a="1"/>
  <c r="C53" i="22" s="1"/>
  <c r="E38" i="29" a="1"/>
  <c r="E38" i="29" s="1"/>
  <c r="C26" i="28" a="1"/>
  <c r="C26" i="28" s="1"/>
  <c r="C24" i="19" a="1"/>
  <c r="C24" i="19" s="1"/>
  <c r="G46" i="22" a="1"/>
  <c r="G46" i="22" s="1"/>
  <c r="C55" i="20" a="1"/>
  <c r="C55" i="20" s="1"/>
  <c r="G48" i="21" a="1"/>
  <c r="G48" i="21" s="1"/>
  <c r="C55" i="22" a="1"/>
  <c r="C55" i="22" s="1"/>
  <c r="G61" i="22" a="1"/>
  <c r="G61" i="22" s="1"/>
  <c r="G21" i="31" a="1"/>
  <c r="G21" i="31" s="1"/>
  <c r="C51" i="19" a="1"/>
  <c r="C51" i="19" s="1"/>
  <c r="G44" i="22" a="1"/>
  <c r="G44" i="22" s="1"/>
  <c r="G26" i="28" a="1"/>
  <c r="G26" i="28" s="1"/>
  <c r="G60" i="27" a="1"/>
  <c r="G60" i="27" s="1"/>
  <c r="D44" i="36" a="1"/>
  <c r="D44" i="36" s="1"/>
  <c r="E44" i="36" a="1"/>
  <c r="E44" i="36" s="1"/>
  <c r="F43" i="29" a="1"/>
  <c r="F43" i="29" s="1"/>
  <c r="H43" i="29" a="1"/>
  <c r="H43" i="29" s="1"/>
  <c r="F20" i="29" a="1"/>
  <c r="F20" i="29" s="1"/>
  <c r="D20" i="29" a="1"/>
  <c r="D20" i="29" s="1"/>
  <c r="D18" i="19" a="1"/>
  <c r="D18" i="19" s="1"/>
  <c r="D25" i="19" a="1"/>
  <c r="D25" i="19" s="1"/>
  <c r="C56" i="21" a="1"/>
  <c r="C56" i="21" s="1"/>
  <c r="G44" i="21" a="1"/>
  <c r="G44" i="21" s="1"/>
  <c r="C53" i="19" a="1"/>
  <c r="C53" i="19" s="1"/>
  <c r="F20" i="28" a="1"/>
  <c r="F20" i="28" s="1"/>
  <c r="F24" i="21" a="1"/>
  <c r="F24" i="21" s="1"/>
  <c r="C54" i="20" a="1"/>
  <c r="C54" i="20" s="1"/>
  <c r="D26" i="32" a="1"/>
  <c r="D26" i="32" s="1"/>
  <c r="D35" i="27" a="1"/>
  <c r="D35" i="27" s="1"/>
  <c r="E36" i="19" a="1"/>
  <c r="E36" i="19" s="1"/>
  <c r="F24" i="32" a="1"/>
  <c r="F24" i="32" s="1"/>
  <c r="G21" i="37" a="1"/>
  <c r="G21" i="37" s="1"/>
  <c r="E50" i="37" a="1"/>
  <c r="E50" i="37" s="1"/>
  <c r="D25" i="38" a="1"/>
  <c r="D25" i="38" s="1"/>
  <c r="E38" i="31" a="1"/>
  <c r="E38" i="31" s="1"/>
  <c r="C18" i="31" a="1"/>
  <c r="C18" i="31" s="1"/>
  <c r="H50" i="38" a="1"/>
  <c r="H50" i="38" s="1"/>
  <c r="E30" i="35" a="1"/>
  <c r="E30" i="35" s="1"/>
  <c r="D30" i="35" a="1"/>
  <c r="D30" i="35" s="1"/>
  <c r="G52" i="35" a="1"/>
  <c r="G52" i="35" s="1"/>
  <c r="E52" i="35" a="1"/>
  <c r="E52" i="35" s="1"/>
  <c r="H57" i="47" a="1"/>
  <c r="H57" i="47" s="1"/>
  <c r="E48" i="45" a="1"/>
  <c r="E48" i="45" s="1"/>
  <c r="C48" i="45" a="1"/>
  <c r="C48" i="45" s="1"/>
  <c r="G48" i="45" a="1"/>
  <c r="G48" i="45" s="1"/>
  <c r="H51" i="46" a="1"/>
  <c r="H51" i="46" s="1"/>
  <c r="C57" i="45" a="1"/>
  <c r="C57" i="45" s="1"/>
  <c r="D60" i="36" a="1"/>
  <c r="D60" i="36" s="1"/>
  <c r="F60" i="36" a="1"/>
  <c r="F60" i="36" s="1"/>
  <c r="E35" i="47" a="1"/>
  <c r="E35" i="47" s="1"/>
  <c r="D35" i="47" a="1"/>
  <c r="D35" i="47" s="1"/>
  <c r="D40" i="36" a="1"/>
  <c r="D40" i="36" s="1"/>
  <c r="E40" i="36" a="1"/>
  <c r="E40" i="36" s="1"/>
  <c r="C40" i="36" a="1"/>
  <c r="C40" i="36" s="1"/>
  <c r="F39" i="31" a="1"/>
  <c r="F39" i="31" s="1"/>
  <c r="G39" i="31" a="1"/>
  <c r="G39" i="31" s="1"/>
  <c r="H42" i="31" a="1"/>
  <c r="H42" i="31" s="1"/>
  <c r="G42" i="31" a="1"/>
  <c r="G42" i="31" s="1"/>
  <c r="H20" i="38" a="1"/>
  <c r="H20" i="38" s="1"/>
  <c r="G20" i="38" a="1"/>
  <c r="G20" i="38" s="1"/>
  <c r="G42" i="20" a="1"/>
  <c r="G42" i="20" s="1"/>
  <c r="D42" i="20" a="1"/>
  <c r="D42" i="20" s="1"/>
  <c r="H42" i="20" a="1"/>
  <c r="H42" i="20" s="1"/>
  <c r="C54" i="35" a="1"/>
  <c r="C54" i="35" s="1"/>
  <c r="E54" i="35" a="1"/>
  <c r="E54" i="35" s="1"/>
  <c r="C37" i="46" a="1"/>
  <c r="C37" i="46" s="1"/>
  <c r="F37" i="46" a="1"/>
  <c r="F37" i="46" s="1"/>
  <c r="G49" i="36" a="1"/>
  <c r="G49" i="36" s="1"/>
  <c r="C49" i="36" a="1"/>
  <c r="C49" i="36" s="1"/>
  <c r="E64" i="32" a="1"/>
  <c r="E64" i="32" s="1"/>
  <c r="G64" i="32" a="1"/>
  <c r="G64" i="32" s="1"/>
  <c r="C64" i="32" a="1"/>
  <c r="C64" i="32" s="1"/>
  <c r="C26" i="37" a="1"/>
  <c r="C26" i="37" s="1"/>
  <c r="F26" i="37" a="1"/>
  <c r="F26" i="37" s="1"/>
  <c r="E26" i="37" a="1"/>
  <c r="E26" i="37" s="1"/>
  <c r="H19" i="28" a="1"/>
  <c r="H19" i="28" s="1"/>
  <c r="E19" i="28" a="1"/>
  <c r="E19" i="28" s="1"/>
  <c r="C49" i="19" a="1"/>
  <c r="C49" i="19" s="1"/>
  <c r="E49" i="19" a="1"/>
  <c r="E49" i="19" s="1"/>
  <c r="E42" i="22" a="1"/>
  <c r="E42" i="22" s="1"/>
  <c r="G25" i="19" a="1"/>
  <c r="G25" i="19" s="1"/>
  <c r="C61" i="27" a="1"/>
  <c r="C61" i="27" s="1"/>
  <c r="H59" i="28" a="1"/>
  <c r="H59" i="28" s="1"/>
  <c r="D44" i="21" a="1"/>
  <c r="D44" i="21" s="1"/>
  <c r="G53" i="19" a="1"/>
  <c r="G53" i="19" s="1"/>
  <c r="C25" i="28" a="1"/>
  <c r="C25" i="28" s="1"/>
  <c r="C20" i="28" a="1"/>
  <c r="C20" i="28" s="1"/>
  <c r="D24" i="21" a="1"/>
  <c r="D24" i="21" s="1"/>
  <c r="G26" i="32" a="1"/>
  <c r="G26" i="32" s="1"/>
  <c r="G36" i="25" a="1"/>
  <c r="G36" i="25" s="1"/>
  <c r="G26" i="20" a="1"/>
  <c r="G26" i="20" s="1"/>
  <c r="F25" i="21" a="1"/>
  <c r="F25" i="21" s="1"/>
  <c r="D39" i="32" a="1"/>
  <c r="D39" i="32" s="1"/>
  <c r="D60" i="38" a="1"/>
  <c r="D60" i="38" s="1"/>
  <c r="D21" i="37" a="1"/>
  <c r="D21" i="37" s="1"/>
  <c r="H42" i="37" a="1"/>
  <c r="H42" i="37" s="1"/>
  <c r="F32" i="37" a="1"/>
  <c r="F32" i="37" s="1"/>
  <c r="F63" i="38" a="1"/>
  <c r="F63" i="38" s="1"/>
  <c r="H61" i="38" a="1"/>
  <c r="H61" i="38" s="1"/>
  <c r="G63" i="35" a="1"/>
  <c r="G63" i="35" s="1"/>
  <c r="D63" i="32" a="1"/>
  <c r="D63" i="32" s="1"/>
  <c r="E58" i="39" a="1"/>
  <c r="E58" i="39" s="1"/>
  <c r="D58" i="39" a="1"/>
  <c r="D58" i="39" s="1"/>
  <c r="G58" i="39" a="1"/>
  <c r="G58" i="39" s="1"/>
  <c r="F26" i="39" a="1"/>
  <c r="F26" i="39" s="1"/>
  <c r="H26" i="39" a="1"/>
  <c r="H26" i="39" s="1"/>
  <c r="C48" i="36" a="1"/>
  <c r="C48" i="36" s="1"/>
  <c r="F64" i="45" a="1"/>
  <c r="F64" i="45" s="1"/>
  <c r="H64" i="45" a="1"/>
  <c r="H64" i="45" s="1"/>
  <c r="E37" i="46" a="1"/>
  <c r="E37" i="46" s="1"/>
  <c r="F51" i="31" a="1"/>
  <c r="F51" i="31" s="1"/>
  <c r="H30" i="35" a="1"/>
  <c r="H30" i="35" s="1"/>
  <c r="C60" i="31" a="1"/>
  <c r="C60" i="31" s="1"/>
  <c r="E60" i="31" a="1"/>
  <c r="E60" i="31" s="1"/>
  <c r="H62" i="45" a="1"/>
  <c r="H62" i="45" s="1"/>
  <c r="E62" i="45" a="1"/>
  <c r="E62" i="45" s="1"/>
  <c r="D57" i="47" a="1"/>
  <c r="D57" i="47" s="1"/>
  <c r="E23" i="46" a="1"/>
  <c r="E23" i="46" s="1"/>
  <c r="G23" i="46" a="1"/>
  <c r="G23" i="46" s="1"/>
  <c r="H23" i="46" a="1"/>
  <c r="H23" i="46" s="1"/>
  <c r="D41" i="46" a="1"/>
  <c r="D41" i="46" s="1"/>
  <c r="F41" i="46" a="1"/>
  <c r="F41" i="46" s="1"/>
  <c r="C41" i="46" a="1"/>
  <c r="C41" i="46" s="1"/>
  <c r="G41" i="46" a="1"/>
  <c r="G41" i="46" s="1"/>
  <c r="H44" i="37" a="1"/>
  <c r="H44" i="37" s="1"/>
  <c r="D44" i="37" a="1"/>
  <c r="D44" i="37" s="1"/>
  <c r="G44" i="37" a="1"/>
  <c r="G44" i="37" s="1"/>
  <c r="H62" i="31" a="1"/>
  <c r="H62" i="31" s="1"/>
  <c r="E62" i="31" a="1"/>
  <c r="E62" i="31" s="1"/>
  <c r="C20" i="35" a="1"/>
  <c r="C20" i="35" s="1"/>
  <c r="E20" i="35" a="1"/>
  <c r="E20" i="35" s="1"/>
  <c r="H20" i="35" a="1"/>
  <c r="H20" i="35" s="1"/>
  <c r="F20" i="35" a="1"/>
  <c r="F20" i="35" s="1"/>
  <c r="D20" i="35" a="1"/>
  <c r="D20" i="35" s="1"/>
  <c r="D22" i="31" a="1"/>
  <c r="D22" i="31" s="1"/>
  <c r="E22" i="31" a="1"/>
  <c r="E22" i="31" s="1"/>
  <c r="H26" i="38" a="1"/>
  <c r="H26" i="38" s="1"/>
  <c r="F26" i="38" a="1"/>
  <c r="F26" i="38" s="1"/>
  <c r="H55" i="31" a="1"/>
  <c r="H55" i="31" s="1"/>
  <c r="F55" i="31" a="1"/>
  <c r="F55" i="31" s="1"/>
  <c r="E55" i="31" a="1"/>
  <c r="E55" i="31" s="1"/>
  <c r="D55" i="31" a="1"/>
  <c r="D55" i="31" s="1"/>
  <c r="E31" i="35" a="1"/>
  <c r="E31" i="35" s="1"/>
  <c r="C31" i="35" a="1"/>
  <c r="C31" i="35" s="1"/>
  <c r="H21" i="20" a="1"/>
  <c r="H21" i="20" s="1"/>
  <c r="E21" i="20" a="1"/>
  <c r="E21" i="20" s="1"/>
  <c r="F61" i="46" a="1"/>
  <c r="F61" i="46" s="1"/>
  <c r="E61" i="46" a="1"/>
  <c r="E61" i="46" s="1"/>
  <c r="G31" i="38" a="1"/>
  <c r="G31" i="38" s="1"/>
  <c r="F31" i="38" a="1"/>
  <c r="F31" i="38" s="1"/>
  <c r="G45" i="19" a="1"/>
  <c r="G45" i="19" s="1"/>
  <c r="E45" i="19" a="1"/>
  <c r="E45" i="19" s="1"/>
  <c r="H45" i="19" a="1"/>
  <c r="H45" i="19" s="1"/>
  <c r="H20" i="29" a="1"/>
  <c r="H20" i="29" s="1"/>
  <c r="D48" i="22" a="1"/>
  <c r="D48" i="22" s="1"/>
  <c r="C18" i="19" a="1"/>
  <c r="C18" i="19" s="1"/>
  <c r="G42" i="22" a="1"/>
  <c r="G42" i="22" s="1"/>
  <c r="F60" i="26" a="1"/>
  <c r="F60" i="26" s="1"/>
  <c r="C49" i="20" a="1"/>
  <c r="C49" i="20" s="1"/>
  <c r="D61" i="27" a="1"/>
  <c r="D61" i="27" s="1"/>
  <c r="G56" i="21" a="1"/>
  <c r="G56" i="21" s="1"/>
  <c r="D51" i="20" a="1"/>
  <c r="D51" i="20" s="1"/>
  <c r="C59" i="28" a="1"/>
  <c r="C59" i="28" s="1"/>
  <c r="H23" i="22" a="1"/>
  <c r="H23" i="22" s="1"/>
  <c r="G25" i="28" a="1"/>
  <c r="G25" i="28" s="1"/>
  <c r="F54" i="19" a="1"/>
  <c r="F54" i="19" s="1"/>
  <c r="H17" i="28" a="1"/>
  <c r="H17" i="28" s="1"/>
  <c r="H18" i="20" a="1"/>
  <c r="H18" i="20" s="1"/>
  <c r="D33" i="32" a="1"/>
  <c r="D33" i="32" s="1"/>
  <c r="D35" i="25" a="1"/>
  <c r="D35" i="25" s="1"/>
  <c r="H26" i="32" a="1"/>
  <c r="H26" i="32" s="1"/>
  <c r="F36" i="25" a="1"/>
  <c r="F36" i="25" s="1"/>
  <c r="C25" i="21" a="1"/>
  <c r="C25" i="21" s="1"/>
  <c r="G61" i="20" a="1"/>
  <c r="G61" i="20" s="1"/>
  <c r="H36" i="19" a="1"/>
  <c r="H36" i="19" s="1"/>
  <c r="F36" i="19" a="1"/>
  <c r="F36" i="19" s="1"/>
  <c r="H21" i="37" a="1"/>
  <c r="H21" i="37" s="1"/>
  <c r="G58" i="37" a="1"/>
  <c r="G58" i="37" s="1"/>
  <c r="D32" i="37" a="1"/>
  <c r="D32" i="37" s="1"/>
  <c r="H38" i="31" a="1"/>
  <c r="H38" i="31" s="1"/>
  <c r="F38" i="31" a="1"/>
  <c r="F38" i="31" s="1"/>
  <c r="F18" i="31" a="1"/>
  <c r="F18" i="31" s="1"/>
  <c r="H58" i="39" a="1"/>
  <c r="H58" i="39" s="1"/>
  <c r="C33" i="39" a="1"/>
  <c r="C33" i="39" s="1"/>
  <c r="H33" i="39" a="1"/>
  <c r="H33" i="39" s="1"/>
  <c r="D33" i="39" a="1"/>
  <c r="D33" i="39" s="1"/>
  <c r="H54" i="35" a="1"/>
  <c r="H54" i="35" s="1"/>
  <c r="C58" i="31" a="1"/>
  <c r="C58" i="31" s="1"/>
  <c r="C34" i="38" a="1"/>
  <c r="C34" i="38" s="1"/>
  <c r="G34" i="38" a="1"/>
  <c r="G34" i="38" s="1"/>
  <c r="G64" i="45" a="1"/>
  <c r="G64" i="45" s="1"/>
  <c r="G37" i="46" a="1"/>
  <c r="G37" i="46" s="1"/>
  <c r="G61" i="46" a="1"/>
  <c r="G61" i="46" s="1"/>
  <c r="F64" i="36" a="1"/>
  <c r="F64" i="36" s="1"/>
  <c r="G51" i="31" a="1"/>
  <c r="G51" i="31" s="1"/>
  <c r="F37" i="45" a="1"/>
  <c r="F37" i="45" s="1"/>
  <c r="G37" i="45" a="1"/>
  <c r="G37" i="45" s="1"/>
  <c r="F60" i="31" a="1"/>
  <c r="F60" i="31" s="1"/>
  <c r="G62" i="45" a="1"/>
  <c r="G62" i="45" s="1"/>
  <c r="D23" i="46" a="1"/>
  <c r="D23" i="46" s="1"/>
  <c r="D20" i="46" a="1"/>
  <c r="D20" i="46" s="1"/>
  <c r="E20" i="46" a="1"/>
  <c r="E20" i="46" s="1"/>
  <c r="C20" i="46" a="1"/>
  <c r="C20" i="46" s="1"/>
  <c r="F20" i="46" a="1"/>
  <c r="F20" i="46" s="1"/>
  <c r="D49" i="36" a="1"/>
  <c r="D49" i="36" s="1"/>
  <c r="F28" i="46" a="1"/>
  <c r="F28" i="46" s="1"/>
  <c r="C28" i="46" a="1"/>
  <c r="C28" i="46" s="1"/>
  <c r="E54" i="36" a="1"/>
  <c r="E54" i="36" s="1"/>
  <c r="G54" i="36" a="1"/>
  <c r="G54" i="36" s="1"/>
  <c r="D29" i="39" a="1"/>
  <c r="D29" i="39" s="1"/>
  <c r="C29" i="39" a="1"/>
  <c r="C29" i="39" s="1"/>
  <c r="G48" i="31" a="1"/>
  <c r="G48" i="31" s="1"/>
  <c r="H48" i="31" a="1"/>
  <c r="H48" i="31" s="1"/>
  <c r="C48" i="31" a="1"/>
  <c r="C48" i="31" s="1"/>
  <c r="E45" i="38" a="1"/>
  <c r="E45" i="38" s="1"/>
  <c r="F45" i="38" a="1"/>
  <c r="F45" i="38" s="1"/>
  <c r="H45" i="38" a="1"/>
  <c r="H45" i="38" s="1"/>
  <c r="C54" i="32" a="1"/>
  <c r="C54" i="32" s="1"/>
  <c r="H54" i="32" a="1"/>
  <c r="H54" i="32" s="1"/>
  <c r="E34" i="31" a="1"/>
  <c r="E34" i="31" s="1"/>
  <c r="F34" i="31" a="1"/>
  <c r="F34" i="31" s="1"/>
  <c r="G25" i="37" a="1"/>
  <c r="G25" i="37" s="1"/>
  <c r="E25" i="37" a="1"/>
  <c r="E25" i="37" s="1"/>
  <c r="D25" i="37" a="1"/>
  <c r="D25" i="37" s="1"/>
  <c r="E48" i="20" a="1"/>
  <c r="E48" i="20" s="1"/>
  <c r="C48" i="20" a="1"/>
  <c r="C48" i="20" s="1"/>
  <c r="D48" i="20" a="1"/>
  <c r="D48" i="20" s="1"/>
  <c r="H45" i="22" a="1"/>
  <c r="H45" i="22" s="1"/>
  <c r="G45" i="22" a="1"/>
  <c r="G45" i="22" s="1"/>
  <c r="E59" i="27" a="1"/>
  <c r="E59" i="27" s="1"/>
  <c r="F59" i="27" a="1"/>
  <c r="F59" i="27" s="1"/>
  <c r="C59" i="27" a="1"/>
  <c r="C59" i="27" s="1"/>
  <c r="D59" i="27" a="1"/>
  <c r="D59" i="27" s="1"/>
  <c r="H46" i="39" a="1"/>
  <c r="H46" i="39" s="1"/>
  <c r="H61" i="25" a="1"/>
  <c r="H61" i="25" s="1"/>
  <c r="D48" i="21" a="1"/>
  <c r="D48" i="21" s="1"/>
  <c r="C39" i="36" a="1"/>
  <c r="C39" i="36" s="1"/>
  <c r="H39" i="36" a="1"/>
  <c r="H39" i="36" s="1"/>
  <c r="E48" i="47" a="1"/>
  <c r="E48" i="47" s="1"/>
  <c r="C17" i="46" a="1"/>
  <c r="C17" i="46" s="1"/>
  <c r="C59" i="47" a="1"/>
  <c r="C59" i="47" s="1"/>
  <c r="F46" i="45" a="1"/>
  <c r="F46" i="45" s="1"/>
  <c r="H58" i="36" a="1"/>
  <c r="H58" i="36" s="1"/>
  <c r="E24" i="39" a="1"/>
  <c r="E24" i="39" s="1"/>
  <c r="F25" i="36" a="1"/>
  <c r="F25" i="36" s="1"/>
  <c r="G33" i="45" a="1"/>
  <c r="G33" i="45" s="1"/>
  <c r="F36" i="45" a="1"/>
  <c r="F36" i="45" s="1"/>
  <c r="E55" i="36" a="1"/>
  <c r="E55" i="36" s="1"/>
  <c r="E59" i="31" a="1"/>
  <c r="E59" i="31" s="1"/>
  <c r="D53" i="35" a="1"/>
  <c r="D53" i="35" s="1"/>
  <c r="G35" i="39" a="1"/>
  <c r="G35" i="39" s="1"/>
  <c r="E35" i="32" a="1"/>
  <c r="E35" i="32" s="1"/>
  <c r="G52" i="38" a="1"/>
  <c r="G52" i="38" s="1"/>
  <c r="G28" i="35" a="1"/>
  <c r="G28" i="35" s="1"/>
  <c r="C62" i="35" a="1"/>
  <c r="C62" i="35" s="1"/>
  <c r="F27" i="39" a="1"/>
  <c r="F27" i="39" s="1"/>
  <c r="H41" i="32" a="1"/>
  <c r="H41" i="32" s="1"/>
  <c r="E49" i="38" a="1"/>
  <c r="E49" i="38" s="1"/>
  <c r="C63" i="25" a="1"/>
  <c r="C63" i="25" s="1"/>
  <c r="E52" i="31" a="1"/>
  <c r="E52" i="31" s="1"/>
  <c r="E48" i="38" a="1"/>
  <c r="E48" i="38" s="1"/>
  <c r="E21" i="32" a="1"/>
  <c r="E21" i="32" s="1"/>
  <c r="E61" i="22" a="1"/>
  <c r="E61" i="22" s="1"/>
  <c r="E28" i="32" a="1"/>
  <c r="E28" i="32" s="1"/>
  <c r="F57" i="21" a="1"/>
  <c r="F57" i="21" s="1"/>
  <c r="E34" i="22" a="1"/>
  <c r="E34" i="22" s="1"/>
  <c r="F34" i="22" a="1"/>
  <c r="F34" i="22" s="1"/>
  <c r="H48" i="19" a="1"/>
  <c r="H48" i="19" s="1"/>
  <c r="F24" i="22" a="1"/>
  <c r="F24" i="22" s="1"/>
  <c r="F46" i="39" a="1"/>
  <c r="F46" i="39" s="1"/>
  <c r="F50" i="22" a="1"/>
  <c r="F50" i="22" s="1"/>
  <c r="C21" i="31" a="1"/>
  <c r="C21" i="31" s="1"/>
  <c r="E23" i="27" a="1"/>
  <c r="E23" i="27" s="1"/>
  <c r="F25" i="27" a="1"/>
  <c r="F25" i="27" s="1"/>
  <c r="F48" i="29" a="1"/>
  <c r="F48" i="29" s="1"/>
  <c r="C48" i="29" a="1"/>
  <c r="C48" i="29" s="1"/>
  <c r="F55" i="20" a="1"/>
  <c r="F55" i="20" s="1"/>
  <c r="F26" i="19" a="1"/>
  <c r="F26" i="19" s="1"/>
  <c r="F48" i="21" a="1"/>
  <c r="F48" i="21" s="1"/>
  <c r="E48" i="21" a="1"/>
  <c r="E48" i="21" s="1"/>
  <c r="E55" i="22" a="1"/>
  <c r="E55" i="22" s="1"/>
  <c r="F25" i="20" a="1"/>
  <c r="F25" i="20" s="1"/>
  <c r="F43" i="21" a="1"/>
  <c r="F43" i="21" s="1"/>
  <c r="D46" i="45" a="1"/>
  <c r="D46" i="45" s="1"/>
  <c r="D58" i="36" a="1"/>
  <c r="D58" i="36" s="1"/>
  <c r="G25" i="36" a="1"/>
  <c r="G25" i="36" s="1"/>
  <c r="C55" i="36" a="1"/>
  <c r="C55" i="36" s="1"/>
  <c r="F55" i="39" a="1"/>
  <c r="F55" i="39" s="1"/>
  <c r="D49" i="38" a="1"/>
  <c r="D49" i="38" s="1"/>
  <c r="H63" i="25" a="1"/>
  <c r="H63" i="25" s="1"/>
  <c r="F61" i="22" a="1"/>
  <c r="F61" i="22" s="1"/>
  <c r="E48" i="19" a="1"/>
  <c r="E48" i="19" s="1"/>
  <c r="D24" i="22" a="1"/>
  <c r="D24" i="22" s="1"/>
  <c r="H50" i="22" a="1"/>
  <c r="H50" i="22" s="1"/>
  <c r="F21" i="31" a="1"/>
  <c r="F21" i="31" s="1"/>
  <c r="G25" i="27" a="1"/>
  <c r="G25" i="27" s="1"/>
  <c r="E55" i="20" a="1"/>
  <c r="E55" i="20" s="1"/>
  <c r="E62" i="28" a="1"/>
  <c r="E62" i="28" s="1"/>
  <c r="E43" i="21" a="1"/>
  <c r="E43" i="21" s="1"/>
  <c r="C41" i="21" a="1"/>
  <c r="C41" i="21" s="1"/>
  <c r="H18" i="19" a="1"/>
  <c r="H18" i="19" s="1"/>
  <c r="E18" i="19" a="1"/>
  <c r="E18" i="19" s="1"/>
  <c r="G20" i="27" a="1"/>
  <c r="G20" i="27" s="1"/>
  <c r="C58" i="28" a="1"/>
  <c r="C58" i="28" s="1"/>
  <c r="G58" i="28" a="1"/>
  <c r="G58" i="28" s="1"/>
  <c r="E60" i="26" a="1"/>
  <c r="E60" i="26" s="1"/>
  <c r="F40" i="21" a="1"/>
  <c r="F40" i="21" s="1"/>
  <c r="G19" i="21" a="1"/>
  <c r="G19" i="21" s="1"/>
  <c r="F61" i="26" a="1"/>
  <c r="F61" i="26" s="1"/>
  <c r="C57" i="19" a="1"/>
  <c r="C57" i="19" s="1"/>
  <c r="D49" i="22" a="1"/>
  <c r="D49" i="22" s="1"/>
  <c r="C49" i="22" a="1"/>
  <c r="C49" i="22" s="1"/>
  <c r="C31" i="31" a="1"/>
  <c r="C31" i="31" s="1"/>
  <c r="G52" i="22" a="1"/>
  <c r="G52" i="22" s="1"/>
  <c r="G26" i="22" a="1"/>
  <c r="G26" i="22" s="1"/>
  <c r="D63" i="27" a="1"/>
  <c r="D63" i="27" s="1"/>
  <c r="C63" i="27" a="1"/>
  <c r="C63" i="27" s="1"/>
  <c r="F20" i="22" a="1"/>
  <c r="F20" i="22" s="1"/>
  <c r="D45" i="27" a="1"/>
  <c r="D45" i="27" s="1"/>
  <c r="H31" i="32" a="1"/>
  <c r="H31" i="32" s="1"/>
  <c r="H20" i="37" a="1"/>
  <c r="H20" i="37" s="1"/>
  <c r="H30" i="39" a="1"/>
  <c r="H30" i="39" s="1"/>
  <c r="G63" i="39" a="1"/>
  <c r="G63" i="39" s="1"/>
  <c r="E39" i="35" a="1"/>
  <c r="E39" i="35" s="1"/>
  <c r="E55" i="37" a="1"/>
  <c r="E55" i="37" s="1"/>
  <c r="F45" i="32" a="1"/>
  <c r="F45" i="32" s="1"/>
  <c r="E23" i="28" a="1"/>
  <c r="E23" i="28" s="1"/>
  <c r="E22" i="19" a="1"/>
  <c r="E22" i="19" s="1"/>
  <c r="H42" i="21" a="1"/>
  <c r="H42" i="21" s="1"/>
  <c r="D41" i="21" a="1"/>
  <c r="D41" i="21" s="1"/>
  <c r="C48" i="22" a="1"/>
  <c r="C48" i="22" s="1"/>
  <c r="F20" i="27" a="1"/>
  <c r="F20" i="27" s="1"/>
  <c r="C25" i="19" a="1"/>
  <c r="C25" i="19" s="1"/>
  <c r="D60" i="26" a="1"/>
  <c r="D60" i="26" s="1"/>
  <c r="G61" i="27" a="1"/>
  <c r="G61" i="27" s="1"/>
  <c r="G21" i="19" a="1"/>
  <c r="G21" i="19" s="1"/>
  <c r="E19" i="21" a="1"/>
  <c r="E19" i="21" s="1"/>
  <c r="H52" i="19" a="1"/>
  <c r="H52" i="19" s="1"/>
  <c r="C61" i="26" a="1"/>
  <c r="C61" i="26" s="1"/>
  <c r="G51" i="20" a="1"/>
  <c r="G51" i="20" s="1"/>
  <c r="G57" i="19" a="1"/>
  <c r="G57" i="19" s="1"/>
  <c r="F57" i="19" a="1"/>
  <c r="F57" i="19" s="1"/>
  <c r="D31" i="31" a="1"/>
  <c r="D31" i="31" s="1"/>
  <c r="E52" i="22" a="1"/>
  <c r="E52" i="22" s="1"/>
  <c r="G23" i="22" a="1"/>
  <c r="G23" i="22" s="1"/>
  <c r="E26" i="22" a="1"/>
  <c r="E26" i="22" s="1"/>
  <c r="C26" i="22" a="1"/>
  <c r="C26" i="22" s="1"/>
  <c r="C20" i="22" a="1"/>
  <c r="C20" i="22" s="1"/>
  <c r="E45" i="27" a="1"/>
  <c r="E45" i="27" s="1"/>
  <c r="E31" i="32" a="1"/>
  <c r="E31" i="32" s="1"/>
  <c r="G20" i="37" a="1"/>
  <c r="G20" i="37" s="1"/>
  <c r="G27" i="31" a="1"/>
  <c r="G27" i="31" s="1"/>
  <c r="G30" i="39" a="1"/>
  <c r="G30" i="39" s="1"/>
  <c r="E63" i="39" a="1"/>
  <c r="E63" i="39" s="1"/>
  <c r="D44" i="39" a="1"/>
  <c r="D44" i="39" s="1"/>
  <c r="D39" i="35" a="1"/>
  <c r="D39" i="35" s="1"/>
  <c r="G55" i="37" a="1"/>
  <c r="G55" i="37" s="1"/>
  <c r="F59" i="39" a="1"/>
  <c r="F59" i="39" s="1"/>
  <c r="D45" i="32" a="1"/>
  <c r="D45" i="32" s="1"/>
  <c r="G23" i="28" a="1"/>
  <c r="G23" i="28" s="1"/>
  <c r="G46" i="19" a="1"/>
  <c r="G46" i="19" s="1"/>
  <c r="G22" i="19" a="1"/>
  <c r="G22" i="19" s="1"/>
  <c r="D42" i="21" a="1"/>
  <c r="D42" i="21" s="1"/>
  <c r="H26" i="29" a="1"/>
  <c r="H26" i="29" s="1"/>
  <c r="H54" i="20" a="1"/>
  <c r="H54" i="20" s="1"/>
  <c r="H33" i="32" a="1"/>
  <c r="H33" i="32" s="1"/>
  <c r="G61" i="21" a="1"/>
  <c r="G61" i="21" s="1"/>
  <c r="C22" i="32" a="1"/>
  <c r="C22" i="32" s="1"/>
  <c r="C23" i="29" a="1"/>
  <c r="C23" i="29" s="1"/>
  <c r="F26" i="20" a="1"/>
  <c r="F26" i="20" s="1"/>
  <c r="C36" i="37" a="1"/>
  <c r="C36" i="37" s="1"/>
  <c r="F36" i="37" a="1"/>
  <c r="F36" i="37" s="1"/>
  <c r="H49" i="37" a="1"/>
  <c r="H49" i="37" s="1"/>
  <c r="D49" i="37" a="1"/>
  <c r="D49" i="37" s="1"/>
  <c r="C42" i="37" a="1"/>
  <c r="C42" i="37" s="1"/>
  <c r="D39" i="37" a="1"/>
  <c r="D39" i="37" s="1"/>
  <c r="G39" i="37" a="1"/>
  <c r="G39" i="37" s="1"/>
  <c r="D45" i="37" a="1"/>
  <c r="D45" i="37" s="1"/>
  <c r="H45" i="37" a="1"/>
  <c r="H45" i="37" s="1"/>
  <c r="F17" i="38" a="1"/>
  <c r="F17" i="38" s="1"/>
  <c r="G17" i="38" a="1"/>
  <c r="G17" i="38" s="1"/>
  <c r="C40" i="38" a="1"/>
  <c r="C40" i="38" s="1"/>
  <c r="G32" i="38" a="1"/>
  <c r="G32" i="38" s="1"/>
  <c r="G37" i="31" a="1"/>
  <c r="G37" i="31" s="1"/>
  <c r="F37" i="31" a="1"/>
  <c r="F37" i="31" s="1"/>
  <c r="H25" i="38" a="1"/>
  <c r="H25" i="38" s="1"/>
  <c r="G30" i="38" a="1"/>
  <c r="G30" i="38" s="1"/>
  <c r="C34" i="37" a="1"/>
  <c r="C34" i="37" s="1"/>
  <c r="D34" i="37" a="1"/>
  <c r="D34" i="37" s="1"/>
  <c r="F19" i="38" a="1"/>
  <c r="F19" i="38" s="1"/>
  <c r="E19" i="38" a="1"/>
  <c r="E19" i="38" s="1"/>
  <c r="H63" i="38" a="1"/>
  <c r="H63" i="38" s="1"/>
  <c r="C40" i="31" a="1"/>
  <c r="C40" i="31" s="1"/>
  <c r="H40" i="31" a="1"/>
  <c r="H40" i="31" s="1"/>
  <c r="G40" i="31" a="1"/>
  <c r="G40" i="31" s="1"/>
  <c r="G61" i="38" a="1"/>
  <c r="G61" i="38" s="1"/>
  <c r="D55" i="38" a="1"/>
  <c r="D55" i="38" s="1"/>
  <c r="C55" i="38" a="1"/>
  <c r="C55" i="38" s="1"/>
  <c r="H55" i="38" a="1"/>
  <c r="H55" i="38" s="1"/>
  <c r="F50" i="38" a="1"/>
  <c r="F50" i="38" s="1"/>
  <c r="E50" i="38" a="1"/>
  <c r="E50" i="38" s="1"/>
  <c r="G50" i="38" a="1"/>
  <c r="G50" i="38" s="1"/>
  <c r="C63" i="32" a="1"/>
  <c r="C63" i="32" s="1"/>
  <c r="G53" i="38" a="1"/>
  <c r="G53" i="38" s="1"/>
  <c r="G31" i="39" a="1"/>
  <c r="G31" i="39" s="1"/>
  <c r="F31" i="39" a="1"/>
  <c r="F31" i="39" s="1"/>
  <c r="G61" i="31" a="1"/>
  <c r="G61" i="31" s="1"/>
  <c r="H61" i="31" a="1"/>
  <c r="H61" i="31" s="1"/>
  <c r="E61" i="31" a="1"/>
  <c r="E61" i="31" s="1"/>
  <c r="F61" i="31" a="1"/>
  <c r="F61" i="31" s="1"/>
  <c r="D61" i="31" a="1"/>
  <c r="D61" i="31" s="1"/>
  <c r="F21" i="39" a="1"/>
  <c r="F21" i="39" s="1"/>
  <c r="D21" i="39" a="1"/>
  <c r="D21" i="39" s="1"/>
  <c r="G21" i="39" a="1"/>
  <c r="G21" i="39" s="1"/>
  <c r="E21" i="39" a="1"/>
  <c r="E21" i="39" s="1"/>
  <c r="H21" i="39" a="1"/>
  <c r="H21" i="39" s="1"/>
  <c r="F60" i="45" a="1"/>
  <c r="F60" i="45" s="1"/>
  <c r="H60" i="45" a="1"/>
  <c r="H60" i="45" s="1"/>
  <c r="E60" i="45" a="1"/>
  <c r="E60" i="45" s="1"/>
  <c r="C60" i="45" a="1"/>
  <c r="C60" i="45" s="1"/>
  <c r="D60" i="45" a="1"/>
  <c r="D60" i="45" s="1"/>
  <c r="H58" i="28" a="1"/>
  <c r="H58" i="28" s="1"/>
  <c r="E58" i="28" a="1"/>
  <c r="E58" i="28" s="1"/>
  <c r="G40" i="21" a="1"/>
  <c r="G40" i="21" s="1"/>
  <c r="H19" i="21" a="1"/>
  <c r="H19" i="21" s="1"/>
  <c r="F19" i="21" a="1"/>
  <c r="F19" i="21" s="1"/>
  <c r="H49" i="22" a="1"/>
  <c r="H49" i="22" s="1"/>
  <c r="G49" i="22" a="1"/>
  <c r="G49" i="22" s="1"/>
  <c r="H63" i="27" a="1"/>
  <c r="H63" i="27" s="1"/>
  <c r="G63" i="27" a="1"/>
  <c r="G63" i="27" s="1"/>
  <c r="G31" i="32" a="1"/>
  <c r="G31" i="32" s="1"/>
  <c r="F31" i="32" a="1"/>
  <c r="F31" i="32" s="1"/>
  <c r="F20" i="37" a="1"/>
  <c r="F20" i="37" s="1"/>
  <c r="F30" i="39" a="1"/>
  <c r="F30" i="39" s="1"/>
  <c r="E30" i="39" a="1"/>
  <c r="E30" i="39" s="1"/>
  <c r="C63" i="39" a="1"/>
  <c r="C63" i="39" s="1"/>
  <c r="C39" i="35" a="1"/>
  <c r="C39" i="35" s="1"/>
  <c r="F39" i="35" a="1"/>
  <c r="F39" i="35" s="1"/>
  <c r="F55" i="37" a="1"/>
  <c r="F55" i="37" s="1"/>
  <c r="H45" i="32" a="1"/>
  <c r="H45" i="32" s="1"/>
  <c r="G45" i="32" a="1"/>
  <c r="G45" i="32" s="1"/>
  <c r="D23" i="28" a="1"/>
  <c r="D23" i="28" s="1"/>
  <c r="H22" i="19" a="1"/>
  <c r="H22" i="19" s="1"/>
  <c r="D22" i="19" a="1"/>
  <c r="D22" i="19" s="1"/>
  <c r="G42" i="21" a="1"/>
  <c r="G42" i="21" s="1"/>
  <c r="C49" i="37" a="1"/>
  <c r="C49" i="37" s="1"/>
  <c r="C45" i="37" a="1"/>
  <c r="C45" i="37" s="1"/>
  <c r="E32" i="38" a="1"/>
  <c r="E32" i="38" s="1"/>
  <c r="C37" i="31" a="1"/>
  <c r="C37" i="31" s="1"/>
  <c r="E30" i="38" a="1"/>
  <c r="E30" i="38" s="1"/>
  <c r="H34" i="37" a="1"/>
  <c r="H34" i="37" s="1"/>
  <c r="D53" i="38" a="1"/>
  <c r="D53" i="38" s="1"/>
  <c r="F53" i="38" a="1"/>
  <c r="F53" i="38" s="1"/>
  <c r="G57" i="32" a="1"/>
  <c r="G57" i="32" s="1"/>
  <c r="E57" i="32" a="1"/>
  <c r="E57" i="32" s="1"/>
  <c r="F57" i="32" a="1"/>
  <c r="F57" i="32" s="1"/>
  <c r="C57" i="32" a="1"/>
  <c r="C57" i="32" s="1"/>
  <c r="D57" i="32" a="1"/>
  <c r="D57" i="32" s="1"/>
  <c r="G39" i="38" a="1"/>
  <c r="G39" i="38" s="1"/>
  <c r="H39" i="38" a="1"/>
  <c r="H39" i="38" s="1"/>
  <c r="D39" i="38" a="1"/>
  <c r="D39" i="38" s="1"/>
  <c r="H39" i="45" a="1"/>
  <c r="H39" i="45" s="1"/>
  <c r="C39" i="45" a="1"/>
  <c r="C39" i="45" s="1"/>
  <c r="E39" i="45" a="1"/>
  <c r="E39" i="45" s="1"/>
  <c r="F39" i="45" a="1"/>
  <c r="F39" i="45" s="1"/>
  <c r="D39" i="45" a="1"/>
  <c r="D39" i="45" s="1"/>
  <c r="H29" i="36" a="1"/>
  <c r="H29" i="36" s="1"/>
  <c r="E29" i="36" a="1"/>
  <c r="E29" i="36" s="1"/>
  <c r="F29" i="36" a="1"/>
  <c r="F29" i="36" s="1"/>
  <c r="C29" i="36" a="1"/>
  <c r="C29" i="36" s="1"/>
  <c r="D29" i="36" a="1"/>
  <c r="D29" i="36" s="1"/>
  <c r="C18" i="46" a="1"/>
  <c r="C18" i="46" s="1"/>
  <c r="H18" i="46" a="1"/>
  <c r="H18" i="46" s="1"/>
  <c r="E18" i="46" a="1"/>
  <c r="E18" i="46" s="1"/>
  <c r="D18" i="46" a="1"/>
  <c r="D18" i="46" s="1"/>
  <c r="G45" i="46" a="1"/>
  <c r="G45" i="46" s="1"/>
  <c r="D45" i="46" a="1"/>
  <c r="D45" i="46" s="1"/>
  <c r="G27" i="36" a="1"/>
  <c r="G27" i="36" s="1"/>
  <c r="E27" i="36" a="1"/>
  <c r="E27" i="36" s="1"/>
  <c r="C27" i="36" a="1"/>
  <c r="C27" i="36" s="1"/>
  <c r="H27" i="36" a="1"/>
  <c r="H27" i="36" s="1"/>
  <c r="G41" i="21" a="1"/>
  <c r="G41" i="21" s="1"/>
  <c r="D20" i="27" a="1"/>
  <c r="D20" i="27" s="1"/>
  <c r="G17" i="28" a="1"/>
  <c r="G17" i="28" s="1"/>
  <c r="G18" i="20" a="1"/>
  <c r="G18" i="20" s="1"/>
  <c r="E54" i="20" a="1"/>
  <c r="E54" i="20" s="1"/>
  <c r="G33" i="32" a="1"/>
  <c r="G33" i="32" s="1"/>
  <c r="H22" i="32" a="1"/>
  <c r="H22" i="32" s="1"/>
  <c r="H35" i="25" a="1"/>
  <c r="H35" i="25" s="1"/>
  <c r="G35" i="26" a="1"/>
  <c r="G35" i="26" s="1"/>
  <c r="F35" i="27" a="1"/>
  <c r="F35" i="27" s="1"/>
  <c r="D23" i="29" a="1"/>
  <c r="D23" i="29" s="1"/>
  <c r="G23" i="29" a="1"/>
  <c r="G23" i="29" s="1"/>
  <c r="C26" i="20" a="1"/>
  <c r="C26" i="20" s="1"/>
  <c r="H45" i="20" a="1"/>
  <c r="H45" i="20" s="1"/>
  <c r="H25" i="21" a="1"/>
  <c r="H25" i="21" s="1"/>
  <c r="D36" i="37" a="1"/>
  <c r="D36" i="37" s="1"/>
  <c r="G36" i="37" a="1"/>
  <c r="G36" i="37" s="1"/>
  <c r="C21" i="37" a="1"/>
  <c r="C21" i="37" s="1"/>
  <c r="F39" i="37" a="1"/>
  <c r="F39" i="37" s="1"/>
  <c r="E39" i="37" a="1"/>
  <c r="E39" i="37" s="1"/>
  <c r="E17" i="38" a="1"/>
  <c r="E17" i="38" s="1"/>
  <c r="D32" i="38" a="1"/>
  <c r="D32" i="38" s="1"/>
  <c r="D37" i="31" a="1"/>
  <c r="D37" i="31" s="1"/>
  <c r="E37" i="31" a="1"/>
  <c r="E37" i="31" s="1"/>
  <c r="H30" i="38" a="1"/>
  <c r="H30" i="38" s="1"/>
  <c r="E34" i="37" a="1"/>
  <c r="E34" i="37" s="1"/>
  <c r="D30" i="31" a="1"/>
  <c r="D30" i="31" s="1"/>
  <c r="F40" i="31" a="1"/>
  <c r="F40" i="31" s="1"/>
  <c r="D46" i="35" a="1"/>
  <c r="D46" i="35" s="1"/>
  <c r="H46" i="35" a="1"/>
  <c r="H46" i="35" s="1"/>
  <c r="G46" i="35" a="1"/>
  <c r="G46" i="35" s="1"/>
  <c r="E46" i="35" a="1"/>
  <c r="E46" i="35" s="1"/>
  <c r="E55" i="38" a="1"/>
  <c r="E55" i="38" s="1"/>
  <c r="D61" i="32" a="1"/>
  <c r="D61" i="32" s="1"/>
  <c r="H61" i="32" a="1"/>
  <c r="H61" i="32" s="1"/>
  <c r="E61" i="32" a="1"/>
  <c r="E61" i="32" s="1"/>
  <c r="F61" i="32" a="1"/>
  <c r="F61" i="32" s="1"/>
  <c r="F63" i="32" a="1"/>
  <c r="F63" i="32" s="1"/>
  <c r="D31" i="39" a="1"/>
  <c r="D31" i="39" s="1"/>
  <c r="E39" i="38" a="1"/>
  <c r="E39" i="38" s="1"/>
  <c r="C32" i="45" a="1"/>
  <c r="C32" i="45" s="1"/>
  <c r="H32" i="45" a="1"/>
  <c r="H32" i="45" s="1"/>
  <c r="G32" i="45" a="1"/>
  <c r="G32" i="45" s="1"/>
  <c r="D32" i="45" a="1"/>
  <c r="D32" i="45" s="1"/>
  <c r="E32" i="45" a="1"/>
  <c r="E32" i="45" s="1"/>
  <c r="G48" i="36" a="1"/>
  <c r="G48" i="36" s="1"/>
  <c r="E48" i="36" a="1"/>
  <c r="E48" i="36" s="1"/>
  <c r="F48" i="36" a="1"/>
  <c r="F48" i="36" s="1"/>
  <c r="G53" i="46" a="1"/>
  <c r="G53" i="46" s="1"/>
  <c r="D53" i="46" a="1"/>
  <c r="D53" i="46" s="1"/>
  <c r="H53" i="46" a="1"/>
  <c r="H53" i="46" s="1"/>
  <c r="D26" i="45" a="1"/>
  <c r="D26" i="45" s="1"/>
  <c r="E26" i="45" a="1"/>
  <c r="E26" i="45" s="1"/>
  <c r="C26" i="45" a="1"/>
  <c r="C26" i="45" s="1"/>
  <c r="G26" i="45" a="1"/>
  <c r="G26" i="45" s="1"/>
  <c r="H26" i="45" a="1"/>
  <c r="H26" i="45" s="1"/>
  <c r="C33" i="36" a="1"/>
  <c r="C33" i="36" s="1"/>
  <c r="E33" i="36" a="1"/>
  <c r="E33" i="36" s="1"/>
  <c r="D33" i="36" a="1"/>
  <c r="D33" i="36" s="1"/>
  <c r="H33" i="36" a="1"/>
  <c r="H33" i="36" s="1"/>
  <c r="F33" i="36" a="1"/>
  <c r="F33" i="36" s="1"/>
  <c r="F50" i="46" a="1"/>
  <c r="F50" i="46" s="1"/>
  <c r="F45" i="47" a="1"/>
  <c r="F45" i="47" s="1"/>
  <c r="E45" i="47" a="1"/>
  <c r="E45" i="47" s="1"/>
  <c r="C45" i="47" a="1"/>
  <c r="C45" i="47" s="1"/>
  <c r="H45" i="47" a="1"/>
  <c r="H45" i="47" s="1"/>
  <c r="G45" i="47" a="1"/>
  <c r="G45" i="47" s="1"/>
  <c r="F53" i="47" a="1"/>
  <c r="F53" i="47" s="1"/>
  <c r="G53" i="47" a="1"/>
  <c r="G53" i="47" s="1"/>
  <c r="C53" i="47" a="1"/>
  <c r="C53" i="47" s="1"/>
  <c r="H55" i="46" a="1"/>
  <c r="H55" i="46" s="1"/>
  <c r="G55" i="46" a="1"/>
  <c r="G55" i="46" s="1"/>
  <c r="D55" i="46" a="1"/>
  <c r="D55" i="46" s="1"/>
  <c r="F55" i="46" a="1"/>
  <c r="F55" i="46" s="1"/>
  <c r="F27" i="36" a="1"/>
  <c r="F27" i="36" s="1"/>
  <c r="F22" i="27" a="1"/>
  <c r="F22" i="27" s="1"/>
  <c r="E18" i="20" a="1"/>
  <c r="E18" i="20" s="1"/>
  <c r="F18" i="20" a="1"/>
  <c r="F18" i="20" s="1"/>
  <c r="G45" i="25" a="1"/>
  <c r="G45" i="25" s="1"/>
  <c r="E22" i="32" a="1"/>
  <c r="E22" i="32" s="1"/>
  <c r="E35" i="27" a="1"/>
  <c r="E35" i="27" s="1"/>
  <c r="H46" i="28" a="1"/>
  <c r="H46" i="28" s="1"/>
  <c r="D29" i="32" a="1"/>
  <c r="D29" i="32" s="1"/>
  <c r="G49" i="37" a="1"/>
  <c r="G49" i="37" s="1"/>
  <c r="F60" i="38" a="1"/>
  <c r="F60" i="38" s="1"/>
  <c r="C60" i="38" a="1"/>
  <c r="C60" i="38" s="1"/>
  <c r="H58" i="37" a="1"/>
  <c r="H58" i="37" s="1"/>
  <c r="F58" i="37" a="1"/>
  <c r="F58" i="37" s="1"/>
  <c r="F42" i="37" a="1"/>
  <c r="F42" i="37" s="1"/>
  <c r="E42" i="37" a="1"/>
  <c r="E42" i="37" s="1"/>
  <c r="D40" i="37" a="1"/>
  <c r="D40" i="37" s="1"/>
  <c r="G45" i="37" a="1"/>
  <c r="G45" i="37" s="1"/>
  <c r="E40" i="38" a="1"/>
  <c r="E40" i="38" s="1"/>
  <c r="G40" i="38" a="1"/>
  <c r="G40" i="38" s="1"/>
  <c r="C32" i="38" a="1"/>
  <c r="C32" i="38" s="1"/>
  <c r="E25" i="38" a="1"/>
  <c r="E25" i="38" s="1"/>
  <c r="C25" i="38" a="1"/>
  <c r="C25" i="38" s="1"/>
  <c r="F30" i="38" a="1"/>
  <c r="F30" i="38" s="1"/>
  <c r="C32" i="37" a="1"/>
  <c r="C32" i="37" s="1"/>
  <c r="G32" i="37" a="1"/>
  <c r="G32" i="37" s="1"/>
  <c r="F22" i="38" a="1"/>
  <c r="F22" i="38" s="1"/>
  <c r="D19" i="38" a="1"/>
  <c r="D19" i="38" s="1"/>
  <c r="C38" i="31" a="1"/>
  <c r="C38" i="31" s="1"/>
  <c r="G63" i="38" a="1"/>
  <c r="G63" i="38" s="1"/>
  <c r="G18" i="31" a="1"/>
  <c r="G18" i="31" s="1"/>
  <c r="H18" i="31" a="1"/>
  <c r="H18" i="31" s="1"/>
  <c r="H74" i="31" s="1" a="1"/>
  <c r="H74" i="31" s="1"/>
  <c r="E40" i="31" a="1"/>
  <c r="E40" i="31" s="1"/>
  <c r="C61" i="38" a="1"/>
  <c r="C61" i="38" s="1"/>
  <c r="C46" i="35" a="1"/>
  <c r="C46" i="35" s="1"/>
  <c r="G55" i="38" a="1"/>
  <c r="G55" i="38" s="1"/>
  <c r="G61" i="32" a="1"/>
  <c r="G61" i="32" s="1"/>
  <c r="G63" i="32" a="1"/>
  <c r="G63" i="32" s="1"/>
  <c r="C53" i="38" a="1"/>
  <c r="C53" i="38" s="1"/>
  <c r="D60" i="39" a="1"/>
  <c r="D60" i="39" s="1"/>
  <c r="E58" i="31" a="1"/>
  <c r="E58" i="31" s="1"/>
  <c r="G58" i="31" a="1"/>
  <c r="G58" i="31" s="1"/>
  <c r="H58" i="31" a="1"/>
  <c r="H58" i="31" s="1"/>
  <c r="C31" i="39" a="1"/>
  <c r="C31" i="39" s="1"/>
  <c r="F39" i="38" a="1"/>
  <c r="F39" i="38" s="1"/>
  <c r="D37" i="36" a="1"/>
  <c r="D37" i="36" s="1"/>
  <c r="C37" i="36" a="1"/>
  <c r="C37" i="36" s="1"/>
  <c r="F37" i="36" a="1"/>
  <c r="F37" i="36" s="1"/>
  <c r="G37" i="36" a="1"/>
  <c r="G37" i="36" s="1"/>
  <c r="E37" i="36" a="1"/>
  <c r="E37" i="36" s="1"/>
  <c r="H26" i="35" a="1"/>
  <c r="H26" i="35" s="1"/>
  <c r="D26" i="35" a="1"/>
  <c r="D26" i="35" s="1"/>
  <c r="E26" i="35" a="1"/>
  <c r="E26" i="35" s="1"/>
  <c r="G26" i="35" a="1"/>
  <c r="G26" i="35" s="1"/>
  <c r="F26" i="35" a="1"/>
  <c r="F26" i="35" s="1"/>
  <c r="F56" i="31" a="1"/>
  <c r="F56" i="31" s="1"/>
  <c r="D56" i="31" a="1"/>
  <c r="D56" i="31" s="1"/>
  <c r="G56" i="31" a="1"/>
  <c r="G56" i="31" s="1"/>
  <c r="C56" i="31" a="1"/>
  <c r="C56" i="31" s="1"/>
  <c r="E56" i="31" a="1"/>
  <c r="E56" i="31" s="1"/>
  <c r="G19" i="46" a="1"/>
  <c r="G19" i="46" s="1"/>
  <c r="E19" i="46" a="1"/>
  <c r="E19" i="46" s="1"/>
  <c r="H53" i="47" a="1"/>
  <c r="H53" i="47" s="1"/>
  <c r="C55" i="46" a="1"/>
  <c r="C55" i="46" s="1"/>
  <c r="H34" i="35" a="1"/>
  <c r="H34" i="35" s="1"/>
  <c r="F34" i="35" a="1"/>
  <c r="F34" i="35" s="1"/>
  <c r="C34" i="35" a="1"/>
  <c r="C34" i="35" s="1"/>
  <c r="G34" i="35" a="1"/>
  <c r="G34" i="35" s="1"/>
  <c r="D34" i="35" a="1"/>
  <c r="D34" i="35" s="1"/>
  <c r="G26" i="39" a="1"/>
  <c r="G26" i="39" s="1"/>
  <c r="F54" i="35" a="1"/>
  <c r="F54" i="35" s="1"/>
  <c r="E51" i="31" a="1"/>
  <c r="E51" i="31" s="1"/>
  <c r="G30" i="35" a="1"/>
  <c r="G30" i="35" s="1"/>
  <c r="F52" i="35" a="1"/>
  <c r="F52" i="35" s="1"/>
  <c r="G35" i="36" a="1"/>
  <c r="G35" i="36" s="1"/>
  <c r="C57" i="47" a="1"/>
  <c r="C57" i="47" s="1"/>
  <c r="F48" i="45" a="1"/>
  <c r="F48" i="45" s="1"/>
  <c r="H20" i="46" a="1"/>
  <c r="H20" i="46" s="1"/>
  <c r="D61" i="47" a="1"/>
  <c r="D61" i="47" s="1"/>
  <c r="F61" i="47" a="1"/>
  <c r="F61" i="47" s="1"/>
  <c r="F44" i="45" a="1"/>
  <c r="F44" i="45" s="1"/>
  <c r="G44" i="45" a="1"/>
  <c r="G44" i="45" s="1"/>
  <c r="D50" i="35" a="1"/>
  <c r="D50" i="35" s="1"/>
  <c r="G50" i="35" a="1"/>
  <c r="G50" i="35" s="1"/>
  <c r="H49" i="36" a="1"/>
  <c r="H49" i="36" s="1"/>
  <c r="H57" i="46" a="1"/>
  <c r="H57" i="46" s="1"/>
  <c r="F57" i="46" a="1"/>
  <c r="F57" i="46" s="1"/>
  <c r="G48" i="46" a="1"/>
  <c r="G48" i="46" s="1"/>
  <c r="E48" i="46" a="1"/>
  <c r="E48" i="46" s="1"/>
  <c r="F47" i="46" a="1"/>
  <c r="F47" i="46" s="1"/>
  <c r="D47" i="46" a="1"/>
  <c r="D47" i="46" s="1"/>
  <c r="E50" i="47" a="1"/>
  <c r="E50" i="47" s="1"/>
  <c r="G50" i="47" a="1"/>
  <c r="G50" i="47" s="1"/>
  <c r="E20" i="47" a="1"/>
  <c r="E20" i="47" s="1"/>
  <c r="C20" i="47" a="1"/>
  <c r="C20" i="47" s="1"/>
  <c r="C48" i="47" a="1"/>
  <c r="C48" i="47" s="1"/>
  <c r="F49" i="45" a="1"/>
  <c r="F49" i="45" s="1"/>
  <c r="H49" i="45" a="1"/>
  <c r="H49" i="45" s="1"/>
  <c r="D56" i="46" a="1"/>
  <c r="D56" i="46" s="1"/>
  <c r="F56" i="46" a="1"/>
  <c r="F56" i="46" s="1"/>
  <c r="C30" i="47" a="1"/>
  <c r="C30" i="47" s="1"/>
  <c r="H30" i="47" a="1"/>
  <c r="H30" i="47" s="1"/>
  <c r="G31" i="47" a="1"/>
  <c r="G31" i="47" s="1"/>
  <c r="E31" i="47" a="1"/>
  <c r="E31" i="47" s="1"/>
  <c r="C33" i="46" a="1"/>
  <c r="C33" i="46" s="1"/>
  <c r="G33" i="46" a="1"/>
  <c r="G33" i="46" s="1"/>
  <c r="H42" i="46" a="1"/>
  <c r="H42" i="46" s="1"/>
  <c r="C42" i="46" a="1"/>
  <c r="C42" i="46" s="1"/>
  <c r="E51" i="45" a="1"/>
  <c r="E51" i="45" s="1"/>
  <c r="G51" i="45" a="1"/>
  <c r="G51" i="45" s="1"/>
  <c r="E57" i="45" a="1"/>
  <c r="E57" i="45" s="1"/>
  <c r="H57" i="45" a="1"/>
  <c r="H57" i="45" s="1"/>
  <c r="H56" i="36" a="1"/>
  <c r="H56" i="36" s="1"/>
  <c r="E56" i="36" a="1"/>
  <c r="E56" i="36" s="1"/>
  <c r="G60" i="36" a="1"/>
  <c r="G60" i="36" s="1"/>
  <c r="E60" i="36" a="1"/>
  <c r="E60" i="36" s="1"/>
  <c r="D19" i="47" a="1"/>
  <c r="D19" i="47" s="1"/>
  <c r="G19" i="47" a="1"/>
  <c r="G19" i="47" s="1"/>
  <c r="H33" i="47" a="1"/>
  <c r="H33" i="47" s="1"/>
  <c r="D33" i="47" a="1"/>
  <c r="D33" i="47" s="1"/>
  <c r="F54" i="47" a="1"/>
  <c r="F54" i="47" s="1"/>
  <c r="C54" i="47" a="1"/>
  <c r="C54" i="47" s="1"/>
  <c r="G25" i="47" a="1"/>
  <c r="G25" i="47" s="1"/>
  <c r="F25" i="47" a="1"/>
  <c r="F25" i="47" s="1"/>
  <c r="C30" i="46" a="1"/>
  <c r="C30" i="46" s="1"/>
  <c r="D30" i="46" a="1"/>
  <c r="D30" i="46" s="1"/>
  <c r="H28" i="46" a="1"/>
  <c r="H28" i="46" s="1"/>
  <c r="G28" i="46" a="1"/>
  <c r="G28" i="46" s="1"/>
  <c r="D43" i="46" a="1"/>
  <c r="D43" i="46" s="1"/>
  <c r="F43" i="46" a="1"/>
  <c r="F43" i="46" s="1"/>
  <c r="E17" i="46" a="1"/>
  <c r="E17" i="46" s="1"/>
  <c r="G17" i="46" a="1"/>
  <c r="G17" i="46" s="1"/>
  <c r="H27" i="46" a="1"/>
  <c r="H27" i="46" s="1"/>
  <c r="E27" i="46" a="1"/>
  <c r="E27" i="46" s="1"/>
  <c r="E47" i="47" a="1"/>
  <c r="E47" i="47" s="1"/>
  <c r="F47" i="47" a="1"/>
  <c r="F47" i="47" s="1"/>
  <c r="E54" i="46" a="1"/>
  <c r="E54" i="46" s="1"/>
  <c r="C54" i="46" a="1"/>
  <c r="C54" i="46" s="1"/>
  <c r="D21" i="46" a="1"/>
  <c r="D21" i="46" s="1"/>
  <c r="H21" i="46" a="1"/>
  <c r="H21" i="46" s="1"/>
  <c r="D44" i="47" a="1"/>
  <c r="D44" i="47" s="1"/>
  <c r="D42" i="45" a="1"/>
  <c r="D42" i="45" s="1"/>
  <c r="G42" i="45" a="1"/>
  <c r="G42" i="45" s="1"/>
  <c r="H61" i="45" a="1"/>
  <c r="H61" i="45" s="1"/>
  <c r="C61" i="45" a="1"/>
  <c r="C61" i="45" s="1"/>
  <c r="G22" i="36" a="1"/>
  <c r="G22" i="36" s="1"/>
  <c r="H22" i="36" a="1"/>
  <c r="H22" i="36" s="1"/>
  <c r="F43" i="36" a="1"/>
  <c r="F43" i="36" s="1"/>
  <c r="D31" i="36" a="1"/>
  <c r="D31" i="36" s="1"/>
  <c r="C57" i="39" a="1"/>
  <c r="C57" i="39" s="1"/>
  <c r="F24" i="39" a="1"/>
  <c r="F24" i="39" s="1"/>
  <c r="F43" i="45" a="1"/>
  <c r="F43" i="45" s="1"/>
  <c r="D43" i="45" a="1"/>
  <c r="D43" i="45" s="1"/>
  <c r="F47" i="31" a="1"/>
  <c r="F47" i="31" s="1"/>
  <c r="D47" i="31" a="1"/>
  <c r="D47" i="31" s="1"/>
  <c r="C47" i="31" a="1"/>
  <c r="C47" i="31" s="1"/>
  <c r="H47" i="31" a="1"/>
  <c r="H47" i="31" s="1"/>
  <c r="G47" i="31" a="1"/>
  <c r="G47" i="31" s="1"/>
  <c r="F45" i="31" a="1"/>
  <c r="F45" i="31" s="1"/>
  <c r="C27" i="47" a="1"/>
  <c r="C27" i="47" s="1"/>
  <c r="H47" i="46" a="1"/>
  <c r="H47" i="46" s="1"/>
  <c r="D20" i="47" a="1"/>
  <c r="D20" i="47" s="1"/>
  <c r="C49" i="45" a="1"/>
  <c r="C49" i="45" s="1"/>
  <c r="C28" i="47" a="1"/>
  <c r="C28" i="47" s="1"/>
  <c r="H31" i="46" a="1"/>
  <c r="H31" i="46" s="1"/>
  <c r="F31" i="47" a="1"/>
  <c r="F31" i="47" s="1"/>
  <c r="E42" i="46" a="1"/>
  <c r="E42" i="46" s="1"/>
  <c r="F57" i="45" a="1"/>
  <c r="F57" i="45" s="1"/>
  <c r="C60" i="36" a="1"/>
  <c r="C60" i="36" s="1"/>
  <c r="C33" i="47" a="1"/>
  <c r="C33" i="47" s="1"/>
  <c r="D25" i="47" a="1"/>
  <c r="D25" i="47" s="1"/>
  <c r="D28" i="46" a="1"/>
  <c r="D28" i="46" s="1"/>
  <c r="F17" i="46" a="1"/>
  <c r="F17" i="46" s="1"/>
  <c r="C47" i="47" a="1"/>
  <c r="C47" i="47" s="1"/>
  <c r="F21" i="46" a="1"/>
  <c r="F21" i="46" s="1"/>
  <c r="F52" i="47" a="1"/>
  <c r="F52" i="47" s="1"/>
  <c r="C38" i="45" a="1"/>
  <c r="C38" i="45" s="1"/>
  <c r="H27" i="45" a="1"/>
  <c r="H27" i="45" s="1"/>
  <c r="F30" i="45" a="1"/>
  <c r="F30" i="45" s="1"/>
  <c r="G30" i="45" a="1"/>
  <c r="G30" i="45" s="1"/>
  <c r="H30" i="45" a="1"/>
  <c r="H30" i="45" s="1"/>
  <c r="C30" i="45" a="1"/>
  <c r="C30" i="45" s="1"/>
  <c r="E40" i="45" a="1"/>
  <c r="E40" i="45" s="1"/>
  <c r="H43" i="36" a="1"/>
  <c r="H43" i="36" s="1"/>
  <c r="E31" i="36" a="1"/>
  <c r="E31" i="36" s="1"/>
  <c r="G31" i="36" a="1"/>
  <c r="G31" i="36" s="1"/>
  <c r="F57" i="39" a="1"/>
  <c r="F57" i="39" s="1"/>
  <c r="D24" i="39" a="1"/>
  <c r="D24" i="39" s="1"/>
  <c r="C62" i="36" a="1"/>
  <c r="C62" i="36" s="1"/>
  <c r="C41" i="31" a="1"/>
  <c r="C41" i="31" s="1"/>
  <c r="E41" i="31" a="1"/>
  <c r="E41" i="31" s="1"/>
  <c r="D62" i="31" a="1"/>
  <c r="D62" i="31" s="1"/>
  <c r="C62" i="31" a="1"/>
  <c r="C62" i="31" s="1"/>
  <c r="G62" i="31" a="1"/>
  <c r="G62" i="31" s="1"/>
  <c r="H48" i="45" a="1"/>
  <c r="H48" i="45" s="1"/>
  <c r="G61" i="47" a="1"/>
  <c r="G61" i="47" s="1"/>
  <c r="C50" i="35" a="1"/>
  <c r="C50" i="35" s="1"/>
  <c r="F50" i="35" a="1"/>
  <c r="F50" i="35" s="1"/>
  <c r="C45" i="31" a="1"/>
  <c r="C45" i="31" s="1"/>
  <c r="D45" i="31" a="1"/>
  <c r="D45" i="31" s="1"/>
  <c r="F49" i="36" a="1"/>
  <c r="F49" i="36" s="1"/>
  <c r="G57" i="46" a="1"/>
  <c r="G57" i="46" s="1"/>
  <c r="E57" i="46" a="1"/>
  <c r="E57" i="46" s="1"/>
  <c r="F27" i="47" a="1"/>
  <c r="F27" i="47" s="1"/>
  <c r="E27" i="47" a="1"/>
  <c r="E27" i="47" s="1"/>
  <c r="H48" i="46" a="1"/>
  <c r="H48" i="46" s="1"/>
  <c r="F48" i="46" a="1"/>
  <c r="F48" i="46" s="1"/>
  <c r="C50" i="47" a="1"/>
  <c r="C50" i="47" s="1"/>
  <c r="F50" i="47" a="1"/>
  <c r="F50" i="47" s="1"/>
  <c r="H48" i="47" a="1"/>
  <c r="H48" i="47" s="1"/>
  <c r="D28" i="47" a="1"/>
  <c r="D28" i="47" s="1"/>
  <c r="H28" i="47" a="1"/>
  <c r="H28" i="47" s="1"/>
  <c r="E56" i="46" a="1"/>
  <c r="E56" i="46" s="1"/>
  <c r="H56" i="46" a="1"/>
  <c r="H56" i="46" s="1"/>
  <c r="G31" i="46" a="1"/>
  <c r="G31" i="46" s="1"/>
  <c r="C31" i="46" a="1"/>
  <c r="C31" i="46" s="1"/>
  <c r="G30" i="47" a="1"/>
  <c r="G30" i="47" s="1"/>
  <c r="D30" i="47" a="1"/>
  <c r="D30" i="47" s="1"/>
  <c r="D33" i="46" a="1"/>
  <c r="D33" i="46" s="1"/>
  <c r="H33" i="46" a="1"/>
  <c r="H33" i="46" s="1"/>
  <c r="D51" i="45" a="1"/>
  <c r="D51" i="45" s="1"/>
  <c r="H51" i="45" a="1"/>
  <c r="H51" i="45" s="1"/>
  <c r="D56" i="36" a="1"/>
  <c r="D56" i="36" s="1"/>
  <c r="G56" i="36" a="1"/>
  <c r="G56" i="36" s="1"/>
  <c r="C19" i="47" a="1"/>
  <c r="C19" i="47" s="1"/>
  <c r="H19" i="47" a="1"/>
  <c r="H19" i="47" s="1"/>
  <c r="E54" i="47" a="1"/>
  <c r="E54" i="47" s="1"/>
  <c r="D54" i="47" a="1"/>
  <c r="D54" i="47" s="1"/>
  <c r="E30" i="46" a="1"/>
  <c r="E30" i="46" s="1"/>
  <c r="G30" i="46" a="1"/>
  <c r="G30" i="46" s="1"/>
  <c r="C43" i="46" a="1"/>
  <c r="C43" i="46" s="1"/>
  <c r="G43" i="46" a="1"/>
  <c r="G43" i="46" s="1"/>
  <c r="D27" i="46" a="1"/>
  <c r="D27" i="46" s="1"/>
  <c r="C27" i="46" a="1"/>
  <c r="C27" i="46" s="1"/>
  <c r="F35" i="47" a="1"/>
  <c r="F35" i="47" s="1"/>
  <c r="H35" i="47" a="1"/>
  <c r="H35" i="47" s="1"/>
  <c r="C60" i="46" a="1"/>
  <c r="C60" i="46" s="1"/>
  <c r="D52" i="47" a="1"/>
  <c r="D52" i="47" s="1"/>
  <c r="E52" i="47" a="1"/>
  <c r="E52" i="47" s="1"/>
  <c r="E41" i="46" a="1"/>
  <c r="E41" i="46" s="1"/>
  <c r="C42" i="45" a="1"/>
  <c r="C42" i="45" s="1"/>
  <c r="H42" i="45" a="1"/>
  <c r="H42" i="45" s="1"/>
  <c r="G27" i="45" a="1"/>
  <c r="G27" i="45" s="1"/>
  <c r="E30" i="45" a="1"/>
  <c r="E30" i="45" s="1"/>
  <c r="G58" i="36" a="1"/>
  <c r="G58" i="36" s="1"/>
  <c r="C22" i="36" a="1"/>
  <c r="C22" i="36" s="1"/>
  <c r="E43" i="36" a="1"/>
  <c r="E43" i="36" s="1"/>
  <c r="G57" i="39" a="1"/>
  <c r="G57" i="39" s="1"/>
  <c r="E44" i="37" a="1"/>
  <c r="E44" i="37" s="1"/>
  <c r="F44" i="37" a="1"/>
  <c r="F44" i="37" s="1"/>
  <c r="C24" i="39" a="1"/>
  <c r="C24" i="39" s="1"/>
  <c r="E62" i="36" a="1"/>
  <c r="E62" i="36" s="1"/>
  <c r="F41" i="31" a="1"/>
  <c r="F41" i="31" s="1"/>
  <c r="F59" i="45" a="1"/>
  <c r="F59" i="45" s="1"/>
  <c r="H59" i="45" a="1"/>
  <c r="H59" i="45" s="1"/>
  <c r="G59" i="45" a="1"/>
  <c r="G59" i="45" s="1"/>
  <c r="E59" i="45" a="1"/>
  <c r="E59" i="45" s="1"/>
  <c r="H45" i="31" a="1"/>
  <c r="H45" i="31" s="1"/>
  <c r="H27" i="47" a="1"/>
  <c r="H27" i="47" s="1"/>
  <c r="E28" i="47" a="1"/>
  <c r="E28" i="47" s="1"/>
  <c r="F31" i="46" a="1"/>
  <c r="F31" i="46" s="1"/>
  <c r="F54" i="46" a="1"/>
  <c r="F54" i="46" s="1"/>
  <c r="G54" i="46" a="1"/>
  <c r="G54" i="46" s="1"/>
  <c r="E21" i="46" a="1"/>
  <c r="E21" i="46" s="1"/>
  <c r="G52" i="47" a="1"/>
  <c r="G52" i="47" s="1"/>
  <c r="E27" i="45" a="1"/>
  <c r="E27" i="45" s="1"/>
  <c r="D27" i="45" a="1"/>
  <c r="D27" i="45" s="1"/>
  <c r="F40" i="45" a="1"/>
  <c r="F40" i="45" s="1"/>
  <c r="H40" i="45" a="1"/>
  <c r="H40" i="45" s="1"/>
  <c r="C40" i="45" a="1"/>
  <c r="C40" i="45" s="1"/>
  <c r="D43" i="36" a="1"/>
  <c r="D43" i="36" s="1"/>
  <c r="H31" i="36" a="1"/>
  <c r="H31" i="36" s="1"/>
  <c r="G62" i="36" a="1"/>
  <c r="G62" i="36" s="1"/>
  <c r="H62" i="36" a="1"/>
  <c r="H62" i="36" s="1"/>
  <c r="H41" i="31" a="1"/>
  <c r="H41" i="31" s="1"/>
  <c r="C42" i="35" a="1"/>
  <c r="C42" i="35" s="1"/>
  <c r="H36" i="45" a="1"/>
  <c r="H36" i="45" s="1"/>
  <c r="C41" i="36" a="1"/>
  <c r="C41" i="36" s="1"/>
  <c r="E41" i="36" a="1"/>
  <c r="E41" i="36" s="1"/>
  <c r="C59" i="31" a="1"/>
  <c r="C59" i="31" s="1"/>
  <c r="F45" i="35" a="1"/>
  <c r="F45" i="35" s="1"/>
  <c r="D54" i="39" a="1"/>
  <c r="D54" i="39" s="1"/>
  <c r="G39" i="39" a="1"/>
  <c r="G39" i="39" s="1"/>
  <c r="G47" i="39" a="1"/>
  <c r="G47" i="39" s="1"/>
  <c r="H40" i="36" a="1"/>
  <c r="H40" i="36" s="1"/>
  <c r="F42" i="38" a="1"/>
  <c r="F42" i="38" s="1"/>
  <c r="F64" i="32" a="1"/>
  <c r="F64" i="32" s="1"/>
  <c r="C52" i="38" a="1"/>
  <c r="C52" i="38" s="1"/>
  <c r="F44" i="31" a="1"/>
  <c r="F44" i="31" s="1"/>
  <c r="D48" i="31" a="1"/>
  <c r="D48" i="31" s="1"/>
  <c r="C47" i="35" a="1"/>
  <c r="C47" i="35" s="1"/>
  <c r="D47" i="35" a="1"/>
  <c r="D47" i="35" s="1"/>
  <c r="C49" i="35" a="1"/>
  <c r="C49" i="35" s="1"/>
  <c r="D49" i="35" a="1"/>
  <c r="D49" i="35" s="1"/>
  <c r="G32" i="35" a="1"/>
  <c r="G32" i="35" s="1"/>
  <c r="H32" i="35" a="1"/>
  <c r="H32" i="35" s="1"/>
  <c r="G41" i="35" a="1"/>
  <c r="G41" i="35" s="1"/>
  <c r="H48" i="35" a="1"/>
  <c r="H48" i="35" s="1"/>
  <c r="E62" i="35" a="1"/>
  <c r="E62" i="35" s="1"/>
  <c r="G55" i="35" a="1"/>
  <c r="G55" i="35" s="1"/>
  <c r="E55" i="39" a="1"/>
  <c r="E55" i="39" s="1"/>
  <c r="G43" i="39" a="1"/>
  <c r="G43" i="39" s="1"/>
  <c r="C43" i="39" a="1"/>
  <c r="C43" i="39" s="1"/>
  <c r="D27" i="39" a="1"/>
  <c r="D27" i="39" s="1"/>
  <c r="D62" i="38" a="1"/>
  <c r="D62" i="38" s="1"/>
  <c r="H62" i="38" a="1"/>
  <c r="H62" i="38" s="1"/>
  <c r="D20" i="38" a="1"/>
  <c r="D20" i="38" s="1"/>
  <c r="G41" i="32" a="1"/>
  <c r="G41" i="32" s="1"/>
  <c r="F41" i="32" a="1"/>
  <c r="F41" i="32" s="1"/>
  <c r="D50" i="32" a="1"/>
  <c r="D50" i="32" s="1"/>
  <c r="G59" i="32" a="1"/>
  <c r="G59" i="32" s="1"/>
  <c r="C59" i="32" a="1"/>
  <c r="C59" i="32" s="1"/>
  <c r="G46" i="32" a="1"/>
  <c r="G46" i="32" s="1"/>
  <c r="F24" i="31" a="1"/>
  <c r="F24" i="31" s="1"/>
  <c r="H24" i="31" a="1"/>
  <c r="H24" i="31" s="1"/>
  <c r="G22" i="31" a="1"/>
  <c r="G22" i="31" s="1"/>
  <c r="C52" i="31" a="1"/>
  <c r="C52" i="31" s="1"/>
  <c r="F52" i="31" a="1"/>
  <c r="F52" i="31" s="1"/>
  <c r="G26" i="38" a="1"/>
  <c r="G26" i="38" s="1"/>
  <c r="E26" i="38" a="1"/>
  <c r="E26" i="38" s="1"/>
  <c r="D56" i="38" a="1"/>
  <c r="D56" i="38" s="1"/>
  <c r="G56" i="38" a="1"/>
  <c r="G56" i="38" s="1"/>
  <c r="F33" i="38" a="1"/>
  <c r="F33" i="38" s="1"/>
  <c r="D33" i="38" a="1"/>
  <c r="D33" i="38" s="1"/>
  <c r="G37" i="37" a="1"/>
  <c r="G37" i="37" s="1"/>
  <c r="E37" i="37" a="1"/>
  <c r="E37" i="37" s="1"/>
  <c r="F52" i="37" a="1"/>
  <c r="F52" i="37" s="1"/>
  <c r="C52" i="37" a="1"/>
  <c r="C52" i="37" s="1"/>
  <c r="D59" i="37" a="1"/>
  <c r="D59" i="37" s="1"/>
  <c r="D23" i="32" a="1"/>
  <c r="D23" i="32" s="1"/>
  <c r="F23" i="32" a="1"/>
  <c r="F23" i="32" s="1"/>
  <c r="G35" i="19" a="1"/>
  <c r="G35" i="19" s="1"/>
  <c r="D35" i="19" a="1"/>
  <c r="D35" i="19" s="1"/>
  <c r="E35" i="19" a="1"/>
  <c r="E35" i="19" s="1"/>
  <c r="F33" i="45" a="1"/>
  <c r="F33" i="45" s="1"/>
  <c r="H41" i="36" a="1"/>
  <c r="H41" i="36" s="1"/>
  <c r="D45" i="35" a="1"/>
  <c r="D45" i="35" s="1"/>
  <c r="F47" i="39" a="1"/>
  <c r="F47" i="39" s="1"/>
  <c r="E38" i="39" a="1"/>
  <c r="E38" i="39" s="1"/>
  <c r="F21" i="38" a="1"/>
  <c r="F21" i="38" s="1"/>
  <c r="H64" i="31" a="1"/>
  <c r="H64" i="31" s="1"/>
  <c r="E49" i="35" a="1"/>
  <c r="E49" i="35" s="1"/>
  <c r="C41" i="35" a="1"/>
  <c r="C41" i="35" s="1"/>
  <c r="E41" i="35" a="1"/>
  <c r="E41" i="35" s="1"/>
  <c r="D33" i="35" a="1"/>
  <c r="D33" i="35" s="1"/>
  <c r="G33" i="35" a="1"/>
  <c r="G33" i="35" s="1"/>
  <c r="D48" i="35" a="1"/>
  <c r="D48" i="35" s="1"/>
  <c r="F48" i="35" a="1"/>
  <c r="F48" i="35" s="1"/>
  <c r="H20" i="39" a="1"/>
  <c r="H20" i="39" s="1"/>
  <c r="F29" i="38" a="1"/>
  <c r="F29" i="38" s="1"/>
  <c r="H28" i="37" a="1"/>
  <c r="H28" i="37" s="1"/>
  <c r="C51" i="22" a="1"/>
  <c r="C51" i="22" s="1"/>
  <c r="E59" i="32" a="1"/>
  <c r="E59" i="32" s="1"/>
  <c r="H46" i="32" a="1"/>
  <c r="H46" i="32" s="1"/>
  <c r="F51" i="37" a="1"/>
  <c r="F51" i="37" s="1"/>
  <c r="C51" i="37" a="1"/>
  <c r="C51" i="37" s="1"/>
  <c r="E22" i="37" a="1"/>
  <c r="E22" i="37" s="1"/>
  <c r="D22" i="37" a="1"/>
  <c r="D22" i="37" s="1"/>
  <c r="H64" i="37" a="1"/>
  <c r="H64" i="37" s="1"/>
  <c r="E64" i="37" a="1"/>
  <c r="E64" i="37" s="1"/>
  <c r="F63" i="37" a="1"/>
  <c r="F63" i="37" s="1"/>
  <c r="E63" i="37" a="1"/>
  <c r="E63" i="37" s="1"/>
  <c r="E32" i="32" a="1"/>
  <c r="E32" i="32" s="1"/>
  <c r="D32" i="32" a="1"/>
  <c r="D32" i="32" s="1"/>
  <c r="C44" i="32" a="1"/>
  <c r="C44" i="32" s="1"/>
  <c r="G47" i="35" a="1"/>
  <c r="G47" i="35" s="1"/>
  <c r="H47" i="35" a="1"/>
  <c r="H47" i="35" s="1"/>
  <c r="E32" i="35" a="1"/>
  <c r="E32" i="35" s="1"/>
  <c r="E48" i="35" a="1"/>
  <c r="E48" i="35" s="1"/>
  <c r="F62" i="35" a="1"/>
  <c r="F62" i="35" s="1"/>
  <c r="C38" i="32" a="1"/>
  <c r="C38" i="32" s="1"/>
  <c r="G38" i="32" a="1"/>
  <c r="G38" i="32" s="1"/>
  <c r="H59" i="38" a="1"/>
  <c r="H59" i="38" s="1"/>
  <c r="E59" i="38" a="1"/>
  <c r="E59" i="38" s="1"/>
  <c r="C22" i="37" a="1"/>
  <c r="C22" i="37" s="1"/>
  <c r="F59" i="37" a="1"/>
  <c r="F59" i="37" s="1"/>
  <c r="G59" i="37" a="1"/>
  <c r="G59" i="37" s="1"/>
  <c r="C64" i="37" a="1"/>
  <c r="C64" i="37" s="1"/>
  <c r="C57" i="37" a="1"/>
  <c r="C57" i="37" s="1"/>
  <c r="D57" i="37" a="1"/>
  <c r="D57" i="37" s="1"/>
  <c r="E51" i="32" a="1"/>
  <c r="E51" i="32" s="1"/>
  <c r="C51" i="32" a="1"/>
  <c r="C51" i="32" s="1"/>
  <c r="H32" i="32" a="1"/>
  <c r="H32" i="32" s="1"/>
  <c r="D35" i="28" a="1"/>
  <c r="D35" i="28" s="1"/>
  <c r="H35" i="28" a="1"/>
  <c r="H35" i="28" s="1"/>
  <c r="F35" i="28" a="1"/>
  <c r="F35" i="28" s="1"/>
  <c r="H33" i="45" a="1"/>
  <c r="H33" i="45" s="1"/>
  <c r="D41" i="36" a="1"/>
  <c r="D41" i="36" s="1"/>
  <c r="G59" i="31" a="1"/>
  <c r="G59" i="31" s="1"/>
  <c r="G45" i="35" a="1"/>
  <c r="G45" i="35" s="1"/>
  <c r="C45" i="35" a="1"/>
  <c r="C45" i="35" s="1"/>
  <c r="C47" i="39" a="1"/>
  <c r="C47" i="39" s="1"/>
  <c r="F52" i="38" a="1"/>
  <c r="F52" i="38" s="1"/>
  <c r="F48" i="31" a="1"/>
  <c r="F48" i="31" s="1"/>
  <c r="H49" i="35" a="1"/>
  <c r="H49" i="35" s="1"/>
  <c r="F32" i="35" a="1"/>
  <c r="F32" i="35" s="1"/>
  <c r="F41" i="35" a="1"/>
  <c r="F41" i="35" s="1"/>
  <c r="H33" i="35" a="1"/>
  <c r="H33" i="35" s="1"/>
  <c r="E33" i="35" a="1"/>
  <c r="E33" i="35" s="1"/>
  <c r="D57" i="35" a="1"/>
  <c r="D57" i="35" s="1"/>
  <c r="G45" i="38" a="1"/>
  <c r="G45" i="38" s="1"/>
  <c r="G61" i="39" a="1"/>
  <c r="G61" i="39" s="1"/>
  <c r="C61" i="39" a="1"/>
  <c r="C61" i="39" s="1"/>
  <c r="D55" i="39" a="1"/>
  <c r="D55" i="39" s="1"/>
  <c r="H43" i="39" a="1"/>
  <c r="H43" i="39" s="1"/>
  <c r="G27" i="39" a="1"/>
  <c r="G27" i="39" s="1"/>
  <c r="E62" i="38" a="1"/>
  <c r="E62" i="38" s="1"/>
  <c r="C20" i="38" a="1"/>
  <c r="C20" i="38" s="1"/>
  <c r="D41" i="32" a="1"/>
  <c r="D41" i="32" s="1"/>
  <c r="G50" i="32" a="1"/>
  <c r="G50" i="32" s="1"/>
  <c r="H29" i="38" a="1"/>
  <c r="H29" i="38" s="1"/>
  <c r="C29" i="38" a="1"/>
  <c r="C29" i="38" s="1"/>
  <c r="G49" i="38" a="1"/>
  <c r="G49" i="38" s="1"/>
  <c r="D43" i="37" a="1"/>
  <c r="D43" i="37" s="1"/>
  <c r="F43" i="37" a="1"/>
  <c r="F43" i="37" s="1"/>
  <c r="E63" i="25" a="1"/>
  <c r="E63" i="25" s="1"/>
  <c r="E51" i="22" a="1"/>
  <c r="E51" i="22" s="1"/>
  <c r="D59" i="32" a="1"/>
  <c r="D59" i="32" s="1"/>
  <c r="D46" i="32" a="1"/>
  <c r="D46" i="32" s="1"/>
  <c r="G24" i="31" a="1"/>
  <c r="G24" i="31" s="1"/>
  <c r="H22" i="31" a="1"/>
  <c r="H22" i="31" s="1"/>
  <c r="H34" i="31" a="1"/>
  <c r="H34" i="31" s="1"/>
  <c r="D34" i="31" a="1"/>
  <c r="D34" i="31" s="1"/>
  <c r="C26" i="38" a="1"/>
  <c r="C26" i="38" s="1"/>
  <c r="H56" i="38" a="1"/>
  <c r="H56" i="38" s="1"/>
  <c r="F25" i="37" a="1"/>
  <c r="F25" i="37" s="1"/>
  <c r="H25" i="37" a="1"/>
  <c r="H25" i="37" s="1"/>
  <c r="D38" i="32" a="1"/>
  <c r="D38" i="32" s="1"/>
  <c r="H48" i="38" a="1"/>
  <c r="H48" i="38" s="1"/>
  <c r="G48" i="38" a="1"/>
  <c r="G48" i="38" s="1"/>
  <c r="D54" i="37" a="1"/>
  <c r="D54" i="37" s="1"/>
  <c r="E54" i="37" a="1"/>
  <c r="E54" i="37" s="1"/>
  <c r="F22" i="37" a="1"/>
  <c r="F22" i="37" s="1"/>
  <c r="E59" i="37" a="1"/>
  <c r="E59" i="37" s="1"/>
  <c r="G64" i="37" a="1"/>
  <c r="G64" i="37" s="1"/>
  <c r="H26" i="37" a="1"/>
  <c r="H26" i="37" s="1"/>
  <c r="D26" i="37" a="1"/>
  <c r="D26" i="37" s="1"/>
  <c r="G57" i="37" a="1"/>
  <c r="G57" i="37" s="1"/>
  <c r="D21" i="32" a="1"/>
  <c r="D21" i="32" s="1"/>
  <c r="F21" i="32" a="1"/>
  <c r="F21" i="32" s="1"/>
  <c r="E19" i="20" a="1"/>
  <c r="E19" i="20" s="1"/>
  <c r="F19" i="20" a="1"/>
  <c r="F19" i="20" s="1"/>
  <c r="G32" i="32" a="1"/>
  <c r="G32" i="32" s="1"/>
  <c r="F35" i="19" a="1"/>
  <c r="F35" i="19" s="1"/>
  <c r="H56" i="32" a="1"/>
  <c r="H56" i="32" s="1"/>
  <c r="E43" i="19" a="1"/>
  <c r="E43" i="19" s="1"/>
  <c r="D50" i="19" a="1"/>
  <c r="D50" i="19" s="1"/>
  <c r="F26" i="27" a="1"/>
  <c r="F26" i="27" s="1"/>
  <c r="E29" i="35" a="1"/>
  <c r="E29" i="35" s="1"/>
  <c r="F29" i="35" a="1"/>
  <c r="F29" i="35" s="1"/>
  <c r="H31" i="35" a="1"/>
  <c r="H31" i="35" s="1"/>
  <c r="C57" i="38" a="1"/>
  <c r="C57" i="38" s="1"/>
  <c r="G57" i="38" a="1"/>
  <c r="G57" i="38" s="1"/>
  <c r="C37" i="38" a="1"/>
  <c r="C37" i="38" s="1"/>
  <c r="H56" i="37" a="1"/>
  <c r="H56" i="37" s="1"/>
  <c r="G48" i="37" a="1"/>
  <c r="G48" i="37" s="1"/>
  <c r="E36" i="32" a="1"/>
  <c r="E36" i="32" s="1"/>
  <c r="H36" i="26" a="1"/>
  <c r="H36" i="26" s="1"/>
  <c r="F21" i="22" a="1"/>
  <c r="F21" i="22" s="1"/>
  <c r="D64" i="25" a="1"/>
  <c r="D64" i="25" s="1"/>
  <c r="D41" i="22" a="1"/>
  <c r="D41" i="22" s="1"/>
  <c r="E23" i="20" a="1"/>
  <c r="E23" i="20" s="1"/>
  <c r="F47" i="21" a="1"/>
  <c r="F47" i="21" s="1"/>
  <c r="F42" i="20" a="1"/>
  <c r="F42" i="20" s="1"/>
  <c r="D46" i="22" a="1"/>
  <c r="D46" i="22" s="1"/>
  <c r="H46" i="22" a="1"/>
  <c r="H46" i="22" s="1"/>
  <c r="G46" i="20" a="1"/>
  <c r="G46" i="20" s="1"/>
  <c r="E53" i="21" a="1"/>
  <c r="E53" i="21" s="1"/>
  <c r="D53" i="21" a="1"/>
  <c r="D53" i="21" s="1"/>
  <c r="E50" i="19" a="1"/>
  <c r="E50" i="19" s="1"/>
  <c r="G55" i="22" a="1"/>
  <c r="G55" i="22" s="1"/>
  <c r="H57" i="20" a="1"/>
  <c r="H57" i="20" s="1"/>
  <c r="H49" i="19" a="1"/>
  <c r="H49" i="19" s="1"/>
  <c r="F49" i="19" a="1"/>
  <c r="F49" i="19" s="1"/>
  <c r="G43" i="29" a="1"/>
  <c r="G43" i="29" s="1"/>
  <c r="E43" i="29" a="1"/>
  <c r="E43" i="29" s="1"/>
  <c r="D62" i="25" a="1"/>
  <c r="D62" i="25" s="1"/>
  <c r="F30" i="32" a="1"/>
  <c r="F30" i="32" s="1"/>
  <c r="F17" i="27" a="1"/>
  <c r="F17" i="27" s="1"/>
  <c r="D40" i="22" a="1"/>
  <c r="D40" i="22" s="1"/>
  <c r="C40" i="22" a="1"/>
  <c r="C40" i="22" s="1"/>
  <c r="H28" i="32" a="1"/>
  <c r="H28" i="32" s="1"/>
  <c r="D56" i="32" a="1"/>
  <c r="D56" i="32" s="1"/>
  <c r="F34" i="28" a="1"/>
  <c r="F34" i="28" s="1"/>
  <c r="D22" i="22" a="1"/>
  <c r="D22" i="22" s="1"/>
  <c r="G22" i="22" a="1"/>
  <c r="G22" i="22" s="1"/>
  <c r="F48" i="20" a="1"/>
  <c r="F48" i="20" s="1"/>
  <c r="H48" i="20" a="1"/>
  <c r="H48" i="20" s="1"/>
  <c r="C26" i="27" a="1"/>
  <c r="C26" i="27" s="1"/>
  <c r="G24" i="22" a="1"/>
  <c r="G24" i="22" s="1"/>
  <c r="C24" i="22" a="1"/>
  <c r="C24" i="22" s="1"/>
  <c r="E32" i="36" a="1"/>
  <c r="E32" i="36" s="1"/>
  <c r="F31" i="35" a="1"/>
  <c r="F31" i="35" s="1"/>
  <c r="G48" i="39" a="1"/>
  <c r="G48" i="39" s="1"/>
  <c r="D57" i="38" a="1"/>
  <c r="D57" i="38" s="1"/>
  <c r="G58" i="32" a="1"/>
  <c r="G58" i="32" s="1"/>
  <c r="C26" i="31" a="1"/>
  <c r="C26" i="31" s="1"/>
  <c r="E21" i="31" a="1"/>
  <c r="E21" i="31" s="1"/>
  <c r="G37" i="38" a="1"/>
  <c r="G37" i="38" s="1"/>
  <c r="E37" i="38" a="1"/>
  <c r="E37" i="38" s="1"/>
  <c r="C56" i="37" a="1"/>
  <c r="C56" i="37" s="1"/>
  <c r="D48" i="37" a="1"/>
  <c r="D48" i="37" s="1"/>
  <c r="D36" i="32" a="1"/>
  <c r="D36" i="32" s="1"/>
  <c r="G21" i="22" a="1"/>
  <c r="G21" i="22" s="1"/>
  <c r="E50" i="21" a="1"/>
  <c r="E50" i="21" s="1"/>
  <c r="H25" i="27" a="1"/>
  <c r="H25" i="27" s="1"/>
  <c r="G41" i="22" a="1"/>
  <c r="G41" i="22" s="1"/>
  <c r="F23" i="20" a="1"/>
  <c r="F23" i="20" s="1"/>
  <c r="F43" i="19" a="1"/>
  <c r="F43" i="19" s="1"/>
  <c r="D47" i="21" a="1"/>
  <c r="D47" i="21" s="1"/>
  <c r="F46" i="22" a="1"/>
  <c r="F46" i="22" s="1"/>
  <c r="F31" i="29" a="1"/>
  <c r="F31" i="29" s="1"/>
  <c r="H50" i="19" a="1"/>
  <c r="H50" i="19" s="1"/>
  <c r="F56" i="32" a="1"/>
  <c r="F56" i="32" s="1"/>
  <c r="C56" i="32" a="1"/>
  <c r="C56" i="32" s="1"/>
  <c r="H26" i="27" a="1"/>
  <c r="H26" i="27" s="1"/>
  <c r="C29" i="35" a="1"/>
  <c r="C29" i="35" s="1"/>
  <c r="D29" i="35" a="1"/>
  <c r="D29" i="35" s="1"/>
  <c r="H57" i="38" a="1"/>
  <c r="H57" i="38" s="1"/>
  <c r="F37" i="38" a="1"/>
  <c r="F37" i="38" s="1"/>
  <c r="E56" i="37" a="1"/>
  <c r="E56" i="37" s="1"/>
  <c r="C48" i="37" a="1"/>
  <c r="C48" i="37" s="1"/>
  <c r="F48" i="37" a="1"/>
  <c r="F48" i="37" s="1"/>
  <c r="G36" i="32" a="1"/>
  <c r="G36" i="32" s="1"/>
  <c r="F36" i="26" a="1"/>
  <c r="F36" i="26" s="1"/>
  <c r="D21" i="22" a="1"/>
  <c r="D21" i="22" s="1"/>
  <c r="H64" i="25" a="1"/>
  <c r="H64" i="25" s="1"/>
  <c r="G52" i="21" a="1"/>
  <c r="G52" i="21" s="1"/>
  <c r="C50" i="21" a="1"/>
  <c r="C50" i="21" s="1"/>
  <c r="F44" i="20" a="1"/>
  <c r="F44" i="20" s="1"/>
  <c r="D48" i="29" a="1"/>
  <c r="D48" i="29" s="1"/>
  <c r="E41" i="22" a="1"/>
  <c r="E41" i="22" s="1"/>
  <c r="C41" i="22" a="1"/>
  <c r="C41" i="22" s="1"/>
  <c r="H23" i="20" a="1"/>
  <c r="H23" i="20" s="1"/>
  <c r="D43" i="19" a="1"/>
  <c r="D43" i="19" s="1"/>
  <c r="H43" i="19" a="1"/>
  <c r="H43" i="19" s="1"/>
  <c r="H47" i="21" a="1"/>
  <c r="H47" i="21" s="1"/>
  <c r="C42" i="20" a="1"/>
  <c r="C42" i="20" s="1"/>
  <c r="F47" i="20" a="1"/>
  <c r="F47" i="20" s="1"/>
  <c r="D45" i="19" a="1"/>
  <c r="D45" i="19" s="1"/>
  <c r="C26" i="19" a="1"/>
  <c r="C26" i="19" s="1"/>
  <c r="C53" i="21" a="1"/>
  <c r="C53" i="21" s="1"/>
  <c r="G53" i="21" a="1"/>
  <c r="G53" i="21" s="1"/>
  <c r="E61" i="25" a="1"/>
  <c r="E61" i="25" s="1"/>
  <c r="D55" i="22" a="1"/>
  <c r="D55" i="22" s="1"/>
  <c r="C62" i="28" a="1"/>
  <c r="C62" i="28" s="1"/>
  <c r="G49" i="19" a="1"/>
  <c r="G49" i="19" s="1"/>
  <c r="F59" i="26" a="1"/>
  <c r="F59" i="26" s="1"/>
  <c r="D43" i="21" a="1"/>
  <c r="D43" i="21" s="1"/>
  <c r="C43" i="29" a="1"/>
  <c r="C43" i="29" s="1"/>
  <c r="F44" i="19" a="1"/>
  <c r="F44" i="19" s="1"/>
  <c r="H17" i="22" a="1"/>
  <c r="H17" i="22" s="1"/>
  <c r="D17" i="22" a="1"/>
  <c r="D17" i="22" s="1"/>
  <c r="F36" i="21" a="1"/>
  <c r="F36" i="21" s="1"/>
  <c r="D36" i="21" a="1"/>
  <c r="D36" i="21" s="1"/>
  <c r="E36" i="21" a="1"/>
  <c r="E36" i="21" s="1"/>
  <c r="E23" i="37" a="1"/>
  <c r="E23" i="37" s="1"/>
  <c r="H23" i="37" a="1"/>
  <c r="H23" i="37" s="1"/>
  <c r="F23" i="37" a="1"/>
  <c r="F23" i="37" s="1"/>
  <c r="G23" i="37" a="1"/>
  <c r="G23" i="37" s="1"/>
  <c r="H30" i="37" a="1"/>
  <c r="H30" i="37" s="1"/>
  <c r="G30" i="37" a="1"/>
  <c r="G30" i="37" s="1"/>
  <c r="D30" i="37" a="1"/>
  <c r="D30" i="37" s="1"/>
  <c r="E30" i="37" a="1"/>
  <c r="E30" i="37" s="1"/>
  <c r="D46" i="37" a="1"/>
  <c r="D46" i="37" s="1"/>
  <c r="G46" i="37" a="1"/>
  <c r="G46" i="37" s="1"/>
  <c r="E46" i="37" a="1"/>
  <c r="E46" i="37" s="1"/>
  <c r="C46" i="37" a="1"/>
  <c r="C46" i="37" s="1"/>
  <c r="F46" i="37" a="1"/>
  <c r="F46" i="37" s="1"/>
  <c r="H46" i="37" a="1"/>
  <c r="H46" i="37" s="1"/>
  <c r="E35" i="38" a="1"/>
  <c r="E35" i="38" s="1"/>
  <c r="F35" i="38" a="1"/>
  <c r="F35" i="38" s="1"/>
  <c r="H35" i="38" a="1"/>
  <c r="H35" i="38" s="1"/>
  <c r="D35" i="38" a="1"/>
  <c r="D35" i="38" s="1"/>
  <c r="G35" i="38" a="1"/>
  <c r="G35" i="38" s="1"/>
  <c r="H41" i="21" a="1"/>
  <c r="H41" i="21" s="1"/>
  <c r="H18" i="22" a="1"/>
  <c r="H18" i="22" s="1"/>
  <c r="E18" i="22" a="1"/>
  <c r="E18" i="22" s="1"/>
  <c r="G18" i="22" a="1"/>
  <c r="G18" i="22" s="1"/>
  <c r="E20" i="29" a="1"/>
  <c r="E20" i="29" s="1"/>
  <c r="H48" i="22" a="1"/>
  <c r="H48" i="22" s="1"/>
  <c r="G24" i="28" a="1"/>
  <c r="G24" i="28" s="1"/>
  <c r="F24" i="28" a="1"/>
  <c r="F24" i="28" s="1"/>
  <c r="E24" i="28" a="1"/>
  <c r="E24" i="28" s="1"/>
  <c r="F18" i="19" a="1"/>
  <c r="F18" i="19" s="1"/>
  <c r="C20" i="27" a="1"/>
  <c r="C20" i="27" s="1"/>
  <c r="C60" i="28" a="1"/>
  <c r="C60" i="28" s="1"/>
  <c r="E60" i="28" a="1"/>
  <c r="E60" i="28" s="1"/>
  <c r="D60" i="28" a="1"/>
  <c r="D60" i="28" s="1"/>
  <c r="D42" i="22" a="1"/>
  <c r="D42" i="22" s="1"/>
  <c r="H25" i="19" a="1"/>
  <c r="H25" i="19" s="1"/>
  <c r="E18" i="21" a="1"/>
  <c r="E18" i="21" s="1"/>
  <c r="C18" i="21" a="1"/>
  <c r="C18" i="21" s="1"/>
  <c r="F18" i="21" a="1"/>
  <c r="F18" i="21" s="1"/>
  <c r="F58" i="28" a="1"/>
  <c r="F58" i="28" s="1"/>
  <c r="C60" i="26" a="1"/>
  <c r="C60" i="26" s="1"/>
  <c r="G43" i="22" a="1"/>
  <c r="G43" i="22" s="1"/>
  <c r="E43" i="22" a="1"/>
  <c r="E43" i="22" s="1"/>
  <c r="F43" i="22" a="1"/>
  <c r="F43" i="22" s="1"/>
  <c r="H49" i="20" a="1"/>
  <c r="H49" i="20" s="1"/>
  <c r="F61" i="27" a="1"/>
  <c r="F61" i="27" s="1"/>
  <c r="G62" i="26" a="1"/>
  <c r="G62" i="26" s="1"/>
  <c r="F62" i="26" a="1"/>
  <c r="F62" i="26" s="1"/>
  <c r="C62" i="26" a="1"/>
  <c r="C62" i="26" s="1"/>
  <c r="H40" i="21" a="1"/>
  <c r="H40" i="21" s="1"/>
  <c r="D40" i="21" a="1"/>
  <c r="D40" i="21" s="1"/>
  <c r="E40" i="21" a="1"/>
  <c r="E40" i="21" s="1"/>
  <c r="D19" i="22" a="1"/>
  <c r="D19" i="22" s="1"/>
  <c r="C19" i="22" a="1"/>
  <c r="C19" i="22" s="1"/>
  <c r="F56" i="21" a="1"/>
  <c r="F56" i="21" s="1"/>
  <c r="E56" i="21" a="1"/>
  <c r="E56" i="21" s="1"/>
  <c r="H56" i="21" a="1"/>
  <c r="H56" i="21" s="1"/>
  <c r="D21" i="19" a="1"/>
  <c r="D21" i="19" s="1"/>
  <c r="F52" i="19" a="1"/>
  <c r="F52" i="19" s="1"/>
  <c r="C52" i="19" a="1"/>
  <c r="C52" i="19" s="1"/>
  <c r="D61" i="26" a="1"/>
  <c r="D61" i="26" s="1"/>
  <c r="H61" i="26" a="1"/>
  <c r="H61" i="26" s="1"/>
  <c r="E61" i="26" a="1"/>
  <c r="E61" i="26" s="1"/>
  <c r="C51" i="20" a="1"/>
  <c r="C51" i="20" s="1"/>
  <c r="H44" i="21" a="1"/>
  <c r="H44" i="21" s="1"/>
  <c r="E44" i="21" a="1"/>
  <c r="E44" i="21" s="1"/>
  <c r="F53" i="19" a="1"/>
  <c r="F53" i="19" s="1"/>
  <c r="H53" i="19" a="1"/>
  <c r="H53" i="19" s="1"/>
  <c r="E53" i="19" a="1"/>
  <c r="E53" i="19" s="1"/>
  <c r="E57" i="19" a="1"/>
  <c r="E57" i="19" s="1"/>
  <c r="H31" i="31" a="1"/>
  <c r="H31" i="31" s="1"/>
  <c r="G31" i="31" a="1"/>
  <c r="G31" i="31" s="1"/>
  <c r="C52" i="22" a="1"/>
  <c r="C52" i="22" s="1"/>
  <c r="H52" i="22" a="1"/>
  <c r="H52" i="22" s="1"/>
  <c r="F52" i="22" a="1"/>
  <c r="F52" i="22" s="1"/>
  <c r="F23" i="22" a="1"/>
  <c r="F23" i="22" s="1"/>
  <c r="H20" i="28" a="1"/>
  <c r="H20" i="28" s="1"/>
  <c r="E20" i="28" a="1"/>
  <c r="E20" i="28" s="1"/>
  <c r="C24" i="21" a="1"/>
  <c r="C24" i="21" s="1"/>
  <c r="E24" i="21" a="1"/>
  <c r="E24" i="21" s="1"/>
  <c r="H24" i="21" a="1"/>
  <c r="H24" i="21" s="1"/>
  <c r="H26" i="22" a="1"/>
  <c r="H26" i="22" s="1"/>
  <c r="H20" i="22" a="1"/>
  <c r="H20" i="22" s="1"/>
  <c r="D20" i="22" a="1"/>
  <c r="D20" i="22" s="1"/>
  <c r="D57" i="22" a="1"/>
  <c r="D57" i="22" s="1"/>
  <c r="G57" i="22" a="1"/>
  <c r="G57" i="22" s="1"/>
  <c r="H57" i="22" a="1"/>
  <c r="H57" i="22" s="1"/>
  <c r="H34" i="21" a="1"/>
  <c r="H34" i="21" s="1"/>
  <c r="D34" i="21" a="1"/>
  <c r="D34" i="21" s="1"/>
  <c r="G34" i="21" a="1"/>
  <c r="G34" i="21" s="1"/>
  <c r="H36" i="21" a="1"/>
  <c r="H36" i="21" s="1"/>
  <c r="H53" i="32" a="1"/>
  <c r="H53" i="32" s="1"/>
  <c r="F53" i="32" a="1"/>
  <c r="F53" i="32" s="1"/>
  <c r="C53" i="32" a="1"/>
  <c r="C53" i="32" s="1"/>
  <c r="D53" i="32" a="1"/>
  <c r="D53" i="32" s="1"/>
  <c r="C24" i="20" a="1"/>
  <c r="C24" i="20" s="1"/>
  <c r="H24" i="20" a="1"/>
  <c r="H24" i="20" s="1"/>
  <c r="E24" i="20" a="1"/>
  <c r="E24" i="20" s="1"/>
  <c r="F24" i="20" a="1"/>
  <c r="F24" i="20" s="1"/>
  <c r="D23" i="37" a="1"/>
  <c r="D23" i="37" s="1"/>
  <c r="D60" i="37" a="1"/>
  <c r="D60" i="37" s="1"/>
  <c r="E60" i="37" a="1"/>
  <c r="E60" i="37" s="1"/>
  <c r="H60" i="37" a="1"/>
  <c r="H60" i="37" s="1"/>
  <c r="F60" i="37" a="1"/>
  <c r="F60" i="37" s="1"/>
  <c r="C30" i="37" a="1"/>
  <c r="C30" i="37" s="1"/>
  <c r="F36" i="38" a="1"/>
  <c r="F36" i="38" s="1"/>
  <c r="E36" i="38" a="1"/>
  <c r="E36" i="38" s="1"/>
  <c r="G36" i="38" a="1"/>
  <c r="G36" i="38" s="1"/>
  <c r="C36" i="38" a="1"/>
  <c r="C36" i="38" s="1"/>
  <c r="C25" i="31" a="1"/>
  <c r="C25" i="31" s="1"/>
  <c r="H25" i="31" a="1"/>
  <c r="H25" i="31" s="1"/>
  <c r="D25" i="31" a="1"/>
  <c r="D25" i="31" s="1"/>
  <c r="E25" i="31" a="1"/>
  <c r="E25" i="31" s="1"/>
  <c r="G25" i="31" a="1"/>
  <c r="G25" i="31" s="1"/>
  <c r="F25" i="31" a="1"/>
  <c r="F25" i="31" s="1"/>
  <c r="C35" i="38" a="1"/>
  <c r="C35" i="38" s="1"/>
  <c r="G21" i="28" a="1"/>
  <c r="G21" i="28" s="1"/>
  <c r="H21" i="28" a="1"/>
  <c r="H21" i="28" s="1"/>
  <c r="F19" i="19" a="1"/>
  <c r="F19" i="19" s="1"/>
  <c r="D19" i="19" a="1"/>
  <c r="D19" i="19" s="1"/>
  <c r="D59" i="29" a="1"/>
  <c r="D59" i="29" s="1"/>
  <c r="G63" i="28" a="1"/>
  <c r="G63" i="28" s="1"/>
  <c r="H36" i="27" a="1"/>
  <c r="H36" i="27" s="1"/>
  <c r="F41" i="21" a="1"/>
  <c r="F41" i="21" s="1"/>
  <c r="D18" i="22" a="1"/>
  <c r="D18" i="22" s="1"/>
  <c r="D44" i="19" a="1"/>
  <c r="D44" i="19" s="1"/>
  <c r="H44" i="19" a="1"/>
  <c r="H44" i="19" s="1"/>
  <c r="G44" i="19" a="1"/>
  <c r="G44" i="19" s="1"/>
  <c r="F48" i="22" a="1"/>
  <c r="F48" i="22" s="1"/>
  <c r="H24" i="28" a="1"/>
  <c r="H24" i="28" s="1"/>
  <c r="C21" i="28" a="1"/>
  <c r="C21" i="28" s="1"/>
  <c r="D21" i="28" a="1"/>
  <c r="D21" i="28" s="1"/>
  <c r="F21" i="28" a="1"/>
  <c r="F21" i="28" s="1"/>
  <c r="H20" i="27" a="1"/>
  <c r="H20" i="27" s="1"/>
  <c r="H60" i="28" a="1"/>
  <c r="H60" i="28" s="1"/>
  <c r="C17" i="22" a="1"/>
  <c r="C17" i="22" s="1"/>
  <c r="F17" i="22" a="1"/>
  <c r="F17" i="22" s="1"/>
  <c r="G17" i="22" a="1"/>
  <c r="G17" i="22" s="1"/>
  <c r="F25" i="19" a="1"/>
  <c r="F25" i="19" s="1"/>
  <c r="G18" i="21" a="1"/>
  <c r="G18" i="21" s="1"/>
  <c r="G19" i="19" a="1"/>
  <c r="G19" i="19" s="1"/>
  <c r="C19" i="19" a="1"/>
  <c r="C19" i="19" s="1"/>
  <c r="E19" i="19" a="1"/>
  <c r="E19" i="19" s="1"/>
  <c r="G60" i="26" a="1"/>
  <c r="G60" i="26" s="1"/>
  <c r="H43" i="22" a="1"/>
  <c r="H43" i="22" s="1"/>
  <c r="E59" i="29" a="1"/>
  <c r="E59" i="29" s="1"/>
  <c r="H59" i="29" a="1"/>
  <c r="H59" i="29" s="1"/>
  <c r="G59" i="29" a="1"/>
  <c r="G59" i="29" s="1"/>
  <c r="E61" i="27" a="1"/>
  <c r="E61" i="27" s="1"/>
  <c r="H62" i="26" a="1"/>
  <c r="H62" i="26" s="1"/>
  <c r="E63" i="28" a="1"/>
  <c r="E63" i="28" s="1"/>
  <c r="C63" i="28" a="1"/>
  <c r="C63" i="28" s="1"/>
  <c r="D63" i="28" a="1"/>
  <c r="D63" i="28" s="1"/>
  <c r="G19" i="22" a="1"/>
  <c r="G19" i="22" s="1"/>
  <c r="E21" i="19" a="1"/>
  <c r="E21" i="19" s="1"/>
  <c r="C21" i="19" a="1"/>
  <c r="C21" i="19" s="1"/>
  <c r="H21" i="19" a="1"/>
  <c r="H21" i="19" s="1"/>
  <c r="G52" i="19" a="1"/>
  <c r="G52" i="19" s="1"/>
  <c r="F27" i="31" a="1"/>
  <c r="F27" i="31" s="1"/>
  <c r="C27" i="31" a="1"/>
  <c r="C27" i="31" s="1"/>
  <c r="D27" i="31" a="1"/>
  <c r="D27" i="31" s="1"/>
  <c r="H27" i="31" a="1"/>
  <c r="H27" i="31" s="1"/>
  <c r="H44" i="39" a="1"/>
  <c r="H44" i="39" s="1"/>
  <c r="E44" i="39" a="1"/>
  <c r="E44" i="39" s="1"/>
  <c r="F44" i="39" a="1"/>
  <c r="F44" i="39" s="1"/>
  <c r="C44" i="39" a="1"/>
  <c r="C44" i="39" s="1"/>
  <c r="D59" i="39" a="1"/>
  <c r="D59" i="39" s="1"/>
  <c r="C59" i="39" a="1"/>
  <c r="C59" i="39" s="1"/>
  <c r="E59" i="39" a="1"/>
  <c r="E59" i="39" s="1"/>
  <c r="G59" i="39" a="1"/>
  <c r="G59" i="39" s="1"/>
  <c r="D46" i="19" a="1"/>
  <c r="D46" i="19" s="1"/>
  <c r="C46" i="19" a="1"/>
  <c r="C46" i="19" s="1"/>
  <c r="H46" i="19" a="1"/>
  <c r="H46" i="19" s="1"/>
  <c r="E46" i="19" a="1"/>
  <c r="E46" i="19" s="1"/>
  <c r="F26" i="29" a="1"/>
  <c r="F26" i="29" s="1"/>
  <c r="G26" i="29" a="1"/>
  <c r="G26" i="29" s="1"/>
  <c r="E26" i="29" a="1"/>
  <c r="E26" i="29" s="1"/>
  <c r="C26" i="29" a="1"/>
  <c r="C26" i="29" s="1"/>
  <c r="G45" i="21" a="1"/>
  <c r="G45" i="21" s="1"/>
  <c r="D45" i="21" a="1"/>
  <c r="D45" i="21" s="1"/>
  <c r="F45" i="21" a="1"/>
  <c r="F45" i="21" s="1"/>
  <c r="C45" i="21" a="1"/>
  <c r="C45" i="21" s="1"/>
  <c r="E60" i="25" a="1"/>
  <c r="E60" i="25" s="1"/>
  <c r="G60" i="25" a="1"/>
  <c r="G60" i="25" s="1"/>
  <c r="C60" i="25" a="1"/>
  <c r="C60" i="25" s="1"/>
  <c r="H60" i="25" a="1"/>
  <c r="H60" i="25" s="1"/>
  <c r="F57" i="22" a="1"/>
  <c r="F57" i="22" s="1"/>
  <c r="F46" i="27" a="1"/>
  <c r="F46" i="27" s="1"/>
  <c r="H46" i="27" a="1"/>
  <c r="H46" i="27" s="1"/>
  <c r="D46" i="27" a="1"/>
  <c r="D46" i="27" s="1"/>
  <c r="G36" i="21" a="1"/>
  <c r="G36" i="21" s="1"/>
  <c r="E53" i="32" a="1"/>
  <c r="E53" i="32" s="1"/>
  <c r="E20" i="32" a="1"/>
  <c r="E20" i="32" s="1"/>
  <c r="D20" i="32" a="1"/>
  <c r="D20" i="32" s="1"/>
  <c r="C20" i="32" a="1"/>
  <c r="C20" i="32" s="1"/>
  <c r="G20" i="32" a="1"/>
  <c r="G20" i="32" s="1"/>
  <c r="C23" i="37" a="1"/>
  <c r="C23" i="37" s="1"/>
  <c r="C60" i="37" a="1"/>
  <c r="C60" i="37" s="1"/>
  <c r="H50" i="37" a="1"/>
  <c r="H50" i="37" s="1"/>
  <c r="G50" i="37" a="1"/>
  <c r="G50" i="37" s="1"/>
  <c r="F50" i="37" a="1"/>
  <c r="F50" i="37" s="1"/>
  <c r="D50" i="37" a="1"/>
  <c r="D50" i="37" s="1"/>
  <c r="F30" i="37" a="1"/>
  <c r="F30" i="37" s="1"/>
  <c r="H36" i="38" a="1"/>
  <c r="H36" i="38" s="1"/>
  <c r="C44" i="19" a="1"/>
  <c r="C44" i="19" s="1"/>
  <c r="F59" i="29" a="1"/>
  <c r="F59" i="29" s="1"/>
  <c r="F63" i="28" a="1"/>
  <c r="F63" i="28" s="1"/>
  <c r="E36" i="27" a="1"/>
  <c r="E36" i="27" s="1"/>
  <c r="G36" i="27" a="1"/>
  <c r="G36" i="27" s="1"/>
  <c r="D36" i="27" a="1"/>
  <c r="D36" i="27" s="1"/>
  <c r="C18" i="22" a="1"/>
  <c r="C18" i="22" s="1"/>
  <c r="D24" i="28" a="1"/>
  <c r="D24" i="28" s="1"/>
  <c r="F60" i="28" a="1"/>
  <c r="F60" i="28" s="1"/>
  <c r="H18" i="21" a="1"/>
  <c r="H18" i="21" s="1"/>
  <c r="D43" i="22" a="1"/>
  <c r="D43" i="22" s="1"/>
  <c r="D62" i="26" a="1"/>
  <c r="D62" i="26" s="1"/>
  <c r="E19" i="22" a="1"/>
  <c r="E19" i="22" s="1"/>
  <c r="E52" i="19" a="1"/>
  <c r="E52" i="19" s="1"/>
  <c r="C44" i="21" a="1"/>
  <c r="C44" i="21" s="1"/>
  <c r="F31" i="31" a="1"/>
  <c r="F31" i="31" s="1"/>
  <c r="D20" i="28" a="1"/>
  <c r="D20" i="28" s="1"/>
  <c r="G20" i="22" a="1"/>
  <c r="G20" i="22" s="1"/>
  <c r="D27" i="38" a="1"/>
  <c r="D27" i="38" s="1"/>
  <c r="C27" i="38" a="1"/>
  <c r="C27" i="38" s="1"/>
  <c r="H27" i="38" a="1"/>
  <c r="H27" i="38" s="1"/>
  <c r="E27" i="38" a="1"/>
  <c r="E27" i="38" s="1"/>
  <c r="F27" i="38" a="1"/>
  <c r="F27" i="38" s="1"/>
  <c r="F32" i="39" a="1"/>
  <c r="F32" i="39" s="1"/>
  <c r="G32" i="39" a="1"/>
  <c r="G32" i="39" s="1"/>
  <c r="E32" i="39" a="1"/>
  <c r="E32" i="39" s="1"/>
  <c r="D32" i="39" a="1"/>
  <c r="D32" i="39" s="1"/>
  <c r="H32" i="39" a="1"/>
  <c r="H32" i="39" s="1"/>
  <c r="D62" i="39" a="1"/>
  <c r="D62" i="39" s="1"/>
  <c r="E62" i="39" a="1"/>
  <c r="E62" i="39" s="1"/>
  <c r="F62" i="39" a="1"/>
  <c r="F62" i="39" s="1"/>
  <c r="H62" i="39" a="1"/>
  <c r="H62" i="39" s="1"/>
  <c r="G62" i="39" a="1"/>
  <c r="G62" i="39" s="1"/>
  <c r="G25" i="22" a="1"/>
  <c r="G25" i="22" s="1"/>
  <c r="C25" i="22" a="1"/>
  <c r="C25" i="22" s="1"/>
  <c r="H25" i="22" a="1"/>
  <c r="H25" i="22" s="1"/>
  <c r="E25" i="22" a="1"/>
  <c r="E25" i="22" s="1"/>
  <c r="F25" i="22" a="1"/>
  <c r="F25" i="22" s="1"/>
  <c r="H22" i="28" a="1"/>
  <c r="H22" i="28" s="1"/>
  <c r="E22" i="28" a="1"/>
  <c r="E22" i="28" s="1"/>
  <c r="F22" i="28" a="1"/>
  <c r="F22" i="28" s="1"/>
  <c r="C22" i="28" a="1"/>
  <c r="C22" i="28" s="1"/>
  <c r="G22" i="28" a="1"/>
  <c r="G22" i="28" s="1"/>
  <c r="F24" i="27" a="1"/>
  <c r="F24" i="27" s="1"/>
  <c r="D24" i="27" a="1"/>
  <c r="D24" i="27" s="1"/>
  <c r="E24" i="27" a="1"/>
  <c r="E24" i="27" s="1"/>
  <c r="G24" i="27" a="1"/>
  <c r="G24" i="27" s="1"/>
  <c r="C24" i="27" a="1"/>
  <c r="C24" i="27" s="1"/>
  <c r="H45" i="21" a="1"/>
  <c r="H45" i="21" s="1"/>
  <c r="D60" i="25" a="1"/>
  <c r="D60" i="25" s="1"/>
  <c r="E57" i="22" a="1"/>
  <c r="E57" i="22" s="1"/>
  <c r="H61" i="21" a="1"/>
  <c r="H61" i="21" s="1"/>
  <c r="D61" i="21" a="1"/>
  <c r="D61" i="21" s="1"/>
  <c r="E61" i="21" a="1"/>
  <c r="E61" i="21" s="1"/>
  <c r="F34" i="21" a="1"/>
  <c r="F34" i="21" s="1"/>
  <c r="E46" i="27" a="1"/>
  <c r="E46" i="27" s="1"/>
  <c r="G53" i="32" a="1"/>
  <c r="G53" i="32" s="1"/>
  <c r="E39" i="32" a="1"/>
  <c r="E39" i="32" s="1"/>
  <c r="C39" i="32" a="1"/>
  <c r="C39" i="32" s="1"/>
  <c r="G39" i="32" a="1"/>
  <c r="G39" i="32" s="1"/>
  <c r="F39" i="32" a="1"/>
  <c r="F39" i="32" s="1"/>
  <c r="H20" i="32" a="1"/>
  <c r="H20" i="32" s="1"/>
  <c r="D24" i="32" a="1"/>
  <c r="D24" i="32" s="1"/>
  <c r="H24" i="32" a="1"/>
  <c r="H24" i="32" s="1"/>
  <c r="G24" i="32" a="1"/>
  <c r="G24" i="32" s="1"/>
  <c r="C24" i="32" a="1"/>
  <c r="C24" i="32" s="1"/>
  <c r="G60" i="37" a="1"/>
  <c r="G60" i="37" s="1"/>
  <c r="E40" i="37" a="1"/>
  <c r="E40" i="37" s="1"/>
  <c r="G40" i="37" a="1"/>
  <c r="G40" i="37" s="1"/>
  <c r="F40" i="37" a="1"/>
  <c r="F40" i="37" s="1"/>
  <c r="H40" i="37" a="1"/>
  <c r="H40" i="37" s="1"/>
  <c r="D36" i="38" a="1"/>
  <c r="D36" i="38" s="1"/>
  <c r="D49" i="31" a="1"/>
  <c r="D49" i="31" s="1"/>
  <c r="E49" i="31" a="1"/>
  <c r="E49" i="31" s="1"/>
  <c r="C49" i="31" a="1"/>
  <c r="C49" i="31" s="1"/>
  <c r="G49" i="31" a="1"/>
  <c r="G49" i="31" s="1"/>
  <c r="H49" i="31" a="1"/>
  <c r="H49" i="31" s="1"/>
  <c r="E42" i="32" a="1"/>
  <c r="E42" i="32" s="1"/>
  <c r="G42" i="32" a="1"/>
  <c r="G42" i="32" s="1"/>
  <c r="C42" i="32" a="1"/>
  <c r="C42" i="32" s="1"/>
  <c r="F42" i="32" a="1"/>
  <c r="F42" i="32" s="1"/>
  <c r="E53" i="39" a="1"/>
  <c r="E53" i="39" s="1"/>
  <c r="F38" i="36" a="1"/>
  <c r="F38" i="36" s="1"/>
  <c r="D38" i="36" a="1"/>
  <c r="D38" i="36" s="1"/>
  <c r="G38" i="36" a="1"/>
  <c r="G38" i="36" s="1"/>
  <c r="E38" i="36" a="1"/>
  <c r="E38" i="36" s="1"/>
  <c r="F34" i="39" a="1"/>
  <c r="F34" i="39" s="1"/>
  <c r="H22" i="46" a="1"/>
  <c r="H22" i="46" s="1"/>
  <c r="E22" i="46" a="1"/>
  <c r="E22" i="46" s="1"/>
  <c r="D22" i="46" a="1"/>
  <c r="D22" i="46" s="1"/>
  <c r="F22" i="46" a="1"/>
  <c r="F22" i="46" s="1"/>
  <c r="G29" i="47" a="1"/>
  <c r="G29" i="47" s="1"/>
  <c r="D64" i="36" a="1"/>
  <c r="D64" i="36" s="1"/>
  <c r="H64" i="36" a="1"/>
  <c r="H64" i="36" s="1"/>
  <c r="E64" i="36" a="1"/>
  <c r="E64" i="36" s="1"/>
  <c r="G64" i="36" a="1"/>
  <c r="G64" i="36" s="1"/>
  <c r="D57" i="36" a="1"/>
  <c r="D57" i="36" s="1"/>
  <c r="G22" i="27" a="1"/>
  <c r="G22" i="27" s="1"/>
  <c r="H22" i="27" a="1"/>
  <c r="H22" i="27" s="1"/>
  <c r="G56" i="22" a="1"/>
  <c r="G56" i="22" s="1"/>
  <c r="C56" i="22" a="1"/>
  <c r="C56" i="22" s="1"/>
  <c r="D45" i="25" a="1"/>
  <c r="D45" i="25" s="1"/>
  <c r="H45" i="25" a="1"/>
  <c r="H45" i="25" s="1"/>
  <c r="F35" i="26" a="1"/>
  <c r="F35" i="26" s="1"/>
  <c r="H35" i="26" a="1"/>
  <c r="H35" i="26" s="1"/>
  <c r="E46" i="28" a="1"/>
  <c r="E46" i="28" s="1"/>
  <c r="D46" i="28" a="1"/>
  <c r="D46" i="28" s="1"/>
  <c r="C29" i="32" a="1"/>
  <c r="C29" i="32" s="1"/>
  <c r="E29" i="32" a="1"/>
  <c r="E29" i="32" s="1"/>
  <c r="G45" i="20" a="1"/>
  <c r="G45" i="20" s="1"/>
  <c r="C45" i="20" a="1"/>
  <c r="C45" i="20" s="1"/>
  <c r="H54" i="21" a="1"/>
  <c r="H54" i="21" s="1"/>
  <c r="E54" i="21" a="1"/>
  <c r="E54" i="21" s="1"/>
  <c r="F54" i="21" a="1"/>
  <c r="F54" i="21" s="1"/>
  <c r="E61" i="20" a="1"/>
  <c r="E61" i="20" s="1"/>
  <c r="D61" i="20" a="1"/>
  <c r="D61" i="20" s="1"/>
  <c r="D36" i="19" a="1"/>
  <c r="D36" i="19" s="1"/>
  <c r="H36" i="37" a="1"/>
  <c r="H36" i="37" s="1"/>
  <c r="G41" i="37" a="1"/>
  <c r="G41" i="37" s="1"/>
  <c r="E41" i="37" a="1"/>
  <c r="E41" i="37" s="1"/>
  <c r="F41" i="37" a="1"/>
  <c r="F41" i="37" s="1"/>
  <c r="G60" i="38" a="1"/>
  <c r="G60" i="38" s="1"/>
  <c r="F31" i="37" a="1"/>
  <c r="F31" i="37" s="1"/>
  <c r="C31" i="37" a="1"/>
  <c r="C31" i="37" s="1"/>
  <c r="D31" i="37" a="1"/>
  <c r="D31" i="37" s="1"/>
  <c r="E58" i="37" a="1"/>
  <c r="E58" i="37" s="1"/>
  <c r="C38" i="37" a="1"/>
  <c r="C38" i="37" s="1"/>
  <c r="H38" i="37" a="1"/>
  <c r="H38" i="37" s="1"/>
  <c r="F38" i="37" a="1"/>
  <c r="F38" i="37" s="1"/>
  <c r="C39" i="37" a="1"/>
  <c r="C39" i="37" s="1"/>
  <c r="H35" i="37" a="1"/>
  <c r="H35" i="37" s="1"/>
  <c r="F35" i="37" a="1"/>
  <c r="F35" i="37" s="1"/>
  <c r="G35" i="37" a="1"/>
  <c r="G35" i="37" s="1"/>
  <c r="C17" i="38" a="1"/>
  <c r="C17" i="38" s="1"/>
  <c r="D17" i="38" a="1"/>
  <c r="D17" i="38" s="1"/>
  <c r="G53" i="37" a="1"/>
  <c r="G53" i="37" s="1"/>
  <c r="D53" i="37" a="1"/>
  <c r="D53" i="37" s="1"/>
  <c r="E53" i="37" a="1"/>
  <c r="E53" i="37" s="1"/>
  <c r="F53" i="37" a="1"/>
  <c r="F53" i="37" s="1"/>
  <c r="H53" i="37" a="1"/>
  <c r="H53" i="37" s="1"/>
  <c r="D35" i="31" a="1"/>
  <c r="D35" i="31" s="1"/>
  <c r="F35" i="31" a="1"/>
  <c r="F35" i="31" s="1"/>
  <c r="G35" i="31" a="1"/>
  <c r="G35" i="31" s="1"/>
  <c r="C35" i="31" a="1"/>
  <c r="C35" i="31" s="1"/>
  <c r="H35" i="31" a="1"/>
  <c r="H35" i="31" s="1"/>
  <c r="H42" i="32" a="1"/>
  <c r="H42" i="32" s="1"/>
  <c r="F55" i="32" a="1"/>
  <c r="F55" i="32" s="1"/>
  <c r="D55" i="32" a="1"/>
  <c r="D55" i="32" s="1"/>
  <c r="C55" i="32" a="1"/>
  <c r="C55" i="32" s="1"/>
  <c r="G55" i="32" a="1"/>
  <c r="G55" i="32" s="1"/>
  <c r="E53" i="31" a="1"/>
  <c r="E53" i="31" s="1"/>
  <c r="G53" i="31" a="1"/>
  <c r="G53" i="31" s="1"/>
  <c r="D53" i="31" a="1"/>
  <c r="D53" i="31" s="1"/>
  <c r="H53" i="31" a="1"/>
  <c r="H53" i="31" s="1"/>
  <c r="C22" i="46" a="1"/>
  <c r="C22" i="46" s="1"/>
  <c r="D19" i="21" a="1"/>
  <c r="D19" i="21" s="1"/>
  <c r="G59" i="28" a="1"/>
  <c r="G59" i="28" s="1"/>
  <c r="E49" i="22" a="1"/>
  <c r="E49" i="22" s="1"/>
  <c r="F25" i="28" a="1"/>
  <c r="F25" i="28" s="1"/>
  <c r="F63" i="27" a="1"/>
  <c r="F63" i="27" s="1"/>
  <c r="G45" i="27" a="1"/>
  <c r="G45" i="27" s="1"/>
  <c r="D31" i="32" a="1"/>
  <c r="D31" i="32" s="1"/>
  <c r="E20" i="37" a="1"/>
  <c r="E20" i="37" s="1"/>
  <c r="C30" i="39" a="1"/>
  <c r="C30" i="39" s="1"/>
  <c r="F63" i="39" a="1"/>
  <c r="F63" i="39" s="1"/>
  <c r="H39" i="35" a="1"/>
  <c r="H39" i="35" s="1"/>
  <c r="C55" i="37" a="1"/>
  <c r="C55" i="37" s="1"/>
  <c r="C45" i="32" a="1"/>
  <c r="C45" i="32" s="1"/>
  <c r="C23" i="28" a="1"/>
  <c r="C23" i="28" s="1"/>
  <c r="F22" i="19" a="1"/>
  <c r="F22" i="19" s="1"/>
  <c r="F42" i="21" a="1"/>
  <c r="F42" i="21" s="1"/>
  <c r="G22" i="21" a="1"/>
  <c r="G22" i="21" s="1"/>
  <c r="G47" i="19" a="1"/>
  <c r="G47" i="19" s="1"/>
  <c r="E54" i="19" a="1"/>
  <c r="E54" i="19" s="1"/>
  <c r="F17" i="28" a="1"/>
  <c r="F17" i="28" s="1"/>
  <c r="D18" i="20" a="1"/>
  <c r="D18" i="20" s="1"/>
  <c r="G54" i="20" a="1"/>
  <c r="G54" i="20" s="1"/>
  <c r="C33" i="32" a="1"/>
  <c r="C33" i="32" s="1"/>
  <c r="F22" i="32" a="1"/>
  <c r="F22" i="32" s="1"/>
  <c r="E36" i="28" a="1"/>
  <c r="E36" i="28" s="1"/>
  <c r="G35" i="25" a="1"/>
  <c r="G35" i="25" s="1"/>
  <c r="C26" i="32" a="1"/>
  <c r="C26" i="32" s="1"/>
  <c r="H36" i="25" a="1"/>
  <c r="H36" i="25" s="1"/>
  <c r="H35" i="27" a="1"/>
  <c r="H35" i="27" s="1"/>
  <c r="E23" i="29" a="1"/>
  <c r="E23" i="29" s="1"/>
  <c r="H26" i="20" a="1"/>
  <c r="H26" i="20" s="1"/>
  <c r="D25" i="21" a="1"/>
  <c r="D25" i="21" s="1"/>
  <c r="G54" i="21" a="1"/>
  <c r="G54" i="21" s="1"/>
  <c r="E18" i="32" a="1"/>
  <c r="E18" i="32" s="1"/>
  <c r="F49" i="37" a="1"/>
  <c r="F49" i="37" s="1"/>
  <c r="C41" i="37" a="1"/>
  <c r="C41" i="37" s="1"/>
  <c r="F21" i="37" a="1"/>
  <c r="F21" i="37" s="1"/>
  <c r="E31" i="37" a="1"/>
  <c r="E31" i="37" s="1"/>
  <c r="G42" i="37" a="1"/>
  <c r="G42" i="37" s="1"/>
  <c r="E38" i="37" a="1"/>
  <c r="E38" i="37" s="1"/>
  <c r="F45" i="37" a="1"/>
  <c r="F45" i="37" s="1"/>
  <c r="C35" i="37" a="1"/>
  <c r="C35" i="37" s="1"/>
  <c r="H32" i="38" a="1"/>
  <c r="H32" i="38" s="1"/>
  <c r="D30" i="38" a="1"/>
  <c r="D30" i="38" s="1"/>
  <c r="E30" i="31" a="1"/>
  <c r="E30" i="31" s="1"/>
  <c r="F30" i="31" a="1"/>
  <c r="F30" i="31" s="1"/>
  <c r="C30" i="31" a="1"/>
  <c r="C30" i="31" s="1"/>
  <c r="G30" i="31" a="1"/>
  <c r="G30" i="31" s="1"/>
  <c r="D42" i="32" a="1"/>
  <c r="D42" i="32" s="1"/>
  <c r="E55" i="32" a="1"/>
  <c r="E55" i="32" s="1"/>
  <c r="C60" i="39" a="1"/>
  <c r="C60" i="39" s="1"/>
  <c r="F60" i="39" a="1"/>
  <c r="F60" i="39" s="1"/>
  <c r="H60" i="39" a="1"/>
  <c r="H60" i="39" s="1"/>
  <c r="E60" i="39" a="1"/>
  <c r="E60" i="39" s="1"/>
  <c r="H34" i="38" a="1"/>
  <c r="H34" i="38" s="1"/>
  <c r="F34" i="38" a="1"/>
  <c r="F34" i="38" s="1"/>
  <c r="E34" i="38" a="1"/>
  <c r="E34" i="38" s="1"/>
  <c r="D34" i="38" a="1"/>
  <c r="D34" i="38" s="1"/>
  <c r="F53" i="31" a="1"/>
  <c r="F53" i="31" s="1"/>
  <c r="G44" i="35" a="1"/>
  <c r="G44" i="35" s="1"/>
  <c r="E44" i="35" a="1"/>
  <c r="E44" i="35" s="1"/>
  <c r="F44" i="35" a="1"/>
  <c r="F44" i="35" s="1"/>
  <c r="H44" i="35" a="1"/>
  <c r="H44" i="35" s="1"/>
  <c r="F45" i="27" a="1"/>
  <c r="F45" i="27" s="1"/>
  <c r="D20" i="37" a="1"/>
  <c r="D20" i="37" s="1"/>
  <c r="H63" i="39" a="1"/>
  <c r="H63" i="39" s="1"/>
  <c r="D55" i="37" a="1"/>
  <c r="D55" i="37" s="1"/>
  <c r="H23" i="28" a="1"/>
  <c r="H23" i="28" s="1"/>
  <c r="C42" i="21" a="1"/>
  <c r="C42" i="21" s="1"/>
  <c r="F47" i="19" a="1"/>
  <c r="F47" i="19" s="1"/>
  <c r="C22" i="27" a="1"/>
  <c r="C22" i="27" s="1"/>
  <c r="D22" i="27" a="1"/>
  <c r="D22" i="27" s="1"/>
  <c r="E17" i="28" a="1"/>
  <c r="E17" i="28" s="1"/>
  <c r="F56" i="22" a="1"/>
  <c r="F56" i="22" s="1"/>
  <c r="H56" i="22" a="1"/>
  <c r="H56" i="22" s="1"/>
  <c r="F54" i="20" a="1"/>
  <c r="F54" i="20" s="1"/>
  <c r="F45" i="25" a="1"/>
  <c r="F45" i="25" s="1"/>
  <c r="E33" i="32" a="1"/>
  <c r="E33" i="32" s="1"/>
  <c r="D22" i="32" a="1"/>
  <c r="D22" i="32" s="1"/>
  <c r="D36" i="28" a="1"/>
  <c r="D36" i="28" s="1"/>
  <c r="D35" i="26" a="1"/>
  <c r="D35" i="26" s="1"/>
  <c r="F26" i="32" a="1"/>
  <c r="F26" i="32" s="1"/>
  <c r="D36" i="25" a="1"/>
  <c r="D36" i="25" s="1"/>
  <c r="G46" i="28" a="1"/>
  <c r="G46" i="28" s="1"/>
  <c r="F29" i="32" a="1"/>
  <c r="F29" i="32" s="1"/>
  <c r="G29" i="32" a="1"/>
  <c r="G29" i="32" s="1"/>
  <c r="E26" i="20" a="1"/>
  <c r="E26" i="20" s="1"/>
  <c r="F45" i="20" a="1"/>
  <c r="F45" i="20" s="1"/>
  <c r="D45" i="20" a="1"/>
  <c r="D45" i="20" s="1"/>
  <c r="D54" i="21" a="1"/>
  <c r="D54" i="21" s="1"/>
  <c r="F61" i="20" a="1"/>
  <c r="F61" i="20" s="1"/>
  <c r="D41" i="37" a="1"/>
  <c r="D41" i="37" s="1"/>
  <c r="H31" i="37" a="1"/>
  <c r="H31" i="37" s="1"/>
  <c r="D38" i="37" a="1"/>
  <c r="D38" i="37" s="1"/>
  <c r="E35" i="37" a="1"/>
  <c r="E35" i="37" s="1"/>
  <c r="H63" i="35" a="1"/>
  <c r="H63" i="35" s="1"/>
  <c r="C63" i="35" a="1"/>
  <c r="C63" i="35" s="1"/>
  <c r="E63" i="35" a="1"/>
  <c r="E63" i="35" s="1"/>
  <c r="F63" i="35" a="1"/>
  <c r="F63" i="35" s="1"/>
  <c r="D53" i="39" a="1"/>
  <c r="D53" i="39" s="1"/>
  <c r="C53" i="39" a="1"/>
  <c r="C53" i="39" s="1"/>
  <c r="H53" i="39" a="1"/>
  <c r="H53" i="39" s="1"/>
  <c r="F53" i="39" a="1"/>
  <c r="F53" i="39" s="1"/>
  <c r="C34" i="39" a="1"/>
  <c r="C34" i="39" s="1"/>
  <c r="E34" i="39" a="1"/>
  <c r="E34" i="39" s="1"/>
  <c r="G34" i="39" a="1"/>
  <c r="G34" i="39" s="1"/>
  <c r="H34" i="39" a="1"/>
  <c r="H34" i="39" s="1"/>
  <c r="C53" i="31" a="1"/>
  <c r="C53" i="31" s="1"/>
  <c r="E29" i="47" a="1"/>
  <c r="E29" i="47" s="1"/>
  <c r="D29" i="47" a="1"/>
  <c r="D29" i="47" s="1"/>
  <c r="H29" i="47" a="1"/>
  <c r="H29" i="47" s="1"/>
  <c r="C29" i="47" a="1"/>
  <c r="C29" i="47" s="1"/>
  <c r="H57" i="36" a="1"/>
  <c r="H57" i="36" s="1"/>
  <c r="C57" i="36" a="1"/>
  <c r="C57" i="36" s="1"/>
  <c r="E57" i="36" a="1"/>
  <c r="E57" i="36" s="1"/>
  <c r="G57" i="36" a="1"/>
  <c r="G57" i="36" s="1"/>
  <c r="D44" i="35" a="1"/>
  <c r="D44" i="35" s="1"/>
  <c r="G64" i="39" a="1"/>
  <c r="G64" i="39" s="1"/>
  <c r="C64" i="39" a="1"/>
  <c r="C64" i="39" s="1"/>
  <c r="E62" i="32" a="1"/>
  <c r="E62" i="32" s="1"/>
  <c r="G62" i="32" a="1"/>
  <c r="G62" i="32" s="1"/>
  <c r="C47" i="32" a="1"/>
  <c r="C47" i="32" s="1"/>
  <c r="F47" i="32" a="1"/>
  <c r="F47" i="32" s="1"/>
  <c r="G58" i="38" a="1"/>
  <c r="G58" i="38" s="1"/>
  <c r="F58" i="38" a="1"/>
  <c r="F58" i="38" s="1"/>
  <c r="D51" i="39" a="1"/>
  <c r="D51" i="39" s="1"/>
  <c r="E51" i="39" a="1"/>
  <c r="E51" i="39" s="1"/>
  <c r="D22" i="35" a="1"/>
  <c r="D22" i="35" s="1"/>
  <c r="F22" i="35" a="1"/>
  <c r="F22" i="35" s="1"/>
  <c r="C44" i="38" a="1"/>
  <c r="C44" i="38" s="1"/>
  <c r="E44" i="38" a="1"/>
  <c r="E44" i="38" s="1"/>
  <c r="H25" i="39" a="1"/>
  <c r="H25" i="39" s="1"/>
  <c r="F25" i="39" a="1"/>
  <c r="F25" i="39" s="1"/>
  <c r="G26" i="36" a="1"/>
  <c r="G26" i="36" s="1"/>
  <c r="E26" i="36" a="1"/>
  <c r="E26" i="36" s="1"/>
  <c r="D55" i="45" a="1"/>
  <c r="D55" i="45" s="1"/>
  <c r="F55" i="45" a="1"/>
  <c r="F55" i="45" s="1"/>
  <c r="E46" i="47" a="1"/>
  <c r="E46" i="47" s="1"/>
  <c r="C46" i="47" a="1"/>
  <c r="C46" i="47" s="1"/>
  <c r="G20" i="36" a="1"/>
  <c r="G20" i="36" s="1"/>
  <c r="F20" i="36" a="1"/>
  <c r="F20" i="36" s="1"/>
  <c r="F51" i="35" a="1"/>
  <c r="F51" i="35" s="1"/>
  <c r="C51" i="35" a="1"/>
  <c r="C51" i="35" s="1"/>
  <c r="G43" i="31" a="1"/>
  <c r="G43" i="31" s="1"/>
  <c r="F43" i="31" a="1"/>
  <c r="F43" i="31" s="1"/>
  <c r="E28" i="31" a="1"/>
  <c r="E28" i="31" s="1"/>
  <c r="H24" i="36" a="1"/>
  <c r="H24" i="36" s="1"/>
  <c r="F24" i="36" a="1"/>
  <c r="F24" i="36" s="1"/>
  <c r="F59" i="36" a="1"/>
  <c r="F59" i="36" s="1"/>
  <c r="C24" i="35" a="1"/>
  <c r="C24" i="35" s="1"/>
  <c r="E24" i="35" a="1"/>
  <c r="E24" i="35" s="1"/>
  <c r="E57" i="31" a="1"/>
  <c r="E57" i="31" s="1"/>
  <c r="E63" i="31" a="1"/>
  <c r="E63" i="31" s="1"/>
  <c r="C63" i="31" a="1"/>
  <c r="C63" i="31" s="1"/>
  <c r="F49" i="39" a="1"/>
  <c r="F49" i="39" s="1"/>
  <c r="F34" i="36" a="1"/>
  <c r="F34" i="36" s="1"/>
  <c r="C34" i="36" a="1"/>
  <c r="C34" i="36" s="1"/>
  <c r="C63" i="36" a="1"/>
  <c r="C63" i="36" s="1"/>
  <c r="C31" i="45" a="1"/>
  <c r="C31" i="45" s="1"/>
  <c r="H31" i="45" a="1"/>
  <c r="H31" i="45" s="1"/>
  <c r="C29" i="45" a="1"/>
  <c r="C29" i="45" s="1"/>
  <c r="D32" i="47" a="1"/>
  <c r="D32" i="47" s="1"/>
  <c r="H32" i="47" a="1"/>
  <c r="H32" i="47" s="1"/>
  <c r="F58" i="47" a="1"/>
  <c r="F58" i="47" s="1"/>
  <c r="D50" i="46" a="1"/>
  <c r="D50" i="46" s="1"/>
  <c r="F45" i="46" a="1"/>
  <c r="F45" i="46" s="1"/>
  <c r="D38" i="47" a="1"/>
  <c r="D38" i="47" s="1"/>
  <c r="H38" i="47" a="1"/>
  <c r="H38" i="47" s="1"/>
  <c r="F38" i="47" a="1"/>
  <c r="F38" i="47" s="1"/>
  <c r="C38" i="47" a="1"/>
  <c r="C38" i="47" s="1"/>
  <c r="G54" i="45" a="1"/>
  <c r="G54" i="45" s="1"/>
  <c r="E54" i="45" a="1"/>
  <c r="E54" i="45" s="1"/>
  <c r="F54" i="45" a="1"/>
  <c r="F54" i="45" s="1"/>
  <c r="D54" i="45" a="1"/>
  <c r="D54" i="45" s="1"/>
  <c r="C54" i="45" a="1"/>
  <c r="C54" i="45" s="1"/>
  <c r="E35" i="45" a="1"/>
  <c r="E35" i="45" s="1"/>
  <c r="G35" i="45" a="1"/>
  <c r="G35" i="45" s="1"/>
  <c r="F35" i="45" a="1"/>
  <c r="F35" i="45" s="1"/>
  <c r="H25" i="46" a="1"/>
  <c r="H25" i="46" s="1"/>
  <c r="D25" i="46" a="1"/>
  <c r="D25" i="46" s="1"/>
  <c r="F25" i="46" a="1"/>
  <c r="F25" i="46" s="1"/>
  <c r="C25" i="46" a="1"/>
  <c r="C25" i="46" s="1"/>
  <c r="H45" i="45" a="1"/>
  <c r="H45" i="45" s="1"/>
  <c r="G45" i="45" a="1"/>
  <c r="G45" i="45" s="1"/>
  <c r="E45" i="45" a="1"/>
  <c r="E45" i="45" s="1"/>
  <c r="H52" i="46" a="1"/>
  <c r="H52" i="46" s="1"/>
  <c r="E52" i="46" a="1"/>
  <c r="E52" i="46" s="1"/>
  <c r="D52" i="46" a="1"/>
  <c r="D52" i="46" s="1"/>
  <c r="F52" i="46" a="1"/>
  <c r="F52" i="46" s="1"/>
  <c r="H28" i="31" a="1"/>
  <c r="H28" i="31" s="1"/>
  <c r="F28" i="31" a="1"/>
  <c r="F28" i="31" s="1"/>
  <c r="C59" i="36" a="1"/>
  <c r="C59" i="36" s="1"/>
  <c r="E59" i="36" a="1"/>
  <c r="E59" i="36" s="1"/>
  <c r="H57" i="31" a="1"/>
  <c r="H57" i="31" s="1"/>
  <c r="C57" i="31" a="1"/>
  <c r="C57" i="31" s="1"/>
  <c r="H49" i="39" a="1"/>
  <c r="H49" i="39" s="1"/>
  <c r="C49" i="39" a="1"/>
  <c r="C49" i="39" s="1"/>
  <c r="E63" i="36" a="1"/>
  <c r="E63" i="36" s="1"/>
  <c r="F63" i="36" a="1"/>
  <c r="F63" i="36" s="1"/>
  <c r="F29" i="45" a="1"/>
  <c r="F29" i="45" s="1"/>
  <c r="E29" i="45" a="1"/>
  <c r="E29" i="45" s="1"/>
  <c r="E58" i="47" a="1"/>
  <c r="E58" i="47" s="1"/>
  <c r="C58" i="47" a="1"/>
  <c r="C58" i="47" s="1"/>
  <c r="H24" i="47" a="1"/>
  <c r="H24" i="47" s="1"/>
  <c r="F24" i="47" a="1"/>
  <c r="F24" i="47" s="1"/>
  <c r="D24" i="47" a="1"/>
  <c r="D24" i="47" s="1"/>
  <c r="G24" i="47" a="1"/>
  <c r="G24" i="47" s="1"/>
  <c r="E24" i="47" a="1"/>
  <c r="E24" i="47" s="1"/>
  <c r="F54" i="31" a="1"/>
  <c r="F54" i="31" s="1"/>
  <c r="H54" i="31" a="1"/>
  <c r="H54" i="31" s="1"/>
  <c r="D54" i="31" a="1"/>
  <c r="D54" i="31" s="1"/>
  <c r="G54" i="31" a="1"/>
  <c r="G54" i="31" s="1"/>
  <c r="C54" i="31" a="1"/>
  <c r="C54" i="31" s="1"/>
  <c r="E45" i="36" a="1"/>
  <c r="E45" i="36" s="1"/>
  <c r="H45" i="36" a="1"/>
  <c r="H45" i="36" s="1"/>
  <c r="C45" i="36" a="1"/>
  <c r="C45" i="36" s="1"/>
  <c r="F45" i="36" a="1"/>
  <c r="F45" i="36" s="1"/>
  <c r="G45" i="36" a="1"/>
  <c r="G45" i="36" s="1"/>
  <c r="E53" i="36" a="1"/>
  <c r="E53" i="36" s="1"/>
  <c r="G53" i="36" a="1"/>
  <c r="G53" i="36" s="1"/>
  <c r="D53" i="36" a="1"/>
  <c r="D53" i="36" s="1"/>
  <c r="F53" i="36" a="1"/>
  <c r="F53" i="36" s="1"/>
  <c r="H50" i="45" a="1"/>
  <c r="H50" i="45" s="1"/>
  <c r="C50" i="45" a="1"/>
  <c r="C50" i="45" s="1"/>
  <c r="E50" i="45" a="1"/>
  <c r="E50" i="45" s="1"/>
  <c r="G50" i="45" a="1"/>
  <c r="G50" i="45" s="1"/>
  <c r="F17" i="47" a="1"/>
  <c r="F17" i="47" s="1"/>
  <c r="D17" i="47" a="1"/>
  <c r="D17" i="47" s="1"/>
  <c r="C17" i="47" a="1"/>
  <c r="C17" i="47" s="1"/>
  <c r="G17" i="47" a="1"/>
  <c r="G17" i="47" s="1"/>
  <c r="G29" i="46" a="1"/>
  <c r="G29" i="46" s="1"/>
  <c r="C29" i="46" a="1"/>
  <c r="C29" i="46" s="1"/>
  <c r="D29" i="46" a="1"/>
  <c r="D29" i="46" s="1"/>
  <c r="E29" i="46" a="1"/>
  <c r="E29" i="46" s="1"/>
  <c r="G34" i="37" a="1"/>
  <c r="G34" i="37" s="1"/>
  <c r="H22" i="38" a="1"/>
  <c r="H22" i="38" s="1"/>
  <c r="G38" i="31" a="1"/>
  <c r="G38" i="31" s="1"/>
  <c r="D18" i="31" a="1"/>
  <c r="D18" i="31" s="1"/>
  <c r="D40" i="31" a="1"/>
  <c r="D40" i="31" s="1"/>
  <c r="H64" i="39" a="1"/>
  <c r="H64" i="39" s="1"/>
  <c r="E64" i="39" a="1"/>
  <c r="E64" i="39" s="1"/>
  <c r="D64" i="39" a="1"/>
  <c r="D64" i="39" s="1"/>
  <c r="F46" i="35" a="1"/>
  <c r="F46" i="35" s="1"/>
  <c r="H62" i="32" a="1"/>
  <c r="H62" i="32" s="1"/>
  <c r="C62" i="32" a="1"/>
  <c r="C62" i="32" s="1"/>
  <c r="F62" i="32" a="1"/>
  <c r="F62" i="32" s="1"/>
  <c r="C61" i="32" a="1"/>
  <c r="C61" i="32" s="1"/>
  <c r="E47" i="32" a="1"/>
  <c r="E47" i="32" s="1"/>
  <c r="D47" i="32" a="1"/>
  <c r="D47" i="32" s="1"/>
  <c r="H47" i="32" a="1"/>
  <c r="H47" i="32" s="1"/>
  <c r="E63" i="32" a="1"/>
  <c r="E63" i="32" s="1"/>
  <c r="H58" i="38" a="1"/>
  <c r="H58" i="38" s="1"/>
  <c r="E58" i="38" a="1"/>
  <c r="E58" i="38" s="1"/>
  <c r="D58" i="38" a="1"/>
  <c r="D58" i="38" s="1"/>
  <c r="F58" i="39" a="1"/>
  <c r="F58" i="39" s="1"/>
  <c r="G51" i="39" a="1"/>
  <c r="G51" i="39" s="1"/>
  <c r="C51" i="39" a="1"/>
  <c r="C51" i="39" s="1"/>
  <c r="F51" i="39" a="1"/>
  <c r="F51" i="39" s="1"/>
  <c r="F33" i="39" a="1"/>
  <c r="F33" i="39" s="1"/>
  <c r="C22" i="35" a="1"/>
  <c r="C22" i="35" s="1"/>
  <c r="H22" i="35" a="1"/>
  <c r="H22" i="35" s="1"/>
  <c r="G22" i="35" a="1"/>
  <c r="G22" i="35" s="1"/>
  <c r="F58" i="31" a="1"/>
  <c r="F58" i="31" s="1"/>
  <c r="H19" i="38" a="1"/>
  <c r="H19" i="38" s="1"/>
  <c r="H75" i="38" s="1" a="1"/>
  <c r="H75" i="38" s="1"/>
  <c r="F44" i="38" a="1"/>
  <c r="F44" i="38" s="1"/>
  <c r="H44" i="38" a="1"/>
  <c r="H44" i="38" s="1"/>
  <c r="G44" i="38" a="1"/>
  <c r="G44" i="38" s="1"/>
  <c r="H57" i="32" a="1"/>
  <c r="H57" i="32" s="1"/>
  <c r="G25" i="39" a="1"/>
  <c r="G25" i="39" s="1"/>
  <c r="C25" i="39" a="1"/>
  <c r="C25" i="39" s="1"/>
  <c r="E25" i="39" a="1"/>
  <c r="E25" i="39" s="1"/>
  <c r="F32" i="45" a="1"/>
  <c r="F32" i="45" s="1"/>
  <c r="F26" i="36" a="1"/>
  <c r="F26" i="36" s="1"/>
  <c r="C26" i="36" a="1"/>
  <c r="C26" i="36" s="1"/>
  <c r="H26" i="36" a="1"/>
  <c r="H26" i="36" s="1"/>
  <c r="H37" i="36" a="1"/>
  <c r="H37" i="36" s="1"/>
  <c r="D64" i="45" a="1"/>
  <c r="D64" i="45" s="1"/>
  <c r="G55" i="45" a="1"/>
  <c r="G55" i="45" s="1"/>
  <c r="C55" i="45" a="1"/>
  <c r="C55" i="45" s="1"/>
  <c r="H55" i="45" a="1"/>
  <c r="H55" i="45" s="1"/>
  <c r="D37" i="46" a="1"/>
  <c r="D37" i="46" s="1"/>
  <c r="C53" i="46" a="1"/>
  <c r="C53" i="46" s="1"/>
  <c r="D46" i="47" a="1"/>
  <c r="D46" i="47" s="1"/>
  <c r="G46" i="47" a="1"/>
  <c r="G46" i="47" s="1"/>
  <c r="F46" i="47" a="1"/>
  <c r="F46" i="47" s="1"/>
  <c r="D61" i="46" a="1"/>
  <c r="D61" i="46" s="1"/>
  <c r="C61" i="31" a="1"/>
  <c r="C61" i="31" s="1"/>
  <c r="D51" i="31" a="1"/>
  <c r="D51" i="31" s="1"/>
  <c r="H20" i="36" a="1"/>
  <c r="H20" i="36" s="1"/>
  <c r="E20" i="36" a="1"/>
  <c r="E20" i="36" s="1"/>
  <c r="C20" i="36" a="1"/>
  <c r="C20" i="36" s="1"/>
  <c r="G39" i="45" a="1"/>
  <c r="G39" i="45" s="1"/>
  <c r="C37" i="45" a="1"/>
  <c r="C37" i="45" s="1"/>
  <c r="E51" i="35" a="1"/>
  <c r="E51" i="35" s="1"/>
  <c r="D51" i="35" a="1"/>
  <c r="D51" i="35" s="1"/>
  <c r="H51" i="35" a="1"/>
  <c r="H51" i="35" s="1"/>
  <c r="C26" i="35" a="1"/>
  <c r="C26" i="35" s="1"/>
  <c r="F30" i="35" a="1"/>
  <c r="F30" i="35" s="1"/>
  <c r="H43" i="31" a="1"/>
  <c r="H43" i="31" s="1"/>
  <c r="C43" i="31" a="1"/>
  <c r="C43" i="31" s="1"/>
  <c r="D43" i="31" a="1"/>
  <c r="D43" i="31" s="1"/>
  <c r="C21" i="39" a="1"/>
  <c r="C21" i="39" s="1"/>
  <c r="H36" i="36" a="1"/>
  <c r="H36" i="36" s="1"/>
  <c r="D24" i="36" a="1"/>
  <c r="D24" i="36" s="1"/>
  <c r="E24" i="36" a="1"/>
  <c r="E24" i="36" s="1"/>
  <c r="G24" i="36" a="1"/>
  <c r="G24" i="36" s="1"/>
  <c r="F26" i="45" a="1"/>
  <c r="F26" i="45" s="1"/>
  <c r="D52" i="35" a="1"/>
  <c r="D52" i="35" s="1"/>
  <c r="D24" i="35" a="1"/>
  <c r="D24" i="35" s="1"/>
  <c r="H24" i="35" a="1"/>
  <c r="H24" i="35" s="1"/>
  <c r="G24" i="35" a="1"/>
  <c r="G24" i="35" s="1"/>
  <c r="H56" i="31" a="1"/>
  <c r="H56" i="31" s="1"/>
  <c r="H60" i="31" a="1"/>
  <c r="H60" i="31" s="1"/>
  <c r="F63" i="31" a="1"/>
  <c r="F63" i="31" s="1"/>
  <c r="H63" i="31" a="1"/>
  <c r="H63" i="31" s="1"/>
  <c r="D63" i="31" a="1"/>
  <c r="D63" i="31" s="1"/>
  <c r="G29" i="36" a="1"/>
  <c r="G29" i="36" s="1"/>
  <c r="D35" i="36" a="1"/>
  <c r="D35" i="36" s="1"/>
  <c r="G34" i="36" a="1"/>
  <c r="G34" i="36" s="1"/>
  <c r="E34" i="36" a="1"/>
  <c r="E34" i="36" s="1"/>
  <c r="H34" i="36" a="1"/>
  <c r="H34" i="36" s="1"/>
  <c r="G33" i="36" a="1"/>
  <c r="G33" i="36" s="1"/>
  <c r="D62" i="45" a="1"/>
  <c r="D62" i="45" s="1"/>
  <c r="E31" i="45" a="1"/>
  <c r="E31" i="45" s="1"/>
  <c r="F31" i="45" a="1"/>
  <c r="F31" i="45" s="1"/>
  <c r="D31" i="45" a="1"/>
  <c r="D31" i="45" s="1"/>
  <c r="G60" i="45" a="1"/>
  <c r="G60" i="45" s="1"/>
  <c r="G57" i="47" a="1"/>
  <c r="G57" i="47" s="1"/>
  <c r="E32" i="47" a="1"/>
  <c r="E32" i="47" s="1"/>
  <c r="C32" i="47" a="1"/>
  <c r="C32" i="47" s="1"/>
  <c r="G32" i="47" a="1"/>
  <c r="G32" i="47" s="1"/>
  <c r="C50" i="46" a="1"/>
  <c r="C50" i="46" s="1"/>
  <c r="H50" i="46" a="1"/>
  <c r="H50" i="46" s="1"/>
  <c r="F19" i="46" a="1"/>
  <c r="F19" i="46" s="1"/>
  <c r="H19" i="46" a="1"/>
  <c r="H19" i="46" s="1"/>
  <c r="C19" i="46" a="1"/>
  <c r="C19" i="46" s="1"/>
  <c r="E45" i="46" a="1"/>
  <c r="E45" i="46" s="1"/>
  <c r="G38" i="47" a="1"/>
  <c r="G38" i="47" s="1"/>
  <c r="G36" i="46" a="1"/>
  <c r="G36" i="46" s="1"/>
  <c r="H36" i="46" a="1"/>
  <c r="H36" i="46" s="1"/>
  <c r="F36" i="46" a="1"/>
  <c r="F36" i="46" s="1"/>
  <c r="E36" i="46" a="1"/>
  <c r="E36" i="46" s="1"/>
  <c r="H54" i="45" a="1"/>
  <c r="H54" i="45" s="1"/>
  <c r="H35" i="45" a="1"/>
  <c r="H35" i="45" s="1"/>
  <c r="G25" i="46" a="1"/>
  <c r="G25" i="46" s="1"/>
  <c r="D50" i="45" a="1"/>
  <c r="D50" i="45" s="1"/>
  <c r="F45" i="45" a="1"/>
  <c r="F45" i="45" s="1"/>
  <c r="E17" i="47" a="1"/>
  <c r="E17" i="47" s="1"/>
  <c r="E41" i="47" a="1"/>
  <c r="E41" i="47" s="1"/>
  <c r="F41" i="47" a="1"/>
  <c r="F41" i="47" s="1"/>
  <c r="H41" i="47" a="1"/>
  <c r="H41" i="47" s="1"/>
  <c r="C41" i="47" a="1"/>
  <c r="C41" i="47" s="1"/>
  <c r="H29" i="46" a="1"/>
  <c r="H29" i="46" s="1"/>
  <c r="F40" i="38" a="1"/>
  <c r="F40" i="38" s="1"/>
  <c r="F25" i="38" a="1"/>
  <c r="F25" i="38" s="1"/>
  <c r="H32" i="37" a="1"/>
  <c r="H32" i="37" s="1"/>
  <c r="G19" i="38" a="1"/>
  <c r="G19" i="38" s="1"/>
  <c r="D63" i="38" a="1"/>
  <c r="D63" i="38" s="1"/>
  <c r="F61" i="38" a="1"/>
  <c r="F61" i="38" s="1"/>
  <c r="F55" i="38" a="1"/>
  <c r="F55" i="38" s="1"/>
  <c r="C50" i="38" a="1"/>
  <c r="C50" i="38" s="1"/>
  <c r="E53" i="38" a="1"/>
  <c r="E53" i="38" s="1"/>
  <c r="C26" i="39" a="1"/>
  <c r="C26" i="39" s="1"/>
  <c r="G54" i="35" a="1"/>
  <c r="G54" i="35" s="1"/>
  <c r="H31" i="39" a="1"/>
  <c r="H31" i="39" s="1"/>
  <c r="C39" i="38" a="1"/>
  <c r="C39" i="38" s="1"/>
  <c r="D48" i="36" a="1"/>
  <c r="D48" i="36" s="1"/>
  <c r="E64" i="45" a="1"/>
  <c r="E64" i="45" s="1"/>
  <c r="E53" i="46" a="1"/>
  <c r="E53" i="46" s="1"/>
  <c r="C51" i="31" a="1"/>
  <c r="C51" i="31" s="1"/>
  <c r="D37" i="45" a="1"/>
  <c r="D37" i="45" s="1"/>
  <c r="C30" i="35" a="1"/>
  <c r="C30" i="35" s="1"/>
  <c r="D28" i="31" a="1"/>
  <c r="D28" i="31" s="1"/>
  <c r="C28" i="31" a="1"/>
  <c r="C28" i="31" s="1"/>
  <c r="F36" i="36" a="1"/>
  <c r="F36" i="36" s="1"/>
  <c r="H59" i="36" a="1"/>
  <c r="H59" i="36" s="1"/>
  <c r="D59" i="36" a="1"/>
  <c r="D59" i="36" s="1"/>
  <c r="H52" i="35" a="1"/>
  <c r="H52" i="35" s="1"/>
  <c r="G57" i="31" a="1"/>
  <c r="G57" i="31" s="1"/>
  <c r="F57" i="31" a="1"/>
  <c r="F57" i="31" s="1"/>
  <c r="G60" i="31" a="1"/>
  <c r="G60" i="31" s="1"/>
  <c r="E49" i="39" a="1"/>
  <c r="E49" i="39" s="1"/>
  <c r="D49" i="39" a="1"/>
  <c r="D49" i="39" s="1"/>
  <c r="C35" i="36" a="1"/>
  <c r="C35" i="36" s="1"/>
  <c r="D63" i="36" a="1"/>
  <c r="D63" i="36" s="1"/>
  <c r="G63" i="36" a="1"/>
  <c r="G63" i="36" s="1"/>
  <c r="F62" i="45" a="1"/>
  <c r="F62" i="45" s="1"/>
  <c r="H29" i="45" a="1"/>
  <c r="H29" i="45" s="1"/>
  <c r="G29" i="45" a="1"/>
  <c r="G29" i="45" s="1"/>
  <c r="F57" i="47" a="1"/>
  <c r="F57" i="47" s="1"/>
  <c r="G58" i="47" a="1"/>
  <c r="G58" i="47" s="1"/>
  <c r="H58" i="47" a="1"/>
  <c r="H58" i="47" s="1"/>
  <c r="E50" i="46" a="1"/>
  <c r="E50" i="46" s="1"/>
  <c r="H45" i="46" a="1"/>
  <c r="H45" i="46" s="1"/>
  <c r="C45" i="46" a="1"/>
  <c r="C45" i="46" s="1"/>
  <c r="C24" i="47" a="1"/>
  <c r="C24" i="47" s="1"/>
  <c r="E38" i="47" a="1"/>
  <c r="E38" i="47" s="1"/>
  <c r="F51" i="46" a="1"/>
  <c r="F51" i="46" s="1"/>
  <c r="G51" i="46" a="1"/>
  <c r="G51" i="46" s="1"/>
  <c r="E51" i="46" a="1"/>
  <c r="E51" i="46" s="1"/>
  <c r="D51" i="46" a="1"/>
  <c r="D51" i="46" s="1"/>
  <c r="E54" i="31" a="1"/>
  <c r="E54" i="31" s="1"/>
  <c r="D35" i="45" a="1"/>
  <c r="D35" i="45" s="1"/>
  <c r="D45" i="36" a="1"/>
  <c r="D45" i="36" s="1"/>
  <c r="E25" i="46" a="1"/>
  <c r="E25" i="46" s="1"/>
  <c r="C53" i="36" a="1"/>
  <c r="C53" i="36" s="1"/>
  <c r="F50" i="45" a="1"/>
  <c r="F50" i="45" s="1"/>
  <c r="C59" i="46" a="1"/>
  <c r="C59" i="46" s="1"/>
  <c r="F59" i="46" a="1"/>
  <c r="F59" i="46" s="1"/>
  <c r="D59" i="46" a="1"/>
  <c r="D59" i="46" s="1"/>
  <c r="E59" i="46" a="1"/>
  <c r="E59" i="46" s="1"/>
  <c r="H17" i="47" a="1"/>
  <c r="H17" i="47" s="1"/>
  <c r="G41" i="47" a="1"/>
  <c r="G41" i="47" s="1"/>
  <c r="F29" i="46" a="1"/>
  <c r="F29" i="46" s="1"/>
  <c r="D45" i="47" a="1"/>
  <c r="D45" i="47" s="1"/>
  <c r="E55" i="46" a="1"/>
  <c r="E55" i="46" s="1"/>
  <c r="E61" i="47" a="1"/>
  <c r="E61" i="47" s="1"/>
  <c r="D39" i="36" a="1"/>
  <c r="D39" i="36" s="1"/>
  <c r="E34" i="35" a="1"/>
  <c r="E34" i="35" s="1"/>
  <c r="F47" i="36" a="1"/>
  <c r="F47" i="36" s="1"/>
  <c r="H47" i="36" a="1"/>
  <c r="H47" i="36" s="1"/>
  <c r="C47" i="36" a="1"/>
  <c r="C47" i="36" s="1"/>
  <c r="H50" i="35" a="1"/>
  <c r="H50" i="35" s="1"/>
  <c r="D18" i="39" a="1"/>
  <c r="D18" i="39" s="1"/>
  <c r="F18" i="39" a="1"/>
  <c r="F18" i="39" s="1"/>
  <c r="H52" i="45" a="1"/>
  <c r="H52" i="45" s="1"/>
  <c r="G52" i="45" a="1"/>
  <c r="G52" i="45" s="1"/>
  <c r="E52" i="45" a="1"/>
  <c r="E52" i="45" s="1"/>
  <c r="C40" i="46" a="1"/>
  <c r="C40" i="46" s="1"/>
  <c r="D40" i="46" a="1"/>
  <c r="D40" i="46" s="1"/>
  <c r="E40" i="46" a="1"/>
  <c r="E40" i="46" s="1"/>
  <c r="C57" i="46" a="1"/>
  <c r="C57" i="46" s="1"/>
  <c r="C63" i="45" a="1"/>
  <c r="C63" i="45" s="1"/>
  <c r="F63" i="45" a="1"/>
  <c r="F63" i="45" s="1"/>
  <c r="G63" i="45" a="1"/>
  <c r="G63" i="45" s="1"/>
  <c r="C48" i="46" a="1"/>
  <c r="C48" i="46" s="1"/>
  <c r="G58" i="46" a="1"/>
  <c r="G58" i="46" s="1"/>
  <c r="H58" i="46" a="1"/>
  <c r="H58" i="46" s="1"/>
  <c r="C58" i="46" a="1"/>
  <c r="C58" i="46" s="1"/>
  <c r="H50" i="47" a="1"/>
  <c r="H50" i="47" s="1"/>
  <c r="D26" i="47" a="1"/>
  <c r="D26" i="47" s="1"/>
  <c r="G26" i="47" a="1"/>
  <c r="G26" i="47" s="1"/>
  <c r="E26" i="47" a="1"/>
  <c r="E26" i="47" s="1"/>
  <c r="F51" i="47" a="1"/>
  <c r="F51" i="47" s="1"/>
  <c r="H36" i="47" a="1"/>
  <c r="H36" i="47" s="1"/>
  <c r="D36" i="47" a="1"/>
  <c r="D36" i="47" s="1"/>
  <c r="G56" i="45" a="1"/>
  <c r="G56" i="45" s="1"/>
  <c r="C56" i="45" a="1"/>
  <c r="C56" i="45" s="1"/>
  <c r="H56" i="45" a="1"/>
  <c r="H56" i="45" s="1"/>
  <c r="E34" i="47" a="1"/>
  <c r="E34" i="47" s="1"/>
  <c r="D34" i="47" a="1"/>
  <c r="D34" i="47" s="1"/>
  <c r="F23" i="47" a="1"/>
  <c r="F23" i="47" s="1"/>
  <c r="H23" i="47" a="1"/>
  <c r="H23" i="47" s="1"/>
  <c r="D23" i="47" a="1"/>
  <c r="D23" i="47" s="1"/>
  <c r="C56" i="46" a="1"/>
  <c r="C56" i="46" s="1"/>
  <c r="H47" i="22" a="1"/>
  <c r="H47" i="22" s="1"/>
  <c r="E47" i="22" a="1"/>
  <c r="E47" i="22" s="1"/>
  <c r="F47" i="22" a="1"/>
  <c r="F47" i="22" s="1"/>
  <c r="D56" i="47" a="1"/>
  <c r="D56" i="47" s="1"/>
  <c r="E56" i="47" a="1"/>
  <c r="E56" i="47" s="1"/>
  <c r="C56" i="47" a="1"/>
  <c r="C56" i="47" s="1"/>
  <c r="E30" i="47" a="1"/>
  <c r="E30" i="47" s="1"/>
  <c r="E46" i="46" a="1"/>
  <c r="E46" i="46" s="1"/>
  <c r="C46" i="46" a="1"/>
  <c r="C46" i="46" s="1"/>
  <c r="H46" i="46" a="1"/>
  <c r="H46" i="46" s="1"/>
  <c r="E33" i="46" a="1"/>
  <c r="E33" i="46" s="1"/>
  <c r="C32" i="46" a="1"/>
  <c r="C32" i="46" s="1"/>
  <c r="F32" i="46" a="1"/>
  <c r="F32" i="46" s="1"/>
  <c r="H32" i="46" a="1"/>
  <c r="H32" i="46" s="1"/>
  <c r="C51" i="45" a="1"/>
  <c r="C51" i="45" s="1"/>
  <c r="H46" i="36" a="1"/>
  <c r="H46" i="36" s="1"/>
  <c r="G46" i="36" a="1"/>
  <c r="G46" i="36" s="1"/>
  <c r="C46" i="36" a="1"/>
  <c r="C46" i="36" s="1"/>
  <c r="C56" i="36" a="1"/>
  <c r="C56" i="36" s="1"/>
  <c r="E22" i="47" a="1"/>
  <c r="E22" i="47" s="1"/>
  <c r="C22" i="47" a="1"/>
  <c r="C22" i="47" s="1"/>
  <c r="H22" i="47" a="1"/>
  <c r="H22" i="47" s="1"/>
  <c r="E19" i="47" a="1"/>
  <c r="E19" i="47" s="1"/>
  <c r="G39" i="47" a="1"/>
  <c r="G39" i="47" s="1"/>
  <c r="D39" i="47" a="1"/>
  <c r="D39" i="47" s="1"/>
  <c r="F39" i="47" a="1"/>
  <c r="F39" i="47" s="1"/>
  <c r="G54" i="47" a="1"/>
  <c r="G54" i="47" s="1"/>
  <c r="E18" i="47" a="1"/>
  <c r="E18" i="47" s="1"/>
  <c r="G18" i="47" a="1"/>
  <c r="G18" i="47" s="1"/>
  <c r="F18" i="47" a="1"/>
  <c r="F18" i="47" s="1"/>
  <c r="H30" i="46" a="1"/>
  <c r="H30" i="46" s="1"/>
  <c r="D39" i="46" a="1"/>
  <c r="D39" i="46" s="1"/>
  <c r="G39" i="46" a="1"/>
  <c r="G39" i="46" s="1"/>
  <c r="C39" i="46" a="1"/>
  <c r="C39" i="46" s="1"/>
  <c r="E43" i="46" a="1"/>
  <c r="E43" i="46" s="1"/>
  <c r="G41" i="45" a="1"/>
  <c r="G41" i="45" s="1"/>
  <c r="H41" i="45" a="1"/>
  <c r="H41" i="45" s="1"/>
  <c r="E41" i="45" a="1"/>
  <c r="E41" i="45" s="1"/>
  <c r="F27" i="46" a="1"/>
  <c r="F27" i="46" s="1"/>
  <c r="G40" i="47" a="1"/>
  <c r="G40" i="47" s="1"/>
  <c r="C40" i="47" a="1"/>
  <c r="C40" i="47" s="1"/>
  <c r="H40" i="47" a="1"/>
  <c r="H40" i="47" s="1"/>
  <c r="D37" i="47" a="1"/>
  <c r="D37" i="47" s="1"/>
  <c r="C60" i="47" a="1"/>
  <c r="C60" i="47" s="1"/>
  <c r="E42" i="36" a="1"/>
  <c r="E42" i="36" s="1"/>
  <c r="E42" i="39" a="1"/>
  <c r="E42" i="39" s="1"/>
  <c r="F42" i="39" a="1"/>
  <c r="F42" i="39" s="1"/>
  <c r="C42" i="39" a="1"/>
  <c r="C42" i="39" s="1"/>
  <c r="D42" i="39" a="1"/>
  <c r="D42" i="39" s="1"/>
  <c r="G18" i="46" a="1"/>
  <c r="G18" i="46" s="1"/>
  <c r="C23" i="46" a="1"/>
  <c r="C23" i="46" s="1"/>
  <c r="E53" i="47" a="1"/>
  <c r="E53" i="47" s="1"/>
  <c r="D48" i="45" a="1"/>
  <c r="D48" i="45" s="1"/>
  <c r="G20" i="46" a="1"/>
  <c r="G20" i="46" s="1"/>
  <c r="E44" i="45" a="1"/>
  <c r="E44" i="45" s="1"/>
  <c r="D27" i="36" a="1"/>
  <c r="D27" i="36" s="1"/>
  <c r="E47" i="36" a="1"/>
  <c r="E47" i="36" s="1"/>
  <c r="E45" i="31" a="1"/>
  <c r="E45" i="31" s="1"/>
  <c r="E18" i="39" a="1"/>
  <c r="E18" i="39" s="1"/>
  <c r="E49" i="36" a="1"/>
  <c r="E49" i="36" s="1"/>
  <c r="D52" i="45" a="1"/>
  <c r="D52" i="45" s="1"/>
  <c r="G40" i="46" a="1"/>
  <c r="G40" i="46" s="1"/>
  <c r="G27" i="47" a="1"/>
  <c r="G27" i="47" s="1"/>
  <c r="D63" i="45" a="1"/>
  <c r="D63" i="45" s="1"/>
  <c r="G47" i="46" a="1"/>
  <c r="G47" i="46" s="1"/>
  <c r="F58" i="46" a="1"/>
  <c r="F58" i="46" s="1"/>
  <c r="G20" i="47" a="1"/>
  <c r="G20" i="47" s="1"/>
  <c r="C26" i="47" a="1"/>
  <c r="C26" i="47" s="1"/>
  <c r="G48" i="47" a="1"/>
  <c r="G48" i="47" s="1"/>
  <c r="G36" i="47" a="1"/>
  <c r="G36" i="47" s="1"/>
  <c r="E49" i="45" a="1"/>
  <c r="E49" i="45" s="1"/>
  <c r="E56" i="45" a="1"/>
  <c r="E56" i="45" s="1"/>
  <c r="F34" i="47" a="1"/>
  <c r="F34" i="47" s="1"/>
  <c r="G28" i="47" a="1"/>
  <c r="G28" i="47" s="1"/>
  <c r="G23" i="47" a="1"/>
  <c r="G23" i="47" s="1"/>
  <c r="E31" i="46" a="1"/>
  <c r="E31" i="46" s="1"/>
  <c r="C47" i="22" a="1"/>
  <c r="C47" i="22" s="1"/>
  <c r="E34" i="46" a="1"/>
  <c r="E34" i="46" s="1"/>
  <c r="H34" i="46" a="1"/>
  <c r="H34" i="46" s="1"/>
  <c r="F56" i="47" a="1"/>
  <c r="F56" i="47" s="1"/>
  <c r="D21" i="47" a="1"/>
  <c r="D21" i="47" s="1"/>
  <c r="E21" i="47" a="1"/>
  <c r="E21" i="47" s="1"/>
  <c r="G21" i="47" a="1"/>
  <c r="G21" i="47" s="1"/>
  <c r="C31" i="47" a="1"/>
  <c r="C31" i="47" s="1"/>
  <c r="D46" i="46" a="1"/>
  <c r="D46" i="46" s="1"/>
  <c r="E38" i="46" a="1"/>
  <c r="E38" i="46" s="1"/>
  <c r="G38" i="46" a="1"/>
  <c r="G38" i="46" s="1"/>
  <c r="C38" i="46" a="1"/>
  <c r="C38" i="46" s="1"/>
  <c r="G42" i="46" a="1"/>
  <c r="G42" i="46" s="1"/>
  <c r="E32" i="46" a="1"/>
  <c r="E32" i="46" s="1"/>
  <c r="D26" i="46" a="1"/>
  <c r="D26" i="46" s="1"/>
  <c r="G26" i="46" a="1"/>
  <c r="G26" i="46" s="1"/>
  <c r="E26" i="46" a="1"/>
  <c r="E26" i="46" s="1"/>
  <c r="G57" i="45" a="1"/>
  <c r="G57" i="45" s="1"/>
  <c r="F46" i="36" a="1"/>
  <c r="F46" i="36" s="1"/>
  <c r="D52" i="36" a="1"/>
  <c r="D52" i="36" s="1"/>
  <c r="E52" i="36" a="1"/>
  <c r="E52" i="36" s="1"/>
  <c r="H52" i="36" a="1"/>
  <c r="H52" i="36" s="1"/>
  <c r="H60" i="36" a="1"/>
  <c r="H60" i="36" s="1"/>
  <c r="D22" i="47" a="1"/>
  <c r="D22" i="47" s="1"/>
  <c r="D43" i="47" a="1"/>
  <c r="D43" i="47" s="1"/>
  <c r="G43" i="47" a="1"/>
  <c r="G43" i="47" s="1"/>
  <c r="F43" i="47" a="1"/>
  <c r="F43" i="47" s="1"/>
  <c r="E33" i="47" a="1"/>
  <c r="E33" i="47" s="1"/>
  <c r="E39" i="47" a="1"/>
  <c r="E39" i="47" s="1"/>
  <c r="E49" i="47" a="1"/>
  <c r="E49" i="47" s="1"/>
  <c r="H49" i="47" a="1"/>
  <c r="H49" i="47" s="1"/>
  <c r="G49" i="47" a="1"/>
  <c r="G49" i="47" s="1"/>
  <c r="H25" i="47" a="1"/>
  <c r="H25" i="47" s="1"/>
  <c r="H18" i="47" a="1"/>
  <c r="H18" i="47" s="1"/>
  <c r="G24" i="46" a="1"/>
  <c r="G24" i="46" s="1"/>
  <c r="F24" i="46" a="1"/>
  <c r="F24" i="46" s="1"/>
  <c r="D24" i="46" a="1"/>
  <c r="D24" i="46" s="1"/>
  <c r="E28" i="46" a="1"/>
  <c r="E28" i="46" s="1"/>
  <c r="F39" i="46" a="1"/>
  <c r="F39" i="46" s="1"/>
  <c r="H44" i="46" a="1"/>
  <c r="H44" i="46" s="1"/>
  <c r="G44" i="46" a="1"/>
  <c r="G44" i="46" s="1"/>
  <c r="C44" i="46" a="1"/>
  <c r="C44" i="46" s="1"/>
  <c r="H17" i="46" a="1"/>
  <c r="H17" i="46" s="1"/>
  <c r="D41" i="45" a="1"/>
  <c r="D41" i="45" s="1"/>
  <c r="E28" i="45" a="1"/>
  <c r="E28" i="45" s="1"/>
  <c r="C28" i="45" a="1"/>
  <c r="C28" i="45" s="1"/>
  <c r="D28" i="45" a="1"/>
  <c r="D28" i="45" s="1"/>
  <c r="H47" i="47" a="1"/>
  <c r="H47" i="47" s="1"/>
  <c r="E40" i="47" a="1"/>
  <c r="E40" i="47" s="1"/>
  <c r="F55" i="47" a="1"/>
  <c r="F55" i="47" s="1"/>
  <c r="G55" i="47" a="1"/>
  <c r="G55" i="47" s="1"/>
  <c r="H55" i="47" a="1"/>
  <c r="H55" i="47" s="1"/>
  <c r="E35" i="46" a="1"/>
  <c r="E35" i="46" s="1"/>
  <c r="D35" i="46" a="1"/>
  <c r="D35" i="46" s="1"/>
  <c r="H37" i="47" a="1"/>
  <c r="H37" i="47" s="1"/>
  <c r="G60" i="47" a="1"/>
  <c r="G60" i="47" s="1"/>
  <c r="D60" i="47" a="1"/>
  <c r="D60" i="47" s="1"/>
  <c r="D59" i="47" a="1"/>
  <c r="D59" i="47" s="1"/>
  <c r="G59" i="47" a="1"/>
  <c r="G59" i="47" s="1"/>
  <c r="E59" i="47" a="1"/>
  <c r="E59" i="47" s="1"/>
  <c r="F59" i="47" a="1"/>
  <c r="F59" i="47" s="1"/>
  <c r="H42" i="39" a="1"/>
  <c r="H42" i="39" s="1"/>
  <c r="D47" i="36" a="1"/>
  <c r="D47" i="36" s="1"/>
  <c r="C18" i="39" a="1"/>
  <c r="C18" i="39" s="1"/>
  <c r="G18" i="39" a="1"/>
  <c r="G18" i="39" s="1"/>
  <c r="C52" i="45" a="1"/>
  <c r="C52" i="45" s="1"/>
  <c r="F40" i="46" a="1"/>
  <c r="F40" i="46" s="1"/>
  <c r="H63" i="45" a="1"/>
  <c r="H63" i="45" s="1"/>
  <c r="E58" i="46" a="1"/>
  <c r="E58" i="46" s="1"/>
  <c r="H26" i="47" a="1"/>
  <c r="H26" i="47" s="1"/>
  <c r="E36" i="47" a="1"/>
  <c r="E36" i="47" s="1"/>
  <c r="D56" i="45" a="1"/>
  <c r="D56" i="45" s="1"/>
  <c r="H34" i="47" a="1"/>
  <c r="H34" i="47" s="1"/>
  <c r="C23" i="47" a="1"/>
  <c r="C23" i="47" s="1"/>
  <c r="D47" i="22" a="1"/>
  <c r="D47" i="22" s="1"/>
  <c r="G34" i="46" a="1"/>
  <c r="G34" i="46" s="1"/>
  <c r="H56" i="47" a="1"/>
  <c r="H56" i="47" s="1"/>
  <c r="C21" i="47" a="1"/>
  <c r="C21" i="47" s="1"/>
  <c r="G46" i="46" a="1"/>
  <c r="G46" i="46" s="1"/>
  <c r="D38" i="46" a="1"/>
  <c r="D38" i="46" s="1"/>
  <c r="G32" i="46" a="1"/>
  <c r="G32" i="46" s="1"/>
  <c r="C26" i="46" a="1"/>
  <c r="C26" i="46" s="1"/>
  <c r="E46" i="36" a="1"/>
  <c r="E46" i="36" s="1"/>
  <c r="G52" i="36" a="1"/>
  <c r="G52" i="36" s="1"/>
  <c r="F22" i="47" a="1"/>
  <c r="F22" i="47" s="1"/>
  <c r="C43" i="47" a="1"/>
  <c r="C43" i="47" s="1"/>
  <c r="H39" i="47" a="1"/>
  <c r="H39" i="47" s="1"/>
  <c r="C49" i="47" a="1"/>
  <c r="C49" i="47" s="1"/>
  <c r="C18" i="47" a="1"/>
  <c r="C18" i="47" s="1"/>
  <c r="C24" i="46" a="1"/>
  <c r="C24" i="46" s="1"/>
  <c r="E39" i="46" a="1"/>
  <c r="E39" i="46" s="1"/>
  <c r="F44" i="46" a="1"/>
  <c r="F44" i="46" s="1"/>
  <c r="C41" i="45" a="1"/>
  <c r="C41" i="45" s="1"/>
  <c r="H28" i="45" a="1"/>
  <c r="H28" i="45" s="1"/>
  <c r="D40" i="47" a="1"/>
  <c r="D40" i="47" s="1"/>
  <c r="C55" i="47" a="1"/>
  <c r="C55" i="47" s="1"/>
  <c r="H35" i="46" a="1"/>
  <c r="H35" i="46" s="1"/>
  <c r="C37" i="47" a="1"/>
  <c r="C37" i="47" s="1"/>
  <c r="E37" i="47" a="1"/>
  <c r="E37" i="47" s="1"/>
  <c r="F37" i="47" a="1"/>
  <c r="F37" i="47" s="1"/>
  <c r="H60" i="47" a="1"/>
  <c r="H60" i="47" s="1"/>
  <c r="F45" i="39" a="1"/>
  <c r="F45" i="39" s="1"/>
  <c r="E45" i="39" a="1"/>
  <c r="E45" i="39" s="1"/>
  <c r="G45" i="39" a="1"/>
  <c r="G45" i="39" s="1"/>
  <c r="H45" i="39" a="1"/>
  <c r="H45" i="39" s="1"/>
  <c r="D38" i="45" a="1"/>
  <c r="D38" i="45" s="1"/>
  <c r="E38" i="45" a="1"/>
  <c r="E38" i="45" s="1"/>
  <c r="F38" i="45" a="1"/>
  <c r="F38" i="45" s="1"/>
  <c r="G38" i="45" a="1"/>
  <c r="G38" i="45" s="1"/>
  <c r="G61" i="45" a="1"/>
  <c r="G61" i="45" s="1"/>
  <c r="E61" i="45" a="1"/>
  <c r="E61" i="45" s="1"/>
  <c r="D61" i="45" a="1"/>
  <c r="D61" i="45" s="1"/>
  <c r="F61" i="45" a="1"/>
  <c r="F61" i="45" s="1"/>
  <c r="G42" i="39" a="1"/>
  <c r="G42" i="39" s="1"/>
  <c r="D34" i="46" a="1"/>
  <c r="D34" i="46" s="1"/>
  <c r="F21" i="47" a="1"/>
  <c r="F21" i="47" s="1"/>
  <c r="F38" i="46" a="1"/>
  <c r="F38" i="46" s="1"/>
  <c r="H26" i="46" a="1"/>
  <c r="H26" i="46" s="1"/>
  <c r="C52" i="36" a="1"/>
  <c r="C52" i="36" s="1"/>
  <c r="E43" i="47" a="1"/>
  <c r="E43" i="47" s="1"/>
  <c r="F49" i="47" a="1"/>
  <c r="F49" i="47" s="1"/>
  <c r="E24" i="46" a="1"/>
  <c r="E24" i="46" s="1"/>
  <c r="D44" i="46" a="1"/>
  <c r="D44" i="46" s="1"/>
  <c r="G28" i="45" a="1"/>
  <c r="G28" i="45" s="1"/>
  <c r="E55" i="47" a="1"/>
  <c r="E55" i="47" s="1"/>
  <c r="G35" i="46" a="1"/>
  <c r="G35" i="46" s="1"/>
  <c r="E60" i="47" a="1"/>
  <c r="E60" i="47" s="1"/>
  <c r="C45" i="39" a="1"/>
  <c r="C45" i="39" s="1"/>
  <c r="D42" i="36" a="1"/>
  <c r="D42" i="36" s="1"/>
  <c r="H42" i="36" a="1"/>
  <c r="H42" i="36" s="1"/>
  <c r="F42" i="36" a="1"/>
  <c r="F42" i="36" s="1"/>
  <c r="G42" i="36" a="1"/>
  <c r="G42" i="36" s="1"/>
  <c r="G35" i="47" a="1"/>
  <c r="G35" i="47" s="1"/>
  <c r="D54" i="46" a="1"/>
  <c r="D54" i="46" s="1"/>
  <c r="C21" i="46" a="1"/>
  <c r="C21" i="46" s="1"/>
  <c r="D51" i="36" a="1"/>
  <c r="D51" i="36" s="1"/>
  <c r="C52" i="47" a="1"/>
  <c r="C52" i="47" s="1"/>
  <c r="H42" i="47" a="1"/>
  <c r="H42" i="47" s="1"/>
  <c r="H41" i="46" a="1"/>
  <c r="H41" i="46" s="1"/>
  <c r="C53" i="45" a="1"/>
  <c r="C53" i="45" s="1"/>
  <c r="C27" i="45" a="1"/>
  <c r="C27" i="45" s="1"/>
  <c r="E34" i="45" a="1"/>
  <c r="E34" i="45" s="1"/>
  <c r="G46" i="45" a="1"/>
  <c r="G46" i="45" s="1"/>
  <c r="D40" i="45" a="1"/>
  <c r="D40" i="45" s="1"/>
  <c r="G47" i="45" a="1"/>
  <c r="G47" i="45" s="1"/>
  <c r="F22" i="36" a="1"/>
  <c r="F22" i="36" s="1"/>
  <c r="G50" i="36" a="1"/>
  <c r="G50" i="36" s="1"/>
  <c r="C31" i="36" a="1"/>
  <c r="C31" i="36" s="1"/>
  <c r="F22" i="39" a="1"/>
  <c r="F22" i="39" s="1"/>
  <c r="C44" i="37" a="1"/>
  <c r="C44" i="37" s="1"/>
  <c r="D28" i="36" a="1"/>
  <c r="D28" i="36" s="1"/>
  <c r="D61" i="36" a="1"/>
  <c r="D61" i="36" s="1"/>
  <c r="F61" i="36" a="1"/>
  <c r="F61" i="36" s="1"/>
  <c r="E61" i="36" a="1"/>
  <c r="E61" i="36" s="1"/>
  <c r="D62" i="36" a="1"/>
  <c r="D62" i="36" s="1"/>
  <c r="F37" i="39" a="1"/>
  <c r="F37" i="39" s="1"/>
  <c r="D50" i="31" a="1"/>
  <c r="D50" i="31" s="1"/>
  <c r="F50" i="31" a="1"/>
  <c r="F50" i="31" s="1"/>
  <c r="G50" i="31" a="1"/>
  <c r="G50" i="31" s="1"/>
  <c r="F62" i="31" a="1"/>
  <c r="F62" i="31" s="1"/>
  <c r="E23" i="36" a="1"/>
  <c r="E23" i="36" s="1"/>
  <c r="E42" i="35" a="1"/>
  <c r="E42" i="35" s="1"/>
  <c r="D42" i="35" a="1"/>
  <c r="D42" i="35" s="1"/>
  <c r="F42" i="35" a="1"/>
  <c r="F42" i="35" s="1"/>
  <c r="C33" i="45" a="1"/>
  <c r="C33" i="45" s="1"/>
  <c r="E58" i="45" a="1"/>
  <c r="E58" i="45" s="1"/>
  <c r="E43" i="45" a="1"/>
  <c r="E43" i="45" s="1"/>
  <c r="C43" i="45" a="1"/>
  <c r="C43" i="45" s="1"/>
  <c r="H43" i="45" a="1"/>
  <c r="H43" i="45" s="1"/>
  <c r="F54" i="36" a="1"/>
  <c r="F54" i="36" s="1"/>
  <c r="H54" i="36" a="1"/>
  <c r="H54" i="36" s="1"/>
  <c r="C54" i="36" a="1"/>
  <c r="C54" i="36" s="1"/>
  <c r="G41" i="36" a="1"/>
  <c r="G41" i="36" s="1"/>
  <c r="D23" i="38" a="1"/>
  <c r="D23" i="38" s="1"/>
  <c r="F44" i="36" a="1"/>
  <c r="F44" i="36" s="1"/>
  <c r="G44" i="36" a="1"/>
  <c r="G44" i="36" s="1"/>
  <c r="C44" i="36" a="1"/>
  <c r="C44" i="36" s="1"/>
  <c r="E47" i="31" a="1"/>
  <c r="E47" i="31" s="1"/>
  <c r="D60" i="35" a="1"/>
  <c r="D60" i="35" s="1"/>
  <c r="E59" i="35" a="1"/>
  <c r="E59" i="35" s="1"/>
  <c r="H59" i="35" a="1"/>
  <c r="H59" i="35" s="1"/>
  <c r="F59" i="35" a="1"/>
  <c r="F59" i="35" s="1"/>
  <c r="E45" i="35" a="1"/>
  <c r="E45" i="35" s="1"/>
  <c r="E27" i="35" a="1"/>
  <c r="E27" i="35" s="1"/>
  <c r="G27" i="32" a="1"/>
  <c r="G27" i="32" s="1"/>
  <c r="C27" i="32" a="1"/>
  <c r="C27" i="32" s="1"/>
  <c r="D27" i="32" a="1"/>
  <c r="D27" i="32" s="1"/>
  <c r="C54" i="39" a="1"/>
  <c r="C54" i="39" s="1"/>
  <c r="F54" i="39" a="1"/>
  <c r="F54" i="39" s="1"/>
  <c r="E23" i="39" a="1"/>
  <c r="E23" i="39" s="1"/>
  <c r="H39" i="39" a="1"/>
  <c r="H39" i="39" s="1"/>
  <c r="C39" i="39" a="1"/>
  <c r="C39" i="39" s="1"/>
  <c r="D39" i="39" a="1"/>
  <c r="D39" i="39" s="1"/>
  <c r="C43" i="35" a="1"/>
  <c r="C43" i="35" s="1"/>
  <c r="H43" i="35" a="1"/>
  <c r="H43" i="35" s="1"/>
  <c r="F28" i="39" a="1"/>
  <c r="F28" i="39" s="1"/>
  <c r="F38" i="39" a="1"/>
  <c r="F38" i="39" s="1"/>
  <c r="G38" i="39" a="1"/>
  <c r="G38" i="39" s="1"/>
  <c r="C38" i="39" a="1"/>
  <c r="C38" i="39" s="1"/>
  <c r="H64" i="38" a="1"/>
  <c r="H64" i="38" s="1"/>
  <c r="D64" i="38" a="1"/>
  <c r="D64" i="38" s="1"/>
  <c r="H41" i="38" a="1"/>
  <c r="H41" i="38" s="1"/>
  <c r="E39" i="31" a="1"/>
  <c r="E39" i="31" s="1"/>
  <c r="C39" i="31" a="1"/>
  <c r="C39" i="31" s="1"/>
  <c r="E44" i="28" a="1"/>
  <c r="E44" i="28" s="1"/>
  <c r="G29" i="39" a="1"/>
  <c r="G29" i="39" s="1"/>
  <c r="E29" i="39" a="1"/>
  <c r="E29" i="39" s="1"/>
  <c r="F46" i="31" a="1"/>
  <c r="F46" i="31" s="1"/>
  <c r="E42" i="31" a="1"/>
  <c r="E42" i="31" s="1"/>
  <c r="C42" i="31" a="1"/>
  <c r="C42" i="31" s="1"/>
  <c r="F42" i="31" a="1"/>
  <c r="F42" i="31" s="1"/>
  <c r="H21" i="38" a="1"/>
  <c r="H21" i="38" s="1"/>
  <c r="G21" i="38" a="1"/>
  <c r="G21" i="38" s="1"/>
  <c r="G49" i="21" a="1"/>
  <c r="G49" i="21" s="1"/>
  <c r="C64" i="31" a="1"/>
  <c r="C64" i="31" s="1"/>
  <c r="E64" i="31" a="1"/>
  <c r="E64" i="31" s="1"/>
  <c r="F64" i="31" a="1"/>
  <c r="F64" i="31" s="1"/>
  <c r="E44" i="31" a="1"/>
  <c r="E44" i="31" s="1"/>
  <c r="G38" i="35" a="1"/>
  <c r="G38" i="35" s="1"/>
  <c r="D36" i="35" a="1"/>
  <c r="D36" i="35" s="1"/>
  <c r="H56" i="35" a="1"/>
  <c r="H56" i="35" s="1"/>
  <c r="F56" i="35" a="1"/>
  <c r="F56" i="35" s="1"/>
  <c r="C56" i="35" a="1"/>
  <c r="C56" i="35" s="1"/>
  <c r="D56" i="35" a="1"/>
  <c r="D56" i="35" s="1"/>
  <c r="E56" i="35" a="1"/>
  <c r="E56" i="35" s="1"/>
  <c r="E60" i="46" a="1"/>
  <c r="E60" i="46" s="1"/>
  <c r="G60" i="46" a="1"/>
  <c r="G60" i="46" s="1"/>
  <c r="H60" i="46" a="1"/>
  <c r="H60" i="46" s="1"/>
  <c r="F51" i="36" a="1"/>
  <c r="F51" i="36" s="1"/>
  <c r="C51" i="36" a="1"/>
  <c r="C51" i="36" s="1"/>
  <c r="E44" i="47" a="1"/>
  <c r="E44" i="47" s="1"/>
  <c r="G44" i="47" a="1"/>
  <c r="G44" i="47" s="1"/>
  <c r="H44" i="47" a="1"/>
  <c r="H44" i="47" s="1"/>
  <c r="D42" i="47" a="1"/>
  <c r="D42" i="47" s="1"/>
  <c r="F42" i="47" a="1"/>
  <c r="F42" i="47" s="1"/>
  <c r="D49" i="46" a="1"/>
  <c r="D49" i="46" s="1"/>
  <c r="G49" i="46" a="1"/>
  <c r="G49" i="46" s="1"/>
  <c r="F49" i="46" a="1"/>
  <c r="F49" i="46" s="1"/>
  <c r="H53" i="45" a="1"/>
  <c r="H53" i="45" s="1"/>
  <c r="E53" i="45" a="1"/>
  <c r="E53" i="45" s="1"/>
  <c r="D34" i="45" a="1"/>
  <c r="D34" i="45" s="1"/>
  <c r="H34" i="45" a="1"/>
  <c r="H34" i="45" s="1"/>
  <c r="C47" i="45" a="1"/>
  <c r="C47" i="45" s="1"/>
  <c r="H47" i="45" a="1"/>
  <c r="H47" i="45" s="1"/>
  <c r="H50" i="36" a="1"/>
  <c r="H50" i="36" s="1"/>
  <c r="E50" i="36" a="1"/>
  <c r="E50" i="36" s="1"/>
  <c r="C22" i="39" a="1"/>
  <c r="C22" i="39" s="1"/>
  <c r="H22" i="39" a="1"/>
  <c r="H22" i="39" s="1"/>
  <c r="F28" i="36" a="1"/>
  <c r="F28" i="36" s="1"/>
  <c r="G28" i="36" a="1"/>
  <c r="G28" i="36" s="1"/>
  <c r="G61" i="36" a="1"/>
  <c r="G61" i="36" s="1"/>
  <c r="G37" i="39" a="1"/>
  <c r="G37" i="39" s="1"/>
  <c r="H37" i="39" a="1"/>
  <c r="H37" i="39" s="1"/>
  <c r="C50" i="31" a="1"/>
  <c r="C50" i="31" s="1"/>
  <c r="C23" i="36" a="1"/>
  <c r="C23" i="36" s="1"/>
  <c r="G23" i="36" a="1"/>
  <c r="G23" i="36" s="1"/>
  <c r="G58" i="45" a="1"/>
  <c r="G58" i="45" s="1"/>
  <c r="F58" i="45" a="1"/>
  <c r="F58" i="45" s="1"/>
  <c r="E23" i="38" a="1"/>
  <c r="E23" i="38" s="1"/>
  <c r="G23" i="38" a="1"/>
  <c r="G23" i="38" s="1"/>
  <c r="C60" i="35" a="1"/>
  <c r="C60" i="35" s="1"/>
  <c r="E60" i="35" a="1"/>
  <c r="E60" i="35" s="1"/>
  <c r="F27" i="35" a="1"/>
  <c r="F27" i="35" s="1"/>
  <c r="C27" i="35" a="1"/>
  <c r="C27" i="35" s="1"/>
  <c r="C23" i="39" a="1"/>
  <c r="C23" i="39" s="1"/>
  <c r="F23" i="39" a="1"/>
  <c r="F23" i="39" s="1"/>
  <c r="H28" i="39" a="1"/>
  <c r="H28" i="39" s="1"/>
  <c r="G28" i="39" a="1"/>
  <c r="G28" i="39" s="1"/>
  <c r="C41" i="38" a="1"/>
  <c r="C41" i="38" s="1"/>
  <c r="G41" i="38" a="1"/>
  <c r="G41" i="38" s="1"/>
  <c r="D44" i="28" a="1"/>
  <c r="D44" i="28" s="1"/>
  <c r="G44" i="28" a="1"/>
  <c r="G44" i="28" s="1"/>
  <c r="G46" i="31" a="1"/>
  <c r="G46" i="31" s="1"/>
  <c r="C46" i="31" a="1"/>
  <c r="C46" i="31" s="1"/>
  <c r="H49" i="21" a="1"/>
  <c r="H49" i="21" s="1"/>
  <c r="E49" i="21" a="1"/>
  <c r="E49" i="21" s="1"/>
  <c r="G36" i="35" a="1"/>
  <c r="G36" i="35" s="1"/>
  <c r="C36" i="35" a="1"/>
  <c r="C36" i="35" s="1"/>
  <c r="E36" i="35" a="1"/>
  <c r="E36" i="35" s="1"/>
  <c r="H25" i="35" a="1"/>
  <c r="H25" i="35" s="1"/>
  <c r="E25" i="35" a="1"/>
  <c r="E25" i="35" s="1"/>
  <c r="G25" i="35" a="1"/>
  <c r="G25" i="35" s="1"/>
  <c r="F25" i="35" a="1"/>
  <c r="F25" i="35" s="1"/>
  <c r="E61" i="35" a="1"/>
  <c r="E61" i="35" s="1"/>
  <c r="F61" i="35" a="1"/>
  <c r="F61" i="35" s="1"/>
  <c r="G61" i="35" a="1"/>
  <c r="G61" i="35" s="1"/>
  <c r="H61" i="35" a="1"/>
  <c r="H61" i="35" s="1"/>
  <c r="E40" i="39" a="1"/>
  <c r="E40" i="39" s="1"/>
  <c r="F40" i="39" a="1"/>
  <c r="F40" i="39" s="1"/>
  <c r="D40" i="39" a="1"/>
  <c r="D40" i="39" s="1"/>
  <c r="G40" i="39" a="1"/>
  <c r="G40" i="39" s="1"/>
  <c r="H61" i="36" a="1"/>
  <c r="H61" i="36" s="1"/>
  <c r="H50" i="31" a="1"/>
  <c r="H50" i="31" s="1"/>
  <c r="G41" i="31" a="1"/>
  <c r="G41" i="31" s="1"/>
  <c r="H42" i="35" a="1"/>
  <c r="H42" i="35" s="1"/>
  <c r="D25" i="36" a="1"/>
  <c r="D25" i="36" s="1"/>
  <c r="G43" i="45" a="1"/>
  <c r="G43" i="45" s="1"/>
  <c r="E36" i="45" a="1"/>
  <c r="E36" i="45" s="1"/>
  <c r="D54" i="36" a="1"/>
  <c r="D54" i="36" s="1"/>
  <c r="H55" i="36" a="1"/>
  <c r="H55" i="36" s="1"/>
  <c r="H44" i="36" a="1"/>
  <c r="H44" i="36" s="1"/>
  <c r="D59" i="31" a="1"/>
  <c r="D59" i="31" s="1"/>
  <c r="C59" i="35" a="1"/>
  <c r="C59" i="35" s="1"/>
  <c r="H53" i="35" a="1"/>
  <c r="H53" i="35" s="1"/>
  <c r="H27" i="32" a="1"/>
  <c r="H27" i="32" s="1"/>
  <c r="D35" i="39" a="1"/>
  <c r="D35" i="39" s="1"/>
  <c r="H54" i="39" a="1"/>
  <c r="H54" i="39" s="1"/>
  <c r="G54" i="39" a="1"/>
  <c r="G54" i="39" s="1"/>
  <c r="F39" i="39" a="1"/>
  <c r="F39" i="39" s="1"/>
  <c r="H47" i="39" a="1"/>
  <c r="H47" i="39" s="1"/>
  <c r="G40" i="36" a="1"/>
  <c r="G40" i="36" s="1"/>
  <c r="E43" i="35" a="1"/>
  <c r="E43" i="35" s="1"/>
  <c r="G43" i="35" a="1"/>
  <c r="G43" i="35" s="1"/>
  <c r="D43" i="35" a="1"/>
  <c r="D43" i="35" s="1"/>
  <c r="H38" i="39" a="1"/>
  <c r="H38" i="39" s="1"/>
  <c r="H42" i="38" a="1"/>
  <c r="H42" i="38" s="1"/>
  <c r="C64" i="38" a="1"/>
  <c r="C64" i="38" s="1"/>
  <c r="F64" i="38" a="1"/>
  <c r="F64" i="38" s="1"/>
  <c r="C35" i="32" a="1"/>
  <c r="C35" i="32" s="1"/>
  <c r="D64" i="32" a="1"/>
  <c r="D64" i="32" s="1"/>
  <c r="D39" i="31" a="1"/>
  <c r="D39" i="31" s="1"/>
  <c r="H39" i="31" a="1"/>
  <c r="H39" i="31" s="1"/>
  <c r="F29" i="39" a="1"/>
  <c r="F29" i="39" s="1"/>
  <c r="H29" i="39" a="1"/>
  <c r="H29" i="39" s="1"/>
  <c r="D42" i="31" a="1"/>
  <c r="D42" i="31" s="1"/>
  <c r="E52" i="38" a="1"/>
  <c r="E52" i="38" s="1"/>
  <c r="E21" i="38" a="1"/>
  <c r="E21" i="38" s="1"/>
  <c r="D21" i="38" a="1"/>
  <c r="D21" i="38" s="1"/>
  <c r="G64" i="31" a="1"/>
  <c r="G64" i="31" s="1"/>
  <c r="D44" i="31" a="1"/>
  <c r="D44" i="31" s="1"/>
  <c r="H44" i="31" a="1"/>
  <c r="H44" i="31" s="1"/>
  <c r="C44" i="31" a="1"/>
  <c r="C44" i="31" s="1"/>
  <c r="D38" i="35" a="1"/>
  <c r="D38" i="35" s="1"/>
  <c r="H64" i="35" a="1"/>
  <c r="H64" i="35" s="1"/>
  <c r="G64" i="35" a="1"/>
  <c r="G64" i="35" s="1"/>
  <c r="C64" i="35" a="1"/>
  <c r="C64" i="35" s="1"/>
  <c r="F64" i="35" a="1"/>
  <c r="F64" i="35" s="1"/>
  <c r="E64" i="35" a="1"/>
  <c r="E64" i="35" s="1"/>
  <c r="D28" i="35" a="1"/>
  <c r="D28" i="35" s="1"/>
  <c r="F28" i="35" a="1"/>
  <c r="F28" i="35" s="1"/>
  <c r="C28" i="35" a="1"/>
  <c r="C28" i="35" s="1"/>
  <c r="E28" i="35" a="1"/>
  <c r="E28" i="35" s="1"/>
  <c r="G56" i="35" a="1"/>
  <c r="G56" i="35" s="1"/>
  <c r="C61" i="35" a="1"/>
  <c r="C61" i="35" s="1"/>
  <c r="H40" i="39" a="1"/>
  <c r="H40" i="39" s="1"/>
  <c r="F60" i="46" a="1"/>
  <c r="F60" i="46" s="1"/>
  <c r="G51" i="36" a="1"/>
  <c r="G51" i="36" s="1"/>
  <c r="E51" i="36" a="1"/>
  <c r="E51" i="36" s="1"/>
  <c r="F44" i="47" a="1"/>
  <c r="F44" i="47" s="1"/>
  <c r="C42" i="47" a="1"/>
  <c r="C42" i="47" s="1"/>
  <c r="G42" i="47" a="1"/>
  <c r="G42" i="47" s="1"/>
  <c r="C49" i="46" a="1"/>
  <c r="C49" i="46" s="1"/>
  <c r="F53" i="45" a="1"/>
  <c r="F53" i="45" s="1"/>
  <c r="G53" i="45" a="1"/>
  <c r="G53" i="45" s="1"/>
  <c r="F42" i="45" a="1"/>
  <c r="F42" i="45" s="1"/>
  <c r="G34" i="45" a="1"/>
  <c r="G34" i="45" s="1"/>
  <c r="D30" i="45" a="1"/>
  <c r="D30" i="45" s="1"/>
  <c r="E47" i="45" a="1"/>
  <c r="E47" i="45" s="1"/>
  <c r="F47" i="45" a="1"/>
  <c r="F47" i="45" s="1"/>
  <c r="E58" i="36" a="1"/>
  <c r="E58" i="36" s="1"/>
  <c r="C50" i="36" a="1"/>
  <c r="C50" i="36" s="1"/>
  <c r="D50" i="36" a="1"/>
  <c r="D50" i="36" s="1"/>
  <c r="C43" i="36" a="1"/>
  <c r="C43" i="36" s="1"/>
  <c r="E22" i="39" a="1"/>
  <c r="E22" i="39" s="1"/>
  <c r="D22" i="39" a="1"/>
  <c r="D22" i="39" s="1"/>
  <c r="E57" i="39" a="1"/>
  <c r="E57" i="39" s="1"/>
  <c r="E28" i="36" a="1"/>
  <c r="E28" i="36" s="1"/>
  <c r="C28" i="36" a="1"/>
  <c r="C28" i="36" s="1"/>
  <c r="H24" i="39" a="1"/>
  <c r="H24" i="39" s="1"/>
  <c r="E37" i="39" a="1"/>
  <c r="E37" i="39" s="1"/>
  <c r="D37" i="39" a="1"/>
  <c r="D37" i="39" s="1"/>
  <c r="D41" i="31" a="1"/>
  <c r="D41" i="31" s="1"/>
  <c r="F23" i="36" a="1"/>
  <c r="F23" i="36" s="1"/>
  <c r="H23" i="36" a="1"/>
  <c r="H23" i="36" s="1"/>
  <c r="E25" i="36" a="1"/>
  <c r="E25" i="36" s="1"/>
  <c r="C59" i="45" a="1"/>
  <c r="C59" i="45" s="1"/>
  <c r="H58" i="45" a="1"/>
  <c r="H58" i="45" s="1"/>
  <c r="C58" i="45" a="1"/>
  <c r="C58" i="45" s="1"/>
  <c r="G36" i="45" a="1"/>
  <c r="G36" i="45" s="1"/>
  <c r="D55" i="36" a="1"/>
  <c r="D55" i="36" s="1"/>
  <c r="H23" i="38" a="1"/>
  <c r="H23" i="38" s="1"/>
  <c r="F23" i="38" a="1"/>
  <c r="F23" i="38" s="1"/>
  <c r="H59" i="31" a="1"/>
  <c r="H59" i="31" s="1"/>
  <c r="H60" i="35" a="1"/>
  <c r="H60" i="35" s="1"/>
  <c r="G60" i="35" a="1"/>
  <c r="G60" i="35" s="1"/>
  <c r="G53" i="35" a="1"/>
  <c r="G53" i="35" s="1"/>
  <c r="G27" i="35" a="1"/>
  <c r="G27" i="35" s="1"/>
  <c r="D27" i="35" a="1"/>
  <c r="D27" i="35" s="1"/>
  <c r="F35" i="39" a="1"/>
  <c r="F35" i="39" s="1"/>
  <c r="G23" i="39" a="1"/>
  <c r="G23" i="39" s="1"/>
  <c r="H23" i="39" a="1"/>
  <c r="H23" i="39" s="1"/>
  <c r="D47" i="39" a="1"/>
  <c r="D47" i="39" s="1"/>
  <c r="F40" i="36" a="1"/>
  <c r="F40" i="36" s="1"/>
  <c r="D28" i="39" a="1"/>
  <c r="D28" i="39" s="1"/>
  <c r="E28" i="39" a="1"/>
  <c r="E28" i="39" s="1"/>
  <c r="D42" i="38" a="1"/>
  <c r="D42" i="38" s="1"/>
  <c r="D41" i="38" a="1"/>
  <c r="D41" i="38" s="1"/>
  <c r="F41" i="38" a="1"/>
  <c r="F41" i="38" s="1"/>
  <c r="H64" i="32" a="1"/>
  <c r="H64" i="32" s="1"/>
  <c r="H44" i="28" a="1"/>
  <c r="H44" i="28" s="1"/>
  <c r="H46" i="31" a="1"/>
  <c r="H46" i="31" s="1"/>
  <c r="D46" i="31" a="1"/>
  <c r="D46" i="31" s="1"/>
  <c r="D52" i="38" a="1"/>
  <c r="D52" i="38" s="1"/>
  <c r="C49" i="21" a="1"/>
  <c r="C49" i="21" s="1"/>
  <c r="F49" i="21" a="1"/>
  <c r="F49" i="21" s="1"/>
  <c r="H38" i="35" a="1"/>
  <c r="H38" i="35" s="1"/>
  <c r="F36" i="35" a="1"/>
  <c r="F36" i="35" s="1"/>
  <c r="C25" i="35" a="1"/>
  <c r="C25" i="35" s="1"/>
  <c r="C40" i="35" a="1"/>
  <c r="C40" i="35" s="1"/>
  <c r="G40" i="35" a="1"/>
  <c r="G40" i="35" s="1"/>
  <c r="F40" i="35" a="1"/>
  <c r="F40" i="35" s="1"/>
  <c r="E40" i="35" a="1"/>
  <c r="E40" i="35" s="1"/>
  <c r="D40" i="35" a="1"/>
  <c r="D40" i="35" s="1"/>
  <c r="G37" i="35" a="1"/>
  <c r="G37" i="35" s="1"/>
  <c r="E37" i="35" a="1"/>
  <c r="E37" i="35" s="1"/>
  <c r="H37" i="35" a="1"/>
  <c r="H37" i="35" s="1"/>
  <c r="C37" i="35" a="1"/>
  <c r="C37" i="35" s="1"/>
  <c r="D61" i="35" a="1"/>
  <c r="D61" i="35" s="1"/>
  <c r="C40" i="39" a="1"/>
  <c r="C40" i="39" s="1"/>
  <c r="E48" i="31" a="1"/>
  <c r="E48" i="31" s="1"/>
  <c r="G49" i="35" a="1"/>
  <c r="G49" i="35" s="1"/>
  <c r="D41" i="35" a="1"/>
  <c r="D41" i="35" s="1"/>
  <c r="G48" i="35" a="1"/>
  <c r="G48" i="35" s="1"/>
  <c r="G62" i="35" a="1"/>
  <c r="G62" i="35" s="1"/>
  <c r="C55" i="35" a="1"/>
  <c r="C55" i="35" s="1"/>
  <c r="H55" i="35" a="1"/>
  <c r="H55" i="35" s="1"/>
  <c r="E55" i="35" a="1"/>
  <c r="E55" i="35" s="1"/>
  <c r="D45" i="38" a="1"/>
  <c r="D45" i="38" s="1"/>
  <c r="C45" i="38" a="1"/>
  <c r="C45" i="38" s="1"/>
  <c r="G20" i="39" a="1"/>
  <c r="G20" i="39" s="1"/>
  <c r="D20" i="39" a="1"/>
  <c r="D20" i="39" s="1"/>
  <c r="E20" i="39" a="1"/>
  <c r="E20" i="39" s="1"/>
  <c r="C55" i="39" a="1"/>
  <c r="C55" i="39" s="1"/>
  <c r="G55" i="39" a="1"/>
  <c r="G55" i="39" s="1"/>
  <c r="F56" i="39" a="1"/>
  <c r="F56" i="39" s="1"/>
  <c r="H52" i="39" a="1"/>
  <c r="H52" i="39" s="1"/>
  <c r="G52" i="39" a="1"/>
  <c r="G52" i="39" s="1"/>
  <c r="C52" i="39" a="1"/>
  <c r="C52" i="39" s="1"/>
  <c r="C27" i="39" a="1"/>
  <c r="C27" i="39" s="1"/>
  <c r="E27" i="39" a="1"/>
  <c r="E27" i="39" s="1"/>
  <c r="F50" i="39" a="1"/>
  <c r="F50" i="39" s="1"/>
  <c r="E41" i="39" a="1"/>
  <c r="E41" i="39" s="1"/>
  <c r="F41" i="39" a="1"/>
  <c r="F41" i="39" s="1"/>
  <c r="C41" i="39" a="1"/>
  <c r="C41" i="39" s="1"/>
  <c r="E20" i="38" a="1"/>
  <c r="E20" i="38" s="1"/>
  <c r="F20" i="38" a="1"/>
  <c r="F20" i="38" s="1"/>
  <c r="G47" i="38" a="1"/>
  <c r="G47" i="38" s="1"/>
  <c r="E54" i="32" a="1"/>
  <c r="E54" i="32" s="1"/>
  <c r="F54" i="32" a="1"/>
  <c r="F54" i="32" s="1"/>
  <c r="G54" i="32" a="1"/>
  <c r="G54" i="32" s="1"/>
  <c r="F50" i="32" a="1"/>
  <c r="F50" i="32" s="1"/>
  <c r="C50" i="32" a="1"/>
  <c r="C50" i="32" s="1"/>
  <c r="D18" i="38" a="1"/>
  <c r="D18" i="38" s="1"/>
  <c r="H18" i="37" a="1"/>
  <c r="H18" i="37" s="1"/>
  <c r="H74" i="37" s="1" a="1"/>
  <c r="H74" i="37" s="1"/>
  <c r="C18" i="37" a="1"/>
  <c r="C18" i="37" s="1"/>
  <c r="C49" i="38" a="1"/>
  <c r="C49" i="38" s="1"/>
  <c r="F49" i="38" a="1"/>
  <c r="F49" i="38" s="1"/>
  <c r="D54" i="38" a="1"/>
  <c r="D54" i="38" s="1"/>
  <c r="E28" i="37" a="1"/>
  <c r="E28" i="37" s="1"/>
  <c r="D28" i="37" a="1"/>
  <c r="D28" i="37" s="1"/>
  <c r="G28" i="37" a="1"/>
  <c r="G28" i="37" s="1"/>
  <c r="D63" i="25" a="1"/>
  <c r="D63" i="25" s="1"/>
  <c r="G63" i="25" a="1"/>
  <c r="G63" i="25" s="1"/>
  <c r="D20" i="19" a="1"/>
  <c r="D20" i="19" s="1"/>
  <c r="G51" i="22" a="1"/>
  <c r="G51" i="22" s="1"/>
  <c r="G56" i="39" a="1"/>
  <c r="G56" i="39" s="1"/>
  <c r="H56" i="39" a="1"/>
  <c r="H56" i="39" s="1"/>
  <c r="H50" i="39" a="1"/>
  <c r="H50" i="39" s="1"/>
  <c r="E50" i="39" a="1"/>
  <c r="E50" i="39" s="1"/>
  <c r="D47" i="38" a="1"/>
  <c r="D47" i="38" s="1"/>
  <c r="F47" i="38" a="1"/>
  <c r="F47" i="38" s="1"/>
  <c r="E18" i="38" a="1"/>
  <c r="E18" i="38" s="1"/>
  <c r="C18" i="38" a="1"/>
  <c r="C18" i="38" s="1"/>
  <c r="G18" i="37" a="1"/>
  <c r="G18" i="37" s="1"/>
  <c r="C54" i="38" a="1"/>
  <c r="C54" i="38" s="1"/>
  <c r="F54" i="38" a="1"/>
  <c r="F54" i="38" s="1"/>
  <c r="C20" i="19" a="1"/>
  <c r="C20" i="19" s="1"/>
  <c r="G20" i="19" a="1"/>
  <c r="G20" i="19" s="1"/>
  <c r="H29" i="31" a="1"/>
  <c r="H29" i="31" s="1"/>
  <c r="G29" i="31" a="1"/>
  <c r="G29" i="31" s="1"/>
  <c r="C29" i="31" a="1"/>
  <c r="C29" i="31" s="1"/>
  <c r="E29" i="31" a="1"/>
  <c r="E29" i="31" s="1"/>
  <c r="C20" i="31" a="1"/>
  <c r="C20" i="31" s="1"/>
  <c r="E20" i="31" a="1"/>
  <c r="E20" i="31" s="1"/>
  <c r="H20" i="31" a="1"/>
  <c r="H20" i="31" s="1"/>
  <c r="F20" i="31" a="1"/>
  <c r="F20" i="31" s="1"/>
  <c r="G51" i="38" a="1"/>
  <c r="G51" i="38" s="1"/>
  <c r="F51" i="38" a="1"/>
  <c r="F51" i="38" s="1"/>
  <c r="C51" i="38" a="1"/>
  <c r="C51" i="38" s="1"/>
  <c r="H51" i="38" a="1"/>
  <c r="H51" i="38" s="1"/>
  <c r="H60" i="32" a="1"/>
  <c r="H60" i="32" s="1"/>
  <c r="F60" i="32" a="1"/>
  <c r="F60" i="32" s="1"/>
  <c r="G60" i="32" a="1"/>
  <c r="G60" i="32" s="1"/>
  <c r="E60" i="32" a="1"/>
  <c r="E60" i="32" s="1"/>
  <c r="G24" i="37" a="1"/>
  <c r="G24" i="37" s="1"/>
  <c r="E24" i="37" a="1"/>
  <c r="E24" i="37" s="1"/>
  <c r="H24" i="37" a="1"/>
  <c r="H24" i="37" s="1"/>
  <c r="C24" i="37" a="1"/>
  <c r="C24" i="37" s="1"/>
  <c r="H27" i="37" a="1"/>
  <c r="H27" i="37" s="1"/>
  <c r="C27" i="37" a="1"/>
  <c r="C27" i="37" s="1"/>
  <c r="D27" i="37" a="1"/>
  <c r="D27" i="37" s="1"/>
  <c r="F27" i="37" a="1"/>
  <c r="F27" i="37" s="1"/>
  <c r="E33" i="37" a="1"/>
  <c r="E33" i="37" s="1"/>
  <c r="C33" i="37" a="1"/>
  <c r="C33" i="37" s="1"/>
  <c r="H33" i="37" a="1"/>
  <c r="H33" i="37" s="1"/>
  <c r="F33" i="37" a="1"/>
  <c r="F33" i="37" s="1"/>
  <c r="D34" i="32" a="1"/>
  <c r="D34" i="32" s="1"/>
  <c r="H34" i="32" a="1"/>
  <c r="H34" i="32" s="1"/>
  <c r="G34" i="32" a="1"/>
  <c r="G34" i="32" s="1"/>
  <c r="C34" i="32" a="1"/>
  <c r="C34" i="32" s="1"/>
  <c r="F55" i="35" a="1"/>
  <c r="F55" i="35" s="1"/>
  <c r="C20" i="39" a="1"/>
  <c r="C20" i="39" s="1"/>
  <c r="D52" i="39" a="1"/>
  <c r="D52" i="39" s="1"/>
  <c r="G41" i="39" a="1"/>
  <c r="G41" i="39" s="1"/>
  <c r="D54" i="32" a="1"/>
  <c r="D54" i="32" s="1"/>
  <c r="E18" i="37" a="1"/>
  <c r="E18" i="37" s="1"/>
  <c r="C28" i="37" a="1"/>
  <c r="C28" i="37" s="1"/>
  <c r="F51" i="22" a="1"/>
  <c r="F51" i="22" s="1"/>
  <c r="D51" i="22" a="1"/>
  <c r="D51" i="22" s="1"/>
  <c r="E32" i="31" a="1"/>
  <c r="E32" i="31" s="1"/>
  <c r="C32" i="31" a="1"/>
  <c r="C32" i="31" s="1"/>
  <c r="G32" i="31" a="1"/>
  <c r="G32" i="31" s="1"/>
  <c r="H32" i="31" a="1"/>
  <c r="H32" i="31" s="1"/>
  <c r="F32" i="31" a="1"/>
  <c r="F32" i="31" s="1"/>
  <c r="G33" i="31" a="1"/>
  <c r="G33" i="31" s="1"/>
  <c r="D33" i="31" a="1"/>
  <c r="D33" i="31" s="1"/>
  <c r="E33" i="31" a="1"/>
  <c r="E33" i="31" s="1"/>
  <c r="H33" i="31" a="1"/>
  <c r="H33" i="31" s="1"/>
  <c r="F33" i="31" a="1"/>
  <c r="F33" i="31" s="1"/>
  <c r="C36" i="31" a="1"/>
  <c r="C36" i="31" s="1"/>
  <c r="D36" i="31" a="1"/>
  <c r="D36" i="31" s="1"/>
  <c r="H36" i="31" a="1"/>
  <c r="H36" i="31" s="1"/>
  <c r="F36" i="31" a="1"/>
  <c r="F36" i="31" s="1"/>
  <c r="G36" i="31" a="1"/>
  <c r="G36" i="31" s="1"/>
  <c r="C28" i="38" a="1"/>
  <c r="C28" i="38" s="1"/>
  <c r="E28" i="38" a="1"/>
  <c r="E28" i="38" s="1"/>
  <c r="D28" i="38" a="1"/>
  <c r="D28" i="38" s="1"/>
  <c r="F28" i="38" a="1"/>
  <c r="F28" i="38" s="1"/>
  <c r="H28" i="38" a="1"/>
  <c r="H28" i="38" s="1"/>
  <c r="D60" i="32" a="1"/>
  <c r="D60" i="32" s="1"/>
  <c r="D24" i="37" a="1"/>
  <c r="D24" i="37" s="1"/>
  <c r="G27" i="37" a="1"/>
  <c r="G27" i="37" s="1"/>
  <c r="G33" i="37" a="1"/>
  <c r="G33" i="37" s="1"/>
  <c r="E34" i="32" a="1"/>
  <c r="E34" i="32" s="1"/>
  <c r="E47" i="35" a="1"/>
  <c r="E47" i="35" s="1"/>
  <c r="C32" i="35" a="1"/>
  <c r="C32" i="35" s="1"/>
  <c r="C33" i="35" a="1"/>
  <c r="C33" i="35" s="1"/>
  <c r="C57" i="35" a="1"/>
  <c r="C57" i="35" s="1"/>
  <c r="G20" i="35" a="1"/>
  <c r="G20" i="35" s="1"/>
  <c r="F61" i="39" a="1"/>
  <c r="F61" i="39" s="1"/>
  <c r="E56" i="39" a="1"/>
  <c r="E56" i="39" s="1"/>
  <c r="D56" i="39" a="1"/>
  <c r="D56" i="39" s="1"/>
  <c r="D43" i="39" a="1"/>
  <c r="D43" i="39" s="1"/>
  <c r="D50" i="39" a="1"/>
  <c r="D50" i="39" s="1"/>
  <c r="G50" i="39" a="1"/>
  <c r="G50" i="39" s="1"/>
  <c r="G62" i="38" a="1"/>
  <c r="G62" i="38" s="1"/>
  <c r="H47" i="38" a="1"/>
  <c r="H47" i="38" s="1"/>
  <c r="E47" i="38" a="1"/>
  <c r="E47" i="38" s="1"/>
  <c r="E41" i="32" a="1"/>
  <c r="E41" i="32" s="1"/>
  <c r="G18" i="38" a="1"/>
  <c r="G18" i="38" s="1"/>
  <c r="F18" i="38" a="1"/>
  <c r="F18" i="38" s="1"/>
  <c r="F18" i="37" a="1"/>
  <c r="F18" i="37" s="1"/>
  <c r="D29" i="38" a="1"/>
  <c r="D29" i="38" s="1"/>
  <c r="E54" i="38" a="1"/>
  <c r="E54" i="38" s="1"/>
  <c r="G54" i="38" a="1"/>
  <c r="G54" i="38" s="1"/>
  <c r="G43" i="37" a="1"/>
  <c r="G43" i="37" s="1"/>
  <c r="E20" i="19" a="1"/>
  <c r="E20" i="19" s="1"/>
  <c r="H20" i="19" a="1"/>
  <c r="H20" i="19" s="1"/>
  <c r="F29" i="31" a="1"/>
  <c r="F29" i="31" s="1"/>
  <c r="D20" i="31" a="1"/>
  <c r="D20" i="31" s="1"/>
  <c r="E51" i="38" a="1"/>
  <c r="E51" i="38" s="1"/>
  <c r="C60" i="32" a="1"/>
  <c r="C60" i="32" s="1"/>
  <c r="F24" i="37" a="1"/>
  <c r="F24" i="37" s="1"/>
  <c r="E27" i="37" a="1"/>
  <c r="E27" i="37" s="1"/>
  <c r="D33" i="37" a="1"/>
  <c r="D33" i="37" s="1"/>
  <c r="F34" i="32" a="1"/>
  <c r="F34" i="32" s="1"/>
  <c r="F46" i="32" a="1"/>
  <c r="F46" i="32" s="1"/>
  <c r="C46" i="32" a="1"/>
  <c r="C46" i="32" s="1"/>
  <c r="F22" i="31" a="1"/>
  <c r="F22" i="31" s="1"/>
  <c r="C22" i="31" a="1"/>
  <c r="C22" i="31" s="1"/>
  <c r="C34" i="31" a="1"/>
  <c r="C34" i="31" s="1"/>
  <c r="G34" i="31" a="1"/>
  <c r="G34" i="31" s="1"/>
  <c r="F56" i="38" a="1"/>
  <c r="F56" i="38" s="1"/>
  <c r="E56" i="38" a="1"/>
  <c r="E56" i="38" s="1"/>
  <c r="G51" i="37" a="1"/>
  <c r="G51" i="37" s="1"/>
  <c r="E51" i="37" a="1"/>
  <c r="E51" i="37" s="1"/>
  <c r="H51" i="37" a="1"/>
  <c r="H51" i="37" s="1"/>
  <c r="F38" i="32" a="1"/>
  <c r="F38" i="32" s="1"/>
  <c r="H38" i="32" a="1"/>
  <c r="H38" i="32" s="1"/>
  <c r="C59" i="38" a="1"/>
  <c r="C59" i="38" s="1"/>
  <c r="D59" i="38" a="1"/>
  <c r="D59" i="38" s="1"/>
  <c r="G59" i="38" a="1"/>
  <c r="G59" i="38" s="1"/>
  <c r="F48" i="38" a="1"/>
  <c r="F48" i="38" s="1"/>
  <c r="C48" i="38" a="1"/>
  <c r="C48" i="38" s="1"/>
  <c r="F54" i="37" a="1"/>
  <c r="F54" i="37" s="1"/>
  <c r="C54" i="37" a="1"/>
  <c r="C54" i="37" s="1"/>
  <c r="H54" i="37" a="1"/>
  <c r="H54" i="37" s="1"/>
  <c r="F37" i="37" a="1"/>
  <c r="F37" i="37" s="1"/>
  <c r="D37" i="37" a="1"/>
  <c r="D37" i="37" s="1"/>
  <c r="E52" i="37" a="1"/>
  <c r="E52" i="37" s="1"/>
  <c r="D52" i="37" a="1"/>
  <c r="D52" i="37" s="1"/>
  <c r="G52" i="37" a="1"/>
  <c r="G52" i="37" s="1"/>
  <c r="D64" i="37" a="1"/>
  <c r="D64" i="37" s="1"/>
  <c r="F64" i="37" a="1"/>
  <c r="F64" i="37" s="1"/>
  <c r="G63" i="37" a="1"/>
  <c r="G63" i="37" s="1"/>
  <c r="C63" i="37" a="1"/>
  <c r="C63" i="37" s="1"/>
  <c r="D63" i="37" a="1"/>
  <c r="D63" i="37" s="1"/>
  <c r="H57" i="37" a="1"/>
  <c r="H57" i="37" s="1"/>
  <c r="E57" i="37" a="1"/>
  <c r="E57" i="37" s="1"/>
  <c r="H51" i="32" a="1"/>
  <c r="H51" i="32" s="1"/>
  <c r="F51" i="32" a="1"/>
  <c r="F51" i="32" s="1"/>
  <c r="D51" i="32" a="1"/>
  <c r="D51" i="32" s="1"/>
  <c r="C21" i="32" a="1"/>
  <c r="C21" i="32" s="1"/>
  <c r="H21" i="32" a="1"/>
  <c r="H21" i="32" s="1"/>
  <c r="D63" i="26" a="1"/>
  <c r="D63" i="26" s="1"/>
  <c r="G19" i="20" a="1"/>
  <c r="G19" i="20" s="1"/>
  <c r="D19" i="20" a="1"/>
  <c r="D19" i="20" s="1"/>
  <c r="C19" i="20" a="1"/>
  <c r="C19" i="20" s="1"/>
  <c r="E30" i="32" a="1"/>
  <c r="E30" i="32" s="1"/>
  <c r="H30" i="32" a="1"/>
  <c r="H30" i="32" s="1"/>
  <c r="D36" i="20" a="1"/>
  <c r="D36" i="20" s="1"/>
  <c r="C54" i="22" a="1"/>
  <c r="C54" i="22" s="1"/>
  <c r="E54" i="22" a="1"/>
  <c r="E54" i="22" s="1"/>
  <c r="D26" i="21" a="1"/>
  <c r="D26" i="21" s="1"/>
  <c r="H44" i="32" a="1"/>
  <c r="H44" i="32" s="1"/>
  <c r="F44" i="32" a="1"/>
  <c r="F44" i="32" s="1"/>
  <c r="E44" i="32" a="1"/>
  <c r="E44" i="32" s="1"/>
  <c r="F35" i="20" a="1"/>
  <c r="F35" i="20" s="1"/>
  <c r="H35" i="20" a="1"/>
  <c r="H35" i="20" s="1"/>
  <c r="D34" i="27" a="1"/>
  <c r="D34" i="27" s="1"/>
  <c r="G35" i="28" a="1"/>
  <c r="G35" i="28" s="1"/>
  <c r="E35" i="28" a="1"/>
  <c r="E35" i="28" s="1"/>
  <c r="G45" i="26" a="1"/>
  <c r="G45" i="26" s="1"/>
  <c r="E45" i="26" a="1"/>
  <c r="E45" i="26" s="1"/>
  <c r="G20" i="20" a="1"/>
  <c r="G20" i="20" s="1"/>
  <c r="G17" i="27" a="1"/>
  <c r="G17" i="27" s="1"/>
  <c r="C17" i="27" a="1"/>
  <c r="C17" i="27" s="1"/>
  <c r="D17" i="27" a="1"/>
  <c r="D17" i="27" s="1"/>
  <c r="C50" i="20" a="1"/>
  <c r="C50" i="20" s="1"/>
  <c r="G48" i="32" a="1"/>
  <c r="G48" i="32" s="1"/>
  <c r="F48" i="32" a="1"/>
  <c r="F48" i="32" s="1"/>
  <c r="D48" i="32" a="1"/>
  <c r="D48" i="32" s="1"/>
  <c r="C48" i="32" a="1"/>
  <c r="C48" i="32" s="1"/>
  <c r="E48" i="32" a="1"/>
  <c r="E48" i="32" s="1"/>
  <c r="H63" i="26" a="1"/>
  <c r="H63" i="26" s="1"/>
  <c r="F63" i="26" a="1"/>
  <c r="F63" i="26" s="1"/>
  <c r="H36" i="20" a="1"/>
  <c r="H36" i="20" s="1"/>
  <c r="F36" i="20" a="1"/>
  <c r="F36" i="20" s="1"/>
  <c r="F26" i="21" a="1"/>
  <c r="F26" i="21" s="1"/>
  <c r="H26" i="21" a="1"/>
  <c r="H26" i="21" s="1"/>
  <c r="G34" i="27" a="1"/>
  <c r="G34" i="27" s="1"/>
  <c r="E34" i="27" a="1"/>
  <c r="E34" i="27" s="1"/>
  <c r="E20" i="20" a="1"/>
  <c r="E20" i="20" s="1"/>
  <c r="H20" i="20" a="1"/>
  <c r="H20" i="20" s="1"/>
  <c r="E50" i="20" a="1"/>
  <c r="E50" i="20" s="1"/>
  <c r="C40" i="32" a="1"/>
  <c r="C40" i="32" s="1"/>
  <c r="G40" i="32" a="1"/>
  <c r="G40" i="32" s="1"/>
  <c r="D40" i="32" a="1"/>
  <c r="D40" i="32" s="1"/>
  <c r="F40" i="32" a="1"/>
  <c r="F40" i="32" s="1"/>
  <c r="D51" i="37" a="1"/>
  <c r="D51" i="37" s="1"/>
  <c r="F59" i="38" a="1"/>
  <c r="F59" i="38" s="1"/>
  <c r="G54" i="37" a="1"/>
  <c r="G54" i="37" s="1"/>
  <c r="H52" i="37" a="1"/>
  <c r="H52" i="37" s="1"/>
  <c r="H63" i="37" a="1"/>
  <c r="H63" i="37" s="1"/>
  <c r="G51" i="32" a="1"/>
  <c r="G51" i="32" s="1"/>
  <c r="H19" i="20" a="1"/>
  <c r="H19" i="20" s="1"/>
  <c r="G44" i="32" a="1"/>
  <c r="G44" i="32" s="1"/>
  <c r="G35" i="20" a="1"/>
  <c r="G35" i="20" s="1"/>
  <c r="F45" i="26" a="1"/>
  <c r="F45" i="26" s="1"/>
  <c r="E17" i="27" a="1"/>
  <c r="E17" i="27" s="1"/>
  <c r="H50" i="20" a="1"/>
  <c r="H50" i="20" s="1"/>
  <c r="H40" i="32" a="1"/>
  <c r="H40" i="32" s="1"/>
  <c r="F59" i="32" a="1"/>
  <c r="F59" i="32" s="1"/>
  <c r="C24" i="31" a="1"/>
  <c r="C24" i="31" s="1"/>
  <c r="D52" i="31" a="1"/>
  <c r="D52" i="31" s="1"/>
  <c r="D26" i="38" a="1"/>
  <c r="D26" i="38" s="1"/>
  <c r="C25" i="37" a="1"/>
  <c r="C25" i="37" s="1"/>
  <c r="G33" i="38" a="1"/>
  <c r="G33" i="38" s="1"/>
  <c r="H22" i="37" a="1"/>
  <c r="H22" i="37" s="1"/>
  <c r="H59" i="37" a="1"/>
  <c r="H59" i="37" s="1"/>
  <c r="G26" i="37" a="1"/>
  <c r="G26" i="37" s="1"/>
  <c r="G23" i="32" a="1"/>
  <c r="G23" i="32" s="1"/>
  <c r="G63" i="26" a="1"/>
  <c r="G63" i="26" s="1"/>
  <c r="E63" i="26" a="1"/>
  <c r="E63" i="26" s="1"/>
  <c r="C32" i="32" a="1"/>
  <c r="C32" i="32" s="1"/>
  <c r="G36" i="20" a="1"/>
  <c r="G36" i="20" s="1"/>
  <c r="E26" i="21" a="1"/>
  <c r="E26" i="21" s="1"/>
  <c r="C26" i="21" a="1"/>
  <c r="C26" i="21" s="1"/>
  <c r="H61" i="22" a="1"/>
  <c r="H61" i="22" s="1"/>
  <c r="H34" i="27" a="1"/>
  <c r="H34" i="27" s="1"/>
  <c r="H35" i="19" a="1"/>
  <c r="H35" i="19" s="1"/>
  <c r="C20" i="20" a="1"/>
  <c r="C20" i="20" s="1"/>
  <c r="F20" i="20" a="1"/>
  <c r="F20" i="20" s="1"/>
  <c r="D50" i="20" a="1"/>
  <c r="D50" i="20" s="1"/>
  <c r="F50" i="20" a="1"/>
  <c r="F50" i="20" s="1"/>
  <c r="F64" i="27" a="1"/>
  <c r="F64" i="27" s="1"/>
  <c r="G64" i="27" a="1"/>
  <c r="G64" i="27" s="1"/>
  <c r="E64" i="27" a="1"/>
  <c r="E64" i="27" s="1"/>
  <c r="E40" i="32" a="1"/>
  <c r="E40" i="32" s="1"/>
  <c r="G40" i="22" a="1"/>
  <c r="G40" i="22" s="1"/>
  <c r="G56" i="32" a="1"/>
  <c r="G56" i="32" s="1"/>
  <c r="E35" i="22" a="1"/>
  <c r="E35" i="22" s="1"/>
  <c r="D35" i="22" a="1"/>
  <c r="D35" i="22" s="1"/>
  <c r="G45" i="28" a="1"/>
  <c r="G45" i="28" s="1"/>
  <c r="D57" i="21" a="1"/>
  <c r="D57" i="21" s="1"/>
  <c r="F36" i="22" a="1"/>
  <c r="F36" i="22" s="1"/>
  <c r="D36" i="22" a="1"/>
  <c r="D36" i="22" s="1"/>
  <c r="F19" i="27" a="1"/>
  <c r="F19" i="27" s="1"/>
  <c r="D43" i="20" a="1"/>
  <c r="D43" i="20" s="1"/>
  <c r="E43" i="20" a="1"/>
  <c r="E43" i="20" s="1"/>
  <c r="G43" i="20" a="1"/>
  <c r="G43" i="20" s="1"/>
  <c r="C48" i="19" a="1"/>
  <c r="C48" i="19" s="1"/>
  <c r="F48" i="19" a="1"/>
  <c r="F48" i="19" s="1"/>
  <c r="F62" i="27" a="1"/>
  <c r="F62" i="27" s="1"/>
  <c r="F64" i="28" a="1"/>
  <c r="F64" i="28" s="1"/>
  <c r="D64" i="28" a="1"/>
  <c r="D64" i="28" s="1"/>
  <c r="E64" i="28" a="1"/>
  <c r="E64" i="28" s="1"/>
  <c r="E26" i="27" a="1"/>
  <c r="E26" i="27" s="1"/>
  <c r="D26" i="27" a="1"/>
  <c r="D26" i="27" s="1"/>
  <c r="F41" i="19" a="1"/>
  <c r="F41" i="19" s="1"/>
  <c r="E61" i="28" a="1"/>
  <c r="E61" i="28" s="1"/>
  <c r="G61" i="28" a="1"/>
  <c r="G61" i="28" s="1"/>
  <c r="F61" i="28" a="1"/>
  <c r="F61" i="28" s="1"/>
  <c r="G19" i="28" a="1"/>
  <c r="G19" i="28" s="1"/>
  <c r="D19" i="28" a="1"/>
  <c r="D19" i="28" s="1"/>
  <c r="D64" i="26" a="1"/>
  <c r="D64" i="26" s="1"/>
  <c r="D30" i="36" a="1"/>
  <c r="D30" i="36" s="1"/>
  <c r="E30" i="36" a="1"/>
  <c r="E30" i="36" s="1"/>
  <c r="C23" i="35" a="1"/>
  <c r="C23" i="35" s="1"/>
  <c r="H58" i="35" a="1"/>
  <c r="H58" i="35" s="1"/>
  <c r="G58" i="35" a="1"/>
  <c r="G58" i="35" s="1"/>
  <c r="F35" i="35" a="1"/>
  <c r="F35" i="35" s="1"/>
  <c r="H48" i="39" a="1"/>
  <c r="H48" i="39" s="1"/>
  <c r="E48" i="39" a="1"/>
  <c r="E48" i="39" s="1"/>
  <c r="H37" i="32" a="1"/>
  <c r="H37" i="32" s="1"/>
  <c r="F24" i="38" a="1"/>
  <c r="F24" i="38" s="1"/>
  <c r="C24" i="38" a="1"/>
  <c r="C24" i="38" s="1"/>
  <c r="F46" i="38" a="1"/>
  <c r="F46" i="38" s="1"/>
  <c r="H31" i="38" a="1"/>
  <c r="H31" i="38" s="1"/>
  <c r="D31" i="38" a="1"/>
  <c r="D31" i="38" s="1"/>
  <c r="E31" i="38" a="1"/>
  <c r="E31" i="38" s="1"/>
  <c r="F58" i="32" a="1"/>
  <c r="F58" i="32" s="1"/>
  <c r="H58" i="32" a="1"/>
  <c r="H58" i="32" s="1"/>
  <c r="F23" i="31" a="1"/>
  <c r="F23" i="31" s="1"/>
  <c r="H26" i="31" a="1"/>
  <c r="H26" i="31" s="1"/>
  <c r="E26" i="31" a="1"/>
  <c r="E26" i="31" s="1"/>
  <c r="D26" i="31" a="1"/>
  <c r="D26" i="31" s="1"/>
  <c r="G43" i="38" a="1"/>
  <c r="G43" i="38" s="1"/>
  <c r="G38" i="38" a="1"/>
  <c r="G38" i="38" s="1"/>
  <c r="C38" i="38" a="1"/>
  <c r="C38" i="38" s="1"/>
  <c r="H38" i="38" a="1"/>
  <c r="H38" i="38" s="1"/>
  <c r="H35" i="22" a="1"/>
  <c r="H35" i="22" s="1"/>
  <c r="E45" i="28" a="1"/>
  <c r="E45" i="28" s="1"/>
  <c r="F45" i="28" a="1"/>
  <c r="F45" i="28" s="1"/>
  <c r="E36" i="22" a="1"/>
  <c r="E36" i="22" s="1"/>
  <c r="C19" i="27" a="1"/>
  <c r="C19" i="27" s="1"/>
  <c r="E19" i="27" a="1"/>
  <c r="E19" i="27" s="1"/>
  <c r="C43" i="20" a="1"/>
  <c r="C43" i="20" s="1"/>
  <c r="D62" i="27" a="1"/>
  <c r="D62" i="27" s="1"/>
  <c r="H62" i="27" a="1"/>
  <c r="H62" i="27" s="1"/>
  <c r="G64" i="28" a="1"/>
  <c r="G64" i="28" s="1"/>
  <c r="G41" i="19" a="1"/>
  <c r="G41" i="19" s="1"/>
  <c r="E41" i="19" a="1"/>
  <c r="E41" i="19" s="1"/>
  <c r="D61" i="28" a="1"/>
  <c r="D61" i="28" s="1"/>
  <c r="C64" i="26" a="1"/>
  <c r="C64" i="26" s="1"/>
  <c r="E64" i="26" a="1"/>
  <c r="E64" i="26" s="1"/>
  <c r="F23" i="35" a="1"/>
  <c r="F23" i="35" s="1"/>
  <c r="H23" i="35" a="1"/>
  <c r="H23" i="35" s="1"/>
  <c r="C35" i="35" a="1"/>
  <c r="C35" i="35" s="1"/>
  <c r="E35" i="35" a="1"/>
  <c r="E35" i="35" s="1"/>
  <c r="F36" i="39" a="1"/>
  <c r="F36" i="39" s="1"/>
  <c r="E36" i="39" a="1"/>
  <c r="E36" i="39" s="1"/>
  <c r="D36" i="39" a="1"/>
  <c r="D36" i="39" s="1"/>
  <c r="D37" i="32" a="1"/>
  <c r="D37" i="32" s="1"/>
  <c r="C37" i="32" a="1"/>
  <c r="C37" i="32" s="1"/>
  <c r="C49" i="32" a="1"/>
  <c r="C49" i="32" s="1"/>
  <c r="D49" i="32" a="1"/>
  <c r="D49" i="32" s="1"/>
  <c r="F49" i="32" a="1"/>
  <c r="F49" i="32" s="1"/>
  <c r="C46" i="38" a="1"/>
  <c r="C46" i="38" s="1"/>
  <c r="D46" i="38" a="1"/>
  <c r="D46" i="38" s="1"/>
  <c r="C23" i="31" a="1"/>
  <c r="C23" i="31" s="1"/>
  <c r="D23" i="31" a="1"/>
  <c r="D23" i="31" s="1"/>
  <c r="E43" i="38" a="1"/>
  <c r="E43" i="38" s="1"/>
  <c r="C62" i="37" a="1"/>
  <c r="C62" i="37" s="1"/>
  <c r="E38" i="38" a="1"/>
  <c r="E38" i="38" s="1"/>
  <c r="F35" i="22" a="1"/>
  <c r="F35" i="22" s="1"/>
  <c r="G36" i="22" a="1"/>
  <c r="G36" i="22" s="1"/>
  <c r="H43" i="20" a="1"/>
  <c r="H43" i="20" s="1"/>
  <c r="C64" i="28" a="1"/>
  <c r="C64" i="28" s="1"/>
  <c r="C61" i="28" a="1"/>
  <c r="C61" i="28" s="1"/>
  <c r="C19" i="28" a="1"/>
  <c r="C19" i="28" s="1"/>
  <c r="F19" i="28" a="1"/>
  <c r="F19" i="28" s="1"/>
  <c r="C55" i="31" a="1"/>
  <c r="C55" i="31" s="1"/>
  <c r="H32" i="36" a="1"/>
  <c r="H32" i="36" s="1"/>
  <c r="G30" i="36" a="1"/>
  <c r="G30" i="36" s="1"/>
  <c r="H30" i="36" a="1"/>
  <c r="H30" i="36" s="1"/>
  <c r="C30" i="36" a="1"/>
  <c r="C30" i="36" s="1"/>
  <c r="H29" i="35" a="1"/>
  <c r="H29" i="35" s="1"/>
  <c r="G31" i="35" a="1"/>
  <c r="G31" i="35" s="1"/>
  <c r="C58" i="35" a="1"/>
  <c r="C58" i="35" s="1"/>
  <c r="E58" i="35" a="1"/>
  <c r="E58" i="35" s="1"/>
  <c r="F58" i="35" a="1"/>
  <c r="F58" i="35" s="1"/>
  <c r="G46" i="39" a="1"/>
  <c r="G46" i="39" s="1"/>
  <c r="C36" i="39" a="1"/>
  <c r="C36" i="39" s="1"/>
  <c r="C48" i="39" a="1"/>
  <c r="C48" i="39" s="1"/>
  <c r="D48" i="39" a="1"/>
  <c r="D48" i="39" s="1"/>
  <c r="E57" i="38" a="1"/>
  <c r="E57" i="38" s="1"/>
  <c r="G49" i="32" a="1"/>
  <c r="G49" i="32" s="1"/>
  <c r="D24" i="38" a="1"/>
  <c r="D24" i="38" s="1"/>
  <c r="G24" i="38" a="1"/>
  <c r="G24" i="38" s="1"/>
  <c r="C31" i="38" a="1"/>
  <c r="C31" i="38" s="1"/>
  <c r="D50" i="22" a="1"/>
  <c r="D50" i="22" s="1"/>
  <c r="E58" i="32" a="1"/>
  <c r="E58" i="32" s="1"/>
  <c r="C58" i="32" a="1"/>
  <c r="C58" i="32" s="1"/>
  <c r="G26" i="31" a="1"/>
  <c r="G26" i="31" s="1"/>
  <c r="D43" i="38" a="1"/>
  <c r="D43" i="38" s="1"/>
  <c r="G62" i="37" a="1"/>
  <c r="G62" i="37" s="1"/>
  <c r="D38" i="38" a="1"/>
  <c r="D38" i="38" s="1"/>
  <c r="D28" i="32" a="1"/>
  <c r="D28" i="32" s="1"/>
  <c r="E34" i="28" a="1"/>
  <c r="E34" i="28" s="1"/>
  <c r="H45" i="28" a="1"/>
  <c r="H45" i="28" s="1"/>
  <c r="H34" i="22" a="1"/>
  <c r="H34" i="22" s="1"/>
  <c r="D19" i="27" a="1"/>
  <c r="D19" i="27" s="1"/>
  <c r="G19" i="27" a="1"/>
  <c r="G19" i="27" s="1"/>
  <c r="F22" i="22" a="1"/>
  <c r="F22" i="22" s="1"/>
  <c r="E62" i="27" a="1"/>
  <c r="E62" i="27" s="1"/>
  <c r="C62" i="27" a="1"/>
  <c r="C62" i="27" s="1"/>
  <c r="G48" i="20" a="1"/>
  <c r="G48" i="20" s="1"/>
  <c r="D41" i="19" a="1"/>
  <c r="D41" i="19" s="1"/>
  <c r="H41" i="19" a="1"/>
  <c r="H41" i="19" s="1"/>
  <c r="E24" i="22" a="1"/>
  <c r="E24" i="22" s="1"/>
  <c r="G64" i="26" a="1"/>
  <c r="G64" i="26" s="1"/>
  <c r="H64" i="26" a="1"/>
  <c r="H64" i="26" s="1"/>
  <c r="F32" i="36" a="1"/>
  <c r="F32" i="36" s="1"/>
  <c r="D23" i="35" a="1"/>
  <c r="D23" i="35" s="1"/>
  <c r="G23" i="35" a="1"/>
  <c r="G23" i="35" s="1"/>
  <c r="D31" i="35" a="1"/>
  <c r="D31" i="35" s="1"/>
  <c r="D35" i="35" a="1"/>
  <c r="D35" i="35" s="1"/>
  <c r="G35" i="35" a="1"/>
  <c r="G35" i="35" s="1"/>
  <c r="G36" i="39" a="1"/>
  <c r="G36" i="39" s="1"/>
  <c r="F37" i="32" a="1"/>
  <c r="F37" i="32" s="1"/>
  <c r="E37" i="32" a="1"/>
  <c r="E37" i="32" s="1"/>
  <c r="H49" i="32" a="1"/>
  <c r="H49" i="32" s="1"/>
  <c r="G46" i="38" a="1"/>
  <c r="G46" i="38" s="1"/>
  <c r="H46" i="38" a="1"/>
  <c r="H46" i="38" s="1"/>
  <c r="E50" i="22" a="1"/>
  <c r="E50" i="22" s="1"/>
  <c r="G23" i="31" a="1"/>
  <c r="G23" i="31" s="1"/>
  <c r="E23" i="31" a="1"/>
  <c r="E23" i="31" s="1"/>
  <c r="C43" i="38" a="1"/>
  <c r="C43" i="38" s="1"/>
  <c r="H43" i="38" a="1"/>
  <c r="H43" i="38" s="1"/>
  <c r="E62" i="37" a="1"/>
  <c r="E62" i="37" s="1"/>
  <c r="H62" i="37" a="1"/>
  <c r="H62" i="37" s="1"/>
  <c r="D62" i="37" a="1"/>
  <c r="D62" i="37" s="1"/>
  <c r="H61" i="37" a="1"/>
  <c r="H61" i="37" s="1"/>
  <c r="F61" i="37" a="1"/>
  <c r="F61" i="37" s="1"/>
  <c r="F47" i="37" a="1"/>
  <c r="F47" i="37" s="1"/>
  <c r="G44" i="29" a="1"/>
  <c r="G44" i="29" s="1"/>
  <c r="E44" i="29" a="1"/>
  <c r="E44" i="29" s="1"/>
  <c r="F44" i="27" a="1"/>
  <c r="F44" i="27" s="1"/>
  <c r="D25" i="32" a="1"/>
  <c r="D25" i="32" s="1"/>
  <c r="F25" i="32" a="1"/>
  <c r="F25" i="32" s="1"/>
  <c r="G46" i="25" a="1"/>
  <c r="G46" i="25" s="1"/>
  <c r="D35" i="21" a="1"/>
  <c r="D35" i="21" s="1"/>
  <c r="G35" i="21" a="1"/>
  <c r="G35" i="21" s="1"/>
  <c r="H52" i="32" a="1"/>
  <c r="H52" i="32" s="1"/>
  <c r="D52" i="32" a="1"/>
  <c r="D52" i="32" s="1"/>
  <c r="C43" i="32" a="1"/>
  <c r="C43" i="32" s="1"/>
  <c r="E46" i="26" a="1"/>
  <c r="E46" i="26" s="1"/>
  <c r="G23" i="27" a="1"/>
  <c r="G23" i="27" s="1"/>
  <c r="D23" i="27" a="1"/>
  <c r="D23" i="27" s="1"/>
  <c r="E21" i="22" a="1"/>
  <c r="E21" i="22" s="1"/>
  <c r="C52" i="21" a="1"/>
  <c r="C52" i="21" s="1"/>
  <c r="F52" i="21" a="1"/>
  <c r="F52" i="21" s="1"/>
  <c r="D50" i="21" a="1"/>
  <c r="D50" i="21" s="1"/>
  <c r="D51" i="19" a="1"/>
  <c r="D51" i="19" s="1"/>
  <c r="F51" i="19" a="1"/>
  <c r="F51" i="19" s="1"/>
  <c r="D44" i="20" a="1"/>
  <c r="D44" i="20" s="1"/>
  <c r="C22" i="26" a="1"/>
  <c r="C22" i="26" s="1"/>
  <c r="F22" i="26" a="1"/>
  <c r="F22" i="26" s="1"/>
  <c r="E21" i="21" a="1"/>
  <c r="E21" i="21" s="1"/>
  <c r="G52" i="20" a="1"/>
  <c r="G52" i="20" s="1"/>
  <c r="E52" i="20" a="1"/>
  <c r="E52" i="20" s="1"/>
  <c r="C18" i="28" a="1"/>
  <c r="C18" i="28" s="1"/>
  <c r="D53" i="22" a="1"/>
  <c r="D53" i="22" s="1"/>
  <c r="G42" i="19" a="1"/>
  <c r="G42" i="19" s="1"/>
  <c r="G47" i="37" a="1"/>
  <c r="G47" i="37" s="1"/>
  <c r="C47" i="37" a="1"/>
  <c r="C47" i="37" s="1"/>
  <c r="H44" i="27" a="1"/>
  <c r="H44" i="27" s="1"/>
  <c r="D44" i="27" a="1"/>
  <c r="D44" i="27" s="1"/>
  <c r="D46" i="25" a="1"/>
  <c r="D46" i="25" s="1"/>
  <c r="H46" i="25" a="1"/>
  <c r="H46" i="25" s="1"/>
  <c r="H23" i="21" a="1"/>
  <c r="H23" i="21" s="1"/>
  <c r="C23" i="21" a="1"/>
  <c r="C23" i="21" s="1"/>
  <c r="E23" i="21" a="1"/>
  <c r="E23" i="21" s="1"/>
  <c r="G43" i="32" a="1"/>
  <c r="G43" i="32" s="1"/>
  <c r="E43" i="32" a="1"/>
  <c r="E43" i="32" s="1"/>
  <c r="F46" i="26" a="1"/>
  <c r="F46" i="26" s="1"/>
  <c r="C21" i="22" a="1"/>
  <c r="C21" i="22" s="1"/>
  <c r="D55" i="21" a="1"/>
  <c r="D55" i="21" s="1"/>
  <c r="E55" i="21" a="1"/>
  <c r="E55" i="21" s="1"/>
  <c r="F55" i="21" a="1"/>
  <c r="F55" i="21" s="1"/>
  <c r="F50" i="21" a="1"/>
  <c r="F50" i="21" s="1"/>
  <c r="D26" i="25" a="1"/>
  <c r="D26" i="25" s="1"/>
  <c r="C26" i="25" a="1"/>
  <c r="C26" i="25" s="1"/>
  <c r="E26" i="25" a="1"/>
  <c r="E26" i="25" s="1"/>
  <c r="G44" i="20" a="1"/>
  <c r="G44" i="20" s="1"/>
  <c r="F46" i="21" a="1"/>
  <c r="F46" i="21" s="1"/>
  <c r="G46" i="21" a="1"/>
  <c r="G46" i="21" s="1"/>
  <c r="H46" i="21" a="1"/>
  <c r="H46" i="21" s="1"/>
  <c r="F21" i="21" a="1"/>
  <c r="F21" i="21" s="1"/>
  <c r="D21" i="21" a="1"/>
  <c r="D21" i="21" s="1"/>
  <c r="E22" i="20" a="1"/>
  <c r="E22" i="20" s="1"/>
  <c r="D22" i="20" a="1"/>
  <c r="D22" i="20" s="1"/>
  <c r="G22" i="20" a="1"/>
  <c r="G22" i="20" s="1"/>
  <c r="E18" i="28" a="1"/>
  <c r="E18" i="28" s="1"/>
  <c r="H51" i="21" a="1"/>
  <c r="H51" i="21" s="1"/>
  <c r="C51" i="21" a="1"/>
  <c r="C51" i="21" s="1"/>
  <c r="F51" i="21" a="1"/>
  <c r="F51" i="21" s="1"/>
  <c r="D21" i="31" a="1"/>
  <c r="D21" i="31" s="1"/>
  <c r="D37" i="38" a="1"/>
  <c r="D37" i="38" s="1"/>
  <c r="D56" i="37" a="1"/>
  <c r="D56" i="37" s="1"/>
  <c r="D61" i="37" a="1"/>
  <c r="D61" i="37" s="1"/>
  <c r="C61" i="37" a="1"/>
  <c r="C61" i="37" s="1"/>
  <c r="E61" i="37" a="1"/>
  <c r="E61" i="37" s="1"/>
  <c r="H48" i="37" a="1"/>
  <c r="H48" i="37" s="1"/>
  <c r="C36" i="32" a="1"/>
  <c r="C36" i="32" s="1"/>
  <c r="D44" i="29" a="1"/>
  <c r="D44" i="29" s="1"/>
  <c r="C44" i="29" a="1"/>
  <c r="C44" i="29" s="1"/>
  <c r="F44" i="29" a="1"/>
  <c r="F44" i="29" s="1"/>
  <c r="C25" i="32" a="1"/>
  <c r="C25" i="32" s="1"/>
  <c r="E25" i="32" a="1"/>
  <c r="E25" i="32" s="1"/>
  <c r="H25" i="32" a="1"/>
  <c r="H25" i="32" s="1"/>
  <c r="F35" i="21" a="1"/>
  <c r="F35" i="21" s="1"/>
  <c r="E35" i="21" a="1"/>
  <c r="E35" i="21" s="1"/>
  <c r="G23" i="21" a="1"/>
  <c r="G23" i="21" s="1"/>
  <c r="E52" i="32" a="1"/>
  <c r="E52" i="32" s="1"/>
  <c r="F52" i="32" a="1"/>
  <c r="F52" i="32" s="1"/>
  <c r="C52" i="32" a="1"/>
  <c r="C52" i="32" s="1"/>
  <c r="G36" i="26" a="1"/>
  <c r="G36" i="26" s="1"/>
  <c r="H23" i="27" a="1"/>
  <c r="H23" i="27" s="1"/>
  <c r="C23" i="27" a="1"/>
  <c r="C23" i="27" s="1"/>
  <c r="F64" i="25" a="1"/>
  <c r="F64" i="25" s="1"/>
  <c r="G55" i="21" a="1"/>
  <c r="G55" i="21" s="1"/>
  <c r="E52" i="21" a="1"/>
  <c r="E52" i="21" s="1"/>
  <c r="H52" i="21" a="1"/>
  <c r="H52" i="21" s="1"/>
  <c r="E25" i="27" a="1"/>
  <c r="E25" i="27" s="1"/>
  <c r="G26" i="25" a="1"/>
  <c r="G26" i="25" s="1"/>
  <c r="H51" i="19" a="1"/>
  <c r="H51" i="19" s="1"/>
  <c r="E51" i="19" a="1"/>
  <c r="E51" i="19" s="1"/>
  <c r="E48" i="29" a="1"/>
  <c r="E48" i="29" s="1"/>
  <c r="D46" i="21" a="1"/>
  <c r="D46" i="21" s="1"/>
  <c r="D22" i="26" a="1"/>
  <c r="D22" i="26" s="1"/>
  <c r="G22" i="26" a="1"/>
  <c r="G22" i="26" s="1"/>
  <c r="H22" i="26" a="1"/>
  <c r="H22" i="26" s="1"/>
  <c r="F41" i="22" a="1"/>
  <c r="F41" i="22" s="1"/>
  <c r="C22" i="20" a="1"/>
  <c r="C22" i="20" s="1"/>
  <c r="F52" i="20" a="1"/>
  <c r="F52" i="20" s="1"/>
  <c r="D52" i="20" a="1"/>
  <c r="D52" i="20" s="1"/>
  <c r="C52" i="20" a="1"/>
  <c r="C52" i="20" s="1"/>
  <c r="D18" i="28" a="1"/>
  <c r="D18" i="28" s="1"/>
  <c r="H53" i="22" a="1"/>
  <c r="H53" i="22" s="1"/>
  <c r="E53" i="22" a="1"/>
  <c r="E53" i="22" s="1"/>
  <c r="E51" i="21" a="1"/>
  <c r="E51" i="21" s="1"/>
  <c r="G56" i="37" a="1"/>
  <c r="G56" i="37" s="1"/>
  <c r="H47" i="37" a="1"/>
  <c r="H47" i="37" s="1"/>
  <c r="E47" i="37" a="1"/>
  <c r="E47" i="37" s="1"/>
  <c r="F36" i="32" a="1"/>
  <c r="F36" i="32" s="1"/>
  <c r="E44" i="27" a="1"/>
  <c r="E44" i="27" s="1"/>
  <c r="F46" i="25" a="1"/>
  <c r="F46" i="25" s="1"/>
  <c r="F23" i="21" a="1"/>
  <c r="F23" i="21" s="1"/>
  <c r="F43" i="32" a="1"/>
  <c r="F43" i="32" s="1"/>
  <c r="D43" i="32" a="1"/>
  <c r="D43" i="32" s="1"/>
  <c r="C55" i="21" a="1"/>
  <c r="C55" i="21" s="1"/>
  <c r="F26" i="25" a="1"/>
  <c r="F26" i="25" s="1"/>
  <c r="C46" i="21" a="1"/>
  <c r="C46" i="21" s="1"/>
  <c r="H21" i="21" a="1"/>
  <c r="H21" i="21" s="1"/>
  <c r="C21" i="21" a="1"/>
  <c r="C21" i="21" s="1"/>
  <c r="H22" i="20" a="1"/>
  <c r="H22" i="20" s="1"/>
  <c r="F18" i="28" a="1"/>
  <c r="F18" i="28" s="1"/>
  <c r="G18" i="28" a="1"/>
  <c r="G18" i="28" s="1"/>
  <c r="D51" i="21" a="1"/>
  <c r="D51" i="21" s="1"/>
  <c r="D42" i="19" a="1"/>
  <c r="D42" i="19" s="1"/>
  <c r="C42" i="19" a="1"/>
  <c r="C42" i="19" s="1"/>
  <c r="E42" i="19" a="1"/>
  <c r="E42" i="19" s="1"/>
  <c r="F42" i="19" a="1"/>
  <c r="F42" i="19" s="1"/>
  <c r="H58" i="27" a="1"/>
  <c r="H58" i="27" s="1"/>
  <c r="E58" i="27" a="1"/>
  <c r="E58" i="27" s="1"/>
  <c r="F58" i="27" a="1"/>
  <c r="F58" i="27" s="1"/>
  <c r="G41" i="20" a="1"/>
  <c r="G41" i="20" s="1"/>
  <c r="H41" i="20" a="1"/>
  <c r="H41" i="20" s="1"/>
  <c r="H44" i="22" a="1"/>
  <c r="H44" i="22" s="1"/>
  <c r="E44" i="22" a="1"/>
  <c r="E44" i="22" s="1"/>
  <c r="C44" i="22" a="1"/>
  <c r="C44" i="22" s="1"/>
  <c r="F38" i="29" a="1"/>
  <c r="F38" i="29" s="1"/>
  <c r="G43" i="19" a="1"/>
  <c r="G43" i="19" s="1"/>
  <c r="E36" i="29" a="1"/>
  <c r="E36" i="29" s="1"/>
  <c r="D24" i="19" a="1"/>
  <c r="D24" i="19" s="1"/>
  <c r="F24" i="19" a="1"/>
  <c r="F24" i="19" s="1"/>
  <c r="G24" i="19" a="1"/>
  <c r="G24" i="19" s="1"/>
  <c r="E42" i="20" a="1"/>
  <c r="E42" i="20" s="1"/>
  <c r="E20" i="21" a="1"/>
  <c r="E20" i="21" s="1"/>
  <c r="H47" i="20" a="1"/>
  <c r="H47" i="20" s="1"/>
  <c r="D47" i="20" a="1"/>
  <c r="D47" i="20" s="1"/>
  <c r="E47" i="20" a="1"/>
  <c r="E47" i="20" s="1"/>
  <c r="C46" i="22" a="1"/>
  <c r="C46" i="22" s="1"/>
  <c r="H32" i="29" a="1"/>
  <c r="H32" i="29" s="1"/>
  <c r="F25" i="26" a="1"/>
  <c r="F25" i="26" s="1"/>
  <c r="C26" i="26" a="1"/>
  <c r="C26" i="26" s="1"/>
  <c r="F26" i="26" a="1"/>
  <c r="F26" i="26" s="1"/>
  <c r="D26" i="26" a="1"/>
  <c r="D26" i="26" s="1"/>
  <c r="F45" i="22" a="1"/>
  <c r="F45" i="22" s="1"/>
  <c r="H31" i="29" a="1"/>
  <c r="H31" i="29" s="1"/>
  <c r="D31" i="29" a="1"/>
  <c r="D31" i="29" s="1"/>
  <c r="G53" i="20" a="1"/>
  <c r="G53" i="20" s="1"/>
  <c r="D53" i="20" a="1"/>
  <c r="D53" i="20" s="1"/>
  <c r="E53" i="20" a="1"/>
  <c r="E53" i="20" s="1"/>
  <c r="F53" i="20" a="1"/>
  <c r="F53" i="20" s="1"/>
  <c r="H53" i="20" a="1"/>
  <c r="H53" i="20" s="1"/>
  <c r="G23" i="19" a="1"/>
  <c r="G23" i="19" s="1"/>
  <c r="F23" i="19" a="1"/>
  <c r="F23" i="19" s="1"/>
  <c r="D23" i="19" a="1"/>
  <c r="D23" i="19" s="1"/>
  <c r="H23" i="19" a="1"/>
  <c r="H23" i="19" s="1"/>
  <c r="D36" i="29" a="1"/>
  <c r="D36" i="29" s="1"/>
  <c r="H36" i="29" a="1"/>
  <c r="H36" i="29" s="1"/>
  <c r="C20" i="21" a="1"/>
  <c r="C20" i="21" s="1"/>
  <c r="D20" i="21" a="1"/>
  <c r="D20" i="21" s="1"/>
  <c r="D32" i="29" a="1"/>
  <c r="D32" i="29" s="1"/>
  <c r="G32" i="29" a="1"/>
  <c r="G32" i="29" s="1"/>
  <c r="E25" i="26" a="1"/>
  <c r="E25" i="26" s="1"/>
  <c r="E26" i="26" a="1"/>
  <c r="E26" i="26" s="1"/>
  <c r="D45" i="22" a="1"/>
  <c r="D45" i="22" s="1"/>
  <c r="C31" i="29" a="1"/>
  <c r="C31" i="29" s="1"/>
  <c r="E23" i="19" a="1"/>
  <c r="E23" i="19" s="1"/>
  <c r="G58" i="27" a="1"/>
  <c r="G58" i="27" s="1"/>
  <c r="F41" i="20" a="1"/>
  <c r="F41" i="20" s="1"/>
  <c r="E41" i="20" a="1"/>
  <c r="E41" i="20" s="1"/>
  <c r="F44" i="22" a="1"/>
  <c r="F44" i="22" s="1"/>
  <c r="G23" i="20" a="1"/>
  <c r="G23" i="20" s="1"/>
  <c r="E26" i="28" a="1"/>
  <c r="E26" i="28" s="1"/>
  <c r="H24" i="19" a="1"/>
  <c r="H24" i="19" s="1"/>
  <c r="E47" i="21" a="1"/>
  <c r="E47" i="21" s="1"/>
  <c r="G47" i="20" a="1"/>
  <c r="G47" i="20" s="1"/>
  <c r="C45" i="19" a="1"/>
  <c r="C45" i="19" s="1"/>
  <c r="D25" i="26" a="1"/>
  <c r="D25" i="26" s="1"/>
  <c r="G26" i="26" a="1"/>
  <c r="G26" i="26" s="1"/>
  <c r="D55" i="19" a="1"/>
  <c r="D55" i="19" s="1"/>
  <c r="H55" i="19" a="1"/>
  <c r="H55" i="19" s="1"/>
  <c r="E55" i="19" a="1"/>
  <c r="E55" i="19" s="1"/>
  <c r="C55" i="19" a="1"/>
  <c r="C55" i="19" s="1"/>
  <c r="D21" i="27" a="1"/>
  <c r="D21" i="27" s="1"/>
  <c r="H21" i="27" a="1"/>
  <c r="H21" i="27" s="1"/>
  <c r="G21" i="27" a="1"/>
  <c r="G21" i="27" s="1"/>
  <c r="F21" i="27" a="1"/>
  <c r="F21" i="27" s="1"/>
  <c r="C23" i="20" a="1"/>
  <c r="C23" i="20" s="1"/>
  <c r="H26" i="28" a="1"/>
  <c r="H26" i="28" s="1"/>
  <c r="C36" i="29" a="1"/>
  <c r="C36" i="29" s="1"/>
  <c r="G36" i="29" a="1"/>
  <c r="G36" i="29" s="1"/>
  <c r="G47" i="21" a="1"/>
  <c r="G47" i="21" s="1"/>
  <c r="F20" i="21" a="1"/>
  <c r="F20" i="21" s="1"/>
  <c r="H20" i="21" a="1"/>
  <c r="H20" i="21" s="1"/>
  <c r="F45" i="19" a="1"/>
  <c r="F45" i="19" s="1"/>
  <c r="C32" i="29" a="1"/>
  <c r="C32" i="29" s="1"/>
  <c r="E32" i="29" a="1"/>
  <c r="E32" i="29" s="1"/>
  <c r="C25" i="26" a="1"/>
  <c r="C25" i="26" s="1"/>
  <c r="H25" i="26" a="1"/>
  <c r="H25" i="26" s="1"/>
  <c r="C46" i="20" a="1"/>
  <c r="C46" i="20" s="1"/>
  <c r="D46" i="20" a="1"/>
  <c r="D46" i="20" s="1"/>
  <c r="H46" i="20" a="1"/>
  <c r="H46" i="20" s="1"/>
  <c r="E45" i="22" a="1"/>
  <c r="E45" i="22" s="1"/>
  <c r="C45" i="22" a="1"/>
  <c r="C45" i="22" s="1"/>
  <c r="G26" i="19" a="1"/>
  <c r="G26" i="19" s="1"/>
  <c r="H26" i="19" a="1"/>
  <c r="H26" i="19" s="1"/>
  <c r="D26" i="19" a="1"/>
  <c r="D26" i="19" s="1"/>
  <c r="D60" i="27" a="1"/>
  <c r="D60" i="27" s="1"/>
  <c r="E60" i="27" a="1"/>
  <c r="E60" i="27" s="1"/>
  <c r="H60" i="27" a="1"/>
  <c r="H60" i="27" s="1"/>
  <c r="F60" i="27" a="1"/>
  <c r="F60" i="27" s="1"/>
  <c r="H25" i="20" a="1"/>
  <c r="H25" i="20" s="1"/>
  <c r="D25" i="20" a="1"/>
  <c r="D25" i="20" s="1"/>
  <c r="E25" i="20" a="1"/>
  <c r="E25" i="20" s="1"/>
  <c r="G25" i="20" a="1"/>
  <c r="G25" i="20" s="1"/>
  <c r="G55" i="19" a="1"/>
  <c r="G55" i="19" s="1"/>
  <c r="E21" i="27" a="1"/>
  <c r="E21" i="27" s="1"/>
  <c r="G57" i="20" a="1"/>
  <c r="G57" i="20" s="1"/>
  <c r="D57" i="20" a="1"/>
  <c r="D57" i="20" s="1"/>
  <c r="F21" i="20" a="1"/>
  <c r="F21" i="20" s="1"/>
  <c r="D21" i="20" a="1"/>
  <c r="D21" i="20" s="1"/>
  <c r="C59" i="26" a="1"/>
  <c r="C59" i="26" s="1"/>
  <c r="E59" i="26" a="1"/>
  <c r="E59" i="26" s="1"/>
  <c r="H43" i="21" a="1"/>
  <c r="H43" i="21" s="1"/>
  <c r="E62" i="25" a="1"/>
  <c r="E62" i="25" s="1"/>
  <c r="F62" i="25" a="1"/>
  <c r="F62" i="25" s="1"/>
  <c r="G59" i="27" a="1"/>
  <c r="G59" i="27" s="1"/>
  <c r="G55" i="20" a="1"/>
  <c r="G55" i="20" s="1"/>
  <c r="F53" i="21" a="1"/>
  <c r="F53" i="21" s="1"/>
  <c r="D61" i="25" a="1"/>
  <c r="D61" i="25" s="1"/>
  <c r="C48" i="21" a="1"/>
  <c r="C48" i="21" s="1"/>
  <c r="G50" i="19" a="1"/>
  <c r="G50" i="19" s="1"/>
  <c r="G62" i="28" a="1"/>
  <c r="G62" i="28" s="1"/>
  <c r="C43" i="21" a="1"/>
  <c r="C43" i="21" s="1"/>
  <c r="H59" i="27" a="1"/>
  <c r="H59" i="27" s="1"/>
  <c r="G61" i="25" a="1"/>
  <c r="G61" i="25" s="1"/>
  <c r="F50" i="19" a="1"/>
  <c r="F50" i="19" s="1"/>
  <c r="F55" i="22" a="1"/>
  <c r="F55" i="22" s="1"/>
  <c r="F57" i="20" a="1"/>
  <c r="F57" i="20" s="1"/>
  <c r="E57" i="20" a="1"/>
  <c r="E57" i="20" s="1"/>
  <c r="D49" i="19" a="1"/>
  <c r="D49" i="19" s="1"/>
  <c r="G21" i="20" a="1"/>
  <c r="G21" i="20" s="1"/>
  <c r="C21" i="20" a="1"/>
  <c r="C21" i="20" s="1"/>
  <c r="D59" i="26" a="1"/>
  <c r="D59" i="26" s="1"/>
  <c r="G59" i="26" a="1"/>
  <c r="G59" i="26" s="1"/>
  <c r="D43" i="29" a="1"/>
  <c r="D43" i="29" s="1"/>
  <c r="G62" i="25" a="1"/>
  <c r="G62" i="25" s="1"/>
  <c r="H62" i="25" a="1"/>
  <c r="H62" i="2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<sst xmlns="http://schemas.openxmlformats.org/spreadsheetml/2006/main" count="15190" uniqueCount="3094">
  <si>
    <t>Security</t>
  </si>
  <si>
    <t>Virtualisation</t>
  </si>
  <si>
    <t>Networking</t>
  </si>
  <si>
    <t>Services</t>
  </si>
  <si>
    <t>Copyright Italik Limited 2016. This document may not be reproduced, disclosed to any third party, or utilised in any manner other than that specifically contemplated herein; either in whole or in part, without the prior permission of the authors. All rights reserved.</t>
  </si>
  <si>
    <t>General</t>
  </si>
  <si>
    <t>Document Properties</t>
  </si>
  <si>
    <t>(These values are calculated and saved to the properties)</t>
  </si>
  <si>
    <t>Subject</t>
  </si>
  <si>
    <t>Content Status</t>
  </si>
  <si>
    <t>Document Number</t>
  </si>
  <si>
    <t>Revision Number</t>
  </si>
  <si>
    <t>Category</t>
  </si>
  <si>
    <t>Keywords</t>
  </si>
  <si>
    <t>Title</t>
  </si>
  <si>
    <t>Author</t>
  </si>
  <si>
    <t>Comments</t>
  </si>
  <si>
    <t>Document Details</t>
  </si>
  <si>
    <t>Document Type</t>
  </si>
  <si>
    <t>Client</t>
  </si>
  <si>
    <t>Client ID</t>
  </si>
  <si>
    <t>Document Title / Project</t>
  </si>
  <si>
    <t>Summary</t>
  </si>
  <si>
    <t>Sumary / overview</t>
  </si>
  <si>
    <t>Document Control</t>
  </si>
  <si>
    <t>Document Status</t>
  </si>
  <si>
    <t>DRAFT</t>
  </si>
  <si>
    <t>Validate Before Save</t>
  </si>
  <si>
    <t>OFF</t>
  </si>
  <si>
    <t>Document Version</t>
  </si>
  <si>
    <t>Created By</t>
  </si>
  <si>
    <t>Last Editor</t>
  </si>
  <si>
    <t>Last Saved</t>
  </si>
  <si>
    <t>Last Change</t>
  </si>
  <si>
    <r>
      <t xml:space="preserve">Change History
</t>
    </r>
    <r>
      <rPr>
        <sz val="8"/>
        <color rgb="FF4D4D4D"/>
        <rFont val="Georgia"/>
        <family val="1"/>
      </rPr>
      <t>(Ctrl-Shift-T)</t>
    </r>
  </si>
  <si>
    <t>Suggested Filename</t>
  </si>
  <si>
    <t>Global Parameters</t>
  </si>
  <si>
    <t>Infrastructure Design</t>
  </si>
  <si>
    <t>Freemans Grattan Holdings</t>
  </si>
  <si>
    <t>FGH</t>
  </si>
  <si>
    <t>1.1</t>
  </si>
  <si>
    <t>1</t>
  </si>
  <si>
    <t>Robert Field</t>
  </si>
  <si>
    <t>Index</t>
  </si>
  <si>
    <t>Site</t>
  </si>
  <si>
    <t>Type</t>
  </si>
  <si>
    <t>VLAN</t>
  </si>
  <si>
    <t>Legacy Name</t>
  </si>
  <si>
    <t>Net Name</t>
  </si>
  <si>
    <t>Network</t>
  </si>
  <si>
    <t>Usable Range</t>
  </si>
  <si>
    <t>Gateway</t>
  </si>
  <si>
    <t>MASK</t>
  </si>
  <si>
    <t>Status</t>
  </si>
  <si>
    <t>Comment</t>
  </si>
  <si>
    <t>Networks</t>
  </si>
  <si>
    <t>LISTERHILLS/92</t>
  </si>
  <si>
    <t>Listerhills</t>
  </si>
  <si>
    <t>Routed Network</t>
  </si>
  <si>
    <t>HermesHub VLAN 92</t>
  </si>
  <si>
    <t>HERMES</t>
  </si>
  <si>
    <t>172.16.92.0/22</t>
  </si>
  <si>
    <t>172.16.92.0 - 172.16.95.255</t>
  </si>
  <si>
    <t>172.16.92.1</t>
  </si>
  <si>
    <t>255.255.252.0</t>
  </si>
  <si>
    <t>MIGRATE</t>
  </si>
  <si>
    <t>HAMBURG/108</t>
  </si>
  <si>
    <t>Hamburg</t>
  </si>
  <si>
    <t xml:space="preserve">Hamburg MPLS-Firewall Interface </t>
  </si>
  <si>
    <t>HGWAN-DMZ</t>
  </si>
  <si>
    <t>10.108.34.0/24</t>
  </si>
  <si>
    <t>10.108.34.0 - 10.108.34.255</t>
  </si>
  <si>
    <t>10.108.34.1</t>
  </si>
  <si>
    <t>255.255.255.0</t>
  </si>
  <si>
    <t>LISTERHILLS/2</t>
  </si>
  <si>
    <t>Terminal Server Network</t>
  </si>
  <si>
    <t>__Terminal_Server_Network</t>
  </si>
  <si>
    <t>0/0</t>
  </si>
  <si>
    <t/>
  </si>
  <si>
    <t>REVIEW</t>
  </si>
  <si>
    <t>LISTERHILLS/4</t>
  </si>
  <si>
    <t>Midrange Backup Lan</t>
  </si>
  <si>
    <t>BACKUP</t>
  </si>
  <si>
    <t>LISTERHILLS/6</t>
  </si>
  <si>
    <t>Imscan SQL Private Network</t>
  </si>
  <si>
    <t>__Imscan_SQL_Private_Network</t>
  </si>
  <si>
    <t>LISTERHILLS/8</t>
  </si>
  <si>
    <t>Legacy VLAN 8</t>
  </si>
  <si>
    <t>LEGACY08</t>
  </si>
  <si>
    <t>172.16.8.0/22</t>
  </si>
  <si>
    <t>172.16.8.0 - 172.16.11.255</t>
  </si>
  <si>
    <t>172.16.8.1</t>
  </si>
  <si>
    <t>Also 172.16.12.1 (old VLAN12)</t>
  </si>
  <si>
    <t>LISTERHILLS/28</t>
  </si>
  <si>
    <t>Legacy VLAN 28</t>
  </si>
  <si>
    <t>LEGACY28</t>
  </si>
  <si>
    <t>172.16.28.0/22</t>
  </si>
  <si>
    <t>172.16.28.0 - 172.16.31.255</t>
  </si>
  <si>
    <t>172.16.28.101</t>
  </si>
  <si>
    <t>LISTERHILLS/32</t>
  </si>
  <si>
    <t>Legacy VLAN 32</t>
  </si>
  <si>
    <t>LEGACYSERVER32</t>
  </si>
  <si>
    <t>172.16.32.0/22</t>
  </si>
  <si>
    <t>172.16.32.0 - 172.16.35.255</t>
  </si>
  <si>
    <t>172.16.32.1</t>
  </si>
  <si>
    <t>LISTERHILLS/84</t>
  </si>
  <si>
    <t>Legacy VLAN 84</t>
  </si>
  <si>
    <t>LEGACY84</t>
  </si>
  <si>
    <t>172.16.84.0/22</t>
  </si>
  <si>
    <t>172.16.84.0 - 172.16.87.255</t>
  </si>
  <si>
    <t>172.16.84.103</t>
  </si>
  <si>
    <t>LISTERHILLS/88</t>
  </si>
  <si>
    <t>Legacy VLAN 88</t>
  </si>
  <si>
    <t>LEGACY88</t>
  </si>
  <si>
    <t>172.16.88.0/22</t>
  </si>
  <si>
    <t>172.16.88.0 - 172.16.91.255</t>
  </si>
  <si>
    <t>172.16.88.1</t>
  </si>
  <si>
    <t>LISTERHILLS/132</t>
  </si>
  <si>
    <t>Legacy VLAN 132</t>
  </si>
  <si>
    <t>LEGACY132</t>
  </si>
  <si>
    <t>172.16.132.0/22</t>
  </si>
  <si>
    <t>172.16.132.0 - 172.16.135.255</t>
  </si>
  <si>
    <t>172.16.132.104</t>
  </si>
  <si>
    <t>LISTERHILLS/201</t>
  </si>
  <si>
    <t>VoiceServer VLAN 201</t>
  </si>
  <si>
    <t>VOICE201</t>
  </si>
  <si>
    <t>10.224.1.0/25</t>
  </si>
  <si>
    <t>10.224.1.0 - 10.224.1.127</t>
  </si>
  <si>
    <t>10.224.1.1</t>
  </si>
  <si>
    <t>255.255.255.128</t>
  </si>
  <si>
    <t>LISTERHILLS/202</t>
  </si>
  <si>
    <t>VoiceServer VLAN 202</t>
  </si>
  <si>
    <t>VOICE202</t>
  </si>
  <si>
    <t>10.224.1.128/25</t>
  </si>
  <si>
    <t>10.224.1.128 - 10.224.1.255</t>
  </si>
  <si>
    <t>10.224.1.129</t>
  </si>
  <si>
    <t>LISTERHILLS/220</t>
  </si>
  <si>
    <t>Virtualised Volumes Management</t>
  </si>
  <si>
    <t>VIRTUALMGNT</t>
  </si>
  <si>
    <t>10.224.20.0/24</t>
  </si>
  <si>
    <t>10.224.20.0 - 10.224.20.255</t>
  </si>
  <si>
    <t>10.224.20.1</t>
  </si>
  <si>
    <t>LISTERHILLS/230</t>
  </si>
  <si>
    <t>Virtualised Volumes ISCSI</t>
  </si>
  <si>
    <t>HPISCSI</t>
  </si>
  <si>
    <t>10.224.30.0/24</t>
  </si>
  <si>
    <t>10.224.30.0 - 10.224.30.255</t>
  </si>
  <si>
    <t>LISTERHILLS/300</t>
  </si>
  <si>
    <t xml:space="preserve">NewServer VLAN </t>
  </si>
  <si>
    <t>SERVER</t>
  </si>
  <si>
    <t>10.224.100.0/24</t>
  </si>
  <si>
    <t>10.224.100.0 - 10.224.100.255</t>
  </si>
  <si>
    <t>10.224.100.1</t>
  </si>
  <si>
    <t>LISTERHILLS/310</t>
  </si>
  <si>
    <t xml:space="preserve">ISCSI VLAN </t>
  </si>
  <si>
    <t>ISCSI</t>
  </si>
  <si>
    <t>10.224.110.0/24</t>
  </si>
  <si>
    <t>10.224.110.0 - 10.224.110.255</t>
  </si>
  <si>
    <t>10.224.110.1</t>
  </si>
  <si>
    <t>LISTERHILLS/320</t>
  </si>
  <si>
    <t xml:space="preserve">NLB VLAN </t>
  </si>
  <si>
    <t>NLB</t>
  </si>
  <si>
    <t>10.224.120.0/24</t>
  </si>
  <si>
    <t>10.224.120.0 - 10.224.120.255</t>
  </si>
  <si>
    <t>10.224.120.1</t>
  </si>
  <si>
    <t>LISTERHILLS/400</t>
  </si>
  <si>
    <t>VDServers Mgmt VLAN</t>
  </si>
  <si>
    <t>VDIMGNT</t>
  </si>
  <si>
    <t>10.224.200.0/24</t>
  </si>
  <si>
    <t>10.224.200.0 - 10.224.200.255</t>
  </si>
  <si>
    <t>10.224.200.1</t>
  </si>
  <si>
    <t>LISTERHILLS/401</t>
  </si>
  <si>
    <t>VDServer1 VLAN</t>
  </si>
  <si>
    <t>FGHVIEW1</t>
  </si>
  <si>
    <t>10.224.201.0/24</t>
  </si>
  <si>
    <t>10.224.201.0 - 10.224.201.255</t>
  </si>
  <si>
    <t>10.224.201.1</t>
  </si>
  <si>
    <t>LISTERHILLS/402</t>
  </si>
  <si>
    <t>VDServer2 VLAN</t>
  </si>
  <si>
    <t>FGHVIEW2</t>
  </si>
  <si>
    <t>10.224.202.0/24</t>
  </si>
  <si>
    <t>10.224.202.0 - 10.224.202.255</t>
  </si>
  <si>
    <t>10.224.202.1</t>
  </si>
  <si>
    <t>LISTERHILLS/403</t>
  </si>
  <si>
    <t>VDServer3 VLAN</t>
  </si>
  <si>
    <t>FGHVIEW3</t>
  </si>
  <si>
    <t>10.224.203.0/24</t>
  </si>
  <si>
    <t>10.224.203.0 - 10.224.203.255</t>
  </si>
  <si>
    <t>10.224.203.1</t>
  </si>
  <si>
    <t>LISTERHILLS/404</t>
  </si>
  <si>
    <t>VDServer4 VLAN</t>
  </si>
  <si>
    <t>FGHVIEW4</t>
  </si>
  <si>
    <t>10.224.204.0/24</t>
  </si>
  <si>
    <t>10.224.204.0 - 10.224.204.255</t>
  </si>
  <si>
    <t>10.224.204.1</t>
  </si>
  <si>
    <t>LISTERHILLS/405</t>
  </si>
  <si>
    <t>VDServer5 VLAN</t>
  </si>
  <si>
    <t>FGHVIEW5</t>
  </si>
  <si>
    <t>10.224.205.0/24</t>
  </si>
  <si>
    <t>10.224.205.0 - 10.224.205.255</t>
  </si>
  <si>
    <t>10.224.205.1</t>
  </si>
  <si>
    <t>LISTERHILLS/406</t>
  </si>
  <si>
    <t>VDServer6 VLAN</t>
  </si>
  <si>
    <t>FGHVIEW6</t>
  </si>
  <si>
    <t>10.224.206.0/24</t>
  </si>
  <si>
    <t>10.224.206.0 - 10.224.206.255</t>
  </si>
  <si>
    <t>10.224.206.1</t>
  </si>
  <si>
    <t>LISTERHILLS/407</t>
  </si>
  <si>
    <t>VDServer7 VLAN</t>
  </si>
  <si>
    <t>FGHVIEW7</t>
  </si>
  <si>
    <t>10.224.207.0/24</t>
  </si>
  <si>
    <t>10.224.207.0 - 10.224.207.255</t>
  </si>
  <si>
    <t>10.224.207.1</t>
  </si>
  <si>
    <t>LISTERHILLS/408</t>
  </si>
  <si>
    <t>VDServer8 VLAN</t>
  </si>
  <si>
    <t>FGHVIEW8</t>
  </si>
  <si>
    <t>10.224.208.0/24</t>
  </si>
  <si>
    <t>10.224.208.0 - 10.224.208.255</t>
  </si>
  <si>
    <t>10.224.208.1</t>
  </si>
  <si>
    <t>LISTERHILLS/409</t>
  </si>
  <si>
    <t>VDServer9 VLAN</t>
  </si>
  <si>
    <t>FGHVIEW9</t>
  </si>
  <si>
    <t>10.224.209.0/24</t>
  </si>
  <si>
    <t>10.224.209.0 - 10.224.209.255</t>
  </si>
  <si>
    <t>10.224.209.1</t>
  </si>
  <si>
    <t>LISTERHILLS/410</t>
  </si>
  <si>
    <t>VDServer10 VLAN</t>
  </si>
  <si>
    <t>FGHVIEW10</t>
  </si>
  <si>
    <t>10.224.210.0/24</t>
  </si>
  <si>
    <t>10.224.210.0 - 10.224.210.255</t>
  </si>
  <si>
    <t>10.224.210.1</t>
  </si>
  <si>
    <t>LISTERHILLS/411</t>
  </si>
  <si>
    <t>VDServer11 vlan</t>
  </si>
  <si>
    <t>FGHVIEW11</t>
  </si>
  <si>
    <t>10.224.211.0/24</t>
  </si>
  <si>
    <t>10.224.211.0 - 10.224.211.255</t>
  </si>
  <si>
    <t>10.224.211.1</t>
  </si>
  <si>
    <t>LISTERHILLS/412</t>
  </si>
  <si>
    <t>VDServer12 vlan</t>
  </si>
  <si>
    <t>FGHVIEW12</t>
  </si>
  <si>
    <t>10.224.212.0/24</t>
  </si>
  <si>
    <t>10.224.212.0 - 10.224.212.255</t>
  </si>
  <si>
    <t>10.224.212.1</t>
  </si>
  <si>
    <t>LISTERHILLS/413</t>
  </si>
  <si>
    <t>VDServer13 vlan</t>
  </si>
  <si>
    <t>FGHVIEW13</t>
  </si>
  <si>
    <t>10.224.213.0/24</t>
  </si>
  <si>
    <t>10.224.213.0 - 10.224.213.255</t>
  </si>
  <si>
    <t>10.224.213.1</t>
  </si>
  <si>
    <t>LISTERHILLS/414</t>
  </si>
  <si>
    <t>VDServer14 vlan</t>
  </si>
  <si>
    <t>FGHVIEW14</t>
  </si>
  <si>
    <t>10.224.214.0/24</t>
  </si>
  <si>
    <t>10.224.214.0 - 10.224.214.255</t>
  </si>
  <si>
    <t>10.224.214.1</t>
  </si>
  <si>
    <t>LISTERHILLS/415</t>
  </si>
  <si>
    <t>VDServer15 vlan</t>
  </si>
  <si>
    <t>FGHVIEW15</t>
  </si>
  <si>
    <t>10.224.215.0/24</t>
  </si>
  <si>
    <t>10.224.215.0 - 10.224.215.255</t>
  </si>
  <si>
    <t>10.224.215.1</t>
  </si>
  <si>
    <t>LISTERHILLS/440</t>
  </si>
  <si>
    <t>Credit Platform VLAN</t>
  </si>
  <si>
    <t>CREDIT</t>
  </si>
  <si>
    <t>LISTERHILLS/441</t>
  </si>
  <si>
    <t>new spare 441</t>
  </si>
  <si>
    <t>SPARE441</t>
  </si>
  <si>
    <t>10.224.241.0/24</t>
  </si>
  <si>
    <t>10.224.241.0 - 10.224.241.255</t>
  </si>
  <si>
    <t>10.224.241.1</t>
  </si>
  <si>
    <t>SPARE442</t>
  </si>
  <si>
    <t>10.224.242.0/24</t>
  </si>
  <si>
    <t>10.224.242.0 - 10.224.242.255</t>
  </si>
  <si>
    <t>LISTERHILLS/444</t>
  </si>
  <si>
    <t>Spare VLAN 444</t>
  </si>
  <si>
    <t>SPARE444</t>
  </si>
  <si>
    <t>10.224.244.0/24</t>
  </si>
  <si>
    <t>10.224.244.0 - 10.224.244.255</t>
  </si>
  <si>
    <t>10.224.244.1</t>
  </si>
  <si>
    <t>LISTERHILLS/448</t>
  </si>
  <si>
    <t xml:space="preserve"> VLAN 448       </t>
  </si>
  <si>
    <t>TINTRI</t>
  </si>
  <si>
    <t>10.224.48.0/24</t>
  </si>
  <si>
    <t>10.224.48.0 - 10.224.48.255</t>
  </si>
  <si>
    <t>LISTERHILLS/449</t>
  </si>
  <si>
    <t>Exchange Load Balanced VLAN</t>
  </si>
  <si>
    <t>EXCHANGELB</t>
  </si>
  <si>
    <t>LISTERHILLS/510</t>
  </si>
  <si>
    <t>FW-admin-inside</t>
  </si>
  <si>
    <t>FWADMIN</t>
  </si>
  <si>
    <t>LISTERHILLS/511</t>
  </si>
  <si>
    <t>FW-server-inside</t>
  </si>
  <si>
    <t>FWSERVER</t>
  </si>
  <si>
    <t>LISTERHILLS/512</t>
  </si>
  <si>
    <t>OHServ VLAN 512</t>
  </si>
  <si>
    <t>OHSERVER</t>
  </si>
  <si>
    <t>10.224.12.0/24</t>
  </si>
  <si>
    <t>10.224.12.0 - 10.224.12.255</t>
  </si>
  <si>
    <t>10.224.12.1</t>
  </si>
  <si>
    <t>LISTERHILLS/999</t>
  </si>
  <si>
    <t>Isolated Network</t>
  </si>
  <si>
    <t>NATIVE</t>
  </si>
  <si>
    <t>NEW</t>
  </si>
  <si>
    <t>Trunk native VLAN</t>
  </si>
  <si>
    <t>LISTERHILLS/1000</t>
  </si>
  <si>
    <t>P2P Core VLAN</t>
  </si>
  <si>
    <t>__P2P_Core_VLAN</t>
  </si>
  <si>
    <t>172.16.251.20/30</t>
  </si>
  <si>
    <t>172.16.251.20 - 172.16.251.23</t>
  </si>
  <si>
    <t>172.16.251.21</t>
  </si>
  <si>
    <t>LISTERHILLS/1018</t>
  </si>
  <si>
    <t>OOB</t>
  </si>
  <si>
    <t>10.224.18.0/24</t>
  </si>
  <si>
    <t>10.224.18.0 - 10.224.18.255</t>
  </si>
  <si>
    <t>10.224.18.254</t>
  </si>
  <si>
    <t>OOB Management (DRAC/iLO)</t>
  </si>
  <si>
    <t>LISTERHILLS/1021</t>
  </si>
  <si>
    <t>SYSTEM</t>
  </si>
  <si>
    <t>10.224.21.0/24</t>
  </si>
  <si>
    <t>10.224.21.0 - 10.224.21.255</t>
  </si>
  <si>
    <t>10.224.21.254</t>
  </si>
  <si>
    <t>CISCOADMIN</t>
  </si>
  <si>
    <t>LISTERHILLS/1022</t>
  </si>
  <si>
    <t>10.224.22.0/24</t>
  </si>
  <si>
    <t>10.224.22.0 - 10.224.22.255</t>
  </si>
  <si>
    <t>10.224.22.254</t>
  </si>
  <si>
    <t>Bulding Management Services (Door Access/CCTV/Alarm)</t>
  </si>
  <si>
    <t>LISTERHILLS/1029</t>
  </si>
  <si>
    <t>DNACLUSTER</t>
  </si>
  <si>
    <t>10.224.29.0/24</t>
  </si>
  <si>
    <t>10.224.29.0 - 10.224.29.255</t>
  </si>
  <si>
    <t>10.224.29.254</t>
  </si>
  <si>
    <t>Isolaed DNA Cluster comms</t>
  </si>
  <si>
    <t>LISTERHILLS/1999</t>
  </si>
  <si>
    <t>HOLDING</t>
  </si>
  <si>
    <t>Isolated holding default VLAN</t>
  </si>
  <si>
    <t>LISTERHILLS/2000</t>
  </si>
  <si>
    <t>PCI VLAN</t>
  </si>
  <si>
    <t>PCI</t>
  </si>
  <si>
    <t>10.224.11.0/24</t>
  </si>
  <si>
    <t>10.224.11.0 - 10.224.11.255</t>
  </si>
  <si>
    <t>10.224.11.1</t>
  </si>
  <si>
    <t>LISTERHILLS/2001</t>
  </si>
  <si>
    <t>LHUser VLAN 2001</t>
  </si>
  <si>
    <t>LHUSER11</t>
  </si>
  <si>
    <t>10.225.1.0/24</t>
  </si>
  <si>
    <t>10.225.1.0 - 10.225.1.255</t>
  </si>
  <si>
    <t>10.225.1.1</t>
  </si>
  <si>
    <t>LISTERHILLS/2002</t>
  </si>
  <si>
    <t>LHVoice VLAN 2002</t>
  </si>
  <si>
    <t>LHVOICE11</t>
  </si>
  <si>
    <t>10.225.2.0/24</t>
  </si>
  <si>
    <t>10.225.2.0 - 10.225.2.255</t>
  </si>
  <si>
    <t>10.225.2.1</t>
  </si>
  <si>
    <t>LISTERHILLS/2003</t>
  </si>
  <si>
    <t>LHUser VLAN 2003</t>
  </si>
  <si>
    <t>LHUSER12</t>
  </si>
  <si>
    <t>10.225.3.0/24</t>
  </si>
  <si>
    <t>10.225.3.0 - 10.225.3.255</t>
  </si>
  <si>
    <t>10.225.3.1</t>
  </si>
  <si>
    <t>LISTERHILLS/2004</t>
  </si>
  <si>
    <t>LHVoice VLAN 2004</t>
  </si>
  <si>
    <t>LHVOICE12</t>
  </si>
  <si>
    <t>10.225.4.0/24</t>
  </si>
  <si>
    <t>10.225.4.0 - 10.225.4.255</t>
  </si>
  <si>
    <t>10.225.4.1</t>
  </si>
  <si>
    <t>LISTERHILLS/2005</t>
  </si>
  <si>
    <t>LHUser VLAN 2005</t>
  </si>
  <si>
    <t>LHUSER13</t>
  </si>
  <si>
    <t>10.225.5.0/24</t>
  </si>
  <si>
    <t>10.225.5.0 - 10.225.5.255</t>
  </si>
  <si>
    <t>10.225.5.1</t>
  </si>
  <si>
    <t>LISTERHILLS/2006</t>
  </si>
  <si>
    <t>LHVoice VLAN 2006</t>
  </si>
  <si>
    <t>LHVOICE13</t>
  </si>
  <si>
    <t>10.225.6.0/24</t>
  </si>
  <si>
    <t>10.225.6.0 - 10.225.6.255</t>
  </si>
  <si>
    <t>10.225.6.1</t>
  </si>
  <si>
    <t>LISTERHILLS/2007</t>
  </si>
  <si>
    <t>LHUser VLAN 2007</t>
  </si>
  <si>
    <t>LHUSER14</t>
  </si>
  <si>
    <t>10.225.7.0/24</t>
  </si>
  <si>
    <t>10.225.7.0 - 10.225.7.255</t>
  </si>
  <si>
    <t>10.225.7.1</t>
  </si>
  <si>
    <t>LISTERHILLS/2008</t>
  </si>
  <si>
    <t>LHVoice VLAN 2008</t>
  </si>
  <si>
    <t>LHVOICE14</t>
  </si>
  <si>
    <t>10.225.8.0/24</t>
  </si>
  <si>
    <t>10.225.8.0 - 10.225.8.255</t>
  </si>
  <si>
    <t>10.225.8.1</t>
  </si>
  <si>
    <t>LISTERHILLS/2009</t>
  </si>
  <si>
    <t>LHUser VLAN 2009</t>
  </si>
  <si>
    <t>LHUSER15</t>
  </si>
  <si>
    <t>10.225.9.0/24</t>
  </si>
  <si>
    <t>10.225.9.0 - 10.225.9.255</t>
  </si>
  <si>
    <t>10.225.9.1</t>
  </si>
  <si>
    <t>LISTERHILLS/2010</t>
  </si>
  <si>
    <t>LHVoice VLAN 2010</t>
  </si>
  <si>
    <t>LHVOICE15</t>
  </si>
  <si>
    <t>10.225.10.0/24</t>
  </si>
  <si>
    <t>10.225.10.0 - 10.225.10.255</t>
  </si>
  <si>
    <t>10.225.10.1</t>
  </si>
  <si>
    <t>LISTERHILLS/2011</t>
  </si>
  <si>
    <t>LHUser VLAN 2011</t>
  </si>
  <si>
    <t>LHUSER16</t>
  </si>
  <si>
    <t>10.225.11.0/24</t>
  </si>
  <si>
    <t>10.225.11.0 - 10.225.11.255</t>
  </si>
  <si>
    <t>10.225.11.1</t>
  </si>
  <si>
    <t>LISTERHILLS/2012</t>
  </si>
  <si>
    <t>LHVoice VLAN 2012</t>
  </si>
  <si>
    <t>LHVOICE16</t>
  </si>
  <si>
    <t>10.225.12.0/24</t>
  </si>
  <si>
    <t>10.225.12.0 - 10.225.12.255</t>
  </si>
  <si>
    <t>10.225.12.1</t>
  </si>
  <si>
    <t>LISTERHILLS/2013</t>
  </si>
  <si>
    <t>LHUser VLAN 2013</t>
  </si>
  <si>
    <t>LHUSER17</t>
  </si>
  <si>
    <t>10.225.13.0/24</t>
  </si>
  <si>
    <t>10.225.13.0 - 10.225.13.255</t>
  </si>
  <si>
    <t>10.225.13.1</t>
  </si>
  <si>
    <t>LISTERHILLS/2014</t>
  </si>
  <si>
    <t>LHVoice VLAN 2014</t>
  </si>
  <si>
    <t>LHVOICE17</t>
  </si>
  <si>
    <t>10.225.14.0/24</t>
  </si>
  <si>
    <t>10.225.14.0 - 10.225.14.255</t>
  </si>
  <si>
    <t>10.225.14.1</t>
  </si>
  <si>
    <t>LISTERHILLS/2015</t>
  </si>
  <si>
    <t>LHUser VLAN 2015</t>
  </si>
  <si>
    <t>LHUSER18</t>
  </si>
  <si>
    <t>10.225.15.0/24</t>
  </si>
  <si>
    <t>10.225.15.0 - 10.225.15.255</t>
  </si>
  <si>
    <t>10.225.15.1</t>
  </si>
  <si>
    <t>LISTERHILLS/2016</t>
  </si>
  <si>
    <t>LHVoice VLAN 2016</t>
  </si>
  <si>
    <t>LHVOICE18</t>
  </si>
  <si>
    <t>10.225.16.0/24</t>
  </si>
  <si>
    <t>10.225.16.0 - 10.225.16.255</t>
  </si>
  <si>
    <t>10.225.16.1</t>
  </si>
  <si>
    <t>LISTERHILLS/2017</t>
  </si>
  <si>
    <t>LHUser VLAN 2017</t>
  </si>
  <si>
    <t>LHUSER19</t>
  </si>
  <si>
    <t>10.225.17.0/24</t>
  </si>
  <si>
    <t>10.225.17.0 - 10.225.17.255</t>
  </si>
  <si>
    <t>10.225.17.1</t>
  </si>
  <si>
    <t>LISTERHILLS/2018</t>
  </si>
  <si>
    <t>LHVoice VLAN 2018</t>
  </si>
  <si>
    <t>LHVOICE19</t>
  </si>
  <si>
    <t>10.225.18.0/24</t>
  </si>
  <si>
    <t>10.225.18.0 - 10.225.18.255</t>
  </si>
  <si>
    <t>10.225.18.1</t>
  </si>
  <si>
    <t>LISTERHILLS/2019</t>
  </si>
  <si>
    <t>LHUser VLAN 2019</t>
  </si>
  <si>
    <t>LHUSER20</t>
  </si>
  <si>
    <t>10.225.19.0/24</t>
  </si>
  <si>
    <t>10.225.19.0 - 10.225.19.255</t>
  </si>
  <si>
    <t>10.225.19.1</t>
  </si>
  <si>
    <t>LISTERHILLS/2020</t>
  </si>
  <si>
    <t>LHVoice VLAN 2020</t>
  </si>
  <si>
    <t>LHVOICE20</t>
  </si>
  <si>
    <t>10.225.20.0/24</t>
  </si>
  <si>
    <t>10.225.20.0 - 10.225.20.255</t>
  </si>
  <si>
    <t>10.225.20.1</t>
  </si>
  <si>
    <t>LISTERHILLS/2021</t>
  </si>
  <si>
    <t>LHUser VLAN 2021</t>
  </si>
  <si>
    <t>LHUSER21</t>
  </si>
  <si>
    <t>10.225.21.0/24</t>
  </si>
  <si>
    <t>10.225.21.0 - 10.225.21.255</t>
  </si>
  <si>
    <t>10.225.21.1</t>
  </si>
  <si>
    <t>LISTERHILLS/2022</t>
  </si>
  <si>
    <t>LHVoice VLAN 2022</t>
  </si>
  <si>
    <t>LHVOICE21</t>
  </si>
  <si>
    <t>10.225.22.0/24</t>
  </si>
  <si>
    <t>10.225.22.0 - 10.225.22.255</t>
  </si>
  <si>
    <t>10.225.22.1</t>
  </si>
  <si>
    <t>LISTERHILLS/2023</t>
  </si>
  <si>
    <t>LHUser VLAN 2023</t>
  </si>
  <si>
    <t>LHUSER22</t>
  </si>
  <si>
    <t>10.225.23.0/24</t>
  </si>
  <si>
    <t>10.225.23.0 - 10.225.23.255</t>
  </si>
  <si>
    <t>10.225.23.1</t>
  </si>
  <si>
    <t>LISTERHILLS/2024</t>
  </si>
  <si>
    <t>LHVoice VLAN 2024</t>
  </si>
  <si>
    <t>LHVOICE22</t>
  </si>
  <si>
    <t>10.225.24.0/24</t>
  </si>
  <si>
    <t>10.225.24.0 - 10.225.24.255</t>
  </si>
  <si>
    <t>10.225.24.1</t>
  </si>
  <si>
    <t>LISTERHILLS/2025</t>
  </si>
  <si>
    <t>LHUser VLAN 2025</t>
  </si>
  <si>
    <t>LHUSER23</t>
  </si>
  <si>
    <t>10.225.25.0/24</t>
  </si>
  <si>
    <t>10.225.25.0 - 10.225.25.255</t>
  </si>
  <si>
    <t>10.225.25.1</t>
  </si>
  <si>
    <t>LISTERHILLS/2026</t>
  </si>
  <si>
    <t>LHVoice VLAN 2026</t>
  </si>
  <si>
    <t>LHVOICE23</t>
  </si>
  <si>
    <t>10.225.26.0/24</t>
  </si>
  <si>
    <t>10.225.26.0 - 10.225.26.255</t>
  </si>
  <si>
    <t>10.225.26.1</t>
  </si>
  <si>
    <t>LISTERHILLS/2027</t>
  </si>
  <si>
    <t>LHUser VLAN 2027</t>
  </si>
  <si>
    <t>LHUSER24</t>
  </si>
  <si>
    <t>10.225.27.0/24</t>
  </si>
  <si>
    <t>10.225.27.0 - 10.225.27.255</t>
  </si>
  <si>
    <t>10.225.27.1</t>
  </si>
  <si>
    <t>LISTERHILLS/2028</t>
  </si>
  <si>
    <t>LHVoice VLAN 2028</t>
  </si>
  <si>
    <t>LHVOICE24</t>
  </si>
  <si>
    <t>10.225.28.0/24</t>
  </si>
  <si>
    <t>10.225.28.0 - 10.225.28.255</t>
  </si>
  <si>
    <t>10.225.28.1</t>
  </si>
  <si>
    <t>LISTERHILLS/2029</t>
  </si>
  <si>
    <t>LHUser VLAN 2029</t>
  </si>
  <si>
    <t>LHUSER25</t>
  </si>
  <si>
    <t>10.225.29.0/24</t>
  </si>
  <si>
    <t>10.225.29.0 - 10.225.29.255</t>
  </si>
  <si>
    <t>10.225.29.1</t>
  </si>
  <si>
    <t>LISTERHILLS/2030</t>
  </si>
  <si>
    <t>LHVoice VLAN 2030</t>
  </si>
  <si>
    <t>LHVOICE25</t>
  </si>
  <si>
    <t>10.225.30.0/24</t>
  </si>
  <si>
    <t>10.225.30.0 - 10.225.30.255</t>
  </si>
  <si>
    <t>10.225.30.1</t>
  </si>
  <si>
    <t>LISTERHILLS/2031</t>
  </si>
  <si>
    <t>LHUser VLAN 2031</t>
  </si>
  <si>
    <t>LHUSER26</t>
  </si>
  <si>
    <t>10.225.31.0/24</t>
  </si>
  <si>
    <t>10.225.31.0 - 10.225.31.255</t>
  </si>
  <si>
    <t>10.225.31.1</t>
  </si>
  <si>
    <t>LISTERHILLS/2032</t>
  </si>
  <si>
    <t>LHVoice VLAN 2032</t>
  </si>
  <si>
    <t>LHVOICE26</t>
  </si>
  <si>
    <t>10.225.32.0/24</t>
  </si>
  <si>
    <t>10.225.32.0 - 10.225.32.255</t>
  </si>
  <si>
    <t>10.225.32.1</t>
  </si>
  <si>
    <t>LISTERHILLS/2033</t>
  </si>
  <si>
    <t>LHUser VLAN 2033</t>
  </si>
  <si>
    <t>LHUSER27</t>
  </si>
  <si>
    <t>10.225.33.0/24</t>
  </si>
  <si>
    <t>10.225.33.0 - 10.225.33.255</t>
  </si>
  <si>
    <t>10.225.33.1</t>
  </si>
  <si>
    <t>LISTERHILLS/2034</t>
  </si>
  <si>
    <t>LHVoice VLAN 2034</t>
  </si>
  <si>
    <t>LHVOICE27</t>
  </si>
  <si>
    <t>10.225.34.0/24</t>
  </si>
  <si>
    <t>10.225.34.0 - 10.225.34.255</t>
  </si>
  <si>
    <t>10.225.34.1</t>
  </si>
  <si>
    <t>LISTERHILLS/2035</t>
  </si>
  <si>
    <t>LHUser VLAN 2035</t>
  </si>
  <si>
    <t>LHUSER28</t>
  </si>
  <si>
    <t>10.225.35.0/24</t>
  </si>
  <si>
    <t>10.225.35.0 - 10.225.35.255</t>
  </si>
  <si>
    <t>10.225.35.1</t>
  </si>
  <si>
    <t>LISTERHILLS/2036</t>
  </si>
  <si>
    <t>LHVoice VLAN 2036</t>
  </si>
  <si>
    <t>LHVOICE28</t>
  </si>
  <si>
    <t>10.225.36.0/24</t>
  </si>
  <si>
    <t>10.225.36.0 - 10.225.36.255</t>
  </si>
  <si>
    <t>10.225.36.1</t>
  </si>
  <si>
    <t>LISTERHILLS/2037</t>
  </si>
  <si>
    <t>LHUser VLAN 2037</t>
  </si>
  <si>
    <t>LHUSER29</t>
  </si>
  <si>
    <t>10.225.37.0/24</t>
  </si>
  <si>
    <t>10.225.37.0 - 10.225.37.255</t>
  </si>
  <si>
    <t>10.225.37.1</t>
  </si>
  <si>
    <t>LISTERHILLS/2038</t>
  </si>
  <si>
    <t>LHVoice VLAN 2038</t>
  </si>
  <si>
    <t>LHVOICE29</t>
  </si>
  <si>
    <t>10.225.38.0/24</t>
  </si>
  <si>
    <t>10.225.38.0 - 10.225.38.255</t>
  </si>
  <si>
    <t>10.225.38.1</t>
  </si>
  <si>
    <t>LISTERHILLS/2039</t>
  </si>
  <si>
    <t>LHUser VLAN 2039</t>
  </si>
  <si>
    <t>LHUSER30</t>
  </si>
  <si>
    <t>10.225.39.0/24</t>
  </si>
  <si>
    <t>10.225.39.0 - 10.225.39.255</t>
  </si>
  <si>
    <t>10.225.39.1</t>
  </si>
  <si>
    <t>LISTERHILLS/2040</t>
  </si>
  <si>
    <t>LHVoice VLAN 2040</t>
  </si>
  <si>
    <t>LHVOICE30</t>
  </si>
  <si>
    <t>10.225.40.0/24</t>
  </si>
  <si>
    <t>10.225.40.0 - 10.225.40.255</t>
  </si>
  <si>
    <t>10.225.40.1</t>
  </si>
  <si>
    <t>LISTERHILLS/2041</t>
  </si>
  <si>
    <t>LHUser VLAN 2041</t>
  </si>
  <si>
    <t>LHUSER31</t>
  </si>
  <si>
    <t>10.225.41.0/24</t>
  </si>
  <si>
    <t>10.225.41.0 - 10.225.41.255</t>
  </si>
  <si>
    <t>10.225.41.1</t>
  </si>
  <si>
    <t>LISTERHILLS/2042</t>
  </si>
  <si>
    <t>LHVoice VLAN 2042</t>
  </si>
  <si>
    <t>LHVOICE31</t>
  </si>
  <si>
    <t>10.225.42.0/24</t>
  </si>
  <si>
    <t>10.225.42.0 - 10.225.42.255</t>
  </si>
  <si>
    <t>10.225.42.1</t>
  </si>
  <si>
    <t>LISTERHILLS/2043</t>
  </si>
  <si>
    <t>LHUser VLAN 2043</t>
  </si>
  <si>
    <t>__LHUserVLAN2043</t>
  </si>
  <si>
    <t>10.225.43.0/24</t>
  </si>
  <si>
    <t>10.225.43.0 - 10.225.43.255</t>
  </si>
  <si>
    <t>10.225.43.1</t>
  </si>
  <si>
    <t>LISTERHILLS/2044</t>
  </si>
  <si>
    <t>LHVoice VLAN 2044</t>
  </si>
  <si>
    <t>__LHVoiceVLAN2044</t>
  </si>
  <si>
    <t>10.225.44.0/24</t>
  </si>
  <si>
    <t>10.225.44.0 - 10.225.44.255</t>
  </si>
  <si>
    <t>10.225.44.1</t>
  </si>
  <si>
    <t>LISTERHILLS/2045</t>
  </si>
  <si>
    <t>LHUser VLAN 2045</t>
  </si>
  <si>
    <t>LHUSER32</t>
  </si>
  <si>
    <t>10.225.45.0/24</t>
  </si>
  <si>
    <t>10.225.45.0 - 10.225.45.255</t>
  </si>
  <si>
    <t>10.225.45.1</t>
  </si>
  <si>
    <t>LISTERHILLS/2046</t>
  </si>
  <si>
    <t>LHVoice VLAN 2046</t>
  </si>
  <si>
    <t>LHVOICE32</t>
  </si>
  <si>
    <t>10.225.46.0/24</t>
  </si>
  <si>
    <t>10.225.46.0 - 10.225.46.255</t>
  </si>
  <si>
    <t>10.225.46.1</t>
  </si>
  <si>
    <t>LISTERHILLS/2065</t>
  </si>
  <si>
    <t>LHWiFi VLAN 2065</t>
  </si>
  <si>
    <t>LHWIFI</t>
  </si>
  <si>
    <t>10.225.65.0/24</t>
  </si>
  <si>
    <t>10.225.65.0 - 10.225.65.255</t>
  </si>
  <si>
    <t>10.225.65.1</t>
  </si>
  <si>
    <t>LISTERHILLS/3162</t>
  </si>
  <si>
    <t>HQ Comms Firewall-DMZ</t>
  </si>
  <si>
    <t>10.227.162.0/24</t>
  </si>
  <si>
    <t>10.227.162.0 - 10.227.162.255</t>
  </si>
  <si>
    <t>10.227.162.1</t>
  </si>
  <si>
    <t>LISTERHILLS/3176</t>
  </si>
  <si>
    <t xml:space="preserve">LH Demark Sw Mgmt VLAN </t>
  </si>
  <si>
    <t>LHDEM-MGNT</t>
  </si>
  <si>
    <t>10.227.176.0/29</t>
  </si>
  <si>
    <t>10.227.176.0 - 10.227.176.7</t>
  </si>
  <si>
    <t>10.227.176.1</t>
  </si>
  <si>
    <t>255.255.255.248</t>
  </si>
  <si>
    <t>LISTERHILLS/3177</t>
  </si>
  <si>
    <t xml:space="preserve">VM MPLS Interface VLAN </t>
  </si>
  <si>
    <t>LHMPLS</t>
  </si>
  <si>
    <t>10.227.177.0/24</t>
  </si>
  <si>
    <t>10.227.177.0 - 10.227.177.255</t>
  </si>
  <si>
    <t>10.227.177.1</t>
  </si>
  <si>
    <t>LISTERHILLS/3178</t>
  </si>
  <si>
    <t>LH Comms Firewall-DMZ</t>
  </si>
  <si>
    <t>LHWAN-DMZ</t>
  </si>
  <si>
    <t>10.227.178.0/24</t>
  </si>
  <si>
    <t>10.227.178.0 - 10.227.178.255</t>
  </si>
  <si>
    <t>10.227.178.1</t>
  </si>
  <si>
    <t>LISTERHILLS/3256</t>
  </si>
  <si>
    <t>LHGuest VLAN 3256</t>
  </si>
  <si>
    <t>LHGUEST</t>
  </si>
  <si>
    <t>LISTERHILLS/4080</t>
  </si>
  <si>
    <t>DMZ 6</t>
  </si>
  <si>
    <t>DMZ6</t>
  </si>
  <si>
    <t>172.31.104.0/22</t>
  </si>
  <si>
    <t>172.31.104.0 - 172.31.107.255</t>
  </si>
  <si>
    <t>172.31.104.1</t>
  </si>
  <si>
    <t>LISTERHILLS/4081</t>
  </si>
  <si>
    <t>DMZ 7</t>
  </si>
  <si>
    <t>DMZ7</t>
  </si>
  <si>
    <t>172.31.72.0/22</t>
  </si>
  <si>
    <t>172.31.72.0 - 172.31.75.255</t>
  </si>
  <si>
    <t>172.31.72.1</t>
  </si>
  <si>
    <t>LISTERHILLS/4082</t>
  </si>
  <si>
    <t>DMZ 8</t>
  </si>
  <si>
    <t>DMZ8</t>
  </si>
  <si>
    <t>172.31.52.0/22</t>
  </si>
  <si>
    <t>172.31.52.0 - 172.31.55.255</t>
  </si>
  <si>
    <t>172.31.52.1</t>
  </si>
  <si>
    <t>LISTERHILLS/4090</t>
  </si>
  <si>
    <t>DMZ 3</t>
  </si>
  <si>
    <t>DMZ3</t>
  </si>
  <si>
    <t>172.31.36.0/22</t>
  </si>
  <si>
    <t>172.31.36.0 - 172.31.39.255</t>
  </si>
  <si>
    <t>172.31.36.1</t>
  </si>
  <si>
    <t>LISTERHILLS/4091</t>
  </si>
  <si>
    <t>DMZ 4</t>
  </si>
  <si>
    <t>DMZ4</t>
  </si>
  <si>
    <t>172.31.92.0/22</t>
  </si>
  <si>
    <t>172.31.92.0 - 172.31.95.255</t>
  </si>
  <si>
    <t>172.31.92.1</t>
  </si>
  <si>
    <t>LISTERHILLS/4092</t>
  </si>
  <si>
    <t>DMZ 5</t>
  </si>
  <si>
    <t>DMZ5</t>
  </si>
  <si>
    <t>172.31.32.0/22</t>
  </si>
  <si>
    <t>172.31.32.0 - 172.31.35.255</t>
  </si>
  <si>
    <t>172.31.32.1</t>
  </si>
  <si>
    <t>LISTERHILLS/4093</t>
  </si>
  <si>
    <t>DMZ 1</t>
  </si>
  <si>
    <t>DMZ1</t>
  </si>
  <si>
    <t>172.31.0.0/19</t>
  </si>
  <si>
    <t>172.31.0.0 - 172.31.31.255</t>
  </si>
  <si>
    <t>172.31.0.1</t>
  </si>
  <si>
    <t>255.255.224.0</t>
  </si>
  <si>
    <t>LISTERHILLS/4094</t>
  </si>
  <si>
    <t>DMZ 2</t>
  </si>
  <si>
    <t>DMZ2</t>
  </si>
  <si>
    <t>172.31.44.0/22</t>
  </si>
  <si>
    <t>172.31.44.0 - 172.31.47.255</t>
  </si>
  <si>
    <t>172.31.44.1</t>
  </si>
  <si>
    <t>LISTERHILLS/??</t>
  </si>
  <si>
    <t>??</t>
  </si>
  <si>
    <t>EXTERNAL</t>
  </si>
  <si>
    <t>81.144.201.64/26</t>
  </si>
  <si>
    <t>81.144.201.64 - 81.144.201.127</t>
  </si>
  <si>
    <t>81.144.201.65</t>
  </si>
  <si>
    <t>255.255.255.192</t>
  </si>
  <si>
    <t>10.227.163.0 - 10.227.163.7</t>
  </si>
  <si>
    <t>10.227.163.1</t>
  </si>
  <si>
    <t>LISTERHILLS/ISO01</t>
  </si>
  <si>
    <t>ISO01</t>
  </si>
  <si>
    <t>ISOLATED - Firewall Sync</t>
  </si>
  <si>
    <t>172.31.52.0/24</t>
  </si>
  <si>
    <t>172.31.52.0 - 172.31.52.255</t>
  </si>
  <si>
    <t>SHEFFIELD/11</t>
  </si>
  <si>
    <t>Sheffield</t>
  </si>
  <si>
    <t>FW-server-outside</t>
  </si>
  <si>
    <t>SHEFFIELD/20</t>
  </si>
  <si>
    <t>Webhelp Firewall VLAN</t>
  </si>
  <si>
    <t>WEBHELP-FO</t>
  </si>
  <si>
    <t>10.37.20.0/24</t>
  </si>
  <si>
    <t>10.37.20.0 - 10.37.20.255</t>
  </si>
  <si>
    <t>10.37.20.1</t>
  </si>
  <si>
    <t>SHEFFIELD/32</t>
  </si>
  <si>
    <t>LEGACY32</t>
  </si>
  <si>
    <t>SHEFFIELD/36</t>
  </si>
  <si>
    <t>VM MPLS Interface VLAN</t>
  </si>
  <si>
    <t>SDWAN-DMZ</t>
  </si>
  <si>
    <t>10.36.100.0/24</t>
  </si>
  <si>
    <t>10.36.100.0 - 10.36.100.255</t>
  </si>
  <si>
    <t>10.36.100.1</t>
  </si>
  <si>
    <t>SHEFFIELD/37</t>
  </si>
  <si>
    <t>Serco Firewall VLAN</t>
  </si>
  <si>
    <t>SERCO</t>
  </si>
  <si>
    <t>10.37.100.0/24</t>
  </si>
  <si>
    <t>10.37.100.0 - 10.37.100.255</t>
  </si>
  <si>
    <t>10.37.100.1</t>
  </si>
  <si>
    <t>SHEFFIELD/38</t>
  </si>
  <si>
    <t>Management VLAN</t>
  </si>
  <si>
    <t>SDDEM-MGNT</t>
  </si>
  <si>
    <t>10.38.100.0/29</t>
  </si>
  <si>
    <t>10.38.100.0 - 10.38.100.7</t>
  </si>
  <si>
    <t>10.38.100.1</t>
  </si>
  <si>
    <t>VICAR LANE/442</t>
  </si>
  <si>
    <t>Vicar Lane</t>
  </si>
  <si>
    <t>Spare VLAN 442</t>
  </si>
  <si>
    <t>10.224.242.1</t>
  </si>
  <si>
    <t>VICAR LANE/443</t>
  </si>
  <si>
    <t>Spare VLAN 443</t>
  </si>
  <si>
    <t>SPARE443</t>
  </si>
  <si>
    <t>10.224.243.0/24</t>
  </si>
  <si>
    <t>10.224.243.0 - 10.224.243.255</t>
  </si>
  <si>
    <t>10.224.243.1</t>
  </si>
  <si>
    <t>VICAR LANE/999</t>
  </si>
  <si>
    <t>VICAR LANE/1021</t>
  </si>
  <si>
    <t>10.227.21.0/24</t>
  </si>
  <si>
    <t>10.227.21.0 - 10.227.21.255</t>
  </si>
  <si>
    <t>10.227.21.254</t>
  </si>
  <si>
    <t>Network Device Management</t>
  </si>
  <si>
    <t>VICAR LANE/1999</t>
  </si>
  <si>
    <t>VICAR LANE/3081</t>
  </si>
  <si>
    <t>172.31.64.0/19</t>
  </si>
  <si>
    <t>172.31.64.0 - 172.31.95.255</t>
  </si>
  <si>
    <t>172.31.64.1</t>
  </si>
  <si>
    <t>VICAR LANE/3128</t>
  </si>
  <si>
    <t>VLUser VLAN 3128</t>
  </si>
  <si>
    <t>VLUSER00</t>
  </si>
  <si>
    <t>10.227.128.0/24</t>
  </si>
  <si>
    <t>10.227.128.0 - 10.227.128.255</t>
  </si>
  <si>
    <t>10.227.128.1</t>
  </si>
  <si>
    <t>VICAR LANE/3129</t>
  </si>
  <si>
    <t>VLVoice VLAN 3129</t>
  </si>
  <si>
    <t>VLVOICE00</t>
  </si>
  <si>
    <t>10.227.129.0/24</t>
  </si>
  <si>
    <t>10.227.129.0 - 10.227.129.255</t>
  </si>
  <si>
    <t>10.227.129.1</t>
  </si>
  <si>
    <t>VICAR LANE/3130</t>
  </si>
  <si>
    <t>VLUser VLAN 3130</t>
  </si>
  <si>
    <t>VLUSER01</t>
  </si>
  <si>
    <t>10.227.130.0/24</t>
  </si>
  <si>
    <t>10.227.130.0 - 10.227.130.255</t>
  </si>
  <si>
    <t>10.227.130.1</t>
  </si>
  <si>
    <t>VICAR LANE/3131</t>
  </si>
  <si>
    <t>VLVoice VLAN 3131</t>
  </si>
  <si>
    <t>VLVOICE01</t>
  </si>
  <si>
    <t>10.227.131.0/24</t>
  </si>
  <si>
    <t>10.227.131.0 - 10.227.131.255</t>
  </si>
  <si>
    <t>10.227.131.1</t>
  </si>
  <si>
    <t>VICAR LANE/3132</t>
  </si>
  <si>
    <t>VLUser VLAN 3132</t>
  </si>
  <si>
    <t>VLUSER02</t>
  </si>
  <si>
    <t>10.227.132.0/24</t>
  </si>
  <si>
    <t>10.227.132.0 - 10.227.132.255</t>
  </si>
  <si>
    <t>10.227.132.1</t>
  </si>
  <si>
    <t>VICAR LANE/3133</t>
  </si>
  <si>
    <t>VLVoice VLAN 3133</t>
  </si>
  <si>
    <t>VLVOICE02</t>
  </si>
  <si>
    <t>10.227.133.0/24</t>
  </si>
  <si>
    <t>10.227.133.0 - 10.227.133.255</t>
  </si>
  <si>
    <t>10.227.133.1</t>
  </si>
  <si>
    <t>VICAR LANE/3134</t>
  </si>
  <si>
    <t>VLUser VLAN 3134</t>
  </si>
  <si>
    <t>VLUSER03</t>
  </si>
  <si>
    <t>10.227.134.0/24</t>
  </si>
  <si>
    <t>10.227.134.0 - 10.227.134.255</t>
  </si>
  <si>
    <t>10.227.134.1</t>
  </si>
  <si>
    <t>VICAR LANE/3135</t>
  </si>
  <si>
    <t>VLVoice VLAN 3135</t>
  </si>
  <si>
    <t>VLVOICE03</t>
  </si>
  <si>
    <t>10.227.135.0/24</t>
  </si>
  <si>
    <t>10.227.135.0 - 10.227.135.255</t>
  </si>
  <si>
    <t>10.227.135.1</t>
  </si>
  <si>
    <t>VICAR LANE/3136</t>
  </si>
  <si>
    <t>VLUser VLAN 3136</t>
  </si>
  <si>
    <t>VLUSER04</t>
  </si>
  <si>
    <t>10.227.136.0/24</t>
  </si>
  <si>
    <t>10.227.136.0 - 10.227.136.255</t>
  </si>
  <si>
    <t>10.227.136.1</t>
  </si>
  <si>
    <t>VICAR LANE/3137</t>
  </si>
  <si>
    <t>VLVoice VLAN 3137</t>
  </si>
  <si>
    <t>VLVOICE04</t>
  </si>
  <si>
    <t>10.227.137.0/24</t>
  </si>
  <si>
    <t>10.227.137.0 - 10.227.137.255</t>
  </si>
  <si>
    <t>10.227.137.1</t>
  </si>
  <si>
    <t>VICAR LANE/3138</t>
  </si>
  <si>
    <t>VLUser VLAN 3138</t>
  </si>
  <si>
    <t>VLUSER05</t>
  </si>
  <si>
    <t>10.227.138.0/24</t>
  </si>
  <si>
    <t>10.227.138.0 - 10.227.138.255</t>
  </si>
  <si>
    <t>10.227.138.1</t>
  </si>
  <si>
    <t>VICAR LANE/3139</t>
  </si>
  <si>
    <t>VLVoice VLAN 3139</t>
  </si>
  <si>
    <t>VLVOICE05</t>
  </si>
  <si>
    <t>10.227.139.0/24</t>
  </si>
  <si>
    <t>10.227.139.0 - 10.227.139.255</t>
  </si>
  <si>
    <t>10.227.139.1</t>
  </si>
  <si>
    <t>VICAR LANE/3140</t>
  </si>
  <si>
    <t>VLWiFi VLAN 3140</t>
  </si>
  <si>
    <t>VLWIFI00</t>
  </si>
  <si>
    <t>10.227.140.0/24</t>
  </si>
  <si>
    <t>10.227.140.0 - 10.227.140.255</t>
  </si>
  <si>
    <t>10.227.140.1</t>
  </si>
  <si>
    <t>VICAR LANE/3255</t>
  </si>
  <si>
    <t>VLGuest VLAN 3255</t>
  </si>
  <si>
    <t>VLGUEST</t>
  </si>
  <si>
    <t>VICAR LANE/3160</t>
  </si>
  <si>
    <t>VL Demark Sw Mgmt VLAN</t>
  </si>
  <si>
    <t>VLDEM-MGNT</t>
  </si>
  <si>
    <t>10.227.160.0/29</t>
  </si>
  <si>
    <t>10.227.160.0 - 10.227.160.7</t>
  </si>
  <si>
    <t>10.227.160.1</t>
  </si>
  <si>
    <t>VICAR LANE/3161</t>
  </si>
  <si>
    <t>VLMPLS</t>
  </si>
  <si>
    <t>10.227.161.0/24</t>
  </si>
  <si>
    <t>10.227.161.0 - 10.227.161.255</t>
  </si>
  <si>
    <t>10.227.161.1</t>
  </si>
  <si>
    <t>VICAR LANE/3162</t>
  </si>
  <si>
    <t>HQ_Comms_Firewall-DMZ</t>
  </si>
  <si>
    <t>VLWAN-DMZ</t>
  </si>
  <si>
    <t>P2P VL-LH (ROUTED)</t>
  </si>
  <si>
    <t>10.227.163.1/29</t>
  </si>
  <si>
    <t>VICAR LANE/3178</t>
  </si>
  <si>
    <t>P2P to Vicar Lane (Gi0/2)</t>
  </si>
  <si>
    <t>GREENFORD/99</t>
  </si>
  <si>
    <t>Greenford</t>
  </si>
  <si>
    <t>internet_Vlan</t>
  </si>
  <si>
    <t>DR-INET</t>
  </si>
  <si>
    <t>x.x.x.x</t>
  </si>
  <si>
    <t>GREENFORD/100</t>
  </si>
  <si>
    <t>Greenford/VMDemarcation_Vlan</t>
  </si>
  <si>
    <t>GDDEM-MGNT</t>
  </si>
  <si>
    <t>10.99.100.0/24</t>
  </si>
  <si>
    <t>10.99.100.0-10.99.100.255</t>
  </si>
  <si>
    <t>10.99.100.1</t>
  </si>
  <si>
    <t>BMS</t>
  </si>
  <si>
    <t>VLGUEST_Cityfibre</t>
  </si>
  <si>
    <t>10.227.163.2/29</t>
  </si>
  <si>
    <t>LISTERHILLS/P2P</t>
  </si>
  <si>
    <t>P2P to ListerHills (G1/0/1)</t>
  </si>
  <si>
    <t>10.227.163.2</t>
  </si>
  <si>
    <t>P2P to Vicar Lane (ROUTED)</t>
  </si>
  <si>
    <t>Gi0/2</t>
  </si>
  <si>
    <t>Gi1/0/1</t>
  </si>
  <si>
    <t>VICAR LANE/Gi1/0/1</t>
  </si>
  <si>
    <t>Components</t>
  </si>
  <si>
    <t>Manufacturer</t>
  </si>
  <si>
    <t>Model</t>
  </si>
  <si>
    <t>Description</t>
  </si>
  <si>
    <t>Serial No.</t>
  </si>
  <si>
    <t>Device Name</t>
  </si>
  <si>
    <t>Associated Device</t>
  </si>
  <si>
    <t>Box</t>
  </si>
  <si>
    <t>CISCO</t>
  </si>
  <si>
    <t>C9500-ACC-KIT-19I</t>
  </si>
  <si>
    <t>ACCESSORY KIT FOR CATALYST 9500 SERIES-19" RACK</t>
  </si>
  <si>
    <t>RACK KIT</t>
  </si>
  <si>
    <t>n/a</t>
  </si>
  <si>
    <t>Contains 8 kits</t>
  </si>
  <si>
    <t>QSFP-H40G-ACU10M</t>
  </si>
  <si>
    <t>40GBASE-CR4 ACTIVE COPPER CABLE, 10M</t>
  </si>
  <si>
    <t>DAC</t>
  </si>
  <si>
    <t>MDM231400AL</t>
  </si>
  <si>
    <t>FGHLHN01-1</t>
  </si>
  <si>
    <t>MDM231400B3</t>
  </si>
  <si>
    <t>MDM231400AA</t>
  </si>
  <si>
    <t>FGHLHN01-2</t>
  </si>
  <si>
    <t>MDM231400B0</t>
  </si>
  <si>
    <t>STACK-T4—1M</t>
  </si>
  <si>
    <t>1M TYPE 4 STACKING CABLE</t>
  </si>
  <si>
    <t>STACK CABLE</t>
  </si>
  <si>
    <t>LCC2251G9MX</t>
  </si>
  <si>
    <t>LCC2251G9M6</t>
  </si>
  <si>
    <t>LCC2251G9FG</t>
  </si>
  <si>
    <t>LCC2251G9F4</t>
  </si>
  <si>
    <t>SFP-H10GB-CU5M</t>
  </si>
  <si>
    <t>10GBASE-Cu SFP+ Cable 5Meter</t>
  </si>
  <si>
    <t>TED2318C14U</t>
  </si>
  <si>
    <t>TED2318C17V</t>
  </si>
  <si>
    <t>TED2318C178</t>
  </si>
  <si>
    <t>TED2318C180</t>
  </si>
  <si>
    <t>TED2318C141</t>
  </si>
  <si>
    <t>TED2318C16B</t>
  </si>
  <si>
    <t>TED2318C16A</t>
  </si>
  <si>
    <t>TED2318C120</t>
  </si>
  <si>
    <t>TED2318C132</t>
  </si>
  <si>
    <t>TED2318C15W</t>
  </si>
  <si>
    <t>TED2318C0Z6</t>
  </si>
  <si>
    <t>TED2318C129</t>
  </si>
  <si>
    <t>TED2318C0YU</t>
  </si>
  <si>
    <t>TED2318C0XN</t>
  </si>
  <si>
    <t>TED2318C17Q</t>
  </si>
  <si>
    <t>TED2318C172</t>
  </si>
  <si>
    <t>SFP-H10GB-CU3M</t>
  </si>
  <si>
    <t>10GBASE-Cu SFP+ Cable 3Meter</t>
  </si>
  <si>
    <t>TED2320B160</t>
  </si>
  <si>
    <t>TED2320B1AB</t>
  </si>
  <si>
    <t>TED2320B12U</t>
  </si>
  <si>
    <t>TED2320B1C5</t>
  </si>
  <si>
    <t>TED2320B1C1</t>
  </si>
  <si>
    <t>TED2320B1AD</t>
  </si>
  <si>
    <t>TED2320B1BZ</t>
  </si>
  <si>
    <t>TED2320B1C6</t>
  </si>
  <si>
    <t>TED2320B0WE</t>
  </si>
  <si>
    <t>TED2320B0WF</t>
  </si>
  <si>
    <t>TED2320B1AF</t>
  </si>
  <si>
    <t>TED2320B19X</t>
  </si>
  <si>
    <t>SFP-H10GB-ACU10M</t>
  </si>
  <si>
    <t>ACTIVE TWINAX CABLE ASSEBLY 10M</t>
  </si>
  <si>
    <t>TED2315U01B</t>
  </si>
  <si>
    <t>TED2315U0DU</t>
  </si>
  <si>
    <t>TED2315U0N0</t>
  </si>
  <si>
    <t>TED2315U08S</t>
  </si>
  <si>
    <t>TED2315U1DE</t>
  </si>
  <si>
    <t>TED2315U0J7</t>
  </si>
  <si>
    <t>TED2315U0TB</t>
  </si>
  <si>
    <t>TED2315U0G6</t>
  </si>
  <si>
    <t>TED2315U006</t>
  </si>
  <si>
    <t>TED2315U0AG</t>
  </si>
  <si>
    <t>TED2315U0DV</t>
  </si>
  <si>
    <t>TED2315U0CY</t>
  </si>
  <si>
    <t>TED2315U0L9</t>
  </si>
  <si>
    <t>TED2315U09J</t>
  </si>
  <si>
    <t>TED2315U018</t>
  </si>
  <si>
    <t>TED2315U0Q0</t>
  </si>
  <si>
    <t>SFP-H10GB-ACU7M</t>
  </si>
  <si>
    <t>ACTIVE TWINAX CABLE ASSEBLY 7.5M</t>
  </si>
  <si>
    <t>TED2303T0NQ</t>
  </si>
  <si>
    <t>TED2303T0QQ</t>
  </si>
  <si>
    <t>TED2303T0ZL</t>
  </si>
  <si>
    <t>TED2303T10B</t>
  </si>
  <si>
    <t>TED2303T12P</t>
  </si>
  <si>
    <t>TED2303T132</t>
  </si>
  <si>
    <t>TED2303T15Z</t>
  </si>
  <si>
    <t>TED2303T1C2</t>
  </si>
  <si>
    <t>TED2303T29Y</t>
  </si>
  <si>
    <t>TED2303T2DC</t>
  </si>
  <si>
    <t>TED2303T2G6</t>
  </si>
  <si>
    <t>TED2303T0M1</t>
  </si>
  <si>
    <t>C9300-48T-A</t>
  </si>
  <si>
    <t>CATALYST 9300-48 PORT DATA ONLY, NETWORK ADVANTAGE</t>
  </si>
  <si>
    <t>SWITCH</t>
  </si>
  <si>
    <t>FCW2319G0GG</t>
  </si>
  <si>
    <t>FGHLHN171</t>
  </si>
  <si>
    <t>FITTED</t>
  </si>
  <si>
    <t>STACK-T1-50CM</t>
  </si>
  <si>
    <t>50CM TYPE 1 STACKING CABLE</t>
  </si>
  <si>
    <t>MOC2316A2SE</t>
  </si>
  <si>
    <t>C9300-NM-4G</t>
  </si>
  <si>
    <t>CATALYST 9300 4 X 1GE NETWORK MODULE</t>
  </si>
  <si>
    <t>UPLINK MODULE</t>
  </si>
  <si>
    <t>FOC23214FUT</t>
  </si>
  <si>
    <t>FGHLHN71</t>
  </si>
  <si>
    <t>SWAPPED/52</t>
  </si>
  <si>
    <t>Swapped with Box 52</t>
  </si>
  <si>
    <t>PWR-C1-350WAC-P</t>
  </si>
  <si>
    <t>350W POWER SUPPLY</t>
  </si>
  <si>
    <t>PSU</t>
  </si>
  <si>
    <t>DCC2235B0HY</t>
  </si>
  <si>
    <t>PWR-C1-350WAC-P/2</t>
  </si>
  <si>
    <t>DCC223B0RH</t>
  </si>
  <si>
    <t>FOC2319U03K</t>
  </si>
  <si>
    <t>FGHLHN172</t>
  </si>
  <si>
    <t>MOC2315A3C3</t>
  </si>
  <si>
    <t>FOC23214FYY</t>
  </si>
  <si>
    <t>FGHLHN72</t>
  </si>
  <si>
    <t>SWAPPED/51</t>
  </si>
  <si>
    <t>Swapped with Box 51</t>
  </si>
  <si>
    <t>DCC2235B0JI</t>
  </si>
  <si>
    <t>DCC2235B0J5</t>
  </si>
  <si>
    <t>C9200-24P-E</t>
  </si>
  <si>
    <t>CATALYST 9200-24 PORT POE+, NETWORK ESSENTIALS</t>
  </si>
  <si>
    <t>JAE232606YT</t>
  </si>
  <si>
    <t>FGHLHN22-2</t>
  </si>
  <si>
    <t>Needs module</t>
  </si>
  <si>
    <t>JAE23260695</t>
  </si>
  <si>
    <t>FGHLHN29</t>
  </si>
  <si>
    <t>JAE232606v0</t>
  </si>
  <si>
    <t>FGHLHN30</t>
  </si>
  <si>
    <t>JAE232606UF</t>
  </si>
  <si>
    <t>FGHXXN98</t>
  </si>
  <si>
    <t>JAE23260A09</t>
  </si>
  <si>
    <t>FGHLHN11</t>
  </si>
  <si>
    <t>C9200-NM-4G</t>
  </si>
  <si>
    <t>CATALYST 9200 4 X 1GE NETWORK MODULE</t>
  </si>
  <si>
    <t>JAE232606GU</t>
  </si>
  <si>
    <t>JAE232609Y9</t>
  </si>
  <si>
    <t>FGHLHN12</t>
  </si>
  <si>
    <t>JAE232606JR</t>
  </si>
  <si>
    <t>JAE232606V2</t>
  </si>
  <si>
    <t>FGHLHN15</t>
  </si>
  <si>
    <t>JAE232606NQ</t>
  </si>
  <si>
    <t>JAE23260A62</t>
  </si>
  <si>
    <t>FGHLHN17</t>
  </si>
  <si>
    <t>JAE232606PT</t>
  </si>
  <si>
    <t>FGHSLN17</t>
  </si>
  <si>
    <t>JAE23260A3H</t>
  </si>
  <si>
    <t>FGHLHN18</t>
  </si>
  <si>
    <t>JAE232606P5</t>
  </si>
  <si>
    <t>JAE23260676</t>
  </si>
  <si>
    <t>FGHLHN23</t>
  </si>
  <si>
    <t>JAE232606KB</t>
  </si>
  <si>
    <t>JAE232609YE</t>
  </si>
  <si>
    <t>FGHLHN24</t>
  </si>
  <si>
    <t>JAE232606PD</t>
  </si>
  <si>
    <t>JAE23260A19</t>
  </si>
  <si>
    <t>FGHLHN25</t>
  </si>
  <si>
    <t>JAE232606E7</t>
  </si>
  <si>
    <t>JAE23260672</t>
  </si>
  <si>
    <t>FGHLHN32</t>
  </si>
  <si>
    <t>JAE232606EJ</t>
  </si>
  <si>
    <t>JAE2326070A</t>
  </si>
  <si>
    <t>FGHLHN33</t>
  </si>
  <si>
    <t>JAE232606J3</t>
  </si>
  <si>
    <t>JAE23260A5U</t>
  </si>
  <si>
    <t>FGHLHN28</t>
  </si>
  <si>
    <t>JAE232606JG</t>
  </si>
  <si>
    <t>QSFP—100G-CU5M</t>
  </si>
  <si>
    <t>100GBASE-CR4 PASSIVE COPPER CABLE, 5M</t>
  </si>
  <si>
    <t>LCC2312GG90</t>
  </si>
  <si>
    <t>LCC2316GXP1</t>
  </si>
  <si>
    <t>LCC2316GXPK</t>
  </si>
  <si>
    <t>LCC23166M96</t>
  </si>
  <si>
    <t>LCC2315GVU0</t>
  </si>
  <si>
    <t>LCC2316GXNH</t>
  </si>
  <si>
    <t>C9200-48P-E</t>
  </si>
  <si>
    <t>CATALYST 9200-48 PORT POE+, NETWORK ESSENTIALS</t>
  </si>
  <si>
    <t>JAE23211DKS</t>
  </si>
  <si>
    <t>FGHVLN16</t>
  </si>
  <si>
    <t>JAE23211DLK</t>
  </si>
  <si>
    <t>FGHXXN99</t>
  </si>
  <si>
    <t>Rack kit installed, needs module</t>
  </si>
  <si>
    <t>CATALYST 9300 48-PORT DATA ONLY, NETWORK ADVANTAGE</t>
  </si>
  <si>
    <t>FOC2319X031</t>
  </si>
  <si>
    <t>FGHLHN141-1</t>
  </si>
  <si>
    <t>MOC2315A461</t>
  </si>
  <si>
    <t>PWR-C1-350-WAC-P</t>
  </si>
  <si>
    <t>DCC2235B0M3</t>
  </si>
  <si>
    <t>PWR-C1-350-WAC-P/2</t>
  </si>
  <si>
    <t>DCC2235B0M5</t>
  </si>
  <si>
    <t>C9300-NM-8X</t>
  </si>
  <si>
    <t>CATALYST 9300 8 X 10GE NETWORK MODULE</t>
  </si>
  <si>
    <t>FOC23260MAU</t>
  </si>
  <si>
    <t>FCW2319L02M</t>
  </si>
  <si>
    <t>FGHLHN141-2</t>
  </si>
  <si>
    <t>MOC2316A015</t>
  </si>
  <si>
    <t>DCC2235BOL3</t>
  </si>
  <si>
    <t>DCC2235B0KR</t>
  </si>
  <si>
    <t>FOC23260L2B</t>
  </si>
  <si>
    <t>FCW2319L02K</t>
  </si>
  <si>
    <t>FGHLHN142-1</t>
  </si>
  <si>
    <t>MOC2315A4AG</t>
  </si>
  <si>
    <t>DCC2235B0LJ</t>
  </si>
  <si>
    <t>DCC2235B0NZ</t>
  </si>
  <si>
    <t>FOC23260LB2</t>
  </si>
  <si>
    <t>FCW2319L01V</t>
  </si>
  <si>
    <t>FGHLHN142-2</t>
  </si>
  <si>
    <t>MOC2315A4AE</t>
  </si>
  <si>
    <t>DCC2235B0LX</t>
  </si>
  <si>
    <t>DCC2235B0LY</t>
  </si>
  <si>
    <t>FOC23260LHB</t>
  </si>
  <si>
    <t>C9500-32QC-A</t>
  </si>
  <si>
    <t>CATALYST 9500 32-PORT 40/100G ONLY, ADVANTAGE</t>
  </si>
  <si>
    <t>CAT2326L1K9</t>
  </si>
  <si>
    <t>CAT2326L1L1</t>
  </si>
  <si>
    <t>C9300-24T-A</t>
  </si>
  <si>
    <t>CATALYST 9300 24-PORT DATA ONLY, NETWORK ADVANTAGE</t>
  </si>
  <si>
    <t>FCW2321GH51</t>
  </si>
  <si>
    <t>FGHVLN71</t>
  </si>
  <si>
    <t>MOC2315A35P</t>
  </si>
  <si>
    <t>FOC23251MX8</t>
  </si>
  <si>
    <t>DCC2235B0GC</t>
  </si>
  <si>
    <t>DCC2235B0GK</t>
  </si>
  <si>
    <t>FCW2321D08V</t>
  </si>
  <si>
    <t>FGHVLN72</t>
  </si>
  <si>
    <t>MOC2315A3F0</t>
  </si>
  <si>
    <t>FOC23251N23</t>
  </si>
  <si>
    <t>DCC2235B0GA</t>
  </si>
  <si>
    <t>DCC2235B0GF</t>
  </si>
  <si>
    <t>FCW2321L0B1</t>
  </si>
  <si>
    <t>FGHSDN71</t>
  </si>
  <si>
    <t>MOC2315A3EQ</t>
  </si>
  <si>
    <t>FOC23251MJ8</t>
  </si>
  <si>
    <t>DCC2235B0GG</t>
  </si>
  <si>
    <t>DCC2235B0GH</t>
  </si>
  <si>
    <t>FCW2321G0AD</t>
  </si>
  <si>
    <t>FGHSDN72</t>
  </si>
  <si>
    <t>MOC2315A347</t>
  </si>
  <si>
    <t>FOC23251MEX</t>
  </si>
  <si>
    <t>DCC2235B0KN</t>
  </si>
  <si>
    <t>DCC2235B0P3</t>
  </si>
  <si>
    <t>FCW2321GH54</t>
  </si>
  <si>
    <t>FGHHGN71</t>
  </si>
  <si>
    <t>MOC2315A34B</t>
  </si>
  <si>
    <t>FOC23251MEY</t>
  </si>
  <si>
    <t>DCC2235B0M4</t>
  </si>
  <si>
    <t>DCC2235B0MX</t>
  </si>
  <si>
    <t>FCW2321C05P</t>
  </si>
  <si>
    <t>FGHHGN72</t>
  </si>
  <si>
    <t>MOC2315A17Q</t>
  </si>
  <si>
    <t>FOC23251MZZ</t>
  </si>
  <si>
    <t>DCC2235B0KJ</t>
  </si>
  <si>
    <t>DCC2235B0KK</t>
  </si>
  <si>
    <t>FCW2321G07C</t>
  </si>
  <si>
    <t>FGHGDN71</t>
  </si>
  <si>
    <t>MOC2315A1VP</t>
  </si>
  <si>
    <t>FOC23251NB9</t>
  </si>
  <si>
    <t>DCC2235B0KF</t>
  </si>
  <si>
    <t>DCC2235B0L4</t>
  </si>
  <si>
    <t>GLC-SX-MMD</t>
  </si>
  <si>
    <t>1000BASE-SX SFP TRANSCEIVER MODULE, MMF, 850NM, DOM</t>
  </si>
  <si>
    <t>SFP</t>
  </si>
  <si>
    <t>OPM23190LFT</t>
  </si>
  <si>
    <t>OPM23190LNY</t>
  </si>
  <si>
    <t>OPM23190LMG</t>
  </si>
  <si>
    <t>OPM23190LLE</t>
  </si>
  <si>
    <t>OPM23190LG1</t>
  </si>
  <si>
    <t>OPM23190LP1</t>
  </si>
  <si>
    <t>OPM23190LLA</t>
  </si>
  <si>
    <t>OPM23190LJ5</t>
  </si>
  <si>
    <t>OPM23190LJA</t>
  </si>
  <si>
    <t>OPM23190LJF</t>
  </si>
  <si>
    <t>OPM23190LQ4</t>
  </si>
  <si>
    <t>OPM23190LQM</t>
  </si>
  <si>
    <t>OPM23190LK3</t>
  </si>
  <si>
    <t>OPM23190LMR</t>
  </si>
  <si>
    <t>OPM23190LQ5</t>
  </si>
  <si>
    <t>OPM23190LR2</t>
  </si>
  <si>
    <t>OPM231911LG</t>
  </si>
  <si>
    <t>OPM23190LR3</t>
  </si>
  <si>
    <t>OPM23190LH8</t>
  </si>
  <si>
    <t>OPM23190LMM</t>
  </si>
  <si>
    <t>OPM23190LP2</t>
  </si>
  <si>
    <t>OPM231911NZ</t>
  </si>
  <si>
    <t>OPM231911LE</t>
  </si>
  <si>
    <t>OPM23190LMJ</t>
  </si>
  <si>
    <t>OPM23190LK2</t>
  </si>
  <si>
    <t>OPM23190LLG</t>
  </si>
  <si>
    <t>OPM23190LHT</t>
  </si>
  <si>
    <t>OPM23190LFX</t>
  </si>
  <si>
    <t>OPM23190LL8</t>
  </si>
  <si>
    <t>OPM23190LLF</t>
  </si>
  <si>
    <t>OPM23190LJB</t>
  </si>
  <si>
    <t>OPM23190LNJ</t>
  </si>
  <si>
    <t>OPM231911LM</t>
  </si>
  <si>
    <t>OPM23190LJE</t>
  </si>
  <si>
    <t>OPM23190LQZ</t>
  </si>
  <si>
    <t>OPM23190LMN</t>
  </si>
  <si>
    <t>OPM23190LH7</t>
  </si>
  <si>
    <t>OPM231911LT</t>
  </si>
  <si>
    <t>OPM23190LGK</t>
  </si>
  <si>
    <t>OPM23190LQ7</t>
  </si>
  <si>
    <t>OPM23190LK0</t>
  </si>
  <si>
    <t>OPM231911LK</t>
  </si>
  <si>
    <t>OPM23190LGL</t>
  </si>
  <si>
    <t>OPM23190LH5</t>
  </si>
  <si>
    <t>OPM23190LKS</t>
  </si>
  <si>
    <t>OPM23190LPS</t>
  </si>
  <si>
    <t>OPM23190LQ6</t>
  </si>
  <si>
    <t>OPM23190L3S</t>
  </si>
  <si>
    <t>OPM231911LF</t>
  </si>
  <si>
    <t>OPM2319LH4</t>
  </si>
  <si>
    <t>OPM23190L3P</t>
  </si>
  <si>
    <t>OPM23190LNT</t>
  </si>
  <si>
    <t>OPM23190LP3</t>
  </si>
  <si>
    <t>OPM23190LQK</t>
  </si>
  <si>
    <t>OPM23190LG2</t>
  </si>
  <si>
    <t>OPM23190LFR</t>
  </si>
  <si>
    <t>OPM23190LGJ</t>
  </si>
  <si>
    <t>OPM23190LHQ</t>
  </si>
  <si>
    <t>OPM23190LR4</t>
  </si>
  <si>
    <t>OPM23190LMP</t>
  </si>
  <si>
    <t>OPM23190LNU</t>
  </si>
  <si>
    <t>OPM23190LR1</t>
  </si>
  <si>
    <t>OPM23190LQF</t>
  </si>
  <si>
    <t>OPM231911P2</t>
  </si>
  <si>
    <t>OPM23190LFY</t>
  </si>
  <si>
    <t>OPM23190LQ3</t>
  </si>
  <si>
    <t>OPM23190LLB</t>
  </si>
  <si>
    <t>OPM23190LK5</t>
  </si>
  <si>
    <t>OPM23190LGM</t>
  </si>
  <si>
    <t>OPM23190LML</t>
  </si>
  <si>
    <t>OPM231911LH</t>
  </si>
  <si>
    <t>OPM23190LP0</t>
  </si>
  <si>
    <t>OPM23190LKX</t>
  </si>
  <si>
    <t>OPM23190LMQ</t>
  </si>
  <si>
    <t>OPM23190LF2</t>
  </si>
  <si>
    <t>OPM23190LR0</t>
  </si>
  <si>
    <t>OPM23190LGG</t>
  </si>
  <si>
    <t>OPM23190LKR</t>
  </si>
  <si>
    <t>OPM23190LKT</t>
  </si>
  <si>
    <t>OPM23190LJ9</t>
  </si>
  <si>
    <t>OPM23190LFU</t>
  </si>
  <si>
    <t>OPM23190LP4</t>
  </si>
  <si>
    <t>OPM23190LMK</t>
  </si>
  <si>
    <t>OPM23190LH6</t>
  </si>
  <si>
    <t>OPM23190LQP</t>
  </si>
  <si>
    <t>OPM23190LH9</t>
  </si>
  <si>
    <t>OPM23190LR5</t>
  </si>
  <si>
    <t>OPM23190LNZ</t>
  </si>
  <si>
    <t>OPM23190LKU</t>
  </si>
  <si>
    <t>OPM23190LQ9</t>
  </si>
  <si>
    <t>OPM23190LL7</t>
  </si>
  <si>
    <t>OPM231911NL</t>
  </si>
  <si>
    <t>OPM23190LQ8</t>
  </si>
  <si>
    <t>OPM23190LFS</t>
  </si>
  <si>
    <t>OPM23190LK1</t>
  </si>
  <si>
    <t>OPM23190LQY</t>
  </si>
  <si>
    <t>OPM23190LG3</t>
  </si>
  <si>
    <t>OPM23190LMS</t>
  </si>
  <si>
    <t>OPM23190LHS</t>
  </si>
  <si>
    <t>OPM23190LHU</t>
  </si>
  <si>
    <t>OPM23190LN9</t>
  </si>
  <si>
    <t>OPM23190LPG</t>
  </si>
  <si>
    <t>OPM23190LK4</t>
  </si>
  <si>
    <t>OPM23190LGX</t>
  </si>
  <si>
    <t>OPM23190LK6</t>
  </si>
  <si>
    <t>OPM23190LFQ</t>
  </si>
  <si>
    <t>OPM23190LFN</t>
  </si>
  <si>
    <t>OPM23190LHX</t>
  </si>
  <si>
    <t>OPM23190LN7</t>
  </si>
  <si>
    <t>OPM23190LGZ</t>
  </si>
  <si>
    <t>OPM23190LK8</t>
  </si>
  <si>
    <t>OPM23190LKA</t>
  </si>
  <si>
    <t>OPM23190LGP</t>
  </si>
  <si>
    <t>OPM23190LFL</t>
  </si>
  <si>
    <t>OPM23190LFM</t>
  </si>
  <si>
    <t>OPM23190LPA</t>
  </si>
  <si>
    <t>OPM23190LGN</t>
  </si>
  <si>
    <t>OPM23190LPK</t>
  </si>
  <si>
    <t>OPM23190LN8</t>
  </si>
  <si>
    <t>OPM23190LN6</t>
  </si>
  <si>
    <t>OPM23190LFP</t>
  </si>
  <si>
    <t>OPM23190LGQ</t>
  </si>
  <si>
    <t>OPM23190LPJ</t>
  </si>
  <si>
    <t>OPM23190J09</t>
  </si>
  <si>
    <t>OPM23190LPF</t>
  </si>
  <si>
    <t>OPM23190LK7</t>
  </si>
  <si>
    <t>QSFP-100G-CU1M</t>
  </si>
  <si>
    <t>100GBASE-CR4 PASSIVE COPPER CABLE, 1M</t>
  </si>
  <si>
    <t>LCC2317GQ50</t>
  </si>
  <si>
    <t>LCC2317GKQ3</t>
  </si>
  <si>
    <t>LCC2317GQ3N</t>
  </si>
  <si>
    <t>LCC2317GQ3Q</t>
  </si>
  <si>
    <t>CATALYST 9200 48-PORT POE+, NETWORK ESSENTIALS</t>
  </si>
  <si>
    <t>JAD23260L72</t>
  </si>
  <si>
    <t>FGHLHN13-1</t>
  </si>
  <si>
    <t>C9200-STACK</t>
  </si>
  <si>
    <t>Catalyst 9200 Network stacking module</t>
  </si>
  <si>
    <t>STACK MODULE</t>
  </si>
  <si>
    <t>JAE2320148H</t>
  </si>
  <si>
    <t>JAE232704PH</t>
  </si>
  <si>
    <t>JAE23270Z3P</t>
  </si>
  <si>
    <t>STACK-T4-50CM</t>
  </si>
  <si>
    <t>LCC2321GT0C</t>
  </si>
  <si>
    <t>JAD23260L6L</t>
  </si>
  <si>
    <t>FGHLHN16-1</t>
  </si>
  <si>
    <t>JAE23260EFX</t>
  </si>
  <si>
    <t xml:space="preserve">FGHLHN16-1 </t>
  </si>
  <si>
    <t>JAE232703CM</t>
  </si>
  <si>
    <t>JAE23270Z4G</t>
  </si>
  <si>
    <t>LCC2321GT54</t>
  </si>
  <si>
    <t>JAD23260FEY</t>
  </si>
  <si>
    <t>FGHLHN13-2</t>
  </si>
  <si>
    <t>JAE232104D3</t>
  </si>
  <si>
    <t>JAE23250HDF</t>
  </si>
  <si>
    <t>JAE23270YW3</t>
  </si>
  <si>
    <t>LCC2321GT0D</t>
  </si>
  <si>
    <t>QSFP-100G-PSM4-S</t>
  </si>
  <si>
    <t>100GBASE PSM4 QSFP TRANSCEIVER, MPO, 500M OVER SMF</t>
  </si>
  <si>
    <t>CVR2149031D</t>
  </si>
  <si>
    <t>CVR21490467</t>
  </si>
  <si>
    <t>CVR214904D8</t>
  </si>
  <si>
    <t>CVR21490475</t>
  </si>
  <si>
    <t>CVR21490409</t>
  </si>
  <si>
    <t>CVR222100DD</t>
  </si>
  <si>
    <t>CVR22210031</t>
  </si>
  <si>
    <t>CVR214904SN</t>
  </si>
  <si>
    <t>CVR214904S3</t>
  </si>
  <si>
    <t>CVR214904Q9</t>
  </si>
  <si>
    <t>CVR2221004D</t>
  </si>
  <si>
    <t>CVR2221000Q</t>
  </si>
  <si>
    <t>FCW2323L09G</t>
  </si>
  <si>
    <t>MOC2316AF1</t>
  </si>
  <si>
    <t>FOC23260MBX</t>
  </si>
  <si>
    <t>SWAPPED/12</t>
  </si>
  <si>
    <t>Swapped with Box 12</t>
  </si>
  <si>
    <t>DCC2310B1PA</t>
  </si>
  <si>
    <t>DCC2310B1NY</t>
  </si>
  <si>
    <t>FCW2323D08J</t>
  </si>
  <si>
    <t>MOC2316A5F0</t>
  </si>
  <si>
    <t>FOC23260K8R</t>
  </si>
  <si>
    <t>SWAPPED/11</t>
  </si>
  <si>
    <t>Swapped with Box 11</t>
  </si>
  <si>
    <t>DCC2310B1N8</t>
  </si>
  <si>
    <t>DCC2310B1PE</t>
  </si>
  <si>
    <t>DN2-HW-APL</t>
  </si>
  <si>
    <t>CISCO DNA CENTER APPLIANCE (GEN 2) - 44 CORE</t>
  </si>
  <si>
    <t>DNAC</t>
  </si>
  <si>
    <t>WZP23250095</t>
  </si>
  <si>
    <t>FGHLHN221</t>
  </si>
  <si>
    <t>DN2-RAID-M5</t>
  </si>
  <si>
    <t>CISCO 12G MODULAR RAID CONTROLLER WITH 2GB CACHE</t>
  </si>
  <si>
    <t>COMPONENT</t>
  </si>
  <si>
    <t>LSK232000XL</t>
  </si>
  <si>
    <t>DN2-PCIE-ID10GF</t>
  </si>
  <si>
    <t>INTEL X710-DA2 DUAL-PORT 10G SFP+ NIC</t>
  </si>
  <si>
    <t>FLY228008J</t>
  </si>
  <si>
    <t>DN2-SD-64G-S</t>
  </si>
  <si>
    <t>G4G SD CARD FOR UCS SERVERS</t>
  </si>
  <si>
    <t>STP23260VXH</t>
  </si>
  <si>
    <t>DN2-TPM2-002</t>
  </si>
  <si>
    <t>TRUSTED PLATFORM MODULE 2.0 FOR UCS SERVERS</t>
  </si>
  <si>
    <t>FCH232675FZ</t>
  </si>
  <si>
    <t>DN2-MSTOR-SD</t>
  </si>
  <si>
    <t>MINI STORAGE CARRIER FOR SD (HOLDS UP TO 2)</t>
  </si>
  <si>
    <t>FCH2325740J</t>
  </si>
  <si>
    <t>C9500-24Y4C-A</t>
  </si>
  <si>
    <t>CATALYST 9500 24X1/10/25G AND 4-PORT 40/100G</t>
  </si>
  <si>
    <t>CAT2330L6S8</t>
  </si>
  <si>
    <t>FGHVLN43-1</t>
  </si>
  <si>
    <t>C9K-PWR-650WAC-R</t>
  </si>
  <si>
    <t>650 WAC CONFIG 4 POWER SUPPLY FRONT TO BACK COOLING</t>
  </si>
  <si>
    <t>DCI232623UK</t>
  </si>
  <si>
    <t>C9K-PWR-650WAC-R/2</t>
  </si>
  <si>
    <t>DCI232623TG</t>
  </si>
  <si>
    <t>FGHVLN43-2</t>
  </si>
  <si>
    <t>DCI232623XC</t>
  </si>
  <si>
    <t>DCI232623XL</t>
  </si>
  <si>
    <t>C9500-48Y4C-A</t>
  </si>
  <si>
    <t>CATALYST 9500 48-PORT X 1/10/25G + 4-PORT 40/100G, ADVANTAGE</t>
  </si>
  <si>
    <t>CAT2330L0GC</t>
  </si>
  <si>
    <t>FGHLHN41-1</t>
  </si>
  <si>
    <t>DCI23262041</t>
  </si>
  <si>
    <t>DCI232672K5</t>
  </si>
  <si>
    <t>CAT2330L0EP</t>
  </si>
  <si>
    <t>FGHLHN41-2</t>
  </si>
  <si>
    <t>DCI232627HX</t>
  </si>
  <si>
    <t>DCI232627HU</t>
  </si>
  <si>
    <t>CAT2330L0JN</t>
  </si>
  <si>
    <t>FGHLHN42-1</t>
  </si>
  <si>
    <t>DCI23262029</t>
  </si>
  <si>
    <t>DCI232627JW</t>
  </si>
  <si>
    <t>CAT2330L0JM</t>
  </si>
  <si>
    <t>FGHLHN42-2</t>
  </si>
  <si>
    <t>DCI232627J4</t>
  </si>
  <si>
    <t>DCI232627J6</t>
  </si>
  <si>
    <t>CAT2330L0EC</t>
  </si>
  <si>
    <t>FGHLHN43-1</t>
  </si>
  <si>
    <t>DCI232627JN</t>
  </si>
  <si>
    <t>DCI232620GP</t>
  </si>
  <si>
    <t>CAT2330L0JL</t>
  </si>
  <si>
    <t>FGHLHN43-2</t>
  </si>
  <si>
    <t>DCI232627J3</t>
  </si>
  <si>
    <t>DCI232627JT</t>
  </si>
  <si>
    <t>JAD23260L6P</t>
  </si>
  <si>
    <t>FGHVLN11-1</t>
  </si>
  <si>
    <t>CATALYST 9200 STACK MODULE</t>
  </si>
  <si>
    <t>JAE23200YEZ</t>
  </si>
  <si>
    <t>JAE23260FWE</t>
  </si>
  <si>
    <t>CATALYST 9200 4 X 1G NETWORK MODULE</t>
  </si>
  <si>
    <t>JAE23270YZM</t>
  </si>
  <si>
    <t>50CM TYPE 4 STACKING CABLE</t>
  </si>
  <si>
    <t>LCC2321G00G</t>
  </si>
  <si>
    <t>JAD23260L2B</t>
  </si>
  <si>
    <t>FGHVLN11-3</t>
  </si>
  <si>
    <t>JAE23260KQ2</t>
  </si>
  <si>
    <t>JAE232701L0</t>
  </si>
  <si>
    <t>JAE23270YZF</t>
  </si>
  <si>
    <t>LCC2321GT2P</t>
  </si>
  <si>
    <t>JAD23260L38</t>
  </si>
  <si>
    <t>FGHVLN12-1</t>
  </si>
  <si>
    <t>JAE232014ED</t>
  </si>
  <si>
    <t>JAE232014ES</t>
  </si>
  <si>
    <t>JAE23270Z3H</t>
  </si>
  <si>
    <t>LCC2321GT2T</t>
  </si>
  <si>
    <t>JAD23260L1S</t>
  </si>
  <si>
    <t>FGHVLN12-3</t>
  </si>
  <si>
    <t>JAE232014F5</t>
  </si>
  <si>
    <t>JAE232014F7</t>
  </si>
  <si>
    <t>JAE23270YT9</t>
  </si>
  <si>
    <t>LCC2319GXW6</t>
  </si>
  <si>
    <t>JAD23260L59</t>
  </si>
  <si>
    <t>FGHVLN13-1</t>
  </si>
  <si>
    <t>JAE23260EGF</t>
  </si>
  <si>
    <t>JAE23260FPP</t>
  </si>
  <si>
    <t>JAE23270YV8</t>
  </si>
  <si>
    <t>LCC2321G0MV</t>
  </si>
  <si>
    <t>JAD23260FEM</t>
  </si>
  <si>
    <t>FGHVLN13-2</t>
  </si>
  <si>
    <t>JAE23250H9Z</t>
  </si>
  <si>
    <t>JAE232703JW</t>
  </si>
  <si>
    <t>JAE23270Z1V</t>
  </si>
  <si>
    <t>LCC2321GT43</t>
  </si>
  <si>
    <t>JAD23260KZ6</t>
  </si>
  <si>
    <t>FGHVLN14-1</t>
  </si>
  <si>
    <t>JAE232103HM</t>
  </si>
  <si>
    <t>JAE2321180L</t>
  </si>
  <si>
    <t>JAE23270YVH</t>
  </si>
  <si>
    <t>LCC2321GNAH</t>
  </si>
  <si>
    <t>JAD23260L26</t>
  </si>
  <si>
    <t>FGHVLN14-4</t>
  </si>
  <si>
    <t>JAE23200XW0</t>
  </si>
  <si>
    <t>JAE232013VX</t>
  </si>
  <si>
    <t>JAE23270YV9</t>
  </si>
  <si>
    <t>LCC2319GXWC</t>
  </si>
  <si>
    <t>JAD23260L1G</t>
  </si>
  <si>
    <t>FGHVLN15</t>
  </si>
  <si>
    <t>JAE23201M63</t>
  </si>
  <si>
    <t>FGHVLN15-1</t>
  </si>
  <si>
    <t>JAE23270248</t>
  </si>
  <si>
    <t>JAE23270Z26</t>
  </si>
  <si>
    <t>LCC2321GT3N</t>
  </si>
  <si>
    <t>JAD23260L2G</t>
  </si>
  <si>
    <t>FGHVLN13-4</t>
  </si>
  <si>
    <t>JAE232014EK</t>
  </si>
  <si>
    <t>FGHVLN15-2</t>
  </si>
  <si>
    <t>JAE23201N5U</t>
  </si>
  <si>
    <t>JAE23270Z33</t>
  </si>
  <si>
    <t>LCC2321GT4Q</t>
  </si>
  <si>
    <t>JAD23260FFS</t>
  </si>
  <si>
    <t>FGHLHN31-1</t>
  </si>
  <si>
    <t>JAE23260FPL</t>
  </si>
  <si>
    <t>JAE232703W5</t>
  </si>
  <si>
    <t>JAE23270YUC</t>
  </si>
  <si>
    <t>LCC2321G0L6</t>
  </si>
  <si>
    <t>JAD23260L58</t>
  </si>
  <si>
    <t>FGHLHN31-4</t>
  </si>
  <si>
    <t>JAE2320148F</t>
  </si>
  <si>
    <t>JAE2327026H</t>
  </si>
  <si>
    <t>JAE23270YSM</t>
  </si>
  <si>
    <t>LCC2321GT48</t>
  </si>
  <si>
    <t>JAD23260L3B</t>
  </si>
  <si>
    <t>FGHLHN22-1</t>
  </si>
  <si>
    <t>JAE23201MS6</t>
  </si>
  <si>
    <t>JAE23270335</t>
  </si>
  <si>
    <t>JAE23270YX7</t>
  </si>
  <si>
    <t>LCC2321G00H</t>
  </si>
  <si>
    <t>JAD23260L22</t>
  </si>
  <si>
    <t>FGHLHN14</t>
  </si>
  <si>
    <t>JAE23250FUR</t>
  </si>
  <si>
    <t>SWAPPED/13</t>
  </si>
  <si>
    <t>JAE23250KFM</t>
  </si>
  <si>
    <t>JAE23270YWD</t>
  </si>
  <si>
    <t>LCC2321GT55</t>
  </si>
  <si>
    <t>JAD23260L3D</t>
  </si>
  <si>
    <t>FGHLHN16-2</t>
  </si>
  <si>
    <t>JAE2320139L</t>
  </si>
  <si>
    <t>JAE23201N5T</t>
  </si>
  <si>
    <t>JAE23270Z1J</t>
  </si>
  <si>
    <t>LCC2321GT0G</t>
  </si>
  <si>
    <t>JAD23260L09</t>
  </si>
  <si>
    <t>FGHLHN20</t>
  </si>
  <si>
    <t>JAE23260EA8</t>
  </si>
  <si>
    <t>SWAPPED/30</t>
  </si>
  <si>
    <t>JAE23260LZF</t>
  </si>
  <si>
    <t>JAE23270YV7</t>
  </si>
  <si>
    <t>LCC2321GRP4</t>
  </si>
  <si>
    <t>JAD23260L6W</t>
  </si>
  <si>
    <t>FGHLHN26</t>
  </si>
  <si>
    <t>JAE232014F2</t>
  </si>
  <si>
    <t>SWAPPED/16</t>
  </si>
  <si>
    <t>JAE23260KFB</t>
  </si>
  <si>
    <t>JAE23270YYU</t>
  </si>
  <si>
    <t>LCC2321G0N5</t>
  </si>
  <si>
    <t>JAD23260FD1</t>
  </si>
  <si>
    <t>FGHLHN31-2</t>
  </si>
  <si>
    <t>JAE23180NS2</t>
  </si>
  <si>
    <t>JAE23201N5W</t>
  </si>
  <si>
    <t>JAE23270YUX</t>
  </si>
  <si>
    <t>SWAPPED/14</t>
  </si>
  <si>
    <t>LCC2321GT3G</t>
  </si>
  <si>
    <t>JAD23260KZ7</t>
  </si>
  <si>
    <t>FGHLHN31-3</t>
  </si>
  <si>
    <t>JAE23200YFB</t>
  </si>
  <si>
    <t>JAE23260K8Q</t>
  </si>
  <si>
    <t>JAE23270YWC</t>
  </si>
  <si>
    <t>SWAPPED/15</t>
  </si>
  <si>
    <t>LCC2319GXWP</t>
  </si>
  <si>
    <t>JAD23260FD4</t>
  </si>
  <si>
    <t>FGHVLN11-2</t>
  </si>
  <si>
    <t>JAE23200YF3</t>
  </si>
  <si>
    <t>JAE23260KJD</t>
  </si>
  <si>
    <t>JAE23270Z1U</t>
  </si>
  <si>
    <t>LCC2319GXVW</t>
  </si>
  <si>
    <t>JAD23260L17</t>
  </si>
  <si>
    <t>FGHVLN12-2</t>
  </si>
  <si>
    <t>JAE23201MGP</t>
  </si>
  <si>
    <t>JAE232701L4</t>
  </si>
  <si>
    <t>JAE23270YUB</t>
  </si>
  <si>
    <t>SWAPPED/29</t>
  </si>
  <si>
    <t>LCC2321GT5G</t>
  </si>
  <si>
    <t>JAD23260L02</t>
  </si>
  <si>
    <t>FGHVLN14-2</t>
  </si>
  <si>
    <t>JAE23201SF2</t>
  </si>
  <si>
    <t>JAE232013VZ</t>
  </si>
  <si>
    <t>JAE2370YWB</t>
  </si>
  <si>
    <t>LCC2319GXVG</t>
  </si>
  <si>
    <t>JAD23260L1Q</t>
  </si>
  <si>
    <t>FGHVLN14-3</t>
  </si>
  <si>
    <t>JAE232606PQ</t>
  </si>
  <si>
    <t>JAE23260FP9</t>
  </si>
  <si>
    <t>JAE23270134</t>
  </si>
  <si>
    <t>LCC2321GT3D</t>
  </si>
  <si>
    <t>JAD23270Z3Y</t>
  </si>
  <si>
    <t>FGHVLN11-4</t>
  </si>
  <si>
    <t>JAD23220RFD</t>
  </si>
  <si>
    <t>FGHVLN12-4</t>
  </si>
  <si>
    <t>JAD23260KYV</t>
  </si>
  <si>
    <t>FGHVLN13-3</t>
  </si>
  <si>
    <t>JAD2325059N</t>
  </si>
  <si>
    <t>SPARe</t>
  </si>
  <si>
    <t>SPARE</t>
  </si>
  <si>
    <t>JAD2325051M</t>
  </si>
  <si>
    <t>JAE232011XW</t>
  </si>
  <si>
    <t>Allocated to new switches</t>
  </si>
  <si>
    <t>JAE232114MS</t>
  </si>
  <si>
    <t>LCC2313G1T5</t>
  </si>
  <si>
    <t>JAE2321136V</t>
  </si>
  <si>
    <t>JAE23211378</t>
  </si>
  <si>
    <t>LCC2313G1T4</t>
  </si>
  <si>
    <t>JAE232115AU</t>
  </si>
  <si>
    <t>JAE232115JV</t>
  </si>
  <si>
    <t>LCC2312G1RV</t>
  </si>
  <si>
    <t>Devices</t>
  </si>
  <si>
    <t>Role</t>
  </si>
  <si>
    <t>Location</t>
  </si>
  <si>
    <t>Cab</t>
  </si>
  <si>
    <t>Firmware</t>
  </si>
  <si>
    <t>MAC Address</t>
  </si>
  <si>
    <t>MAC Address2</t>
  </si>
  <si>
    <t>Asset No.</t>
  </si>
  <si>
    <t>Node</t>
  </si>
  <si>
    <t>IP Address</t>
  </si>
  <si>
    <t xml:space="preserve"> --- LH Core</t>
  </si>
  <si>
    <t>Core</t>
  </si>
  <si>
    <t>Live</t>
  </si>
  <si>
    <t>CR1</t>
  </si>
  <si>
    <t>C9500-32QC</t>
  </si>
  <si>
    <t>CR2</t>
  </si>
  <si>
    <t>Server Aggregation</t>
  </si>
  <si>
    <t>C9500-48Y4C</t>
  </si>
  <si>
    <t>10.224.21.41</t>
  </si>
  <si>
    <t>10.224.21.42</t>
  </si>
  <si>
    <t>Distribution</t>
  </si>
  <si>
    <t>10.224.21.43</t>
  </si>
  <si>
    <t>Server Access</t>
  </si>
  <si>
    <t>C9300-48T</t>
  </si>
  <si>
    <t>10.224.21.141</t>
  </si>
  <si>
    <t>10.224.21.142</t>
  </si>
  <si>
    <t>Demarcation</t>
  </si>
  <si>
    <t>READY</t>
  </si>
  <si>
    <t>C9300-24T</t>
  </si>
  <si>
    <t>10.227.176.2</t>
  </si>
  <si>
    <t>10.227.176.3</t>
  </si>
  <si>
    <t>eCommerce</t>
  </si>
  <si>
    <t>10.224.21.171</t>
  </si>
  <si>
    <t>10.224.21.172</t>
  </si>
  <si>
    <t xml:space="preserve"> --- LH Access</t>
  </si>
  <si>
    <t>Access</t>
  </si>
  <si>
    <t>Replenishment - NW</t>
  </si>
  <si>
    <t>C9200-24P</t>
  </si>
  <si>
    <t>10.224.21.11</t>
  </si>
  <si>
    <t xml:space="preserve">Replenishment - N </t>
  </si>
  <si>
    <t>10.224.21.12</t>
  </si>
  <si>
    <t>Returns Control room</t>
  </si>
  <si>
    <t>C9200-48P</t>
  </si>
  <si>
    <t>10.224.21.13</t>
  </si>
  <si>
    <t>Commissioned</t>
  </si>
  <si>
    <t>Returns (old MB office)</t>
  </si>
  <si>
    <t>10.224.21.14</t>
  </si>
  <si>
    <t>Returns Dock</t>
  </si>
  <si>
    <t>10.224.21.15</t>
  </si>
  <si>
    <t>Returns (leg 4)</t>
  </si>
  <si>
    <t>10.224.21.16</t>
  </si>
  <si>
    <t>Replenishment (old DEC cab)</t>
  </si>
  <si>
    <t>10.224.21.17</t>
  </si>
  <si>
    <t>Replenishment (By firewall)</t>
  </si>
  <si>
    <t>18</t>
  </si>
  <si>
    <t>10.224.21.18</t>
  </si>
  <si>
    <t>Despatch Dock</t>
  </si>
  <si>
    <t>20</t>
  </si>
  <si>
    <t>10.224.21.20</t>
  </si>
  <si>
    <t>Packing</t>
  </si>
  <si>
    <t>10.224.21.22</t>
  </si>
  <si>
    <t>Old Store</t>
  </si>
  <si>
    <t>10.224.21.23</t>
  </si>
  <si>
    <t>Stock Audit</t>
  </si>
  <si>
    <t>10.224.21.24</t>
  </si>
  <si>
    <t>Old Store 2</t>
  </si>
  <si>
    <t>10.224.21.25</t>
  </si>
  <si>
    <t>Piper Alpha</t>
  </si>
  <si>
    <t>10.224.21.26</t>
  </si>
  <si>
    <t>Carton Store Ext</t>
  </si>
  <si>
    <t>10.224.21.28</t>
  </si>
  <si>
    <t>Portacabin</t>
  </si>
  <si>
    <t>10.224.21.29</t>
  </si>
  <si>
    <t>Despatch (Portacabin entrance)</t>
  </si>
  <si>
    <t>10.224.21.30</t>
  </si>
  <si>
    <t>31</t>
  </si>
  <si>
    <t>10.224.21.31</t>
  </si>
  <si>
    <t>10.224.21.32</t>
  </si>
  <si>
    <t>Training Room</t>
  </si>
  <si>
    <t>10.224.21.33</t>
  </si>
  <si>
    <t>FGHLHN81</t>
  </si>
  <si>
    <t>VM</t>
  </si>
  <si>
    <t>ISE</t>
  </si>
  <si>
    <t>R-ISE-VMM-K9</t>
  </si>
  <si>
    <t>10.224.100.205</t>
  </si>
  <si>
    <t>ISE VM Medium</t>
  </si>
  <si>
    <t>FGHLHN82</t>
  </si>
  <si>
    <t>10.224.100.206</t>
  </si>
  <si>
    <t>APPLIANCE</t>
  </si>
  <si>
    <t>DNA2-HW-APL</t>
  </si>
  <si>
    <t>221</t>
  </si>
  <si>
    <t>10.224.21.221</t>
  </si>
  <si>
    <t>DNA Center</t>
  </si>
  <si>
    <t xml:space="preserve"> --- LH Virtual Machines</t>
  </si>
  <si>
    <t>DHCP1</t>
  </si>
  <si>
    <t>DHCP</t>
  </si>
  <si>
    <t>VMWare</t>
  </si>
  <si>
    <t>10.224.100.98</t>
  </si>
  <si>
    <t>DHCP Server</t>
  </si>
  <si>
    <t>DHCP2</t>
  </si>
  <si>
    <t>10.224.100.99</t>
  </si>
  <si>
    <t>DC1</t>
  </si>
  <si>
    <t>AD</t>
  </si>
  <si>
    <t>10.224.100.101</t>
  </si>
  <si>
    <t>AD DC / DNS</t>
  </si>
  <si>
    <t>DC2</t>
  </si>
  <si>
    <t>10.224.100.102</t>
  </si>
  <si>
    <t>DC3</t>
  </si>
  <si>
    <t>10.224.100.203</t>
  </si>
  <si>
    <t>DC4</t>
  </si>
  <si>
    <t>10.224.100.204</t>
  </si>
  <si>
    <t xml:space="preserve"> --- LH Devices</t>
  </si>
  <si>
    <t>FGH-C7K01-M1</t>
  </si>
  <si>
    <t>BLADE CHASSIS</t>
  </si>
  <si>
    <t>HP</t>
  </si>
  <si>
    <t>10.224.20.203</t>
  </si>
  <si>
    <t>VDI Server</t>
  </si>
  <si>
    <t>FGH-C7K01-M2</t>
  </si>
  <si>
    <t>10.224.20.204</t>
  </si>
  <si>
    <t>FGH-C7K02-M1</t>
  </si>
  <si>
    <t>213</t>
  </si>
  <si>
    <t>10.224.20.213</t>
  </si>
  <si>
    <t>FGH-C7K02-M2</t>
  </si>
  <si>
    <t>214</t>
  </si>
  <si>
    <t>10.224.20.214</t>
  </si>
  <si>
    <t>FGHNFS05</t>
  </si>
  <si>
    <t>STORAGE</t>
  </si>
  <si>
    <t>StoreEasy 1660</t>
  </si>
  <si>
    <t>40</t>
  </si>
  <si>
    <t>10.224.20.40</t>
  </si>
  <si>
    <t>Q2P75A</t>
  </si>
  <si>
    <t>LHCR1C01</t>
  </si>
  <si>
    <t>LEGACY</t>
  </si>
  <si>
    <t>2</t>
  </si>
  <si>
    <t>172.16.32.2</t>
  </si>
  <si>
    <t>LHCR2C01</t>
  </si>
  <si>
    <t>3</t>
  </si>
  <si>
    <t>172.16.32.3</t>
  </si>
  <si>
    <t>TINTRI1</t>
  </si>
  <si>
    <t>4.4.3.2-9880.51992.23212</t>
  </si>
  <si>
    <t>10.224.100.131</t>
  </si>
  <si>
    <t>TINTRI2</t>
  </si>
  <si>
    <t>132</t>
  </si>
  <si>
    <t>10.224.100.132</t>
  </si>
  <si>
    <t>TINTRI3</t>
  </si>
  <si>
    <t>EC6050</t>
  </si>
  <si>
    <t>60</t>
  </si>
  <si>
    <t>10.224.20.60</t>
  </si>
  <si>
    <t>TINTRI4</t>
  </si>
  <si>
    <t>66</t>
  </si>
  <si>
    <t>10.224.20.66</t>
  </si>
  <si>
    <t>FGHFW31</t>
  </si>
  <si>
    <t>FIREWALL</t>
  </si>
  <si>
    <t>Ecom</t>
  </si>
  <si>
    <t>CHECKPOINT</t>
  </si>
  <si>
    <t>172.16.32.206</t>
  </si>
  <si>
    <t>FGHFW32</t>
  </si>
  <si>
    <t>172.16.32.207</t>
  </si>
  <si>
    <t>TIER3NFS01</t>
  </si>
  <si>
    <t>NAS</t>
  </si>
  <si>
    <t>QNAP</t>
  </si>
  <si>
    <t>TS-453-BU-RP</t>
  </si>
  <si>
    <t>4.3.6.1070</t>
  </si>
  <si>
    <t>65</t>
  </si>
  <si>
    <t>10.224.100.65</t>
  </si>
  <si>
    <t>Backup Storage</t>
  </si>
  <si>
    <t>EcomSW09a</t>
  </si>
  <si>
    <t>C2960S</t>
  </si>
  <si>
    <t>FOC1546Y1MY</t>
  </si>
  <si>
    <t>241</t>
  </si>
  <si>
    <t>10.224.11.241</t>
  </si>
  <si>
    <t>PCI Switch</t>
  </si>
  <si>
    <t>EcomSw02a</t>
  </si>
  <si>
    <t>FOC1712W53B</t>
  </si>
  <si>
    <t>172.31.7.241</t>
  </si>
  <si>
    <t>Ecom Switch</t>
  </si>
  <si>
    <t>OTTOUK161</t>
  </si>
  <si>
    <t>Veritas Backup SRV</t>
  </si>
  <si>
    <t>Physical Server</t>
  </si>
  <si>
    <t>DELL</t>
  </si>
  <si>
    <t>Poweredge 2850</t>
  </si>
  <si>
    <t>36</t>
  </si>
  <si>
    <t>10.224.100.36</t>
  </si>
  <si>
    <t>OTTOUK145</t>
  </si>
  <si>
    <t>Veritas Backup Master SRV</t>
  </si>
  <si>
    <t>247</t>
  </si>
  <si>
    <t>10.224.100.247</t>
  </si>
  <si>
    <t xml:space="preserve"> --- LH VDI Devices</t>
  </si>
  <si>
    <t>FGHVIEW01</t>
  </si>
  <si>
    <t>VDI</t>
  </si>
  <si>
    <t>CAB B</t>
  </si>
  <si>
    <t>Dell</t>
  </si>
  <si>
    <t>HPE VC FLEXFABRIC 20/40</t>
  </si>
  <si>
    <t>FGHVIEW02</t>
  </si>
  <si>
    <t>FGHVIEW03</t>
  </si>
  <si>
    <t>FGHVIEW08</t>
  </si>
  <si>
    <t>Poweredge R730</t>
  </si>
  <si>
    <t>2.52.52.52</t>
  </si>
  <si>
    <t>18:66:DA:68:10:0A</t>
  </si>
  <si>
    <t>10.224.200.18</t>
  </si>
  <si>
    <t>D0:94:66:04:46:EF</t>
  </si>
  <si>
    <t>10.224.200.20</t>
  </si>
  <si>
    <t>PowerEdge R740</t>
  </si>
  <si>
    <t>10.224.200.36</t>
  </si>
  <si>
    <t>FGHVIEW04</t>
  </si>
  <si>
    <t>CAB A</t>
  </si>
  <si>
    <t>FGHVIEW05</t>
  </si>
  <si>
    <t>FGHVIEW06</t>
  </si>
  <si>
    <t>FGHVIEW07</t>
  </si>
  <si>
    <t>FGHVIEW09</t>
  </si>
  <si>
    <t>a0369fbb5180</t>
  </si>
  <si>
    <t>a0369fbb53c8</t>
  </si>
  <si>
    <t>19</t>
  </si>
  <si>
    <t>10.224.200.19</t>
  </si>
  <si>
    <t>Poweredge R740</t>
  </si>
  <si>
    <t>b026288f21bc</t>
  </si>
  <si>
    <t>b026288f32a8</t>
  </si>
  <si>
    <t>34</t>
  </si>
  <si>
    <t>10.224.200.34</t>
  </si>
  <si>
    <t>FGHView14</t>
  </si>
  <si>
    <t>b0262891098b</t>
  </si>
  <si>
    <t>b02628910854</t>
  </si>
  <si>
    <t>10.224.200.38</t>
  </si>
  <si>
    <t xml:space="preserve"> --- VL Network</t>
  </si>
  <si>
    <t>1st FLOOR</t>
  </si>
  <si>
    <t>10.227.21.11</t>
  </si>
  <si>
    <t>2nd FLOOR</t>
  </si>
  <si>
    <t>10.227.21.12</t>
  </si>
  <si>
    <t>3rd FLOOR</t>
  </si>
  <si>
    <t>10.227.21.13</t>
  </si>
  <si>
    <t>4TH FLOOR</t>
  </si>
  <si>
    <t>10.227.21.14</t>
  </si>
  <si>
    <t>5th FLOOR</t>
  </si>
  <si>
    <t>10.227.21.15</t>
  </si>
  <si>
    <t>Ground FLOOR</t>
  </si>
  <si>
    <t>10.227.21.16</t>
  </si>
  <si>
    <t>C9500-24Y4C</t>
  </si>
  <si>
    <t>FGHVLN71-1</t>
  </si>
  <si>
    <t>FGHVLN71-2</t>
  </si>
  <si>
    <t>Comms Room 1</t>
  </si>
  <si>
    <t>10.36.100.2</t>
  </si>
  <si>
    <t>Comms Room 2</t>
  </si>
  <si>
    <t>10.36.100.3</t>
  </si>
  <si>
    <t>10.108.34.8</t>
  </si>
  <si>
    <t>10.108.34.9</t>
  </si>
  <si>
    <t>10.99.100.9</t>
  </si>
  <si>
    <t>Spare</t>
  </si>
  <si>
    <t>0</t>
  </si>
  <si>
    <t>Switches</t>
  </si>
  <si>
    <t>Physical</t>
  </si>
  <si>
    <t>Logical</t>
  </si>
  <si>
    <t>Stacking</t>
  </si>
  <si>
    <t>Uplink</t>
  </si>
  <si>
    <t>`</t>
  </si>
  <si>
    <t>Hostname</t>
  </si>
  <si>
    <t>Family</t>
  </si>
  <si>
    <t>Ports</t>
  </si>
  <si>
    <t>Port Desc</t>
  </si>
  <si>
    <t>UpLinks</t>
  </si>
  <si>
    <t>Uplink Desc</t>
  </si>
  <si>
    <t>Stacked</t>
  </si>
  <si>
    <t>Dimentions</t>
  </si>
  <si>
    <t>Rack U</t>
  </si>
  <si>
    <t>Weight</t>
  </si>
  <si>
    <t>No PSU</t>
  </si>
  <si>
    <t>BTU/hr</t>
  </si>
  <si>
    <t>BTU W</t>
  </si>
  <si>
    <t>#</t>
  </si>
  <si>
    <t>Stack Name</t>
  </si>
  <si>
    <t>Unit ID</t>
  </si>
  <si>
    <t>Unit Count</t>
  </si>
  <si>
    <t>Stack Port 1</t>
  </si>
  <si>
    <t>Stack Port 1 SFP</t>
  </si>
  <si>
    <t>Next ID</t>
  </si>
  <si>
    <t>Next Unit</t>
  </si>
  <si>
    <t>Next Port</t>
  </si>
  <si>
    <t>Stack Port 2</t>
  </si>
  <si>
    <t>Stack Port 2 SFP</t>
  </si>
  <si>
    <t>Prev ID</t>
  </si>
  <si>
    <t>Prev Unit</t>
  </si>
  <si>
    <t>Prev Port</t>
  </si>
  <si>
    <t>Uplink Port 1</t>
  </si>
  <si>
    <t>Uplink 1 SFP</t>
  </si>
  <si>
    <t>Remote Device 1</t>
  </si>
  <si>
    <t>Remote Port 1</t>
  </si>
  <si>
    <t>Uplink Port 2</t>
  </si>
  <si>
    <t>Uplink 2 SFP</t>
  </si>
  <si>
    <t>Remote Device 2</t>
  </si>
  <si>
    <t>Remote Port 2</t>
  </si>
  <si>
    <t>Local EC</t>
  </si>
  <si>
    <t>Remote EC</t>
  </si>
  <si>
    <t>hu1/0/47</t>
  </si>
  <si>
    <t>100G QSFP MPO</t>
  </si>
  <si>
    <t>hu2/0/47</t>
  </si>
  <si>
    <t>hu1/0/51</t>
  </si>
  <si>
    <t>100G QSFP DAC</t>
  </si>
  <si>
    <t>hu1/0/49</t>
  </si>
  <si>
    <t>hu1/0/44</t>
  </si>
  <si>
    <t>hu2/0/51</t>
  </si>
  <si>
    <t>hu2/0/49</t>
  </si>
  <si>
    <t>hu2/0/44</t>
  </si>
  <si>
    <t>hu1/0/43</t>
  </si>
  <si>
    <t>hu2/0/43</t>
  </si>
  <si>
    <t>hu1/0/42</t>
  </si>
  <si>
    <t xml:space="preserve"> </t>
  </si>
  <si>
    <t>hu2/0/42</t>
  </si>
  <si>
    <t>st1/1</t>
  </si>
  <si>
    <t>STACKWISE</t>
  </si>
  <si>
    <t>te1/1/1</t>
  </si>
  <si>
    <t>10GB SFP+ DAC</t>
  </si>
  <si>
    <t>twe1/0/48</t>
  </si>
  <si>
    <t>st2/1</t>
  </si>
  <si>
    <t>te2/1/2</t>
  </si>
  <si>
    <t>twe2/0/48</t>
  </si>
  <si>
    <t>49</t>
  </si>
  <si>
    <t>gi1/1/1</t>
  </si>
  <si>
    <t>1GB SFP SX</t>
  </si>
  <si>
    <t>gi1/1/2</t>
  </si>
  <si>
    <t>twe1/0/46</t>
  </si>
  <si>
    <t>te1/1/2</t>
  </si>
  <si>
    <t>twe2/0/46</t>
  </si>
  <si>
    <t>1G SFP SX</t>
  </si>
  <si>
    <t>twe1/0/1</t>
  </si>
  <si>
    <t>twe2/0/1</t>
  </si>
  <si>
    <t>twe1/0/2</t>
  </si>
  <si>
    <t>twe2/0/2</t>
  </si>
  <si>
    <t>twe1/0/3</t>
  </si>
  <si>
    <t>gi2/1/2</t>
  </si>
  <si>
    <t>twe2/0/3</t>
  </si>
  <si>
    <t>twe1/0/4</t>
  </si>
  <si>
    <t>twe2/0/4</t>
  </si>
  <si>
    <t>twe1/0/5</t>
  </si>
  <si>
    <t>twe2/0/5</t>
  </si>
  <si>
    <t>twe1/0/6</t>
  </si>
  <si>
    <t>twe2/0/6</t>
  </si>
  <si>
    <t>twe1/0/7</t>
  </si>
  <si>
    <t>twe2/0/7</t>
  </si>
  <si>
    <t>twe1/0/8</t>
  </si>
  <si>
    <t>twe2/0/8</t>
  </si>
  <si>
    <t>twe1/0/10</t>
  </si>
  <si>
    <t>twe2/0/10</t>
  </si>
  <si>
    <t>twe1/0/12</t>
  </si>
  <si>
    <t>twe2/0/12</t>
  </si>
  <si>
    <t>twe1/0/13</t>
  </si>
  <si>
    <t>twe2/0/13</t>
  </si>
  <si>
    <t>twe1/0/14</t>
  </si>
  <si>
    <t>twe2/0/14</t>
  </si>
  <si>
    <t>twe1/0/15</t>
  </si>
  <si>
    <t>twe2/0/15</t>
  </si>
  <si>
    <t>twe1/0/16</t>
  </si>
  <si>
    <t>twe2/0/16</t>
  </si>
  <si>
    <t>twe1/0/18</t>
  </si>
  <si>
    <t>twe2/0/18</t>
  </si>
  <si>
    <t>twe1/0/19</t>
  </si>
  <si>
    <t>twe2/0/19</t>
  </si>
  <si>
    <t>twe1/0/20</t>
  </si>
  <si>
    <t>twe2/0/20</t>
  </si>
  <si>
    <t>twe1/0/21</t>
  </si>
  <si>
    <t>st3/1</t>
  </si>
  <si>
    <t>st4/1</t>
  </si>
  <si>
    <t>gi4/1/2</t>
  </si>
  <si>
    <t>twe2/0/21</t>
  </si>
  <si>
    <t>twe1/0/22</t>
  </si>
  <si>
    <t>twe2/0/22</t>
  </si>
  <si>
    <t>twe1/0/23</t>
  </si>
  <si>
    <t>twe2/0/23</t>
  </si>
  <si>
    <t>hu1/0/27</t>
  </si>
  <si>
    <t>hu2/0/27</t>
  </si>
  <si>
    <t>1G SFP CU</t>
  </si>
  <si>
    <t>FGHLHN01</t>
  </si>
  <si>
    <t>Catalyst 9500</t>
  </si>
  <si>
    <t>40/100G</t>
  </si>
  <si>
    <t>YES</t>
  </si>
  <si>
    <t>1.73 x 17.5 x 18.0 in</t>
  </si>
  <si>
    <t>1 RU</t>
  </si>
  <si>
    <t>21.85 lb (9.91 kg)</t>
  </si>
  <si>
    <t>hu2/0/48</t>
  </si>
  <si>
    <t>hu1/0/48</t>
  </si>
  <si>
    <t>FGHLHN41</t>
  </si>
  <si>
    <t>1/10/25G</t>
  </si>
  <si>
    <t>21.96 lb (9.96 kg)</t>
  </si>
  <si>
    <t>hu2/0/52</t>
  </si>
  <si>
    <t>hu1/0/52</t>
  </si>
  <si>
    <t>FGHLHN42</t>
  </si>
  <si>
    <t>FGHLHN43</t>
  </si>
  <si>
    <t>FGHLHN141</t>
  </si>
  <si>
    <t>Catalyst 9300</t>
  </si>
  <si>
    <t>10/100/1000</t>
  </si>
  <si>
    <t>10G Modular</t>
  </si>
  <si>
    <t>1.73 x 17.5 x 17.7 in</t>
  </si>
  <si>
    <t>16.43 ib (7.45 kg)</t>
  </si>
  <si>
    <t>st2/2</t>
  </si>
  <si>
    <t>st1/2</t>
  </si>
  <si>
    <t>FGHLHN142</t>
  </si>
  <si>
    <t xml:space="preserve">1GB Modular </t>
  </si>
  <si>
    <t>16.03 ib (7.27 kg)</t>
  </si>
  <si>
    <t>Catalyst 9200</t>
  </si>
  <si>
    <t>1.73 x 17.5 x 15.4 in</t>
  </si>
  <si>
    <t>12.12 lb (5.5 kg)</t>
  </si>
  <si>
    <t>FGHLHN13</t>
  </si>
  <si>
    <t>4</t>
  </si>
  <si>
    <t>FGHLHN16</t>
  </si>
  <si>
    <t>FGHLHN22</t>
  </si>
  <si>
    <t>FGHLHN31</t>
  </si>
  <si>
    <t>st3/2</t>
  </si>
  <si>
    <t>st4/2</t>
  </si>
  <si>
    <t>FGHVLN43</t>
  </si>
  <si>
    <t>20.99 lb (9.52 kg)</t>
  </si>
  <si>
    <t>hu2/0/28</t>
  </si>
  <si>
    <t>hu1/0/28</t>
  </si>
  <si>
    <t>FGHVLN11</t>
  </si>
  <si>
    <t>FGHVLN12</t>
  </si>
  <si>
    <t>FGHVLN13</t>
  </si>
  <si>
    <t>FGHVLN14</t>
  </si>
  <si>
    <t>Connections</t>
  </si>
  <si>
    <t>Device Port</t>
  </si>
  <si>
    <t>Switch</t>
  </si>
  <si>
    <t>Switch Port</t>
  </si>
  <si>
    <t>Switch-Port</t>
  </si>
  <si>
    <t>Speed/Duplex</t>
  </si>
  <si>
    <t>EC No</t>
  </si>
  <si>
    <t>Native VLAN</t>
  </si>
  <si>
    <t>VLAN Allowed</t>
  </si>
  <si>
    <t>enp94s0f0</t>
  </si>
  <si>
    <t>Twe1/0/1</t>
  </si>
  <si>
    <t>auto</t>
  </si>
  <si>
    <t>enp94s0f1</t>
  </si>
  <si>
    <t>eno1</t>
  </si>
  <si>
    <t>1GB COPPER</t>
  </si>
  <si>
    <t>CIMC</t>
  </si>
  <si>
    <t>Gi2/0/1</t>
  </si>
  <si>
    <t>Te10/2</t>
  </si>
  <si>
    <t>Twe1/0/45</t>
  </si>
  <si>
    <t>10GB SFP+ MMF</t>
  </si>
  <si>
    <t>Legacy to be removed once resilient links in</t>
  </si>
  <si>
    <t>Te10/3</t>
  </si>
  <si>
    <t>Twe1/0/44</t>
  </si>
  <si>
    <t>Te10/4</t>
  </si>
  <si>
    <t>Twe2/0/44</t>
  </si>
  <si>
    <t>IDRAC</t>
  </si>
  <si>
    <t>Configured</t>
  </si>
  <si>
    <t>gi1/0/11</t>
  </si>
  <si>
    <t>gi1/0/12</t>
  </si>
  <si>
    <t>gi1/0/13</t>
  </si>
  <si>
    <t>gi1/0/14</t>
  </si>
  <si>
    <t>gi1/0/15</t>
  </si>
  <si>
    <t>gi1/0/16</t>
  </si>
  <si>
    <t>gi1/0/17</t>
  </si>
  <si>
    <t>gi2/0/11</t>
  </si>
  <si>
    <t>gi2/0/12</t>
  </si>
  <si>
    <t>gi2/0/13</t>
  </si>
  <si>
    <t>gi2/0/14</t>
  </si>
  <si>
    <t>gi2/0/15</t>
  </si>
  <si>
    <t>gi2/0/16</t>
  </si>
  <si>
    <t>gi2/0/17</t>
  </si>
  <si>
    <t>MGNT</t>
  </si>
  <si>
    <t>gi1/0/21</t>
  </si>
  <si>
    <t>gi1/0/22</t>
  </si>
  <si>
    <t>gi1/0/23</t>
  </si>
  <si>
    <t>gi1/0/24</t>
  </si>
  <si>
    <t>gi1/0/25</t>
  </si>
  <si>
    <t>gi1/0/26</t>
  </si>
  <si>
    <t>gi1/0/27</t>
  </si>
  <si>
    <t>MGNT2</t>
  </si>
  <si>
    <t>gi2/0/21</t>
  </si>
  <si>
    <t>gi2/0/22</t>
  </si>
  <si>
    <t>gi2/0/23</t>
  </si>
  <si>
    <t>gi2/0/24</t>
  </si>
  <si>
    <t>gi2/0/25</t>
  </si>
  <si>
    <t>gi2/0/26</t>
  </si>
  <si>
    <t>gi2/0/27</t>
  </si>
  <si>
    <t>DATA</t>
  </si>
  <si>
    <t>Twe1/0/11</t>
  </si>
  <si>
    <t>Twe1/0/12</t>
  </si>
  <si>
    <t>Twe1/0/13</t>
  </si>
  <si>
    <t>Twe1/0/14</t>
  </si>
  <si>
    <t>Twe1/0/15</t>
  </si>
  <si>
    <t>Twe1/0/16</t>
  </si>
  <si>
    <t>Twe1/0/17</t>
  </si>
  <si>
    <t>DATA2</t>
  </si>
  <si>
    <t>Twe2/0/11</t>
  </si>
  <si>
    <t>Twe2/0/12</t>
  </si>
  <si>
    <t>Twe2/0/13</t>
  </si>
  <si>
    <t>Twe2/0/14</t>
  </si>
  <si>
    <t>Twe2/0/15</t>
  </si>
  <si>
    <t>Twe2/0/16</t>
  </si>
  <si>
    <t>Twe2/0/17</t>
  </si>
  <si>
    <t>A-MGNT</t>
  </si>
  <si>
    <t>gi1/0/31</t>
  </si>
  <si>
    <t>A-MGNT2</t>
  </si>
  <si>
    <t>gi2/0/31</t>
  </si>
  <si>
    <t>A-REPL</t>
  </si>
  <si>
    <t>gi1/0/32</t>
  </si>
  <si>
    <t>A-REPL2</t>
  </si>
  <si>
    <t>gi2/0/32</t>
  </si>
  <si>
    <t>A-DATA</t>
  </si>
  <si>
    <t>B-MGNT</t>
  </si>
  <si>
    <t>gi1/0/33</t>
  </si>
  <si>
    <t>B-MGNT2</t>
  </si>
  <si>
    <t>gi2/0/33</t>
  </si>
  <si>
    <t>B-REPL</t>
  </si>
  <si>
    <t>gi1/0/34</t>
  </si>
  <si>
    <t>B-REPL2</t>
  </si>
  <si>
    <t>gi2/0/34</t>
  </si>
  <si>
    <t>B-DATA</t>
  </si>
  <si>
    <t>ILO</t>
  </si>
  <si>
    <t>gi2/0/2</t>
  </si>
  <si>
    <t>twe1/0/40</t>
  </si>
  <si>
    <t>twe2/0/40</t>
  </si>
  <si>
    <t>Q1-DATA</t>
  </si>
  <si>
    <t>hu1/0/50</t>
  </si>
  <si>
    <t>40GB QSFP DAC</t>
  </si>
  <si>
    <t>TRUNK</t>
  </si>
  <si>
    <t>2,4,8,10,11,28,32,84,88,132,220,230,300,310,320,440-449,510,511</t>
  </si>
  <si>
    <t>X1-DATA</t>
  </si>
  <si>
    <t>twe1/0/42</t>
  </si>
  <si>
    <t>X2-DATA</t>
  </si>
  <si>
    <t>twe2/0/42</t>
  </si>
  <si>
    <t>X3-PCI</t>
  </si>
  <si>
    <t>Planned</t>
  </si>
  <si>
    <t>X4-PCI</t>
  </si>
  <si>
    <t>X5-ECOM</t>
  </si>
  <si>
    <t>X6-ECOM</t>
  </si>
  <si>
    <t>hu2/0/50</t>
  </si>
  <si>
    <t>twe1/0/43</t>
  </si>
  <si>
    <t>twe2/0/43</t>
  </si>
  <si>
    <t>gi1/0/2</t>
  </si>
  <si>
    <t>twe1/0/24</t>
  </si>
  <si>
    <t>twe2/0/24</t>
  </si>
  <si>
    <t>A-ADMIN</t>
  </si>
  <si>
    <t>gi1/0/35</t>
  </si>
  <si>
    <t>A-ADMIN2</t>
  </si>
  <si>
    <t>gi2/0/35</t>
  </si>
  <si>
    <t>gi1/0/36</t>
  </si>
  <si>
    <t>gi2/0/36</t>
  </si>
  <si>
    <t>510,511</t>
  </si>
  <si>
    <t>A-DATA2</t>
  </si>
  <si>
    <t>B-ADMIN</t>
  </si>
  <si>
    <t>gi1/0/37</t>
  </si>
  <si>
    <t>B-ADMIN2</t>
  </si>
  <si>
    <t>gi2/0/37</t>
  </si>
  <si>
    <t>gi1/0/38</t>
  </si>
  <si>
    <t>gi2/0/38</t>
  </si>
  <si>
    <t>B-DATA2</t>
  </si>
  <si>
    <t>gi1/0/44</t>
  </si>
  <si>
    <t>4080-4084,4090-4093</t>
  </si>
  <si>
    <t>gi1/0/3</t>
  </si>
  <si>
    <t>Backup</t>
  </si>
  <si>
    <t>gi1/0/4</t>
  </si>
  <si>
    <t>gi2/0/3</t>
  </si>
  <si>
    <t>gi2/0/4</t>
  </si>
  <si>
    <t>10.224.29.221</t>
  </si>
  <si>
    <t>10.224.18.221</t>
  </si>
  <si>
    <t>10.224.200.28</t>
  </si>
  <si>
    <t>10.224.200.30</t>
  </si>
  <si>
    <t>10.224.200.35</t>
  </si>
  <si>
    <t>10.224.30.78</t>
  </si>
  <si>
    <t>10.224.30.83</t>
  </si>
  <si>
    <t>10.224.30.86</t>
  </si>
  <si>
    <t>10.224.48.132</t>
  </si>
  <si>
    <t>10.224.200.37</t>
  </si>
  <si>
    <t>10.224.30.87</t>
  </si>
  <si>
    <t>10.224.48.131</t>
  </si>
  <si>
    <t>10.224.48.40</t>
  </si>
  <si>
    <t>10.224.100.60</t>
  </si>
  <si>
    <t>10.224.100.66</t>
  </si>
  <si>
    <t>Not available</t>
  </si>
  <si>
    <t>Active Directory</t>
  </si>
  <si>
    <t>Forest Details</t>
  </si>
  <si>
    <t>AD Name</t>
  </si>
  <si>
    <t>ottouk.com</t>
  </si>
  <si>
    <t>NetBIOS Name</t>
  </si>
  <si>
    <t>ottouk</t>
  </si>
  <si>
    <t>Schema Master</t>
  </si>
  <si>
    <t>PDC Emulator</t>
  </si>
  <si>
    <t>Domain Naming Master</t>
  </si>
  <si>
    <t>RID Pool Manager</t>
  </si>
  <si>
    <t>Infrastructure Master</t>
  </si>
  <si>
    <t>Domain Controllers</t>
  </si>
  <si>
    <t>Network Services</t>
  </si>
  <si>
    <t>Spanning Tree</t>
  </si>
  <si>
    <t>LH</t>
  </si>
  <si>
    <t>VL</t>
  </si>
  <si>
    <t>Root Bridge</t>
  </si>
  <si>
    <t xml:space="preserve">Protocol </t>
  </si>
  <si>
    <t>RPVST+</t>
  </si>
  <si>
    <t>Root Guard</t>
  </si>
  <si>
    <t>All Downlinks</t>
  </si>
  <si>
    <t>Port Fast</t>
  </si>
  <si>
    <t>All Acces Ports</t>
  </si>
  <si>
    <t>UDLD</t>
  </si>
  <si>
    <t>Mode</t>
  </si>
  <si>
    <t>Normal</t>
  </si>
  <si>
    <t>Deployment</t>
  </si>
  <si>
    <t>All fibre links</t>
  </si>
  <si>
    <t>NTP</t>
  </si>
  <si>
    <t>NTP Server</t>
  </si>
  <si>
    <t>172.16.32.86</t>
  </si>
  <si>
    <t>10.224.100.254</t>
  </si>
  <si>
    <t>NTP Server Name</t>
  </si>
  <si>
    <t>Time.ottouk.com</t>
  </si>
  <si>
    <t>DNS</t>
  </si>
  <si>
    <t>Internal DNS Domain</t>
  </si>
  <si>
    <t>External DNS Domain</t>
  </si>
  <si>
    <t>fgh-uk.com</t>
  </si>
  <si>
    <t>DNS Server Name</t>
  </si>
  <si>
    <t>DNS Server</t>
  </si>
  <si>
    <t>DNS Server 2 Name</t>
  </si>
  <si>
    <t>DNS Server 2</t>
  </si>
  <si>
    <t>DNS Server 3</t>
  </si>
  <si>
    <t>DNS Server 3 Name</t>
  </si>
  <si>
    <t>DHCP Server Name</t>
  </si>
  <si>
    <t>DHCP Server 2 Name</t>
  </si>
  <si>
    <t>DHCP Server 2</t>
  </si>
  <si>
    <t>DHCP Server 3</t>
  </si>
  <si>
    <t>DHCP Server 3 Name</t>
  </si>
  <si>
    <t xml:space="preserve">ISE </t>
  </si>
  <si>
    <t>ISE Shared secret</t>
  </si>
  <si>
    <t>nj27!7bVxhc7</t>
  </si>
  <si>
    <t>AD User Name</t>
  </si>
  <si>
    <t>iseadmin</t>
  </si>
  <si>
    <t>Cisco_ISE_ADSync</t>
  </si>
  <si>
    <t>AD Password?</t>
  </si>
  <si>
    <t>48ZA2crW9X5rfVZp</t>
  </si>
  <si>
    <t>2UWo9N1bik1P6LEcKTUP</t>
  </si>
  <si>
    <t>TACACS Shared Secret</t>
  </si>
  <si>
    <t>ByFP3e2W3hxjK9AukSXCUrat5eDeX6UW</t>
  </si>
  <si>
    <t>T4c4c5k3Y!</t>
  </si>
  <si>
    <t>DNA</t>
  </si>
  <si>
    <t>DNA AD account</t>
  </si>
  <si>
    <t>dnaadmin</t>
  </si>
  <si>
    <t>admin</t>
  </si>
  <si>
    <t>DNA AD account PW</t>
  </si>
  <si>
    <t>8QfD94pcrwcR3gHk7kgX</t>
  </si>
  <si>
    <t>PassworD1</t>
  </si>
  <si>
    <t>DNA Appliance</t>
  </si>
  <si>
    <t>Network Security</t>
  </si>
  <si>
    <t>TACACS Server</t>
  </si>
  <si>
    <t>AAA Mode</t>
  </si>
  <si>
    <t>TACACS LOCAL</t>
  </si>
  <si>
    <t>TACACS Server Name</t>
  </si>
  <si>
    <t>TACACS Server Key</t>
  </si>
  <si>
    <t>TACACS Server 2 Name</t>
  </si>
  <si>
    <t>TACACS Server 2</t>
  </si>
  <si>
    <t>RADIUS</t>
  </si>
  <si>
    <t>RADIUS Server Name</t>
  </si>
  <si>
    <t>RADIUS Server</t>
  </si>
  <si>
    <t>RADIUS Server 2 Name</t>
  </si>
  <si>
    <t>RADIUS Server 2</t>
  </si>
  <si>
    <t>RADIUS Key</t>
  </si>
  <si>
    <t>Port Authentication</t>
  </si>
  <si>
    <t xml:space="preserve">Authentication Order </t>
  </si>
  <si>
    <t>MAB, WEBUTH</t>
  </si>
  <si>
    <t>Authentication Priority</t>
  </si>
  <si>
    <t>MAC Move</t>
  </si>
  <si>
    <t>Permit</t>
  </si>
  <si>
    <t>DHCP Snooping</t>
  </si>
  <si>
    <t>Global Mode</t>
  </si>
  <si>
    <t>Enabled</t>
  </si>
  <si>
    <t>VLANs</t>
  </si>
  <si>
    <t>USER, WUSERS, VOICE</t>
  </si>
  <si>
    <t>Dynamic ARP Inspection</t>
  </si>
  <si>
    <t>BPDU Guard</t>
  </si>
  <si>
    <t>State</t>
  </si>
  <si>
    <t>Enabled on all ACCESS ports</t>
  </si>
  <si>
    <t>Monitoring &amp; Logging</t>
  </si>
  <si>
    <t>Syslog Details</t>
  </si>
  <si>
    <t>Syslog Server Name</t>
  </si>
  <si>
    <t>Syslog Server</t>
  </si>
  <si>
    <t>Syslog Server 2 Name</t>
  </si>
  <si>
    <t>SNMP Details</t>
  </si>
  <si>
    <t>SNMP v3 Group</t>
  </si>
  <si>
    <t>SNMP-GROUP</t>
  </si>
  <si>
    <t>SNMP v3 User</t>
  </si>
  <si>
    <t>SNMP-USER</t>
  </si>
  <si>
    <t>SNMP v3 Mode</t>
  </si>
  <si>
    <t>authPriv</t>
  </si>
  <si>
    <t>SNMP v3 Authentication</t>
  </si>
  <si>
    <t>SHA</t>
  </si>
  <si>
    <t>SNMP v3 Auth Password</t>
  </si>
  <si>
    <t>FGHSNMP2019AX!</t>
  </si>
  <si>
    <t>SNMP v3 Privacy</t>
  </si>
  <si>
    <t>AES</t>
  </si>
  <si>
    <t>SNMP v3 Priv Password</t>
  </si>
  <si>
    <t>FGHSNMP2019PX!</t>
  </si>
  <si>
    <t>SNMP Host</t>
  </si>
  <si>
    <t>SNMP IP</t>
  </si>
  <si>
    <t>SNMP Host2</t>
  </si>
  <si>
    <t>SNMP IP2</t>
  </si>
  <si>
    <t>Remote Management</t>
  </si>
  <si>
    <t>Remote Management2</t>
  </si>
  <si>
    <t>SNMP Read</t>
  </si>
  <si>
    <t>Rd4S3AqWZuem</t>
  </si>
  <si>
    <t>SNMP Write</t>
  </si>
  <si>
    <t>WrkB74HHj2Mz</t>
  </si>
  <si>
    <t>DNAC Platform</t>
  </si>
  <si>
    <t>Platform Information</t>
  </si>
  <si>
    <t>Appliance Chassis Model</t>
  </si>
  <si>
    <t>M5</t>
  </si>
  <si>
    <t>Chassis</t>
  </si>
  <si>
    <t>One rack-unit (1RU) chassis.</t>
  </si>
  <si>
    <t>Processors</t>
  </si>
  <si>
    <t>Two 22-core Intel Xeon Gold 6152 2.1 GHz processors</t>
  </si>
  <si>
    <t>Memory</t>
  </si>
  <si>
    <t>Ten 32 GB DDR4 2666 MHz registered DIMMs (RDIMMs)</t>
  </si>
  <si>
    <t>Storage</t>
  </si>
  <si>
    <t>Eight 1.9 TB 2.5 inch Enterprise Value 6G SATA solid state drives (SSD)</t>
  </si>
  <si>
    <t>Two 480 GB 2.5 inch Enterprise Value 12G SAS SSD</t>
  </si>
  <si>
    <t>Disk Management (RAID)</t>
  </si>
  <si>
    <t>RAID 1 on slots 1 through 4</t>
  </si>
  <si>
    <t>RAID 10 on slots 5 through 10</t>
  </si>
  <si>
    <t>Network and Management I/O</t>
  </si>
  <si>
    <t>Supported connectors:</t>
  </si>
  <si>
    <t>Two 10-Gbps Ethernet ports on the Intel X710-DA2 NIC</t>
  </si>
  <si>
    <t>One 1-Gbps RJ-45 management port (Marvell 88E6176)</t>
  </si>
  <si>
    <t>Two 10GBase-T LOM ports (Intel X550 controller embedded on the motherboard)</t>
  </si>
  <si>
    <t>The following connectors are available but not typically used in the day-to-day operation of Cisco DNA Center:</t>
  </si>
  <si>
    <t>One RS-232 serial port (RJ-45 connector)</t>
  </si>
  <si>
    <t>One VGA (DB-15) connector</t>
  </si>
  <si>
    <t>Two USB 3.0 connectors</t>
  </si>
  <si>
    <t>One front-panel KVM connector that is used with the KVM cable, which provides two USB 2.0, one VGA (DB-15), and one serial port (RS-232) RJ-45 connector.</t>
  </si>
  <si>
    <t>Power</t>
  </si>
  <si>
    <t>Two 770 W AC power supplies.</t>
  </si>
  <si>
    <t>Redundant as 1+1.</t>
  </si>
  <si>
    <t>Cooling</t>
  </si>
  <si>
    <t>Seven hot-swappable fan modules for front-to-rear cooling.</t>
  </si>
  <si>
    <t>Video</t>
  </si>
  <si>
    <t>Video Graphics Array (VGA) video resolution up to 1920 x 1200, 16 bpp at 60 Hz, and up to 512 MB of video memory (8 MB is allocated by default).</t>
  </si>
  <si>
    <t>CIMC Port</t>
  </si>
  <si>
    <t>OOB Management</t>
  </si>
  <si>
    <t>CIMC: Cisco Integrated Management Controller out-of-band server appliance management</t>
  </si>
  <si>
    <t>FGHLHN141-2 g2/0/1</t>
  </si>
  <si>
    <t>Port Type</t>
  </si>
  <si>
    <t>1-Gbps</t>
  </si>
  <si>
    <t>Adapter Number</t>
  </si>
  <si>
    <t>Interface Name</t>
  </si>
  <si>
    <t>M</t>
  </si>
  <si>
    <t>Network Name</t>
  </si>
  <si>
    <t>VLAN ID</t>
  </si>
  <si>
    <t>Subnet Mask</t>
  </si>
  <si>
    <t>Management Port</t>
  </si>
  <si>
    <t>Cisco DNA Center GUI / DO NOT CONFIGURE (IN CLUSTER)</t>
  </si>
  <si>
    <t>Management: Dedicated management network for web access</t>
  </si>
  <si>
    <t>FGHLHN141-1 g1/0/1</t>
  </si>
  <si>
    <t>220</t>
  </si>
  <si>
    <t>10.224.21.220</t>
  </si>
  <si>
    <t>DNS Servers</t>
  </si>
  <si>
    <t>Cloud Port</t>
  </si>
  <si>
    <t>Internet access</t>
  </si>
  <si>
    <t>Cloud: Optional cloud network port for separated Internet connectivity</t>
  </si>
  <si>
    <t>Not Connected</t>
  </si>
  <si>
    <t>eno2</t>
  </si>
  <si>
    <t>xxx</t>
  </si>
  <si>
    <t>Enterprise Port</t>
  </si>
  <si>
    <t>Network management (also used for GUI management)</t>
  </si>
  <si>
    <t>Enterprise: Enterprise network infrastructure</t>
  </si>
  <si>
    <t>FGHLHN41-1 te1/0/1</t>
  </si>
  <si>
    <t>10-Gbps</t>
  </si>
  <si>
    <t>PORT 1</t>
  </si>
  <si>
    <t>DNS Server Names</t>
  </si>
  <si>
    <t>DC1 DC2</t>
  </si>
  <si>
    <t>10.224.100.101 10.224.100.102</t>
  </si>
  <si>
    <t>Cluster Port</t>
  </si>
  <si>
    <t>Intra cluster comms port</t>
  </si>
  <si>
    <t>Cluster: Intra-cluster communications</t>
  </si>
  <si>
    <t>FGHLHN41-2 te2/0/1</t>
  </si>
  <si>
    <t>PORT 2</t>
  </si>
  <si>
    <t>Cluster Link</t>
  </si>
  <si>
    <t>CIMC Setup</t>
  </si>
  <si>
    <t>Connect KVM and press F8 during boot process</t>
  </si>
  <si>
    <t>CIMC Username</t>
  </si>
  <si>
    <t>CIMC Default Password</t>
  </si>
  <si>
    <t>password</t>
  </si>
  <si>
    <t>CIMC Passsword</t>
  </si>
  <si>
    <t>C1sc0DNAC2019!</t>
  </si>
  <si>
    <t>NIC mode</t>
  </si>
  <si>
    <t>Dedicated.</t>
  </si>
  <si>
    <t>IP (Basic)</t>
  </si>
  <si>
    <t>IPV4.</t>
  </si>
  <si>
    <t>CIMC IP</t>
  </si>
  <si>
    <t>Prefix/Subnet</t>
  </si>
  <si>
    <t>Pref DNS Server</t>
  </si>
  <si>
    <t>NIC Redundancy</t>
  </si>
  <si>
    <t>None</t>
  </si>
  <si>
    <t>&lt;F1&gt; Additional Settings</t>
  </si>
  <si>
    <t>Dynamic DNS</t>
  </si>
  <si>
    <t>Uncheck the check box to disable this feature.</t>
  </si>
  <si>
    <t>Factory Defaults</t>
  </si>
  <si>
    <t>Default User (Basic)</t>
  </si>
  <si>
    <t>Leave these fields blank.</t>
  </si>
  <si>
    <t>Port Properties</t>
  </si>
  <si>
    <t>Accept the defaults shown in these fields.</t>
  </si>
  <si>
    <t>Port Profiles</t>
  </si>
  <si>
    <t>Master Node</t>
  </si>
  <si>
    <t>Browse to CIMC, launch soft KVM and power on</t>
  </si>
  <si>
    <t>Network Adapter #1</t>
  </si>
  <si>
    <t>DO NOT CONFIGURE</t>
  </si>
  <si>
    <t>Network Adapter #2</t>
  </si>
  <si>
    <t>Network Adapter #3</t>
  </si>
  <si>
    <t>Enter Enterprise Port details</t>
  </si>
  <si>
    <t>Network Adapter #4</t>
  </si>
  <si>
    <t>Enter Cluster Port details</t>
  </si>
  <si>
    <t>Network Proxy</t>
  </si>
  <si>
    <t>Network Proxy Username</t>
  </si>
  <si>
    <t>Network Proxy Password</t>
  </si>
  <si>
    <t>Cluster Setup</t>
  </si>
  <si>
    <t>Not required if standalone</t>
  </si>
  <si>
    <t>Cluster Virtual IPs</t>
  </si>
  <si>
    <t>10.224.21.220 10.224.29.220</t>
  </si>
  <si>
    <t>Cluster Hostname</t>
  </si>
  <si>
    <t>Not required</t>
  </si>
  <si>
    <t>User Accounts</t>
  </si>
  <si>
    <t>User accounts needed during DNAC setup</t>
  </si>
  <si>
    <t>Linux User Name</t>
  </si>
  <si>
    <t>maglev</t>
  </si>
  <si>
    <t>Linux Password</t>
  </si>
  <si>
    <t>Administrator ID</t>
  </si>
  <si>
    <t>Administrator Passphrase (initial)</t>
  </si>
  <si>
    <t>Passw0rD1</t>
  </si>
  <si>
    <t>Administrator Passphrase</t>
  </si>
  <si>
    <t>CCO ID</t>
  </si>
  <si>
    <t>cisco@fgh-uk.com</t>
  </si>
  <si>
    <t>CCO Password</t>
  </si>
  <si>
    <t>!QAZ2wsx</t>
  </si>
  <si>
    <t>CCO Smart ID</t>
  </si>
  <si>
    <t>italik</t>
  </si>
  <si>
    <t>CCO Smart Password</t>
  </si>
  <si>
    <t>DNAC Admin ID</t>
  </si>
  <si>
    <t>fghadmin</t>
  </si>
  <si>
    <t>DNAC Admin Password</t>
  </si>
  <si>
    <t>FGHdnac2019!</t>
  </si>
  <si>
    <t>IP addresses or hostnames for the NTP servers</t>
  </si>
  <si>
    <t>NTP Server 1</t>
  </si>
  <si>
    <t>NTP Server 2</t>
  </si>
  <si>
    <t>Advanced Settings</t>
  </si>
  <si>
    <t>Requires 2 x /21 networks</t>
  </si>
  <si>
    <t>Services Subnets</t>
  </si>
  <si>
    <t>10.254.0.0/21</t>
  </si>
  <si>
    <t>Cluster Services Subnets</t>
  </si>
  <si>
    <t>10.254.8.0/21</t>
  </si>
  <si>
    <t>ISE Platform</t>
  </si>
  <si>
    <t>Primary</t>
  </si>
  <si>
    <t>Secondary</t>
  </si>
  <si>
    <t>Host Name</t>
  </si>
  <si>
    <t>DNS Domain</t>
  </si>
  <si>
    <t>Primary Name Server</t>
  </si>
  <si>
    <t>Secondary Name Server</t>
  </si>
  <si>
    <t>Primary NTP Server</t>
  </si>
  <si>
    <t>Timezone</t>
  </si>
  <si>
    <t>UTC</t>
  </si>
  <si>
    <t>Use "show timezones" command</t>
  </si>
  <si>
    <t>Admin Username</t>
  </si>
  <si>
    <t>Admin Password</t>
  </si>
  <si>
    <t>C6cr4PgxWmVFWyWd</t>
  </si>
  <si>
    <t>Software version</t>
  </si>
  <si>
    <t>2.6</t>
  </si>
  <si>
    <t>Product Identifier</t>
  </si>
  <si>
    <t>Version Identifier</t>
  </si>
  <si>
    <t>A</t>
  </si>
  <si>
    <t>Serial No</t>
  </si>
  <si>
    <t>ADE-OS Version</t>
  </si>
  <si>
    <t>ISE Shared secret (DNAC)</t>
  </si>
  <si>
    <t>Personas</t>
  </si>
  <si>
    <t>Primary Admin</t>
  </si>
  <si>
    <t>X</t>
  </si>
  <si>
    <t>Secondary Admin</t>
  </si>
  <si>
    <t>Primary Monitoring</t>
  </si>
  <si>
    <t>Secondary Monitoring</t>
  </si>
  <si>
    <t>Policy Services</t>
  </si>
  <si>
    <t>System/Users</t>
  </si>
  <si>
    <t>ISE Admin ID</t>
  </si>
  <si>
    <t>ISE Password</t>
  </si>
  <si>
    <t>FGHise2019!</t>
  </si>
  <si>
    <t>Licensing</t>
  </si>
  <si>
    <t>System/Licenses</t>
  </si>
  <si>
    <t>Protection</t>
  </si>
  <si>
    <t>Control</t>
  </si>
  <si>
    <t>Malware</t>
  </si>
  <si>
    <t>Licenses must be downloaded from Cisco using a PAK file</t>
  </si>
  <si>
    <t>Backups</t>
  </si>
  <si>
    <t>System/Tools/Backup-Restore</t>
  </si>
  <si>
    <t>Backup Profile Name</t>
  </si>
  <si>
    <t>Backup Profile Name (full)</t>
  </si>
  <si>
    <t>Copy when Complete</t>
  </si>
  <si>
    <t>Destination Host (SCP)</t>
  </si>
  <si>
    <t>Destination Path</t>
  </si>
  <si>
    <t>User</t>
  </si>
  <si>
    <t>Password</t>
  </si>
  <si>
    <t>Note backups are also saved locally to /var/sf</t>
  </si>
  <si>
    <t>Backup Schedule</t>
  </si>
  <si>
    <t>System/Tools/Scheduling</t>
  </si>
  <si>
    <t>Job Name</t>
  </si>
  <si>
    <t>Config Schedule</t>
  </si>
  <si>
    <t>Job Name (full)</t>
  </si>
  <si>
    <t>Full Schedule</t>
  </si>
  <si>
    <t>Identities</t>
  </si>
  <si>
    <t>Name</t>
  </si>
  <si>
    <t>Group</t>
  </si>
  <si>
    <t>zzRadiusTest</t>
  </si>
  <si>
    <t>R4d1u5t35T</t>
  </si>
  <si>
    <t>Test User for RADIUS</t>
  </si>
  <si>
    <t>RadiusTestUsers</t>
  </si>
  <si>
    <t>Identity Source</t>
  </si>
  <si>
    <t>Details</t>
  </si>
  <si>
    <t>Internal Users</t>
  </si>
  <si>
    <t>Default internal user database</t>
  </si>
  <si>
    <t>Internal Endpoints</t>
  </si>
  <si>
    <t>Default internal endpoint database</t>
  </si>
  <si>
    <t>AD_Internal_Sequence</t>
  </si>
  <si>
    <t>THEN</t>
  </si>
  <si>
    <t>Authentication Policy</t>
  </si>
  <si>
    <t>Rule Name</t>
  </si>
  <si>
    <t>IF</t>
  </si>
  <si>
    <t>Condition</t>
  </si>
  <si>
    <t>OR</t>
  </si>
  <si>
    <t>AND</t>
  </si>
  <si>
    <t>Allowed Protocols</t>
  </si>
  <si>
    <t>Auth Fail</t>
  </si>
  <si>
    <t>Not Found</t>
  </si>
  <si>
    <t>Process Fail</t>
  </si>
  <si>
    <t>MAB</t>
  </si>
  <si>
    <t>Wired_MAB</t>
  </si>
  <si>
    <t>Wireless_MAB</t>
  </si>
  <si>
    <t>Default Network Access</t>
  </si>
  <si>
    <t>REJECT</t>
  </si>
  <si>
    <t>CONTINUE</t>
  </si>
  <si>
    <t>DROP</t>
  </si>
  <si>
    <t>DOT1X</t>
  </si>
  <si>
    <t>Wired_802.1X</t>
  </si>
  <si>
    <t>Wireless_802.1X</t>
  </si>
  <si>
    <t>Default Rule (If no match)</t>
  </si>
  <si>
    <t>Identity Groups</t>
  </si>
  <si>
    <t>Group Name</t>
  </si>
  <si>
    <t>ActivatedGuest</t>
  </si>
  <si>
    <t xml:space="preserve">Users can bypass the Guest portal and access the network by providing credentials to the native supplicant </t>
  </si>
  <si>
    <t>Employee</t>
  </si>
  <si>
    <t>Default Employee User Group</t>
  </si>
  <si>
    <t>Guest</t>
  </si>
  <si>
    <t>Users must first sign into the network using the Guest portal before accessing the network</t>
  </si>
  <si>
    <t>Blacklist</t>
  </si>
  <si>
    <t>Endpoint</t>
  </si>
  <si>
    <t>Blacklist Identity Group</t>
  </si>
  <si>
    <t>** Radius Test Accounts</t>
  </si>
  <si>
    <t>LEGACY32_DEVICES</t>
  </si>
  <si>
    <t>Legacy VLAN 32 devices</t>
  </si>
  <si>
    <t>WYSE_TERMINALS</t>
  </si>
  <si>
    <t>Standard WYSE default VLAN devices</t>
  </si>
  <si>
    <t>PRINTERS</t>
  </si>
  <si>
    <t>Print VLAN 7 devices</t>
  </si>
  <si>
    <t>Authorization Conditions</t>
  </si>
  <si>
    <t>Condition Name</t>
  </si>
  <si>
    <t>Criteria</t>
  </si>
  <si>
    <t>Guest_Flow</t>
  </si>
  <si>
    <t>Network Access:UseCase EQUALS Guest Flow</t>
  </si>
  <si>
    <t>Guest Web Redirection Active</t>
  </si>
  <si>
    <t>Default condition used to match an 802.1X based authentication requests from Cisco Catalyst Switches.</t>
  </si>
  <si>
    <t>Default condition used to match MAB Authentication Bypass service requests from Cisco Catalyst Switches.</t>
  </si>
  <si>
    <t>Default condition used to match an 802.1X based authentication request from Cisco Wireless LAN Controller.</t>
  </si>
  <si>
    <t>Wireless_Access</t>
  </si>
  <si>
    <t>Default condition used to match any authentication request from Cisco Wireless LAN Controller.</t>
  </si>
  <si>
    <t>Domain_Users</t>
  </si>
  <si>
    <t>AD:ExternalGroups equals AD/Groups/Domain Users</t>
  </si>
  <si>
    <t>Domain User Condition</t>
  </si>
  <si>
    <t>LEGACY32_DEVICE</t>
  </si>
  <si>
    <t>IdentityGroup:Name = LEGACY32_DEVICES</t>
  </si>
  <si>
    <t>Legacy VLAN 32 device</t>
  </si>
  <si>
    <t>WYSE_TERMINAL</t>
  </si>
  <si>
    <t>IdentityGroup:Name = WYSE_TERMINALS</t>
  </si>
  <si>
    <t>PRINTER</t>
  </si>
  <si>
    <t>IdentityGroup:Name = PRINTERS</t>
  </si>
  <si>
    <t>Authorization Profiles</t>
  </si>
  <si>
    <t>Profile Name</t>
  </si>
  <si>
    <t>Access Type</t>
  </si>
  <si>
    <t>DACL</t>
  </si>
  <si>
    <t>Web Redirect</t>
  </si>
  <si>
    <t>Redirect ACL</t>
  </si>
  <si>
    <t>PermitAccess</t>
  </si>
  <si>
    <t>ACCESS_ACCEPT</t>
  </si>
  <si>
    <t>DenyAccess</t>
  </si>
  <si>
    <t>ACCESS_REJECT</t>
  </si>
  <si>
    <t>Blackhole_Wireless_Access</t>
  </si>
  <si>
    <t>BLACKHOLE</t>
  </si>
  <si>
    <t>Redirect_Guests</t>
  </si>
  <si>
    <t>RESTRICTED-ACL</t>
  </si>
  <si>
    <t>CWA</t>
  </si>
  <si>
    <t>WEBAUTH-REDIRECT-ACL</t>
  </si>
  <si>
    <t>Permit_Guests</t>
  </si>
  <si>
    <t>GUEST-RESTRICTED-ACL</t>
  </si>
  <si>
    <t>PERMIT_VLAN32</t>
  </si>
  <si>
    <t>PERMIT_VLAN7</t>
  </si>
  <si>
    <t>Authorization Policy</t>
  </si>
  <si>
    <t>Identity Group</t>
  </si>
  <si>
    <t>&amp;/OR</t>
  </si>
  <si>
    <t>Profile</t>
  </si>
  <si>
    <t>WUSER</t>
  </si>
  <si>
    <t>Wireless Black List Default</t>
  </si>
  <si>
    <t>VOICE</t>
  </si>
  <si>
    <t>XXX Wired MAB</t>
  </si>
  <si>
    <t>XXX_Devices</t>
  </si>
  <si>
    <t>Permit_XXX</t>
  </si>
  <si>
    <t>GUEST</t>
  </si>
  <si>
    <t xml:space="preserve">XXX Wired Dot1X </t>
  </si>
  <si>
    <t>Domain Users</t>
  </si>
  <si>
    <t>WSTAFF</t>
  </si>
  <si>
    <t>XXX Wireless Dot1X</t>
  </si>
  <si>
    <t>Guests Wired WebAuth</t>
  </si>
  <si>
    <t>Guests Wired MAB Redirect</t>
  </si>
  <si>
    <t>Radius Tests</t>
  </si>
  <si>
    <t>Default</t>
  </si>
  <si>
    <t>no matches</t>
  </si>
  <si>
    <t>Downloadable ACLs</t>
  </si>
  <si>
    <t>ACL NAME</t>
  </si>
  <si>
    <t>Content</t>
  </si>
  <si>
    <t>PERMIT_ALL_TRAFFIC</t>
  </si>
  <si>
    <t>Allow all Traffic</t>
  </si>
  <si>
    <t>DENY_ALL_TRAFFIC</t>
  </si>
  <si>
    <t>Deny all Traffic</t>
  </si>
  <si>
    <t>** Restricted network access for DHCP / DNS and ISE services</t>
  </si>
  <si>
    <t>** Guest network access for DHCP / DNS / ISE / Printers / Internet</t>
  </si>
  <si>
    <t>Device</t>
  </si>
  <si>
    <t>Lookups</t>
  </si>
  <si>
    <t>Port Type List</t>
  </si>
  <si>
    <t>SFP/QSFP</t>
  </si>
  <si>
    <t>Supplier</t>
  </si>
  <si>
    <t>Part No</t>
  </si>
  <si>
    <t>100GB QSFP MPO</t>
  </si>
  <si>
    <t>Cisco 100GBASE PSM4 QSFP Transceiver, MPO, 500m over SMF</t>
  </si>
  <si>
    <t>100GB QSFP DAC</t>
  </si>
  <si>
    <t>QSFP-100G-CU5M</t>
  </si>
  <si>
    <t>Cisco 100GBASE-CR4 QSFP Passive Copper Cable, 5-meter</t>
  </si>
  <si>
    <t>QSFP-H40G-CU5M</t>
  </si>
  <si>
    <t xml:space="preserve">Cisco 40GBASE-CR4 QSFP+ Passive  Copper Cable, 5 meter </t>
  </si>
  <si>
    <t>SFP-10G-SR</t>
  </si>
  <si>
    <t xml:space="preserve">Cisco 10GBASE-SR SFP+ Module for MMF </t>
  </si>
  <si>
    <t xml:space="preserve">Cisco 10GBASE-CR4 SFP+ Passive  Copper Cable, 5 meter </t>
  </si>
  <si>
    <t xml:space="preserve">1 x 1000Base-SX SFP (mini-GBIC) </t>
  </si>
  <si>
    <t>1GB SFP CU</t>
  </si>
  <si>
    <t>GLC-T</t>
  </si>
  <si>
    <t xml:space="preserve">1 x 1000Base-T SFP (mini-GBIC) </t>
  </si>
  <si>
    <t xml:space="preserve">10/100/1000Base-T </t>
  </si>
  <si>
    <t>Stackwise Adapter</t>
  </si>
  <si>
    <t>Device Role</t>
  </si>
  <si>
    <t>Virtual Server</t>
  </si>
  <si>
    <t>Management</t>
  </si>
  <si>
    <t>Port State</t>
  </si>
  <si>
    <t>connect</t>
  </si>
  <si>
    <t>notconnect</t>
  </si>
  <si>
    <t>disabled</t>
  </si>
  <si>
    <t>reserved</t>
  </si>
  <si>
    <t>unavailable</t>
  </si>
  <si>
    <t>Speed Duplex</t>
  </si>
  <si>
    <t>Config Status</t>
  </si>
  <si>
    <t>LS Locations</t>
  </si>
  <si>
    <t>CAB01</t>
  </si>
  <si>
    <t>CAB02</t>
  </si>
  <si>
    <t>CAB03</t>
  </si>
  <si>
    <t>CAB04</t>
  </si>
  <si>
    <t>CAB05</t>
  </si>
  <si>
    <t>CAB06</t>
  </si>
  <si>
    <t>CAB07</t>
  </si>
  <si>
    <t>CAB08</t>
  </si>
  <si>
    <t>CAB10</t>
  </si>
  <si>
    <t>CAB12</t>
  </si>
  <si>
    <t>CAB13</t>
  </si>
  <si>
    <t>CAB14</t>
  </si>
  <si>
    <t>CAB15</t>
  </si>
  <si>
    <t>CAB18</t>
  </si>
  <si>
    <t>CAB19</t>
  </si>
  <si>
    <t>CAB20</t>
  </si>
  <si>
    <t>CAB21</t>
  </si>
  <si>
    <t>CAB22</t>
  </si>
  <si>
    <t>CAB23</t>
  </si>
  <si>
    <t>Port Speed</t>
  </si>
  <si>
    <t>100Gbps</t>
  </si>
  <si>
    <t>40Gbps</t>
  </si>
  <si>
    <t>10Gbps</t>
  </si>
  <si>
    <t>1Gbps</t>
  </si>
  <si>
    <t>Media Type</t>
  </si>
  <si>
    <t>Copper</t>
  </si>
  <si>
    <t>MPO SMF</t>
  </si>
  <si>
    <t>MMF</t>
  </si>
  <si>
    <t>SMF</t>
  </si>
  <si>
    <t>connected</t>
  </si>
  <si>
    <t>PwrDown</t>
  </si>
  <si>
    <t>Interface State</t>
  </si>
  <si>
    <t>Network Type</t>
  </si>
  <si>
    <t>VLAN Blocks</t>
  </si>
  <si>
    <t>Column1</t>
  </si>
  <si>
    <t>#2</t>
  </si>
  <si>
    <t>#3</t>
  </si>
  <si>
    <t>#4</t>
  </si>
  <si>
    <t>#5</t>
  </si>
  <si>
    <t>#6</t>
  </si>
  <si>
    <t>Uplinks</t>
  </si>
  <si>
    <t>Interface</t>
  </si>
  <si>
    <t>Row</t>
  </si>
  <si>
    <t>100Gb</t>
  </si>
  <si>
    <t>Stack</t>
  </si>
  <si>
    <t>Use 1-10 for single ports and pairs above</t>
  </si>
  <si>
    <t>Model Table</t>
  </si>
  <si>
    <t>License</t>
  </si>
  <si>
    <t>PoE Count</t>
  </si>
  <si>
    <t>Uplink Type</t>
  </si>
  <si>
    <t>Uplink Module</t>
  </si>
  <si>
    <t>Uplink Port</t>
  </si>
  <si>
    <t>Input voltage</t>
  </si>
  <si>
    <t>Operating temp</t>
  </si>
  <si>
    <t>Relative humidity</t>
  </si>
  <si>
    <t>MTBF (Hrs)</t>
  </si>
  <si>
    <t>Max Power</t>
  </si>
  <si>
    <t>Base PoE</t>
  </si>
  <si>
    <t>Cisco</t>
  </si>
  <si>
    <t>32x 40G or 16x100G switch</t>
  </si>
  <si>
    <t>NW Adv. License</t>
  </si>
  <si>
    <t>fo</t>
  </si>
  <si>
    <t>hu</t>
  </si>
  <si>
    <t>90 to 264 VAC</t>
  </si>
  <si>
    <t>5% to 90%</t>
  </si>
  <si>
    <t>48-port 25G switch</t>
  </si>
  <si>
    <t>twe</t>
  </si>
  <si>
    <t>24-port 25G switch</t>
  </si>
  <si>
    <t>48-port data only</t>
  </si>
  <si>
    <t>gi</t>
  </si>
  <si>
    <t>te</t>
  </si>
  <si>
    <t>100 to 240 VAC</t>
  </si>
  <si>
    <t>24-port data only</t>
  </si>
  <si>
    <t>48-port PoE+</t>
  </si>
  <si>
    <t>Essen. License</t>
  </si>
  <si>
    <t>24-port PoE+</t>
  </si>
  <si>
    <t>DNA Center (Cisco UCS C220 M5)</t>
  </si>
  <si>
    <t>1.7 x16.89 x29.8 in</t>
  </si>
  <si>
    <t>37.5 lb (17.0 kg)</t>
  </si>
  <si>
    <t>Cisco ISE Virtual Machine Medium</t>
  </si>
  <si>
    <t>Medium</t>
  </si>
  <si>
    <t>VLAN List</t>
  </si>
  <si>
    <t>FGHFW11/e3</t>
  </si>
  <si>
    <t>FGHFW21/e3</t>
  </si>
  <si>
    <t>FGHFW21/e6</t>
  </si>
  <si>
    <t>FGHFW31/e3</t>
  </si>
  <si>
    <t>FGHFW11/e5</t>
  </si>
  <si>
    <t>FGHFW21/e5</t>
  </si>
  <si>
    <t>FGHFW11/e4</t>
  </si>
  <si>
    <t>FGHFW21/e4</t>
  </si>
  <si>
    <t>FGHFW11/e7</t>
  </si>
  <si>
    <t>FGHFW21/e7</t>
  </si>
  <si>
    <t>FWHFW31/e4</t>
  </si>
  <si>
    <t>FGHFW11/e2</t>
  </si>
  <si>
    <t>FGHFW21/e2</t>
  </si>
  <si>
    <t>FGHFW31/e2</t>
  </si>
  <si>
    <t>FGHFW31/e1</t>
  </si>
  <si>
    <t>Z114 M/F OSA</t>
  </si>
  <si>
    <t>z14 PCHID(118) M/F</t>
  </si>
  <si>
    <t>FGH-C7K02-M1/X3</t>
  </si>
  <si>
    <t>FGH-C7K02-M1/X4</t>
  </si>
  <si>
    <t>FGH-C7K02-M1/X5</t>
  </si>
  <si>
    <t>FGH-C7K02-M1/X6</t>
  </si>
  <si>
    <t>Mainframe OSA</t>
  </si>
  <si>
    <t>FGH-C7K01-M2/X3</t>
  </si>
  <si>
    <t>FGH-C7K01-M2/X4</t>
  </si>
  <si>
    <t>FGH-C7K01-M2/X5</t>
  </si>
  <si>
    <t>FGH-C7K01-M2/X6</t>
  </si>
  <si>
    <t>FGHFW12/e3</t>
  </si>
  <si>
    <t>FGHFW22/e3</t>
  </si>
  <si>
    <t>FGHFW22/e6</t>
  </si>
  <si>
    <t>FGHFW32/e3</t>
  </si>
  <si>
    <t>FGHFW12/e5</t>
  </si>
  <si>
    <t>FGHFW22/e5</t>
  </si>
  <si>
    <t>FGHFW12/e4</t>
  </si>
  <si>
    <t>FGHFW22/e4</t>
  </si>
  <si>
    <t>FGHFW12/e7</t>
  </si>
  <si>
    <t>FGHFW22/e7</t>
  </si>
  <si>
    <t>FWHFW32/e4</t>
  </si>
  <si>
    <t>FGHFW12/e2</t>
  </si>
  <si>
    <t>FGHFW22/e2</t>
  </si>
  <si>
    <t>FGHFW32/e2</t>
  </si>
  <si>
    <t>FGHFW32/e1</t>
  </si>
  <si>
    <t>FGH-C7K01-M1/X3</t>
  </si>
  <si>
    <t>FGH-C7K01-M1/X4</t>
  </si>
  <si>
    <t>FGH-C7K01-M1/X5</t>
  </si>
  <si>
    <t>FGH-C7K01-M1/X6</t>
  </si>
  <si>
    <t>FGH-C7K02-M2/X3</t>
  </si>
  <si>
    <t>FGH-C7K02-M2/X4</t>
  </si>
  <si>
    <t>FGH-C7K02-M2/X5</t>
  </si>
  <si>
    <t>FGH-C7K02-M2/X6</t>
  </si>
  <si>
    <t>3176</t>
  </si>
  <si>
    <t>3177</t>
  </si>
  <si>
    <t>3178</t>
  </si>
  <si>
    <t>ROUTED</t>
  </si>
  <si>
    <t>LH-VL P2P Link</t>
  </si>
  <si>
    <t>100/FULL</t>
  </si>
  <si>
    <t>FGHFW31/13 (IPS)</t>
  </si>
  <si>
    <t>VL00A02/G03 - TEMP Uplink</t>
  </si>
  <si>
    <t>FGH_MACMini01 - 10.227.128.41</t>
  </si>
  <si>
    <t>Primary FW - 10.227.128.12</t>
  </si>
  <si>
    <t>Secondary FW - 10.227.128.13</t>
  </si>
  <si>
    <t>FGH-MPLSFW/12</t>
  </si>
  <si>
    <t>1ooMB COPPER</t>
  </si>
  <si>
    <t>VMB MPLS RTR/11 (STANDBY)</t>
  </si>
  <si>
    <t>FGH-MPLSFW/13</t>
  </si>
  <si>
    <t>VMB MPLS RTR (PRIMARY)</t>
  </si>
  <si>
    <t>37</t>
  </si>
  <si>
    <t>38</t>
  </si>
  <si>
    <t>VMB Router (MPLS BACKUP)</t>
  </si>
  <si>
    <t>FGH-MPLSFW (FGH WAN)</t>
  </si>
  <si>
    <t>WEBHELP (FW-FAILOVER LINK)</t>
  </si>
  <si>
    <t>VMB Router (MPLS)</t>
  </si>
  <si>
    <t>ITALIK INTERNAL USE ONLY</t>
  </si>
  <si>
    <t>10.224.200.31</t>
  </si>
  <si>
    <t>Z114MFTL</t>
  </si>
  <si>
    <t>01</t>
  </si>
  <si>
    <t>TAPE LIBRARY</t>
  </si>
  <si>
    <t>gi1/0/5</t>
  </si>
  <si>
    <t>50</t>
  </si>
  <si>
    <t>10.224.20.50</t>
  </si>
  <si>
    <t>02</t>
  </si>
  <si>
    <t>gi1/0/6</t>
  </si>
  <si>
    <t>10.224.20.52</t>
  </si>
  <si>
    <t>03</t>
  </si>
  <si>
    <t>gi2/0/5</t>
  </si>
  <si>
    <t>10.224.20.53</t>
  </si>
  <si>
    <t>IBM</t>
  </si>
  <si>
    <t>Device SVI Builder</t>
  </si>
  <si>
    <t>VDI SVI BUILDER</t>
  </si>
  <si>
    <t>DEVICE</t>
  </si>
  <si>
    <t>Connections Port Row</t>
  </si>
  <si>
    <t>Network Port Row</t>
  </si>
  <si>
    <t>Helpers Required</t>
  </si>
  <si>
    <t>NO</t>
  </si>
  <si>
    <t>Legacy GW</t>
  </si>
  <si>
    <t>172.16.32.80</t>
  </si>
  <si>
    <t>!</t>
  </si>
  <si>
    <t>vlan</t>
  </si>
  <si>
    <t>name</t>
  </si>
  <si>
    <t>interface</t>
  </si>
  <si>
    <t>shutdown</t>
  </si>
  <si>
    <t>description</t>
  </si>
  <si>
    <t>ip</t>
  </si>
  <si>
    <t>address</t>
  </si>
  <si>
    <t>helper-address</t>
  </si>
  <si>
    <t>10.224.100.103</t>
  </si>
  <si>
    <t>LEGACY CORE CHANGES - CR1 AND CR1</t>
  </si>
  <si>
    <t>route</t>
  </si>
  <si>
    <t>Device Port Builder</t>
  </si>
  <si>
    <t>PORT BUILDER</t>
  </si>
  <si>
    <t>&lt;--- SELECT</t>
  </si>
  <si>
    <t>Port Row</t>
  </si>
  <si>
    <t>Partner Port</t>
  </si>
  <si>
    <t>Partner Device</t>
  </si>
  <si>
    <t>Partner Description</t>
  </si>
  <si>
    <t>Additional Description</t>
  </si>
  <si>
    <t>Src Port</t>
  </si>
  <si>
    <t>Dst Device</t>
  </si>
  <si>
    <t>default</t>
  </si>
  <si>
    <t>speed</t>
  </si>
  <si>
    <t>duplex</t>
  </si>
  <si>
    <t>full</t>
  </si>
  <si>
    <t>switchport</t>
  </si>
  <si>
    <t>mode</t>
  </si>
  <si>
    <t>allowed</t>
  </si>
  <si>
    <t>nonegotiate</t>
  </si>
  <si>
    <t>spanning-tree</t>
  </si>
  <si>
    <t>portfast</t>
  </si>
  <si>
    <t>bpduguard</t>
  </si>
  <si>
    <t>no cdp</t>
  </si>
  <si>
    <t>enable</t>
  </si>
  <si>
    <t>qos</t>
  </si>
  <si>
    <t>trust</t>
  </si>
  <si>
    <t>dscp</t>
  </si>
  <si>
    <t>no shutdown</t>
  </si>
  <si>
    <t>exit</t>
  </si>
  <si>
    <t>Eth Channel</t>
  </si>
  <si>
    <t>no interface</t>
  </si>
  <si>
    <t>port-channel</t>
  </si>
  <si>
    <t>channel-group</t>
  </si>
  <si>
    <t>active</t>
  </si>
  <si>
    <t>10.224.200.11</t>
  </si>
  <si>
    <t>10.224.200.12</t>
  </si>
  <si>
    <t>10.224.200.13</t>
  </si>
  <si>
    <t>10.224.200.14</t>
  </si>
  <si>
    <t>10.224.200.15</t>
  </si>
  <si>
    <t>10.224.200.16</t>
  </si>
  <si>
    <t>10.224.200.17</t>
  </si>
  <si>
    <t>How To Add a Device</t>
  </si>
  <si>
    <t>ID</t>
  </si>
  <si>
    <t>Address</t>
  </si>
  <si>
    <t>PostCode</t>
  </si>
  <si>
    <t>DNA Location Settings</t>
  </si>
  <si>
    <t>Telephone</t>
  </si>
  <si>
    <t>Contact</t>
  </si>
  <si>
    <t>Email Address</t>
  </si>
  <si>
    <t>Listerhills Warehouse, Thornton Road, Manningham, Bradford. W Yorks</t>
  </si>
  <si>
    <t>BD8 8LG</t>
  </si>
  <si>
    <t>53.7977652,-1.7775233</t>
  </si>
  <si>
    <t>07807 722259</t>
  </si>
  <si>
    <t>Steven Ricks</t>
  </si>
  <si>
    <t>Steven.Ricks@fgh-uk.com</t>
  </si>
  <si>
    <t>66-70 Vicar Lane, Bradford. W Yorks</t>
  </si>
  <si>
    <t>BD1 5AG</t>
  </si>
  <si>
    <t>53.7948489,-1.7480935</t>
  </si>
  <si>
    <t>01274 843402</t>
  </si>
  <si>
    <t>Ian Maxwell</t>
  </si>
  <si>
    <t>Ian.Maxwell@fgh-uk.com</t>
  </si>
  <si>
    <t xml:space="preserve"> Amberley Street, Sheffield. South Yorkshire</t>
  </si>
  <si>
    <t>S9 2FS</t>
  </si>
  <si>
    <t>01274 575 511</t>
  </si>
  <si>
    <t>Werner-Otto-Straße 1-7
22179 Hamburg. Germany</t>
  </si>
  <si>
    <t>+49 40 6461 8630</t>
  </si>
  <si>
    <t xml:space="preserve">IBM United Kingdom Limited
Greenford Green Business Park, Green Park Way, Greenford. Middlesex
</t>
  </si>
  <si>
    <t>UB6 0AD</t>
  </si>
  <si>
    <t>020 8832 5095</t>
  </si>
  <si>
    <t>DR</t>
  </si>
  <si>
    <t>Version 1.1</t>
  </si>
  <si>
    <t>FGHView15</t>
  </si>
  <si>
    <t>10.224.200.39</t>
  </si>
  <si>
    <t>gi1/0/18</t>
  </si>
  <si>
    <t>gi2/0/18</t>
  </si>
  <si>
    <t>gi1/0/28</t>
  </si>
  <si>
    <t>gi2/0/28</t>
  </si>
  <si>
    <t>FGHView15/DATA (VDI)</t>
  </si>
  <si>
    <t>PRTG</t>
  </si>
  <si>
    <t>Data</t>
  </si>
  <si>
    <t>FGHLHN42-1 twe1/0/1</t>
  </si>
  <si>
    <t>172.16.33.159</t>
  </si>
  <si>
    <t>Ecommac3</t>
  </si>
  <si>
    <t>FGHLHN143</t>
  </si>
  <si>
    <t>FGHLHN144</t>
  </si>
  <si>
    <t>10.224.21.143</t>
  </si>
  <si>
    <t>10.224.21.144</t>
  </si>
  <si>
    <t>twe1/0/47</t>
  </si>
  <si>
    <t>twe2/0/47</t>
  </si>
  <si>
    <t>CitiFibre Broadband</t>
  </si>
  <si>
    <t>Broadband</t>
  </si>
  <si>
    <t>Citifibre</t>
  </si>
  <si>
    <t>192.168.1.1</t>
  </si>
  <si>
    <t>192.168.1.0</t>
  </si>
  <si>
    <t>CitiFibre broadband</t>
  </si>
  <si>
    <t>gi1/0/39</t>
  </si>
  <si>
    <t>FGHLHN141-1 gi1/0/39</t>
  </si>
  <si>
    <t>Voice Gateway 02</t>
  </si>
  <si>
    <t>Voice Gateway 01</t>
  </si>
  <si>
    <t>Phone system gateway</t>
  </si>
  <si>
    <t>gi1/0/40</t>
  </si>
  <si>
    <t>gi2/0/39</t>
  </si>
  <si>
    <t>FGHLHN141-2 gi2/0/39</t>
  </si>
  <si>
    <t>Phone system Management</t>
  </si>
  <si>
    <t>Cisco UC220-01 mgmt</t>
  </si>
  <si>
    <t>Cisco UC220-01 data</t>
  </si>
  <si>
    <t>Phone system data</t>
  </si>
  <si>
    <t>FGHLHN141-1 gi1/0/40</t>
  </si>
  <si>
    <t>gi2/0/40</t>
  </si>
  <si>
    <t>FGHLHN141-2 gi2/0/40</t>
  </si>
  <si>
    <t>gi1/0/41</t>
  </si>
  <si>
    <t>FGHLHN141-1 gi1/0/41</t>
  </si>
  <si>
    <t>gi2/0/41</t>
  </si>
  <si>
    <t>gi1/0/42</t>
  </si>
  <si>
    <t>gi2/0/42</t>
  </si>
  <si>
    <t>FGHLHN141-2 gi2/0/41</t>
  </si>
  <si>
    <t>FGHLHN141-1 gi1/0/42</t>
  </si>
  <si>
    <t>FGHLHN141-2 gi2/0/42</t>
  </si>
  <si>
    <t>data</t>
  </si>
  <si>
    <t>Data2</t>
  </si>
  <si>
    <t>Data3</t>
  </si>
  <si>
    <t>Data4</t>
  </si>
  <si>
    <t>Cisco UCESXI02 mgmt</t>
  </si>
  <si>
    <t>Cisco UCESXI02 data</t>
  </si>
  <si>
    <t>data2</t>
  </si>
  <si>
    <t>data3</t>
  </si>
  <si>
    <t>data4</t>
  </si>
  <si>
    <t>FGHLHN142-1 gi1/0/39</t>
  </si>
  <si>
    <t>FGHLHN142-2 gi2/0/39</t>
  </si>
  <si>
    <t>FGHLHN142-1 gi1/0/40</t>
  </si>
  <si>
    <t>FGHLHN142-2 gi2/0/40</t>
  </si>
  <si>
    <t>FGHLHN142-1 gi1/0/41</t>
  </si>
  <si>
    <t>FGHLHN142-2 gi2/0/41</t>
  </si>
  <si>
    <t>Cisco UCESXI02 data/data4 (Physical Server)</t>
  </si>
  <si>
    <t>Cisco UC220-01 CIMC</t>
  </si>
  <si>
    <t>Phone system CIMC</t>
  </si>
  <si>
    <t>gi1/0/43</t>
  </si>
  <si>
    <t>FGHLHN141-1 gi1/0/43</t>
  </si>
  <si>
    <t>FGH268</t>
  </si>
  <si>
    <t>Returns Sorter Connection 1</t>
  </si>
  <si>
    <t>Returns Sorter Connection 2</t>
  </si>
  <si>
    <t>FGH268 Connection 1</t>
  </si>
  <si>
    <t>FGH268 Connection 2</t>
  </si>
  <si>
    <t>Connection 1</t>
  </si>
  <si>
    <t>gi1/0/1</t>
  </si>
  <si>
    <t>FGHLHN143 gi1/0/1</t>
  </si>
  <si>
    <t>Connection 2</t>
  </si>
  <si>
    <t>FGHLHN143 gi1/0/2</t>
  </si>
  <si>
    <t>OSA</t>
  </si>
  <si>
    <t>FGHLHN143 gi1/0/3</t>
  </si>
  <si>
    <t>FGHLHN143 gi1/0/4</t>
  </si>
  <si>
    <t>Hermes Hub</t>
  </si>
  <si>
    <t>FGHLHN143 gi1/0/5</t>
  </si>
  <si>
    <t>Panh3435</t>
  </si>
  <si>
    <t>FGHLHN143 gi1/0/6</t>
  </si>
  <si>
    <t>FGH-SAS MDL02</t>
  </si>
  <si>
    <t>gi1/0/7</t>
  </si>
  <si>
    <t>FGHLHN143 gi1/0/7</t>
  </si>
  <si>
    <t>Ecom Testing Port</t>
  </si>
  <si>
    <t>gi1/0/8</t>
  </si>
  <si>
    <t>FGHLHN143 gi1/0/8</t>
  </si>
  <si>
    <t>StorageTek</t>
  </si>
  <si>
    <t>LMU</t>
  </si>
  <si>
    <t>gi1/0/9</t>
  </si>
  <si>
    <t>FGHLHN143 gi1/0/9</t>
  </si>
  <si>
    <t>FGHLHN141-1 gi1/0/7</t>
  </si>
  <si>
    <t>data 1</t>
  </si>
  <si>
    <t>FGHLHN141-1 gi1/0/8</t>
  </si>
  <si>
    <t>data 2</t>
  </si>
  <si>
    <t>gi2/0/8</t>
  </si>
  <si>
    <t>FGHLHN141-2 gi2/0/8</t>
  </si>
  <si>
    <t>Del 3000i DC1</t>
  </si>
  <si>
    <t>Data 1</t>
  </si>
  <si>
    <t>Data 2</t>
  </si>
  <si>
    <t>FGHLHN141-1 gi1/0/9</t>
  </si>
  <si>
    <t>172.16.34.9</t>
  </si>
  <si>
    <t>PC</t>
  </si>
  <si>
    <t>Tire3nfs01</t>
  </si>
  <si>
    <t>gi2/0/7</t>
  </si>
  <si>
    <t>FGHLHN141-2 gi2/0/7</t>
  </si>
  <si>
    <t>FGHLHN21 gi1/1/1</t>
  </si>
  <si>
    <t>FGHLHN21 gi1/1/2</t>
  </si>
  <si>
    <t>FGHLHN27 g1/1/1</t>
  </si>
  <si>
    <t>Connect</t>
  </si>
  <si>
    <t>FGHLHN27 gi1/1/2</t>
  </si>
  <si>
    <t>SAS01</t>
  </si>
  <si>
    <t>SAS02</t>
  </si>
  <si>
    <t>SAS03</t>
  </si>
  <si>
    <t>SAS04</t>
  </si>
  <si>
    <t>SAS05</t>
  </si>
  <si>
    <t>SAS06</t>
  </si>
  <si>
    <t>SAS07</t>
  </si>
  <si>
    <t>SAS09</t>
  </si>
  <si>
    <t>SAS10</t>
  </si>
  <si>
    <t>SAS11</t>
  </si>
  <si>
    <t>SAS12</t>
  </si>
  <si>
    <t>CAB E</t>
  </si>
  <si>
    <t>Lefthand</t>
  </si>
  <si>
    <t>10.224.20.141</t>
  </si>
  <si>
    <t>10.224.20.142</t>
  </si>
  <si>
    <t>10.224.20.143</t>
  </si>
  <si>
    <t>10.224.20.144</t>
  </si>
  <si>
    <t>10.224.20.145</t>
  </si>
  <si>
    <t>10.224.20.146</t>
  </si>
  <si>
    <t>10.224.20.147</t>
  </si>
  <si>
    <t>10.224.20.149</t>
  </si>
  <si>
    <t>10.224.20.150</t>
  </si>
  <si>
    <t>10.224.20.151</t>
  </si>
  <si>
    <t>10.224.20.152</t>
  </si>
  <si>
    <t xml:space="preserve">SAS01 </t>
  </si>
  <si>
    <t>Mgmt</t>
  </si>
  <si>
    <t>10.224.30.41</t>
  </si>
  <si>
    <t>gi1/0/10</t>
  </si>
  <si>
    <t>gi1/0/45</t>
  </si>
  <si>
    <t>gi1/0/46</t>
  </si>
  <si>
    <t>gi1/0/47</t>
  </si>
  <si>
    <t>RSCLA001</t>
  </si>
  <si>
    <t>172.16.32.61</t>
  </si>
  <si>
    <t>Alpha 2</t>
  </si>
  <si>
    <t>172.16.12.17</t>
  </si>
  <si>
    <t>FGHFWAdmin</t>
  </si>
  <si>
    <t>172.16.32.17</t>
  </si>
  <si>
    <t>half 10</t>
  </si>
  <si>
    <t>gi1/0/20</t>
  </si>
  <si>
    <t>half 100</t>
  </si>
  <si>
    <t>FGH_Macmini02</t>
  </si>
  <si>
    <t>Apple</t>
  </si>
  <si>
    <t>172.16.132.42</t>
  </si>
  <si>
    <t>FGH_Mac_Tape_Library</t>
  </si>
  <si>
    <t>Cardswipe Comms room door</t>
  </si>
  <si>
    <t>Alpha1</t>
  </si>
  <si>
    <t>Alpha</t>
  </si>
  <si>
    <t>172.16.8.35</t>
  </si>
  <si>
    <t>Hydra</t>
  </si>
  <si>
    <t>DC1 OBA</t>
  </si>
  <si>
    <t>DC2 OBA</t>
  </si>
  <si>
    <t>Colin Craven PC</t>
  </si>
  <si>
    <t>Dec</t>
  </si>
  <si>
    <t>FGHFW12</t>
  </si>
  <si>
    <t>Firewall</t>
  </si>
  <si>
    <t>FGHFW22</t>
  </si>
  <si>
    <t>Pres Server</t>
  </si>
  <si>
    <t>FGH259</t>
  </si>
  <si>
    <t>Server</t>
  </si>
  <si>
    <t>FGHFW11</t>
  </si>
  <si>
    <t>FGHFW21</t>
  </si>
  <si>
    <t>Dec Chassis</t>
  </si>
  <si>
    <t>Alpha2</t>
  </si>
  <si>
    <t>gi2/0/48</t>
  </si>
  <si>
    <t>gi1/0/48</t>
  </si>
  <si>
    <t>gi2/0/47</t>
  </si>
  <si>
    <t xml:space="preserve">half </t>
  </si>
  <si>
    <t>gi2/0/1</t>
  </si>
  <si>
    <t>FGH_Tape_Library</t>
  </si>
  <si>
    <t>cardswipe Comms room door</t>
  </si>
  <si>
    <t>gi2/0/43</t>
  </si>
  <si>
    <t>gi2/0/44</t>
  </si>
  <si>
    <t>gi2/0/10</t>
  </si>
  <si>
    <t>half</t>
  </si>
  <si>
    <t>IPS Secondary</t>
  </si>
  <si>
    <t>gi1/0/19</t>
  </si>
  <si>
    <t>gi2/0/19</t>
  </si>
  <si>
    <t>data1</t>
  </si>
  <si>
    <t>fgh259</t>
  </si>
  <si>
    <t>gi2/0/20</t>
  </si>
  <si>
    <t>FGH-Vsphere22</t>
  </si>
  <si>
    <t>10.224.20.32</t>
  </si>
  <si>
    <t>MDL02</t>
  </si>
  <si>
    <t>MDL</t>
  </si>
  <si>
    <t>QNAP Tier 3-1</t>
  </si>
  <si>
    <t>MD3000i</t>
  </si>
  <si>
    <t>MDL01</t>
  </si>
  <si>
    <t>QNAP Tier3-1</t>
  </si>
  <si>
    <t>Security Camera Out</t>
  </si>
  <si>
    <t>Security camera In</t>
  </si>
  <si>
    <t>CR2 Phone</t>
  </si>
  <si>
    <t>Camera</t>
  </si>
  <si>
    <t>Phone</t>
  </si>
  <si>
    <t>Camera 1</t>
  </si>
  <si>
    <t>Camera 2</t>
  </si>
  <si>
    <t>Portspan</t>
  </si>
  <si>
    <t>IPS Monitoring</t>
  </si>
  <si>
    <t>Monitoring</t>
  </si>
  <si>
    <t>Cr2</t>
  </si>
  <si>
    <t>Cab F</t>
  </si>
  <si>
    <t>SourceFire</t>
  </si>
  <si>
    <t>FGHLHn142-2</t>
  </si>
  <si>
    <t xml:space="preserve">Cab I </t>
  </si>
  <si>
    <t>Cr1</t>
  </si>
  <si>
    <t>gi2/0/46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</si>
</sst>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"/>
    <numFmt numFmtId="165" formatCode="#,000"/>
  </numFmts>
  <fonts count="41">
    <font>
      <sz val="8"/>
      <color rgb="FF4D4D4D"/>
      <name val="Georgia"/>
      <family val="1"/>
    </font>
    <font>
      <sz val="8"/>
      <color rgb="FF4D4D4D"/>
      <name val="Georgia"/>
      <family val="1"/>
    </font>
    <font>
      <sz val="8"/>
      <name val="Courier New"/>
      <family val="3"/>
    </font>
    <font>
      <b/>
      <sz val="8"/>
      <color rgb="FF4D4D4D"/>
      <name val="Georgia"/>
      <family val="1"/>
    </font>
    <font>
      <sz val="8"/>
      <color rgb="FFD2DCFF"/>
      <name val="Calibri"/>
      <family val="2"/>
      <scheme val="minor"/>
    </font>
    <font>
      <b/>
      <sz val="16"/>
      <color theme="0"/>
      <name val="Optima"/>
    </font>
    <font>
      <b/>
      <sz val="12"/>
      <color indexed="9"/>
      <name val="Optima"/>
    </font>
    <font>
      <b/>
      <sz val="12"/>
      <color theme="3"/>
      <name val="Optima"/>
    </font>
    <font>
      <sz val="10"/>
      <color theme="0"/>
      <name val="Optima"/>
    </font>
    <font>
      <sz val="8"/>
      <color theme="0"/>
      <name val="Calibri"/>
      <family val="2"/>
    </font>
    <font>
      <i/>
      <sz val="12"/>
      <color rgb="FF80CAD9"/>
      <name val="Optima"/>
    </font>
    <font>
      <b/>
      <i/>
      <sz val="18"/>
      <color rgb="FF990000"/>
      <name val="Optima"/>
    </font>
    <font>
      <b/>
      <sz val="14"/>
      <color rgb="FF20265B"/>
      <name val="Optima"/>
    </font>
    <font>
      <sz val="10"/>
      <color rgb="FF20265B"/>
      <name val="Optima"/>
    </font>
    <font>
      <sz val="10"/>
      <name val="Gill Sans MT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9"/>
      <color rgb="FFFFFF00"/>
      <name val="Calibri"/>
      <family val="2"/>
    </font>
    <font>
      <b/>
      <sz val="10"/>
      <name val="Arial"/>
      <family val="2"/>
    </font>
    <font>
      <b/>
      <sz val="8"/>
      <color rgb="FFFF0000"/>
      <name val="Georgia"/>
      <family val="1"/>
    </font>
    <font>
      <sz val="8"/>
      <name val="Georgia"/>
      <family val="1"/>
    </font>
    <font>
      <b/>
      <sz val="10"/>
      <color indexed="9"/>
      <name val="Optima"/>
    </font>
    <font>
      <sz val="8"/>
      <color theme="1"/>
      <name val="Georgia"/>
      <family val="1"/>
    </font>
    <font>
      <b/>
      <i/>
      <sz val="8"/>
      <color rgb="FF4D4D4D"/>
      <name val="Georgia"/>
      <family val="1"/>
    </font>
    <font>
      <u/>
      <sz val="8"/>
      <color theme="10"/>
      <name val="Georgia"/>
      <family val="1"/>
    </font>
    <font>
      <i/>
      <sz val="8"/>
      <color rgb="FF4D4D4D"/>
      <name val="Georgia"/>
      <family val="1"/>
    </font>
    <font>
      <b/>
      <i/>
      <sz val="16"/>
      <color theme="5" tint="0.39997558519241921"/>
      <name val="Optima"/>
    </font>
    <font>
      <sz val="8"/>
      <color rgb="FF808080"/>
      <name val="Calibri"/>
      <family val="2"/>
      <scheme val="minor"/>
    </font>
    <font>
      <i/>
      <sz val="10"/>
      <color theme="0"/>
      <name val="Optima"/>
    </font>
    <font>
      <i/>
      <sz val="10"/>
      <color rgb="FFFFFF00"/>
      <name val="Optima"/>
    </font>
    <font>
      <sz val="6"/>
      <color theme="0" tint="-0.249977111117893"/>
      <name val="Georgia"/>
      <family val="1"/>
    </font>
    <font>
      <sz val="6"/>
      <color theme="0" tint="-0.14999847407452621"/>
      <name val="Georgia"/>
      <family val="1"/>
    </font>
    <font>
      <b/>
      <sz val="20"/>
      <color theme="3"/>
      <name val="Optima"/>
    </font>
    <font>
      <b/>
      <sz val="8"/>
      <color theme="1"/>
      <name val="Georgia"/>
      <family val="1"/>
    </font>
    <font>
      <b/>
      <sz val="10"/>
      <color theme="0"/>
      <name val="Optima"/>
    </font>
    <font>
      <b/>
      <sz val="8"/>
      <color theme="0"/>
      <name val="Georgia"/>
      <family val="1"/>
    </font>
    <font>
      <sz val="12"/>
      <color rgb="FF4D4D4D"/>
      <name val="Georgia"/>
      <family val="1"/>
    </font>
    <font>
      <b/>
      <sz val="10"/>
      <color rgb="FF4D4D4D"/>
      <name val="Georgia"/>
      <family val="1"/>
    </font>
    <font>
      <sz val="8"/>
      <color rgb="FF4D4D4D"/>
      <name val="Courier New"/>
      <family val="3"/>
    </font>
    <font>
      <b/>
      <sz val="11"/>
      <color rgb="FF4D4D4D"/>
      <name val="Georgia"/>
      <family val="1"/>
    </font>
    <font>
      <sz val="8"/>
      <color rgb="FF000000"/>
      <name val="Georgia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EBF5E1"/>
        <bgColor indexed="64"/>
      </patternFill>
    </fill>
    <fill>
      <patternFill patternType="solid">
        <fgColor rgb="FFEDCAC9"/>
        <bgColor indexed="64"/>
      </patternFill>
    </fill>
    <fill>
      <patternFill patternType="solid">
        <fgColor rgb="FFD2DCFF"/>
        <bgColor indexed="64"/>
      </patternFill>
    </fill>
    <fill>
      <patternFill patternType="solid">
        <fgColor rgb="FFFFFEE1"/>
        <bgColor indexed="64"/>
      </patternFill>
    </fill>
    <fill>
      <patternFill patternType="solid">
        <fgColor rgb="FF0094B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 style="thin">
        <color rgb="FF4D4D4D"/>
      </left>
      <right style="thin">
        <color rgb="FF4D4D4D"/>
      </right>
      <top style="thin">
        <color rgb="FF4D4D4D"/>
      </top>
      <bottom style="thin">
        <color rgb="FF4D4D4D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4D4D4D"/>
      </left>
      <right style="thin">
        <color rgb="FF4D4D4D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4D4D4D"/>
      </left>
      <right/>
      <top style="thin">
        <color rgb="FF4D4D4D"/>
      </top>
      <bottom style="thin">
        <color rgb="FF4D4D4D"/>
      </bottom>
      <diagonal/>
    </border>
    <border>
      <left style="thin">
        <color rgb="FF4D4D4D"/>
      </left>
      <right style="thin">
        <color rgb="FF4D4D4D"/>
      </right>
      <top/>
      <bottom style="thin">
        <color rgb="FF4D4D4D"/>
      </bottom>
      <diagonal/>
    </border>
    <border>
      <left style="thin">
        <color rgb="FF4D4D4D"/>
      </left>
      <right style="thin">
        <color rgb="FF4D4D4D"/>
      </right>
      <top style="thin">
        <color rgb="FF4D4D4D"/>
      </top>
      <bottom/>
      <diagonal/>
    </border>
    <border>
      <left/>
      <right/>
      <top style="thin">
        <color rgb="FF4D4D4D"/>
      </top>
      <bottom style="thin">
        <color rgb="FF4D4D4D"/>
      </bottom>
      <diagonal/>
    </border>
    <border>
      <left/>
      <right style="thin">
        <color rgb="FF4D4D4D"/>
      </right>
      <top style="thin">
        <color rgb="FF4D4D4D"/>
      </top>
      <bottom style="thin">
        <color rgb="FF4D4D4D"/>
      </bottom>
      <diagonal/>
    </border>
    <border>
      <left style="thin">
        <color rgb="FF4D4D4D"/>
      </left>
      <right/>
      <top/>
      <bottom style="thin">
        <color rgb="FF4D4D4D"/>
      </bottom>
      <diagonal/>
    </border>
    <border>
      <left/>
      <right/>
      <top/>
      <bottom style="thin">
        <color rgb="FF4D4D4D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4D4D4D"/>
      </left>
      <right/>
      <top style="thin">
        <color rgb="FF4D4D4D"/>
      </top>
      <bottom/>
      <diagonal/>
    </border>
    <border>
      <left style="thin">
        <color rgb="FF4D4D4D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medium">
        <color rgb="FF4D4D4D"/>
      </right>
      <top style="medium">
        <color rgb="FF4D4D4D"/>
      </top>
      <bottom style="medium">
        <color rgb="FF4D4D4D"/>
      </bottom>
      <diagonal/>
    </border>
  </borders>
  <cellStyleXfs count="40">
    <xf numFmtId="0" fontId="0" fillId="0" borderId="0">
      <alignment vertical="top"/>
    </xf>
    <xf numFmtId="0" fontId="1" fillId="0" borderId="0" applyAlignment="0">
      <alignment vertical="center"/>
    </xf>
    <xf numFmtId="0" fontId="1" fillId="2" borderId="1" applyAlignment="0">
      <alignment vertical="top"/>
    </xf>
    <xf numFmtId="0" fontId="1" fillId="2" borderId="2" applyAlignment="0">
      <alignment vertical="top"/>
    </xf>
    <xf numFmtId="0" fontId="1" fillId="0" borderId="3" applyFill="0" applyAlignment="0"/>
    <xf numFmtId="0" fontId="2" fillId="0" borderId="0" applyBorder="0" applyAlignment="0">
      <alignment wrapText="1"/>
    </xf>
    <xf numFmtId="0" fontId="3" fillId="3" borderId="1" applyAlignment="0"/>
    <xf numFmtId="49" fontId="1" fillId="4" borderId="1" applyAlignment="0">
      <protection locked="0"/>
    </xf>
    <xf numFmtId="0" fontId="1" fillId="5" borderId="1" applyAlignment="0">
      <protection locked="0"/>
    </xf>
    <xf numFmtId="2" fontId="4" fillId="6" borderId="1" applyAlignment="0">
      <protection locked="0"/>
    </xf>
    <xf numFmtId="0" fontId="1" fillId="7" borderId="1" applyAlignment="0">
      <protection locked="0"/>
    </xf>
    <xf numFmtId="1" fontId="1" fillId="4" borderId="1" applyAlignment="0">
      <protection locked="0"/>
    </xf>
    <xf numFmtId="0" fontId="5" fillId="8" borderId="0" applyAlignment="0">
      <alignment vertical="top"/>
    </xf>
    <xf numFmtId="0" fontId="6" fillId="8" borderId="0" applyAlignment="0">
      <alignment vertical="top"/>
    </xf>
    <xf numFmtId="0" fontId="6" fillId="8" borderId="4" applyAlignment="0">
      <alignment vertical="top"/>
    </xf>
    <xf numFmtId="0" fontId="7" fillId="0" borderId="0" applyAlignment="0">
      <alignment vertical="top"/>
    </xf>
    <xf numFmtId="0" fontId="8" fillId="8" borderId="0" applyAlignment="0">
      <alignment vertical="center"/>
    </xf>
    <xf numFmtId="0" fontId="9" fillId="8" borderId="0" applyAlignment="0">
      <alignment vertical="center"/>
    </xf>
    <xf numFmtId="1" fontId="1" fillId="4" borderId="1" applyAlignment="0">
      <protection locked="0"/>
    </xf>
    <xf numFmtId="0" fontId="5" fillId="8" borderId="0" applyAlignment="0">
      <alignment vertical="top"/>
    </xf>
    <xf numFmtId="0" fontId="9" fillId="8" borderId="0" applyAlignment="0">
      <alignment vertical="center"/>
    </xf>
    <xf numFmtId="0" fontId="1" fillId="0" borderId="0">
      <alignment vertical="top"/>
    </xf>
    <xf numFmtId="0" fontId="6" fillId="8" borderId="0" applyAlignment="0">
      <alignment vertical="top"/>
    </xf>
    <xf numFmtId="0" fontId="3" fillId="3" borderId="1" applyAlignment="0"/>
    <xf numFmtId="49" fontId="1" fillId="4" borderId="1" applyAlignment="0">
      <protection locked="0"/>
    </xf>
    <xf numFmtId="0" fontId="24" fillId="0" borderId="0" applyNumberFormat="0" applyFill="0" applyBorder="0" applyAlignment="0" applyProtection="0"/>
    <xf numFmtId="0" fontId="5" fillId="8" borderId="0">
      <alignment vertical="top"/>
    </xf>
    <xf numFmtId="0" fontId="1" fillId="0" borderId="0"/>
    <xf numFmtId="0" fontId="8" fillId="8" borderId="0">
      <alignment vertical="center"/>
    </xf>
    <xf numFmtId="0" fontId="9" fillId="8" borderId="0">
      <alignment vertical="center"/>
    </xf>
    <xf numFmtId="0" fontId="1" fillId="3" borderId="1"/>
    <xf numFmtId="0" fontId="1" fillId="2" borderId="1"/>
    <xf numFmtId="0" fontId="1" fillId="7" borderId="1">
      <protection locked="0"/>
    </xf>
    <xf numFmtId="49" fontId="1" fillId="4" borderId="1">
      <protection locked="0"/>
    </xf>
    <xf numFmtId="0" fontId="1" fillId="0" borderId="0"/>
    <xf numFmtId="1" fontId="1" fillId="4" borderId="1">
      <protection locked="0"/>
    </xf>
    <xf numFmtId="0" fontId="1" fillId="5" borderId="1">
      <protection locked="0"/>
    </xf>
    <xf numFmtId="0" fontId="7" fillId="0" borderId="0">
      <alignment vertical="top"/>
    </xf>
    <xf numFmtId="0" fontId="6" fillId="8" borderId="0">
      <alignment vertical="top"/>
    </xf>
    <xf numFmtId="0" fontId="1" fillId="2" borderId="1"/>
  </cellStyleXfs>
  <cellXfs count="251">
    <xf numFmtId="0" fontId="0" fillId="0" borderId="0" xfId="0">
      <alignment vertical="top"/>
    </xf>
    <xf numFmtId="22" fontId="0" fillId="0" borderId="0" xfId="0" applyNumberFormat="1">
      <alignment vertical="top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15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5" fillId="8" borderId="0" xfId="12" applyProtection="1">
      <alignment vertical="top"/>
      <protection locked="0"/>
    </xf>
    <xf numFmtId="0" fontId="5" fillId="8" borderId="0" xfId="12">
      <alignment vertical="top"/>
    </xf>
    <xf numFmtId="0" fontId="17" fillId="8" borderId="0" xfId="17" applyFont="1" applyAlignment="1">
      <alignment horizontal="right" vertical="center"/>
    </xf>
    <xf numFmtId="0" fontId="18" fillId="0" borderId="0" xfId="0" applyFont="1">
      <alignment vertical="top"/>
    </xf>
    <xf numFmtId="0" fontId="6" fillId="8" borderId="0" xfId="13">
      <alignment vertical="top"/>
    </xf>
    <xf numFmtId="0" fontId="9" fillId="8" borderId="0" xfId="17" applyAlignment="1">
      <alignment horizontal="left" vertical="center"/>
    </xf>
    <xf numFmtId="0" fontId="3" fillId="3" borderId="1" xfId="6"/>
    <xf numFmtId="0" fontId="1" fillId="2" borderId="1" xfId="2">
      <alignment vertical="top"/>
    </xf>
    <xf numFmtId="0" fontId="3" fillId="3" borderId="1" xfId="6" applyAlignment="1">
      <alignment horizontal="left" vertical="center"/>
    </xf>
    <xf numFmtId="0" fontId="9" fillId="8" borderId="0" xfId="17">
      <alignment vertical="center"/>
    </xf>
    <xf numFmtId="0" fontId="3" fillId="2" borderId="1" xfId="2" applyFont="1" applyAlignment="1">
      <alignment vertical="center"/>
    </xf>
    <xf numFmtId="49" fontId="1" fillId="4" borderId="1" xfId="7" applyAlignment="1">
      <alignment vertical="center"/>
      <protection locked="0"/>
    </xf>
    <xf numFmtId="0" fontId="19" fillId="0" borderId="0" xfId="0" applyFont="1" applyAlignment="1">
      <alignment vertical="center"/>
    </xf>
    <xf numFmtId="49" fontId="0" fillId="4" borderId="1" xfId="7" applyFont="1" applyAlignment="1">
      <alignment vertical="center"/>
      <protection locked="0"/>
    </xf>
    <xf numFmtId="0" fontId="3" fillId="3" borderId="1" xfId="6" applyAlignment="1">
      <alignment vertical="top"/>
    </xf>
    <xf numFmtId="49" fontId="1" fillId="4" borderId="1" xfId="7" applyAlignment="1">
      <alignment vertical="top"/>
      <protection locked="0"/>
    </xf>
    <xf numFmtId="0" fontId="0" fillId="2" borderId="1" xfId="2" applyFont="1" applyAlignment="1">
      <alignment horizontal="left" vertical="center"/>
    </xf>
    <xf numFmtId="0" fontId="1" fillId="2" borderId="1" xfId="2" applyAlignment="1">
      <alignment vertical="center"/>
    </xf>
    <xf numFmtId="164" fontId="1" fillId="4" borderId="1" xfId="11" applyNumberFormat="1" applyAlignment="1">
      <alignment horizontal="left" vertical="center"/>
      <protection locked="0"/>
    </xf>
    <xf numFmtId="0" fontId="1" fillId="2" borderId="1" xfId="2" applyAlignment="1">
      <alignment horizontal="left" vertical="center"/>
    </xf>
    <xf numFmtId="14" fontId="1" fillId="2" borderId="1" xfId="2" applyNumberFormat="1" applyAlignment="1">
      <alignment horizontal="left" vertical="center"/>
    </xf>
    <xf numFmtId="0" fontId="3" fillId="3" borderId="1" xfId="6" applyAlignment="1">
      <alignment horizontal="left" vertical="top" wrapText="1"/>
    </xf>
    <xf numFmtId="49" fontId="0" fillId="4" borderId="1" xfId="7" applyFont="1" applyAlignment="1">
      <alignment vertical="top" wrapText="1"/>
      <protection locked="0"/>
    </xf>
    <xf numFmtId="0" fontId="3" fillId="3" borderId="1" xfId="6" applyAlignment="1">
      <alignment vertical="center"/>
    </xf>
    <xf numFmtId="49" fontId="1" fillId="4" borderId="1" xfId="7">
      <protection locked="0"/>
    </xf>
    <xf numFmtId="1" fontId="1" fillId="4" borderId="1" xfId="11" applyAlignment="1">
      <alignment vertical="top"/>
      <protection locked="0"/>
    </xf>
    <xf numFmtId="1" fontId="5" fillId="8" borderId="0" xfId="12" applyNumberFormat="1">
      <alignment vertical="top"/>
    </xf>
    <xf numFmtId="0" fontId="18" fillId="0" borderId="0" xfId="0" applyFont="1" applyAlignment="1"/>
    <xf numFmtId="1" fontId="18" fillId="0" borderId="0" xfId="0" applyNumberFormat="1" applyFont="1" applyAlignment="1"/>
    <xf numFmtId="0" fontId="0" fillId="0" borderId="0" xfId="0" applyAlignment="1"/>
    <xf numFmtId="0" fontId="8" fillId="8" borderId="0" xfId="16">
      <alignment vertical="center"/>
    </xf>
    <xf numFmtId="0" fontId="21" fillId="8" borderId="0" xfId="13" applyFont="1">
      <alignment vertical="top"/>
    </xf>
    <xf numFmtId="1" fontId="21" fillId="8" borderId="0" xfId="13" applyNumberFormat="1" applyFont="1">
      <alignment vertical="top"/>
    </xf>
    <xf numFmtId="0" fontId="3" fillId="3" borderId="5" xfId="6" applyBorder="1"/>
    <xf numFmtId="0" fontId="1" fillId="7" borderId="1" xfId="10">
      <protection locked="0"/>
    </xf>
    <xf numFmtId="0" fontId="1" fillId="2" borderId="1" xfId="2" applyAlignment="1"/>
    <xf numFmtId="0" fontId="22" fillId="2" borderId="1" xfId="2" applyFont="1" applyAlignment="1"/>
    <xf numFmtId="1" fontId="22" fillId="2" borderId="1" xfId="2" applyNumberFormat="1" applyFont="1" applyAlignment="1"/>
    <xf numFmtId="0" fontId="1" fillId="2" borderId="6" xfId="2" applyBorder="1" applyAlignment="1"/>
    <xf numFmtId="0" fontId="22" fillId="7" borderId="1" xfId="10" applyFont="1" applyAlignment="1" applyProtection="1"/>
    <xf numFmtId="0" fontId="1" fillId="2" borderId="1" xfId="2" applyAlignment="1">
      <alignment horizontal="left"/>
    </xf>
    <xf numFmtId="1" fontId="1" fillId="4" borderId="1" xfId="11">
      <protection locked="0"/>
    </xf>
    <xf numFmtId="1" fontId="0" fillId="4" borderId="1" xfId="11" applyFont="1">
      <protection locked="0"/>
    </xf>
    <xf numFmtId="49" fontId="0" fillId="4" borderId="1" xfId="7" applyFont="1">
      <protection locked="0"/>
    </xf>
    <xf numFmtId="0" fontId="0" fillId="7" borderId="1" xfId="10" applyFont="1">
      <protection locked="0"/>
    </xf>
    <xf numFmtId="1" fontId="3" fillId="3" borderId="1" xfId="6" applyNumberFormat="1"/>
    <xf numFmtId="0" fontId="18" fillId="0" borderId="0" xfId="0" applyFont="1" applyAlignment="1">
      <alignment horizontal="left"/>
    </xf>
    <xf numFmtId="0" fontId="1" fillId="2" borderId="7" xfId="2" applyBorder="1" applyAlignment="1"/>
    <xf numFmtId="0" fontId="3" fillId="3" borderId="7" xfId="6" applyBorder="1"/>
    <xf numFmtId="1" fontId="1" fillId="4" borderId="7" xfId="11" applyBorder="1">
      <protection locked="0"/>
    </xf>
    <xf numFmtId="0" fontId="1" fillId="7" borderId="7" xfId="10" applyBorder="1">
      <protection locked="0"/>
    </xf>
    <xf numFmtId="1" fontId="1" fillId="4" borderId="1" xfId="11" quotePrefix="1">
      <protection locked="0"/>
    </xf>
    <xf numFmtId="0" fontId="0" fillId="0" borderId="0" xfId="0" applyAlignment="1">
      <alignment horizontal="left"/>
    </xf>
    <xf numFmtId="0" fontId="5" fillId="8" borderId="0" xfId="19">
      <alignment vertical="top"/>
    </xf>
    <xf numFmtId="0" fontId="9" fillId="8" borderId="0" xfId="20" applyAlignment="1">
      <alignment horizontal="right" vertical="center"/>
    </xf>
    <xf numFmtId="0" fontId="18" fillId="0" borderId="0" xfId="21" applyFont="1">
      <alignment vertical="top"/>
    </xf>
    <xf numFmtId="0" fontId="1" fillId="0" borderId="0" xfId="21">
      <alignment vertical="top"/>
    </xf>
    <xf numFmtId="0" fontId="6" fillId="8" borderId="0" xfId="22">
      <alignment vertical="top"/>
    </xf>
    <xf numFmtId="0" fontId="9" fillId="8" borderId="0" xfId="20">
      <alignment vertical="center"/>
    </xf>
    <xf numFmtId="0" fontId="3" fillId="3" borderId="1" xfId="23" applyAlignment="1">
      <alignment vertical="top"/>
    </xf>
    <xf numFmtId="49" fontId="0" fillId="4" borderId="5" xfId="24" applyFont="1" applyBorder="1">
      <protection locked="0"/>
    </xf>
    <xf numFmtId="49" fontId="0" fillId="4" borderId="1" xfId="24" applyFont="1">
      <protection locked="0"/>
    </xf>
    <xf numFmtId="0" fontId="1" fillId="5" borderId="1" xfId="8">
      <protection locked="0"/>
    </xf>
    <xf numFmtId="0" fontId="5" fillId="8" borderId="0" xfId="12" applyAlignment="1"/>
    <xf numFmtId="0" fontId="0" fillId="3" borderId="1" xfId="6" applyFont="1"/>
    <xf numFmtId="0" fontId="0" fillId="3" borderId="1" xfId="6" applyFont="1" applyProtection="1">
      <protection locked="0"/>
    </xf>
    <xf numFmtId="0" fontId="1" fillId="2" borderId="1" xfId="2" applyAlignment="1">
      <alignment vertical="top" wrapText="1"/>
    </xf>
    <xf numFmtId="0" fontId="0" fillId="2" borderId="1" xfId="2" applyFont="1" applyAlignment="1">
      <alignment wrapText="1"/>
    </xf>
    <xf numFmtId="0" fontId="0" fillId="0" borderId="0" xfId="21" applyFont="1">
      <alignment vertical="top"/>
    </xf>
    <xf numFmtId="0" fontId="22" fillId="2" borderId="1" xfId="2" applyFont="1" applyAlignment="1">
      <alignment horizontal="left"/>
    </xf>
    <xf numFmtId="0" fontId="0" fillId="2" borderId="1" xfId="2" applyFont="1" applyAlignment="1"/>
    <xf numFmtId="0" fontId="1" fillId="2" borderId="1" xfId="2" quotePrefix="1" applyAlignment="1"/>
    <xf numFmtId="0" fontId="23" fillId="3" borderId="1" xfId="23" applyFont="1" applyAlignment="1">
      <alignment vertical="top"/>
    </xf>
    <xf numFmtId="49" fontId="24" fillId="4" borderId="1" xfId="25" applyNumberFormat="1" applyFill="1" applyBorder="1" applyProtection="1">
      <protection locked="0"/>
    </xf>
    <xf numFmtId="0" fontId="25" fillId="0" borderId="0" xfId="21" applyFont="1">
      <alignment vertical="top"/>
    </xf>
    <xf numFmtId="49" fontId="0" fillId="4" borderId="1" xfId="24" applyFont="1" applyAlignment="1">
      <alignment wrapText="1"/>
      <protection locked="0"/>
    </xf>
    <xf numFmtId="49" fontId="0" fillId="4" borderId="1" xfId="24" quotePrefix="1" applyFont="1">
      <protection locked="0"/>
    </xf>
    <xf numFmtId="49" fontId="1" fillId="4" borderId="1" xfId="24">
      <protection locked="0"/>
    </xf>
    <xf numFmtId="0" fontId="5" fillId="8" borderId="0" xfId="12" applyAlignment="1">
      <alignment horizontal="center" vertical="top"/>
    </xf>
    <xf numFmtId="0" fontId="26" fillId="8" borderId="0" xfId="12" applyFont="1" applyAlignment="1">
      <alignment horizontal="left" vertical="top"/>
    </xf>
    <xf numFmtId="0" fontId="9" fillId="8" borderId="0" xfId="17" applyAlignment="1">
      <alignment horizontal="right" vertical="center"/>
    </xf>
    <xf numFmtId="0" fontId="0" fillId="0" borderId="0" xfId="0" applyAlignment="1">
      <alignment horizontal="center"/>
    </xf>
    <xf numFmtId="0" fontId="27" fillId="0" borderId="0" xfId="0" applyFont="1" applyAlignment="1">
      <alignment horizontal="right" vertical="top"/>
    </xf>
    <xf numFmtId="0" fontId="6" fillId="8" borderId="0" xfId="13" applyAlignment="1">
      <alignment horizontal="center" vertical="top"/>
    </xf>
    <xf numFmtId="0" fontId="1" fillId="2" borderId="1" xfId="2" applyAlignment="1">
      <alignment horizontal="center"/>
    </xf>
    <xf numFmtId="0" fontId="3" fillId="3" borderId="1" xfId="6" applyAlignment="1">
      <alignment horizontal="center"/>
    </xf>
    <xf numFmtId="0" fontId="25" fillId="2" borderId="1" xfId="2" applyFont="1" applyAlignment="1"/>
    <xf numFmtId="0" fontId="18" fillId="0" borderId="0" xfId="0" applyFont="1" applyAlignment="1">
      <alignment horizontal="center"/>
    </xf>
    <xf numFmtId="0" fontId="25" fillId="2" borderId="1" xfId="2" applyFont="1" applyAlignment="1">
      <alignment horizontal="left" vertical="top"/>
    </xf>
    <xf numFmtId="1" fontId="0" fillId="4" borderId="1" xfId="11" applyFont="1" applyAlignment="1">
      <alignment horizontal="left" vertical="top"/>
      <protection locked="0"/>
    </xf>
    <xf numFmtId="1" fontId="1" fillId="4" borderId="1" xfId="11" applyAlignment="1">
      <alignment horizontal="left" vertical="top"/>
      <protection locked="0"/>
    </xf>
    <xf numFmtId="49" fontId="0" fillId="4" borderId="5" xfId="7" applyFont="1" applyBorder="1" applyAlignment="1">
      <alignment horizontal="left" vertical="top"/>
      <protection locked="0"/>
    </xf>
    <xf numFmtId="49" fontId="0" fillId="4" borderId="8" xfId="7" applyFont="1" applyBorder="1" applyAlignment="1">
      <alignment horizontal="left" vertical="top"/>
      <protection locked="0"/>
    </xf>
    <xf numFmtId="49" fontId="0" fillId="4" borderId="9" xfId="7" applyFont="1" applyBorder="1" applyAlignment="1">
      <alignment horizontal="left" vertical="top"/>
      <protection locked="0"/>
    </xf>
    <xf numFmtId="0" fontId="22" fillId="2" borderId="7" xfId="2" applyFont="1" applyBorder="1" applyAlignment="1"/>
    <xf numFmtId="1" fontId="22" fillId="2" borderId="7" xfId="2" applyNumberFormat="1" applyFont="1" applyBorder="1" applyAlignment="1"/>
    <xf numFmtId="0" fontId="1" fillId="2" borderId="3" xfId="2" applyBorder="1" applyAlignment="1"/>
    <xf numFmtId="0" fontId="5" fillId="8" borderId="0" xfId="26">
      <alignment vertical="top"/>
    </xf>
    <xf numFmtId="0" fontId="5" fillId="8" borderId="0" xfId="26" applyAlignment="1">
      <alignment horizontal="left" vertical="top"/>
    </xf>
    <xf numFmtId="0" fontId="5" fillId="8" borderId="0" xfId="26" applyAlignment="1">
      <alignment horizontal="right" vertical="top"/>
    </xf>
    <xf numFmtId="0" fontId="1" fillId="0" borderId="0" xfId="27"/>
    <xf numFmtId="0" fontId="18" fillId="0" borderId="0" xfId="27" applyFont="1" applyAlignment="1">
      <alignment horizontal="left" vertical="top"/>
    </xf>
    <xf numFmtId="0" fontId="8" fillId="8" borderId="0" xfId="28">
      <alignment vertical="center"/>
    </xf>
    <xf numFmtId="0" fontId="1" fillId="0" borderId="0" xfId="27" applyAlignment="1">
      <alignment horizontal="left" vertical="top"/>
    </xf>
    <xf numFmtId="0" fontId="9" fillId="8" borderId="0" xfId="29">
      <alignment vertical="center"/>
    </xf>
    <xf numFmtId="0" fontId="3" fillId="3" borderId="1" xfId="30" applyFont="1"/>
    <xf numFmtId="0" fontId="1" fillId="2" borderId="1" xfId="31" applyAlignment="1">
      <alignment horizontal="left"/>
    </xf>
    <xf numFmtId="0" fontId="1" fillId="2" borderId="1" xfId="31"/>
    <xf numFmtId="0" fontId="28" fillId="8" borderId="0" xfId="28" applyFont="1">
      <alignment vertical="center"/>
    </xf>
    <xf numFmtId="0" fontId="29" fillId="8" borderId="0" xfId="28" applyFont="1">
      <alignment vertical="center"/>
    </xf>
    <xf numFmtId="0" fontId="30" fillId="0" borderId="0" xfId="27" applyFont="1" applyAlignment="1">
      <alignment horizontal="center"/>
    </xf>
    <xf numFmtId="0" fontId="22" fillId="7" borderId="1" xfId="32" applyFont="1" applyProtection="1"/>
    <xf numFmtId="0" fontId="0" fillId="4" borderId="1" xfId="33" applyNumberFormat="1" applyFont="1" applyAlignment="1" applyProtection="1">
      <alignment horizontal="left"/>
    </xf>
    <xf numFmtId="0" fontId="0" fillId="9" borderId="1" xfId="31" applyFont="1" applyFill="1"/>
    <xf numFmtId="0" fontId="0" fillId="4" borderId="1" xfId="33" applyNumberFormat="1" applyFont="1" applyProtection="1"/>
    <xf numFmtId="0" fontId="1" fillId="0" borderId="0" xfId="27" applyAlignment="1">
      <alignment horizontal="center"/>
    </xf>
    <xf numFmtId="0" fontId="1" fillId="3" borderId="1" xfId="30"/>
    <xf numFmtId="0" fontId="30" fillId="0" borderId="0" xfId="27" applyFont="1" applyAlignment="1">
      <alignment horizontal="left"/>
    </xf>
    <xf numFmtId="0" fontId="1" fillId="7" borderId="1" xfId="32">
      <protection locked="0"/>
    </xf>
    <xf numFmtId="0" fontId="31" fillId="0" borderId="0" xfId="27" applyFont="1" applyAlignment="1">
      <alignment horizontal="left" vertical="center"/>
    </xf>
    <xf numFmtId="49" fontId="1" fillId="4" borderId="1" xfId="33" applyProtection="1"/>
    <xf numFmtId="0" fontId="0" fillId="0" borderId="0" xfId="0" applyAlignment="1">
      <alignment wrapText="1"/>
    </xf>
    <xf numFmtId="165" fontId="1" fillId="4" borderId="1" xfId="11" applyNumberFormat="1">
      <protection locked="0"/>
    </xf>
    <xf numFmtId="2" fontId="1" fillId="4" borderId="1" xfId="11" applyNumberFormat="1">
      <protection locked="0"/>
    </xf>
    <xf numFmtId="0" fontId="1" fillId="3" borderId="7" xfId="30" applyBorder="1"/>
    <xf numFmtId="1" fontId="1" fillId="3" borderId="7" xfId="30" applyNumberFormat="1" applyBorder="1"/>
    <xf numFmtId="0" fontId="1" fillId="0" borderId="0" xfId="34"/>
    <xf numFmtId="0" fontId="18" fillId="0" borderId="0" xfId="34" applyFont="1" applyAlignment="1">
      <alignment horizontal="left" vertical="top"/>
    </xf>
    <xf numFmtId="0" fontId="1" fillId="0" borderId="0" xfId="34" applyAlignment="1">
      <alignment horizontal="left" vertical="top"/>
    </xf>
    <xf numFmtId="0" fontId="30" fillId="0" borderId="0" xfId="34" applyFont="1" applyAlignment="1">
      <alignment horizontal="center"/>
    </xf>
    <xf numFmtId="0" fontId="1" fillId="0" borderId="0" xfId="34" applyAlignment="1">
      <alignment horizontal="center"/>
    </xf>
    <xf numFmtId="49" fontId="1" fillId="4" borderId="1" xfId="33">
      <protection locked="0"/>
    </xf>
    <xf numFmtId="1" fontId="1" fillId="4" borderId="1" xfId="35">
      <protection locked="0"/>
    </xf>
    <xf numFmtId="0" fontId="34" fillId="8" borderId="12" xfId="16" applyNumberFormat="1" applyFont="1" applyFill="1" applyBorder="1" applyAlignment="1">
      <alignment vertical="top"/>
    </xf>
    <xf numFmtId="0" fontId="34" fillId="8" borderId="13" xfId="16" applyNumberFormat="1" applyFont="1" applyFill="1" applyBorder="1" applyAlignment="1">
      <alignment vertical="top"/>
    </xf>
    <xf numFmtId="0" fontId="35" fillId="3" borderId="14" xfId="6" applyNumberFormat="1" applyFont="1" applyFill="1" applyBorder="1" applyAlignment="1">
      <alignment vertical="top"/>
    </xf>
    <xf numFmtId="0" fontId="6" fillId="8" borderId="15" xfId="13" applyNumberFormat="1" applyFont="1" applyFill="1" applyBorder="1">
      <alignment vertical="top"/>
    </xf>
    <xf numFmtId="0" fontId="6" fillId="8" borderId="16" xfId="14" applyNumberFormat="1" applyFont="1" applyFill="1" applyBorder="1">
      <alignment vertical="top"/>
    </xf>
    <xf numFmtId="0" fontId="6" fillId="8" borderId="17" xfId="13" applyNumberFormat="1" applyFont="1" applyFill="1" applyBorder="1">
      <alignment vertical="top"/>
    </xf>
    <xf numFmtId="0" fontId="34" fillId="8" borderId="18" xfId="16" applyNumberFormat="1" applyFont="1" applyFill="1" applyBorder="1" applyAlignment="1">
      <alignment vertical="top"/>
    </xf>
    <xf numFmtId="0" fontId="22" fillId="7" borderId="14" xfId="10" applyNumberFormat="1" applyFont="1" applyFill="1" applyBorder="1" applyAlignment="1">
      <alignment vertical="top"/>
      <protection locked="0"/>
    </xf>
    <xf numFmtId="1" fontId="22" fillId="4" borderId="14" xfId="11" applyNumberFormat="1" applyFont="1" applyFill="1" applyBorder="1" applyAlignment="1">
      <alignment vertical="top"/>
      <protection locked="0"/>
    </xf>
    <xf numFmtId="0" fontId="22" fillId="2" borderId="14" xfId="2" applyNumberFormat="1" applyFont="1" applyFill="1" applyBorder="1" applyAlignment="1"/>
    <xf numFmtId="0" fontId="33" fillId="3" borderId="14" xfId="6" applyNumberFormat="1" applyFont="1" applyFill="1" applyBorder="1" applyAlignment="1">
      <alignment vertical="top"/>
    </xf>
    <xf numFmtId="1" fontId="22" fillId="4" borderId="7" xfId="11" applyNumberFormat="1" applyFont="1" applyFill="1" applyBorder="1" applyAlignment="1">
      <alignment vertical="top"/>
      <protection locked="0"/>
    </xf>
    <xf numFmtId="0" fontId="22" fillId="2" borderId="1" xfId="31" applyFont="1"/>
    <xf numFmtId="0" fontId="1" fillId="2" borderId="7" xfId="2" applyBorder="1">
      <alignment vertical="top"/>
    </xf>
    <xf numFmtId="1" fontId="1" fillId="4" borderId="7" xfId="11" applyBorder="1" applyAlignment="1">
      <alignment vertical="top"/>
      <protection locked="0"/>
    </xf>
    <xf numFmtId="0" fontId="3" fillId="3" borderId="1" xfId="6" applyAlignment="1">
      <alignment horizontal="left"/>
    </xf>
    <xf numFmtId="0" fontId="6" fillId="8" borderId="0" xfId="38">
      <alignment vertical="top"/>
    </xf>
    <xf numFmtId="0" fontId="36" fillId="3" borderId="1" xfId="30" applyFont="1"/>
    <xf numFmtId="0" fontId="1" fillId="3" borderId="5" xfId="30" applyBorder="1" applyAlignment="1">
      <alignment horizontal="left" vertical="top"/>
    </xf>
    <xf numFmtId="0" fontId="1" fillId="3" borderId="8" xfId="30" applyBorder="1" applyAlignment="1">
      <alignment horizontal="left" vertical="top"/>
    </xf>
    <xf numFmtId="0" fontId="1" fillId="3" borderId="9" xfId="30" applyBorder="1" applyAlignment="1">
      <alignment horizontal="left" vertical="top"/>
    </xf>
    <xf numFmtId="0" fontId="1" fillId="2" borderId="5" xfId="31" applyBorder="1" applyAlignment="1">
      <alignment horizontal="left" vertical="top"/>
    </xf>
    <xf numFmtId="0" fontId="1" fillId="2" borderId="8" xfId="31" applyBorder="1" applyAlignment="1">
      <alignment horizontal="left" vertical="top"/>
    </xf>
    <xf numFmtId="0" fontId="1" fillId="2" borderId="9" xfId="31" applyBorder="1" applyAlignment="1">
      <alignment horizontal="left" vertical="top"/>
    </xf>
    <xf numFmtId="1" fontId="1" fillId="4" borderId="5" xfId="35" applyBorder="1" applyAlignment="1">
      <alignment horizontal="left" vertical="top"/>
      <protection locked="0"/>
    </xf>
    <xf numFmtId="1" fontId="1" fillId="4" borderId="8" xfId="35" applyBorder="1" applyAlignment="1">
      <alignment horizontal="left" vertical="top"/>
      <protection locked="0"/>
    </xf>
    <xf numFmtId="1" fontId="1" fillId="4" borderId="9" xfId="35" applyBorder="1" applyAlignment="1">
      <alignment horizontal="left" vertical="top"/>
      <protection locked="0"/>
    </xf>
    <xf numFmtId="0" fontId="38" fillId="0" borderId="0" xfId="21" applyFont="1" applyAlignment="1"/>
    <xf numFmtId="0" fontId="1" fillId="0" borderId="0" xfId="21" applyAlignment="1"/>
    <xf numFmtId="0" fontId="3" fillId="2" borderId="1" xfId="39" applyFont="1"/>
    <xf numFmtId="0" fontId="1" fillId="2" borderId="1" xfId="39"/>
    <xf numFmtId="0" fontId="3" fillId="2" borderId="1" xfId="31" applyFont="1"/>
    <xf numFmtId="1" fontId="1" fillId="7" borderId="1" xfId="32" applyNumberFormat="1">
      <protection locked="0"/>
    </xf>
    <xf numFmtId="0" fontId="33" fillId="3" borderId="10" xfId="6" applyNumberFormat="1" applyFont="1" applyFill="1" applyBorder="1" applyAlignment="1">
      <alignment vertical="top"/>
    </xf>
    <xf numFmtId="0" fontId="33" fillId="3" borderId="6" xfId="6" applyNumberFormat="1" applyFont="1" applyFill="1" applyBorder="1" applyAlignment="1">
      <alignment vertical="top"/>
    </xf>
    <xf numFmtId="0" fontId="3" fillId="2" borderId="5" xfId="31" applyFont="1" applyBorder="1" applyAlignment="1">
      <alignment horizontal="left" vertical="top"/>
    </xf>
    <xf numFmtId="1" fontId="1" fillId="2" borderId="5" xfId="31" applyNumberFormat="1" applyBorder="1" applyAlignment="1">
      <alignment horizontal="left" vertical="top"/>
    </xf>
    <xf numFmtId="0" fontId="3" fillId="7" borderId="1" xfId="32" applyFont="1">
      <protection locked="0"/>
    </xf>
    <xf numFmtId="0" fontId="1" fillId="5" borderId="1" xfId="36">
      <protection locked="0"/>
    </xf>
    <xf numFmtId="0" fontId="0" fillId="2" borderId="1" xfId="31" applyFont="1"/>
    <xf numFmtId="0" fontId="0" fillId="2" borderId="1" xfId="39" applyFont="1"/>
    <xf numFmtId="1" fontId="1" fillId="2" borderId="1" xfId="31" applyNumberFormat="1"/>
    <xf numFmtId="1" fontId="1" fillId="7" borderId="1" xfId="32" quotePrefix="1" applyNumberFormat="1">
      <protection locked="0"/>
    </xf>
    <xf numFmtId="0" fontId="1" fillId="2" borderId="1" xfId="31" quotePrefix="1"/>
    <xf numFmtId="1" fontId="1" fillId="4" borderId="1" xfId="11" applyAlignment="1">
      <protection locked="0"/>
    </xf>
    <xf numFmtId="0" fontId="1" fillId="3" borderId="1" xfId="6" applyFont="1" applyAlignment="1"/>
    <xf numFmtId="0" fontId="1" fillId="3" borderId="1" xfId="6" applyFont="1" applyAlignment="1">
      <alignment horizontal="left"/>
    </xf>
    <xf numFmtId="0" fontId="1" fillId="3" borderId="1" xfId="6" applyFont="1"/>
    <xf numFmtId="0" fontId="26" fillId="8" borderId="0" xfId="26" applyFont="1" applyAlignment="1">
      <alignment horizontal="left" vertical="top"/>
    </xf>
    <xf numFmtId="0" fontId="9" fillId="8" borderId="0" xfId="29" applyAlignment="1">
      <alignment horizontal="right" vertical="center"/>
    </xf>
    <xf numFmtId="0" fontId="18" fillId="0" borderId="0" xfId="27" applyFont="1"/>
    <xf numFmtId="1" fontId="1" fillId="4" borderId="1" xfId="35" applyAlignment="1">
      <alignment vertical="top"/>
      <protection locked="0"/>
    </xf>
    <xf numFmtId="0" fontId="0" fillId="2" borderId="1" xfId="31" applyFont="1" applyAlignment="1">
      <alignment vertical="top"/>
    </xf>
    <xf numFmtId="0" fontId="1" fillId="2" borderId="1" xfId="31" applyAlignment="1">
      <alignment vertical="top"/>
    </xf>
    <xf numFmtId="49" fontId="1" fillId="4" borderId="1" xfId="33" applyAlignment="1">
      <alignment vertical="top" wrapText="1"/>
      <protection locked="0"/>
    </xf>
    <xf numFmtId="49" fontId="1" fillId="4" borderId="1" xfId="33" applyAlignment="1">
      <alignment vertical="top"/>
      <protection locked="0"/>
    </xf>
    <xf numFmtId="1" fontId="0" fillId="4" borderId="1" xfId="35" applyFont="1" applyAlignment="1">
      <alignment vertical="top"/>
      <protection locked="0"/>
    </xf>
    <xf numFmtId="0" fontId="1" fillId="3" borderId="1" xfId="30" applyAlignment="1">
      <alignment vertical="top"/>
    </xf>
    <xf numFmtId="0" fontId="1" fillId="2" borderId="1" xfId="2" applyAlignment="1">
      <alignment vertical="top"/>
    </xf>
    <xf numFmtId="49" fontId="0" fillId="4" borderId="1" xfId="33" applyFont="1">
      <protection locked="0"/>
    </xf>
    <xf numFmtId="1" fontId="0" fillId="4" borderId="1" xfId="11" applyFont="1" applyAlignment="1">
      <protection locked="0"/>
    </xf>
    <xf numFmtId="0" fontId="22" fillId="7" borderId="1" xfId="32" applyFont="1" applyAlignment="1" applyProtection="1"/>
    <xf numFmtId="0" fontId="1" fillId="2" borderId="1" xfId="31" applyAlignment="1"/>
    <xf numFmtId="0" fontId="40" fillId="0" borderId="0" xfId="0" applyFont="1">
      <alignment vertical="top"/>
    </xf>
    <xf numFmtId="0" fontId="40" fillId="10" borderId="19" xfId="0" applyFont="1" applyFill="1" applyBorder="1" applyAlignment="1">
      <alignment vertical="center"/>
    </xf>
    <xf numFmtId="1" fontId="0" fillId="4" borderId="1" xfId="11" applyFont="1" applyAlignment="1">
      <alignment vertical="top"/>
      <protection locked="0"/>
    </xf>
    <xf numFmtId="0" fontId="14" fillId="0" borderId="0" xfId="0" applyFont="1" applyAlignment="1">
      <alignment horizontal="right"/>
    </xf>
    <xf numFmtId="14" fontId="13" fillId="0" borderId="0" xfId="0" applyNumberFormat="1" applyFont="1" applyAlignment="1">
      <alignment horizontal="right"/>
    </xf>
    <xf numFmtId="0" fontId="15" fillId="0" borderId="0" xfId="0" applyFont="1" applyAlignment="1">
      <alignment horizontal="center" vertical="top" wrapText="1"/>
    </xf>
    <xf numFmtId="0" fontId="37" fillId="7" borderId="5" xfId="32" applyFont="1" applyBorder="1" applyAlignment="1">
      <alignment horizontal="left" vertical="top"/>
      <protection locked="0"/>
    </xf>
    <xf numFmtId="0" fontId="37" fillId="7" borderId="8" xfId="32" applyFont="1" applyBorder="1" applyAlignment="1">
      <alignment horizontal="left" vertical="top"/>
      <protection locked="0"/>
    </xf>
    <xf numFmtId="0" fontId="37" fillId="7" borderId="9" xfId="32" applyFont="1" applyBorder="1" applyAlignment="1">
      <alignment horizontal="left" vertical="top"/>
      <protection locked="0"/>
    </xf>
    <xf numFmtId="0" fontId="1" fillId="7" borderId="5" xfId="32" applyBorder="1" applyAlignment="1">
      <alignment horizontal="left" vertical="top"/>
      <protection locked="0"/>
    </xf>
    <xf numFmtId="0" fontId="1" fillId="7" borderId="8" xfId="32" applyBorder="1" applyAlignment="1">
      <alignment horizontal="left" vertical="top"/>
      <protection locked="0"/>
    </xf>
    <xf numFmtId="0" fontId="1" fillId="7" borderId="9" xfId="32" applyBorder="1" applyAlignment="1">
      <alignment horizontal="left" vertical="top"/>
      <protection locked="0"/>
    </xf>
    <xf numFmtId="0" fontId="39" fillId="7" borderId="5" xfId="32" applyFont="1" applyBorder="1" applyAlignment="1">
      <alignment horizontal="left"/>
      <protection locked="0"/>
    </xf>
    <xf numFmtId="0" fontId="39" fillId="7" borderId="8" xfId="32" applyFont="1" applyBorder="1" applyAlignment="1">
      <alignment horizontal="left"/>
      <protection locked="0"/>
    </xf>
    <xf numFmtId="0" fontId="39" fillId="7" borderId="9" xfId="32" applyFont="1" applyBorder="1" applyAlignment="1">
      <alignment horizontal="left"/>
      <protection locked="0"/>
    </xf>
    <xf numFmtId="0" fontId="3" fillId="3" borderId="5" xfId="30" applyFont="1" applyBorder="1" applyAlignment="1">
      <alignment vertical="center"/>
    </xf>
    <xf numFmtId="0" fontId="3" fillId="3" borderId="9" xfId="30" applyFont="1" applyBorder="1" applyAlignment="1">
      <alignment vertical="center"/>
    </xf>
    <xf numFmtId="1" fontId="0" fillId="4" borderId="5" xfId="11" applyFont="1" applyBorder="1" applyAlignment="1">
      <alignment horizontal="left" vertical="top" wrapText="1"/>
      <protection locked="0"/>
    </xf>
    <xf numFmtId="1" fontId="0" fillId="4" borderId="8" xfId="11" applyFont="1" applyBorder="1" applyAlignment="1">
      <alignment horizontal="left" vertical="top" wrapText="1"/>
      <protection locked="0"/>
    </xf>
    <xf numFmtId="1" fontId="0" fillId="4" borderId="9" xfId="11" applyFont="1" applyBorder="1" applyAlignment="1">
      <alignment horizontal="left" vertical="top" wrapText="1"/>
      <protection locked="0"/>
    </xf>
    <xf numFmtId="1" fontId="0" fillId="4" borderId="5" xfId="11" applyFont="1" applyBorder="1" applyAlignment="1">
      <alignment horizontal="left" vertical="top"/>
      <protection locked="0"/>
    </xf>
    <xf numFmtId="1" fontId="0" fillId="4" borderId="8" xfId="11" applyFont="1" applyBorder="1" applyAlignment="1">
      <alignment horizontal="left" vertical="top"/>
      <protection locked="0"/>
    </xf>
    <xf numFmtId="1" fontId="0" fillId="4" borderId="9" xfId="11" applyFont="1" applyBorder="1" applyAlignment="1">
      <alignment horizontal="left" vertical="top"/>
      <protection locked="0"/>
    </xf>
    <xf numFmtId="0" fontId="0" fillId="3" borderId="5" xfId="6" applyFont="1" applyBorder="1"/>
    <xf numFmtId="0" fontId="0" fillId="3" borderId="8" xfId="6" applyFont="1" applyBorder="1"/>
    <xf numFmtId="0" fontId="0" fillId="3" borderId="9" xfId="6" applyFont="1" applyBorder="1"/>
    <xf numFmtId="0" fontId="0" fillId="3" borderId="5" xfId="6" applyFont="1" applyBorder="1" applyAlignment="1">
      <alignment horizontal="left" vertical="top"/>
    </xf>
    <xf numFmtId="0" fontId="0" fillId="3" borderId="8" xfId="6" applyFont="1" applyBorder="1" applyAlignment="1">
      <alignment horizontal="left" vertical="top"/>
    </xf>
    <xf numFmtId="0" fontId="0" fillId="3" borderId="9" xfId="6" applyFont="1" applyBorder="1" applyAlignment="1">
      <alignment horizontal="left" vertical="top"/>
    </xf>
    <xf numFmtId="0" fontId="25" fillId="2" borderId="5" xfId="2" applyFont="1" applyBorder="1" applyAlignment="1">
      <alignment horizontal="left" vertical="top"/>
    </xf>
    <xf numFmtId="0" fontId="25" fillId="2" borderId="8" xfId="2" applyFont="1" applyBorder="1" applyAlignment="1">
      <alignment horizontal="left" vertical="top"/>
    </xf>
    <xf numFmtId="0" fontId="25" fillId="2" borderId="9" xfId="2" applyFont="1" applyBorder="1" applyAlignment="1">
      <alignment horizontal="left" vertical="top"/>
    </xf>
    <xf numFmtId="0" fontId="3" fillId="3" borderId="5" xfId="6" applyBorder="1" applyAlignment="1">
      <alignment horizontal="left" vertical="top"/>
    </xf>
    <xf numFmtId="0" fontId="3" fillId="3" borderId="8" xfId="6" applyBorder="1" applyAlignment="1">
      <alignment horizontal="left" vertical="top"/>
    </xf>
    <xf numFmtId="0" fontId="3" fillId="3" borderId="9" xfId="6" applyBorder="1" applyAlignment="1">
      <alignment horizontal="left" vertical="top"/>
    </xf>
    <xf numFmtId="0" fontId="6" fillId="8" borderId="0" xfId="13" applyAlignment="1">
      <alignment horizontal="center" vertical="top"/>
    </xf>
    <xf numFmtId="0" fontId="3" fillId="3" borderId="10" xfId="6" applyBorder="1" applyAlignment="1">
      <alignment horizontal="left" vertical="top"/>
    </xf>
    <xf numFmtId="0" fontId="3" fillId="3" borderId="11" xfId="6" applyBorder="1" applyAlignment="1">
      <alignment horizontal="left" vertical="top"/>
    </xf>
    <xf numFmtId="0" fontId="0" fillId="2" borderId="5" xfId="2" applyFont="1" applyBorder="1" applyAlignment="1">
      <alignment horizontal="left" vertical="top"/>
    </xf>
    <xf numFmtId="0" fontId="0" fillId="2" borderId="9" xfId="2" applyFont="1" applyBorder="1" applyAlignment="1">
      <alignment horizontal="left" vertical="top"/>
    </xf>
    <xf numFmtId="0" fontId="0" fillId="7" borderId="5" xfId="10" applyFont="1" applyBorder="1">
      <protection locked="0"/>
    </xf>
    <xf numFmtId="0" fontId="0" fillId="7" borderId="9" xfId="10" applyFont="1" applyBorder="1">
      <protection locked="0"/>
    </xf>
    <xf numFmtId="0" fontId="32" fillId="0" borderId="0" xfId="37" applyFont="1" applyAlignment="1">
      <alignment horizontal="center" vertical="center"/>
    </xf>
    <xf numFmtId="0" fontId="16" fillId="0" borderId="0" xfId="27" applyFont="1" applyAlignment="1">
      <alignment horizontal="center" vertical="top" wrapText="1"/>
    </xf>
  </cellXfs>
  <cellStyles count="40">
    <cellStyle name="Body (Italik)" xfId="1" xr:uid="{59C4D559-DA85-4383-9A96-461DBC2A8C5B}"/>
    <cellStyle name="Body Boxed (Italik)" xfId="2" xr:uid="{3C17CFE8-161E-4D08-A2E6-750033B482A6}"/>
    <cellStyle name="Body Boxed (Italik) 2" xfId="31" xr:uid="{6E3CBD23-8370-4FA1-917C-852241F42662}"/>
    <cellStyle name="Body Boxed (Italik) 2 2" xfId="39" xr:uid="{2A65141B-E30F-498F-8600-0C20625FF782}"/>
    <cellStyle name="Body Boxed Light (Italik)" xfId="3" xr:uid="{60D8E0B4-B24E-4875-9733-AA66C67016FD}"/>
    <cellStyle name="Body Break (Italik)" xfId="4" xr:uid="{51953FF7-4471-487B-BD96-94C54912BC82}"/>
    <cellStyle name="Body Plain (Italik)" xfId="5" xr:uid="{4CEF41D3-E439-4EFD-A826-D52E5742C6CA}"/>
    <cellStyle name="Body Subtitle (Italik)" xfId="6" xr:uid="{0A2BA66D-DF24-4DA3-BD7A-5870E9AD7B72}"/>
    <cellStyle name="Body Subtitle (Italik) 2" xfId="23" xr:uid="{B2B2948D-9011-4E76-BE82-96B3CF91ACE0}"/>
    <cellStyle name="Body Subtitle (Italik) 3" xfId="30" xr:uid="{CFAF2DEA-2F12-44F3-BB37-61BFFC348684}"/>
    <cellStyle name="Entry (Italik)" xfId="7" xr:uid="{B488290F-D236-4944-8C70-13CFD4E64FAD}"/>
    <cellStyle name="Entry (Italik) 2" xfId="24" xr:uid="{A844EAB7-414D-4D57-A9B6-A51761653B70}"/>
    <cellStyle name="Entry (Italik) 3" xfId="33" xr:uid="{F797E6DC-32AB-45C5-9E6E-EFF8FCEC5750}"/>
    <cellStyle name="Entry Attention (Italik)" xfId="8" xr:uid="{E2AC2DBA-75E7-480D-9CAC-A1E9EBCFF3E3}"/>
    <cellStyle name="Entry Attention (Italik) 2" xfId="36" xr:uid="{027E2256-259C-478F-8618-04392C0CF6E7}"/>
    <cellStyle name="Entry Hidden (Italik)" xfId="9" xr:uid="{C7CDFE62-D28F-4675-85C2-B8FCC6D784BE}"/>
    <cellStyle name="Entry Lookup (Italik)" xfId="10" xr:uid="{E5488BCD-5BE0-472F-9853-A307BDFA7050}"/>
    <cellStyle name="Entry Lookup (Italik) 2" xfId="32" xr:uid="{52A6AB4B-799B-4446-B0FA-F97A4F70C7C4}"/>
    <cellStyle name="Entry Number (Italik)" xfId="11" xr:uid="{2A205663-5E02-4B0F-92DA-1FAF309C4CF7}"/>
    <cellStyle name="Entry Number (Italik) 2" xfId="18" xr:uid="{701439CC-A9C0-43E6-A241-46325D204064}"/>
    <cellStyle name="Entry Number (Italik) 3" xfId="35" xr:uid="{06DDE92D-2D8F-49A4-83FA-874621F864BE}"/>
    <cellStyle name="Heading 1 (Italik)" xfId="12" xr:uid="{554D0C62-E920-47C3-8F53-22EC70794EAB}"/>
    <cellStyle name="Heading 1 (Italik) 2" xfId="19" xr:uid="{4E7B9910-3EB4-425E-9B79-AB09C1F059C4}"/>
    <cellStyle name="Heading 1 (Italik) 3" xfId="26" xr:uid="{DAB1F1FA-2804-4EB7-943E-AEF65155D1B8}"/>
    <cellStyle name="Heading 2 (Italik)" xfId="13" xr:uid="{E31B4CC4-9D1B-40A0-B334-9E4440762D7C}"/>
    <cellStyle name="Heading 2 (Italik) 2" xfId="22" xr:uid="{279B1FD9-E328-4133-9A28-663BEA437DC1}"/>
    <cellStyle name="Heading 2 (Italik) 3" xfId="38" xr:uid="{48180BFC-1C0A-49B8-9E52-BDEB80633B5F}"/>
    <cellStyle name="Heading 3 (Italik)" xfId="14" xr:uid="{212E29F0-7E79-4C1B-BE91-946CEE1B71EB}"/>
    <cellStyle name="Heading 4 (Italik)" xfId="15" xr:uid="{D2399EBB-1536-4C1A-B20E-242E7F3A51D7}"/>
    <cellStyle name="Heading 4 (Italik) 2" xfId="37" xr:uid="{7156F043-9571-4651-90BF-8F768FCBF518}"/>
    <cellStyle name="Heading 5 (Italik)" xfId="16" xr:uid="{BAC78819-943A-48EB-A4DB-9C4D5928B6B8}"/>
    <cellStyle name="Heading 5 (Italik) 2" xfId="28" xr:uid="{F58AE2A9-9FB5-47C8-B193-EC6D471C0AF3}"/>
    <cellStyle name="Heading 6 (Italik)" xfId="17" xr:uid="{392CF850-743F-49D8-8343-79573DCAC0A0}"/>
    <cellStyle name="Heading 6 (Italik) 2" xfId="20" xr:uid="{439341A7-C9C3-40E0-BCBE-4B66F7E89640}"/>
    <cellStyle name="Heading 6 (Italik) 3" xfId="29" xr:uid="{46CB000A-6CB0-4515-9811-FFAD1C8DA825}"/>
    <cellStyle name="Hyperlink" xfId="25" builtinId="8"/>
    <cellStyle name="Normal" xfId="0" builtinId="0" customBuiltin="1"/>
    <cellStyle name="Normal 2" xfId="21" xr:uid="{EFC75124-811E-4D5F-B234-516AA9316D5B}"/>
    <cellStyle name="Normal 3" xfId="27" xr:uid="{788FFA88-38A6-40C8-A34B-90DCE75A0169}"/>
    <cellStyle name="Normal 4" xfId="34" xr:uid="{ACD077A6-A42F-4283-B89A-6DF43CEAE607}"/>
  </cellStyles>
  <dxfs count="1809">
    <dxf>
      <numFmt numFmtId="1" formatCode="0"/>
    </dxf>
    <dxf>
      <numFmt numFmtId="165" formatCode="#,000"/>
    </dxf>
    <dxf>
      <border outline="0">
        <bottom style="thin">
          <color rgb="FF4D4D4D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rgb="FFFFFF9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 style="thin">
          <color rgb="FF4D4D4D"/>
        </right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 tint="-0.1499679555650502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fill>
        <patternFill patternType="solid">
          <fgColor indexed="64"/>
          <bgColor rgb="FFEBF5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0" formatCode="General"/>
      <fill>
        <patternFill patternType="solid">
          <fgColor indexed="64"/>
          <bgColor rgb="FFFFFEE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rgb="FF4D4D4D"/>
        </left>
        <right/>
        <top style="thin">
          <color rgb="FF4D4D4D"/>
        </top>
        <bottom/>
        <vertical/>
        <horizontal/>
      </border>
    </dxf>
    <dxf>
      <border outline="0">
        <bottom style="thin">
          <color rgb="FF4D4D4D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Optima"/>
        <scheme val="none"/>
      </font>
      <numFmt numFmtId="0" formatCode="General"/>
      <fill>
        <patternFill patternType="solid">
          <fgColor indexed="64"/>
          <bgColor rgb="FF0094B3"/>
        </patternFill>
      </fill>
      <alignment horizontal="general" vertical="top" textRotation="0" wrapText="0" indent="0" justifyLastLine="0" shrinkToFit="0" readingOrder="0"/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  <border diagonalUp="0" diagonalDown="0">
        <left style="thin">
          <color rgb="FF4D4D4D"/>
        </left>
        <right style="thin">
          <color rgb="FF4D4D4D"/>
        </right>
        <top/>
        <bottom style="thin">
          <color rgb="FF4D4D4D"/>
        </bottom>
        <vertical/>
        <horizontal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scheme val="none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 outline="0">
        <bottom style="thin">
          <color rgb="FF4D4D4D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Optima"/>
        <scheme val="none"/>
      </font>
    </dxf>
    <dxf>
      <border outline="0">
        <bottom style="thin">
          <color rgb="FF4D4D4D"/>
        </bottom>
      </border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fill>
        <patternFill>
          <bgColor rgb="FFC4D79B"/>
        </patternFill>
      </fill>
    </dxf>
    <dxf>
      <fill>
        <patternFill>
          <bgColor rgb="FF8DB4E2"/>
        </patternFill>
      </fill>
    </dxf>
    <dxf>
      <fill>
        <patternFill>
          <bgColor rgb="FFEDCAC9"/>
        </patternFill>
      </fill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 outline="0">
        <bottom style="thin">
          <color rgb="FF4D4D4D"/>
        </bottom>
      </border>
    </dxf>
    <dxf>
      <fill>
        <patternFill>
          <bgColor rgb="FFEDCAC9"/>
        </patternFill>
      </fill>
    </dxf>
    <dxf>
      <fill>
        <patternFill>
          <bgColor rgb="FFEDCAC9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colors>
    <mruColors>
      <color rgb="FFEDCAC9"/>
      <color rgb="FFFF00FF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jpe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6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8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19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0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5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6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8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29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0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vmlDrawing35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133350</xdr:rowOff>
    </xdr:from>
    <xdr:ext cx="8296275" cy="9525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83" b="4230"/>
        <a:stretch/>
      </xdr:blipFill>
      <xdr:spPr>
        <a:xfrm>
          <a:off x="0" y="1123950"/>
          <a:ext cx="8296275" cy="952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8310412" cy="61912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10412" cy="619124"/>
        </a:xfrm>
        <a:prstGeom prst="rect">
          <a:avLst/>
        </a:prstGeom>
      </xdr:spPr>
    </xdr:pic>
    <xdr:clientData/>
  </xdr:oneCellAnchor>
  <xdr:oneCellAnchor>
    <xdr:from>
      <xdr:col>4</xdr:col>
      <xdr:colOff>314325</xdr:colOff>
      <xdr:row>6</xdr:row>
      <xdr:rowOff>133350</xdr:rowOff>
    </xdr:from>
    <xdr:ext cx="304800" cy="304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1123950"/>
          <a:ext cx="304800" cy="304800"/>
        </a:xfrm>
        <a:prstGeom prst="rect">
          <a:avLst/>
        </a:prstGeom>
      </xdr:spPr>
    </xdr:pic>
    <xdr:clientData/>
  </xdr:oneCellAnchor>
  <xdr:oneCellAnchor>
    <xdr:from>
      <xdr:col>5</xdr:col>
      <xdr:colOff>419100</xdr:colOff>
      <xdr:row>6</xdr:row>
      <xdr:rowOff>133350</xdr:rowOff>
    </xdr:from>
    <xdr:ext cx="304800" cy="304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1123950"/>
          <a:ext cx="304800" cy="304800"/>
        </a:xfrm>
        <a:prstGeom prst="rect">
          <a:avLst/>
        </a:prstGeom>
      </xdr:spPr>
    </xdr:pic>
    <xdr:clientData/>
  </xdr:oneCellAnchor>
  <xdr:oneCellAnchor>
    <xdr:from>
      <xdr:col>6</xdr:col>
      <xdr:colOff>495300</xdr:colOff>
      <xdr:row>6</xdr:row>
      <xdr:rowOff>133350</xdr:rowOff>
    </xdr:from>
    <xdr:ext cx="304800" cy="304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123950"/>
          <a:ext cx="304800" cy="304800"/>
        </a:xfrm>
        <a:prstGeom prst="rect">
          <a:avLst/>
        </a:prstGeom>
      </xdr:spPr>
    </xdr:pic>
    <xdr:clientData/>
  </xdr:oneCellAnchor>
  <xdr:oneCellAnchor>
    <xdr:from>
      <xdr:col>7</xdr:col>
      <xdr:colOff>457200</xdr:colOff>
      <xdr:row>6</xdr:row>
      <xdr:rowOff>142875</xdr:rowOff>
    </xdr:from>
    <xdr:ext cx="304800" cy="304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1133475"/>
          <a:ext cx="304800" cy="304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6</xdr:row>
      <xdr:rowOff>133350</xdr:rowOff>
    </xdr:from>
    <xdr:to>
      <xdr:col>8</xdr:col>
      <xdr:colOff>257175</xdr:colOff>
      <xdr:row>69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83" b="4230"/>
        <a:stretch/>
      </xdr:blipFill>
      <xdr:spPr>
        <a:xfrm>
          <a:off x="0" y="1123950"/>
          <a:ext cx="8296275" cy="952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271312</xdr:colOff>
      <xdr:row>3</xdr:row>
      <xdr:rowOff>114299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10412" cy="619124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6</xdr:row>
      <xdr:rowOff>133350</xdr:rowOff>
    </xdr:from>
    <xdr:to>
      <xdr:col>4</xdr:col>
      <xdr:colOff>619125</xdr:colOff>
      <xdr:row>9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1123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6</xdr:row>
      <xdr:rowOff>133350</xdr:rowOff>
    </xdr:from>
    <xdr:to>
      <xdr:col>5</xdr:col>
      <xdr:colOff>723900</xdr:colOff>
      <xdr:row>9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1123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6</xdr:row>
      <xdr:rowOff>133350</xdr:rowOff>
    </xdr:from>
    <xdr:to>
      <xdr:col>6</xdr:col>
      <xdr:colOff>800100</xdr:colOff>
      <xdr:row>9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123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6</xdr:row>
      <xdr:rowOff>142875</xdr:rowOff>
    </xdr:from>
    <xdr:to>
      <xdr:col>7</xdr:col>
      <xdr:colOff>762000</xdr:colOff>
      <xdr:row>9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1133475"/>
          <a:ext cx="304800" cy="30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5334000</xdr:colOff>
          <xdr:row>73</xdr:row>
          <xdr:rowOff>68580</xdr:rowOff>
        </xdr:to>
        <xdr:sp macro="" textlink="">
          <xdr:nvSpPr>
            <xdr:cNvPr id="43009" name="Object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6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9</xdr:row>
      <xdr:rowOff>114300</xdr:rowOff>
    </xdr:from>
    <xdr:to>
      <xdr:col>7</xdr:col>
      <xdr:colOff>12222</xdr:colOff>
      <xdr:row>22</xdr:row>
      <xdr:rowOff>85496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590675"/>
          <a:ext cx="3822222" cy="182857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32591A-FE88-4A99-8DF3-26AF580C1717}" name="NETWORKS_TABLE" displayName="NETWORKS_TABLE" ref="B3:M150" totalsRowShown="0" tableBorderDxfId="1790" headerRowCellStyle="Heading 2 (Italik)" dataCellStyle="Body Boxed (Italik)">
  <autoFilter ref="B3:M150" xr:uid="{A889E894-9DDF-4EAF-A57D-75DC31397917}"/>
  <tableColumns count="12">
    <tableColumn id="1" xr3:uid="{B8888739-14C7-44E5-882D-2CD8980BD8B2}" name="Index" dataCellStyle="Body Boxed (Italik)"/>
    <tableColumn id="2" xr3:uid="{77537D0C-D3AE-4924-8A32-B077044BD7E9}" name="Site" dataCellStyle="Body Boxed (Italik)"/>
    <tableColumn id="3" xr3:uid="{E459EEBE-CC60-448F-8B76-CED823BA28AA}" name="Type" dataCellStyle="Body Boxed (Italik)"/>
    <tableColumn id="4" xr3:uid="{42D18D22-78E0-4F3E-9C49-DACE754E1580}" name="VLAN" dataDxfId="1789" dataCellStyle="Entry Number (Italik)"/>
    <tableColumn id="5" xr3:uid="{5FBE25EC-DED0-4F80-9163-FF3AD058E6B2}" name="Net Name" dataDxfId="1788" dataCellStyle="Entry Number (Italik)"/>
    <tableColumn id="6" xr3:uid="{F7E8319A-B791-401E-B7A0-F97F4004D84D}" name="Legacy Name" dataCellStyle="Body Boxed (Italik)"/>
    <tableColumn id="7" xr3:uid="{27AB4623-C211-430A-8340-338D03E21CC5}" name="Network" dataCellStyle="Body Boxed (Italik)"/>
    <tableColumn id="8" xr3:uid="{07C727CC-2B86-44C2-8E5B-1173239699FD}" name="Usable Range" dataCellStyle="Body Boxed (Italik)"/>
    <tableColumn id="9" xr3:uid="{D7053BAD-1990-4BA3-8DE4-A4A551FCE596}" name="Gateway" dataCellStyle="Body Boxed (Italik)"/>
    <tableColumn id="10" xr3:uid="{CF68219C-94E1-422D-9216-2001E2E15D75}" name="MASK" dataCellStyle="Body Boxed (Italik)"/>
    <tableColumn id="11" xr3:uid="{BAE72920-DE3C-4025-89BC-1DA062EE094F}" name="Status" dataCellStyle="Body Boxed (Italik)"/>
    <tableColumn id="12" xr3:uid="{378C5CEB-E657-4254-A0A5-4EB009579AC1}" name="Comment" dataDxfId="1787" dataCellStyle="Entry Number (Italik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0921B4-23BA-41EE-AB33-0DB5C50EA10E}" name="DEVICE_TABLE" displayName="DEVICE_TABLE" ref="B3:T204" totalsRowShown="0" tableBorderDxfId="1681" headerRowCellStyle="Heading 2 (Italik)" dataCellStyle="Body Boxed (Italik)">
  <autoFilter ref="B3:T204" xr:uid="{764EB5B3-40D3-43C7-914D-3FDCB1DA2541}"/>
  <tableColumns count="19">
    <tableColumn id="1" xr3:uid="{D523F3CA-0BA2-4BF9-A5FD-625B9F3EBA37}" name="Device Name" dataCellStyle="Body Boxed (Italik)"/>
    <tableColumn id="2" xr3:uid="{FF3899F7-9291-45D6-9D10-604F225B7C54}" name="Type" dataCellStyle="Body Boxed (Italik)"/>
    <tableColumn id="3" xr3:uid="{8AE32560-C7D7-4E1E-9E12-7407C4D58E9E}" name="Role" dataCellStyle="Body Boxed (Italik)"/>
    <tableColumn id="4" xr3:uid="{A30E31FC-87B8-42BB-A8CA-56DCF0DD7CB7}" name="Status" dataCellStyle="Body Boxed (Italik)"/>
    <tableColumn id="5" xr3:uid="{93013428-86AC-4BDA-AAAF-000FDF09CB6C}" name="Site" dataCellStyle="Body Boxed (Italik)"/>
    <tableColumn id="6" xr3:uid="{D26058DD-6CF1-4D3F-B5F1-2E2697FF5DEE}" name="Location" dataCellStyle="Body Boxed (Italik)"/>
    <tableColumn id="7" xr3:uid="{EFDBD1C8-6756-4DCF-8161-FFFD82DD5820}" name="Cab" dataCellStyle="Body Boxed (Italik)"/>
    <tableColumn id="8" xr3:uid="{2DCFB1F6-AAE4-4C21-AA6F-3111B75D1900}" name="Manufacturer" dataCellStyle="Body Boxed (Italik)"/>
    <tableColumn id="9" xr3:uid="{AA3EE379-264A-40DD-8FE9-B2E094BD4CCD}" name="Model" dataCellStyle="Body Boxed (Italik)"/>
    <tableColumn id="10" xr3:uid="{E9820074-E7F3-43F7-BFDE-64D388584B72}" name="Serial No." dataCellStyle="Body Boxed (Italik)"/>
    <tableColumn id="11" xr3:uid="{417AB34E-A2EC-485F-A986-C228CE8743A4}" name="Firmware" dataCellStyle="Body Boxed (Italik)"/>
    <tableColumn id="12" xr3:uid="{ED16E053-37C8-4729-AB69-8A83922F95B8}" name="MAC Address" dataCellStyle="Body Boxed (Italik)"/>
    <tableColumn id="13" xr3:uid="{07BC0737-AAF5-4D3A-860D-6BE6E051026F}" name="MAC Address2" dataCellStyle="Body Boxed (Italik)"/>
    <tableColumn id="14" xr3:uid="{2EC7B355-5FDA-467E-ADFD-47C37DC41908}" name="Asset No." dataCellStyle="Body Boxed (Italik)"/>
    <tableColumn id="15" xr3:uid="{F2D0703F-4795-4C20-847D-D5F733141164}" name="VLAN" dataCellStyle="Body Boxed (Italik)"/>
    <tableColumn id="17" xr3:uid="{B34F1C21-EB7F-4597-A386-E816803B3ADD}" name="Net Name" dataCellStyle="Body Boxed (Italik)"/>
    <tableColumn id="18" xr3:uid="{4F88F8C0-0E1D-4156-99BE-82172E8DA81C}" name="Network" dataCellStyle="Body Boxed (Italik)"/>
    <tableColumn id="19" xr3:uid="{5D428A0B-901D-41AF-B849-3CF7C8AB3DC5}" name="IP Address" dataCellStyle="Body Boxed (Italik)"/>
    <tableColumn id="20" xr3:uid="{A5754B61-DC7D-4299-B78F-CA573A466FD8}" name="Comment" dataCellStyle="Body Boxed (Italik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CB88F2-96DD-43A8-8D02-FBCD3BCF7031}" name="SWITCH_TABLE" displayName="SWITCH_TABLE" ref="B3:BH81" totalsRowShown="0" headerRowDxfId="1680" tableBorderDxfId="1679" headerRowCellStyle="Heading 2 (Italik)">
  <autoFilter ref="B3:BH81" xr:uid="{DA63CD62-6FC2-47D6-92A8-2CC88F09F77D}"/>
  <tableColumns count="59">
    <tableColumn id="1" xr3:uid="{2117FB64-FA86-480F-BDC9-F6A7B90AF7E7}" name="Device Name" dataCellStyle="Entry Lookup (Italik)"/>
    <tableColumn id="2" xr3:uid="{34A1C20C-37C4-4030-A432-AA3F7CF79284}" name="Hostname" dataDxfId="1678" dataCellStyle="Body Boxed (Italik)"/>
    <tableColumn id="3" xr3:uid="{7D213EE3-94BD-4F45-978E-35516B8C27DD}" name="Role" dataDxfId="1677" dataCellStyle="Body Boxed (Italik)"/>
    <tableColumn id="4" xr3:uid="{8BFF5294-9FDA-4E2E-9144-30A168A8A245}" name="Status" dataDxfId="1676" dataCellStyle="Body Boxed (Italik)"/>
    <tableColumn id="5" xr3:uid="{BE4D96F9-3E64-4F0A-8FED-A7034F3295AA}" name="Column1" dataCellStyle="Body Subtitle (Italik)"/>
    <tableColumn id="6" xr3:uid="{3871D5EF-3540-49DD-ADA0-61B4244F8B4B}" name="Site" dataDxfId="1675" dataCellStyle="Body Boxed (Italik)"/>
    <tableColumn id="7" xr3:uid="{35EB7865-28BE-4712-A7AA-842A73D6F518}" name="Location" dataDxfId="1674" dataCellStyle="Body Boxed (Italik)"/>
    <tableColumn id="8" xr3:uid="{963F1EA5-A3FB-4FF4-A7A0-CFB0F3A6F170}" name="Model" dataDxfId="1673" dataCellStyle="Body Boxed (Italik)"/>
    <tableColumn id="9" xr3:uid="{AD9040DF-205E-4F79-B646-8E2F567FB17D}" name="Family" dataDxfId="1672" dataCellStyle="Body Boxed (Italik)"/>
    <tableColumn id="10" xr3:uid="{03CC9730-B0D9-445D-8F64-D6EC899133D7}" name="Ports" dataDxfId="1671" dataCellStyle="Body Boxed (Italik)"/>
    <tableColumn id="11" xr3:uid="{02BC15A3-AD6A-4F5C-886B-DAFE8BEE3265}" name="Port Desc" dataDxfId="1670" dataCellStyle="Body Boxed (Italik)"/>
    <tableColumn id="12" xr3:uid="{9F9BBD29-DFE0-4DBB-9871-546732AAF95F}" name="UpLinks" dataDxfId="1669" dataCellStyle="Body Boxed (Italik)"/>
    <tableColumn id="13" xr3:uid="{5A73B57C-90B4-4E79-BBBB-B2409CDA167B}" name="Uplink Desc" dataDxfId="1668" dataCellStyle="Body Boxed (Italik)"/>
    <tableColumn id="14" xr3:uid="{CA80E854-7383-4C4A-9264-1534673920B9}" name="Stacked" dataDxfId="1667" dataCellStyle="Body Boxed (Italik)"/>
    <tableColumn id="15" xr3:uid="{E95D7D9F-A648-421E-8622-18C9BC716715}" name="Serial No." dataDxfId="1666" dataCellStyle="Body Boxed (Italik)"/>
    <tableColumn id="16" xr3:uid="{B98DFF4D-6DD5-4948-9F6A-4A1DF4566B3F}" name="Box" dataDxfId="1665" dataCellStyle="Body Boxed (Italik)"/>
    <tableColumn id="17" xr3:uid="{2E1EB369-D658-4AA8-A5D7-CBDCB89CB823}" name="Firmware" dataDxfId="1664" dataCellStyle="Body Boxed (Italik)"/>
    <tableColumn id="18" xr3:uid="{BF8AF2AB-BBB6-4B72-AA09-F4FBC62CFE46}" name="MAC Address" dataDxfId="1663" dataCellStyle="Body Boxed (Italik)"/>
    <tableColumn id="19" xr3:uid="{3F968FF9-DFE0-4C5F-8F19-9297B7A9FE34}" name="Asset No." dataDxfId="1662" dataCellStyle="Body Boxed (Italik)"/>
    <tableColumn id="20" xr3:uid="{1FD2037E-4016-4F52-98EC-767191493F54}" name="Dimentions" dataDxfId="1661" dataCellStyle="Body Boxed (Italik)"/>
    <tableColumn id="21" xr3:uid="{40814449-EFE4-4C48-9D75-9E9B36BDAA47}" name="Rack U" dataDxfId="1660" dataCellStyle="Body Boxed (Italik)"/>
    <tableColumn id="22" xr3:uid="{BCF94F29-C93A-427A-91F6-0E7CC3BFF2D1}" name="Weight" dataDxfId="1659" dataCellStyle="Body Boxed (Italik)"/>
    <tableColumn id="23" xr3:uid="{DDF5413E-1243-482F-BE97-D91FE4527996}" name="No PSU" dataDxfId="1658" dataCellStyle="Body Boxed (Italik)"/>
    <tableColumn id="24" xr3:uid="{702DD769-C52D-4B58-A71E-900748430685}" name="BTU/hr" dataDxfId="1657" dataCellStyle="Body Boxed (Italik)"/>
    <tableColumn id="25" xr3:uid="{EDDB753C-4004-49FA-9B1B-4CBE9E8AC1E6}" name="BTU W" dataDxfId="1656" dataCellStyle="Body Boxed (Italik)"/>
    <tableColumn id="26" xr3:uid="{A8AFD891-7996-4490-97C4-8DC1133AF1D9}" name="#" dataCellStyle="Body Subtitle (Italik)"/>
    <tableColumn id="27" xr3:uid="{EADEB82E-76B6-4DCA-BB81-D11F76B98D45}" name="Net Name" dataDxfId="1655" dataCellStyle="Body Boxed (Italik)"/>
    <tableColumn id="28" xr3:uid="{852AA4AE-9E37-41DF-9218-C5B4578E599F}" name="VLAN" dataDxfId="1654" dataCellStyle="Body Boxed (Italik)"/>
    <tableColumn id="29" xr3:uid="{7DD4C880-9FF4-4CC7-818C-B56C5FD2C214}" name="Network" dataDxfId="1653" dataCellStyle="Body Boxed (Italik)"/>
    <tableColumn id="30" xr3:uid="{EA09546F-2760-411F-BB49-412B56120B6A}" name="IP Address" dataDxfId="1652" dataCellStyle="Body Boxed (Italik)"/>
    <tableColumn id="31" xr3:uid="{75BDDFA6-1F82-4027-BDE8-978F76C62035}" name="#2" dataCellStyle="Body Subtitle (Italik)"/>
    <tableColumn id="32" xr3:uid="{D47DF3F6-2E2E-4E12-9022-8A49889C0BAE}" name="Stack Name" dataDxfId="1651" dataCellStyle="Body Boxed (Italik)"/>
    <tableColumn id="33" xr3:uid="{D77664BC-B5CD-4AB1-8C31-837B7B668D47}" name="Unit ID" dataDxfId="1650" dataCellStyle="Body Boxed (Italik)"/>
    <tableColumn id="34" xr3:uid="{A6B50736-3C6D-426F-8F5E-74F435D41E89}" name="Unit Count" dataDxfId="1649" dataCellStyle="Body Boxed (Italik)"/>
    <tableColumn id="35" xr3:uid="{5B5917E3-040D-4D53-994D-1426036EB592}" name="Stack Port 1" dataCellStyle="Entry Number (Italik)"/>
    <tableColumn id="36" xr3:uid="{81198DDA-C055-4220-AE64-115459900136}" name="Stack Port 1 SFP" dataCellStyle="Entry Lookup (Italik)"/>
    <tableColumn id="37" xr3:uid="{39F32768-B8B5-4ED2-BA6D-A70310A0C7CC}" name="Next ID" dataDxfId="1648" dataCellStyle="Body Boxed (Italik)"/>
    <tableColumn id="38" xr3:uid="{E411CF56-6A27-4002-9222-520D32229009}" name="Next Unit" dataDxfId="1647" dataCellStyle="Body Boxed (Italik)"/>
    <tableColumn id="39" xr3:uid="{FA4010A3-A69D-4492-B7BD-562245EADD01}" name="Next Port" dataDxfId="1646" dataCellStyle="Body Boxed (Italik)"/>
    <tableColumn id="40" xr3:uid="{BDE10054-F288-42AE-A868-D36EA2798F78}" name="#3" dataCellStyle="Body Subtitle (Italik)"/>
    <tableColumn id="41" xr3:uid="{91DE0491-E181-49A8-9892-086CB86BACBA}" name="Stack Port 2" dataDxfId="1645" dataCellStyle="Body Boxed (Italik)"/>
    <tableColumn id="42" xr3:uid="{3C8531E0-0B8B-4D59-B4E3-8A4E88793D59}" name="Stack Port 2 SFP" dataDxfId="1644" dataCellStyle="Body Boxed (Italik)"/>
    <tableColumn id="43" xr3:uid="{1EFDD31D-5566-4818-9791-BD83DDD28CE5}" name="Prev ID" dataDxfId="1643" dataCellStyle="Body Boxed (Italik)"/>
    <tableColumn id="44" xr3:uid="{C0F9E51C-D6F2-4BCD-8F5B-786934EC912B}" name="Prev Unit" dataDxfId="1642" dataCellStyle="Body Boxed (Italik)"/>
    <tableColumn id="45" xr3:uid="{1574B6B6-47D5-4A46-8C8B-75650F7BC566}" name="Prev Port" dataDxfId="1641" dataCellStyle="Body Boxed (Italik)"/>
    <tableColumn id="46" xr3:uid="{F996F460-D8CE-44C1-9F07-3B9F0D1DED02}" name="#4" dataCellStyle="Body Subtitle (Italik)"/>
    <tableColumn id="47" xr3:uid="{64E8C522-40D6-4CB0-8F78-5924CAA0A365}" name="Uplink Port 1" dataCellStyle="Entry (Italik) 3"/>
    <tableColumn id="48" xr3:uid="{653A27D1-F4A3-4F26-944A-B1B9D5CF0570}" name="Uplink 1 SFP" dataDxfId="1640" dataCellStyle="Entry Lookup (Italik) 2"/>
    <tableColumn id="49" xr3:uid="{6611F14E-C983-4496-B671-6055D48F4A12}" name="Remote Device 1" dataCellStyle="Entry Lookup (Italik) 2"/>
    <tableColumn id="50" xr3:uid="{3B4DE637-9A52-4CFB-BF75-74752A54FB79}" name="Remote Port 1" dataCellStyle="Entry (Italik) 3"/>
    <tableColumn id="51" xr3:uid="{E4576699-1AEA-4A1D-B7B7-32CCD9699AB9}" name="#5" dataCellStyle="Body Subtitle (Italik) 3"/>
    <tableColumn id="52" xr3:uid="{BDE3CD25-F3E5-4437-8467-1727DE68DEA1}" name="Uplink Port 2" dataCellStyle="Entry (Italik) 3"/>
    <tableColumn id="53" xr3:uid="{7B990354-0758-4028-8B85-8C3D1F74A6F5}" name="Uplink 2 SFP" dataDxfId="1639" dataCellStyle="Entry Lookup (Italik) 2"/>
    <tableColumn id="54" xr3:uid="{FF06224A-3083-49A5-93F1-8FF1DF55EFCA}" name="Remote Device 2" dataCellStyle="Entry Lookup (Italik) 2"/>
    <tableColumn id="55" xr3:uid="{672ADF4F-7B4E-4F42-B071-BAA9EF1B8931}" name="Remote Port 2" dataCellStyle="Entry (Italik) 3"/>
    <tableColumn id="56" xr3:uid="{035E29D0-9896-4CAE-9CE5-BC361D80C39A}" name="Local EC" dataDxfId="1638" dataCellStyle="Body Boxed (Italik) 2"/>
    <tableColumn id="57" xr3:uid="{2A71FE59-4952-415F-94A1-908F455AC344}" name="Remote EC" dataDxfId="1637" dataCellStyle="Body Boxed (Italik) 2"/>
    <tableColumn id="58" xr3:uid="{FAF9E630-29AE-47D8-9F28-C9712728A02E}" name="#6" dataCellStyle="Body Subtitle (Italik) 3"/>
    <tableColumn id="59" xr3:uid="{248632CB-4CDE-4483-BB9D-B263D0510ED7}" name="Comments" dataCellStyle="Entry Number (Italik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A3B888-BBB5-4659-B2F6-82916FE0BCC8}" name="CONNECTIONS_TABLE" displayName="CONNECTIONS_TABLE" ref="B3:V344" totalsRowShown="0" headerRowDxfId="1382" tableBorderDxfId="1381" headerRowCellStyle="Heading 5 (Italik)">
  <autoFilter ref="B3:V344" xr:uid="{A0765E26-9598-4A6C-8F4E-CF45F0B6FCDE}"/>
  <tableColumns count="21">
    <tableColumn id="1" xr3:uid="{CA33163B-4182-4B93-A45A-0FFF041D79BA}" name="Device Name" dataDxfId="1380" dataCellStyle="Entry Lookup (Italik)"/>
    <tableColumn id="2" xr3:uid="{F6EA1EBF-AA43-4B2C-9831-C54758B4D487}" name="Device Port" dataDxfId="1379" dataCellStyle="Entry Number (Italik)"/>
    <tableColumn id="3" xr3:uid="{2112FC19-8DA3-422B-BCB5-113F1F2BD8E2}" name="Role" dataDxfId="1378" dataCellStyle="Body Boxed (Italik)"/>
    <tableColumn id="4" xr3:uid="{F3CA4302-E1A2-4B05-83E8-2EC8A7BF3D64}" name="Description" dataDxfId="1377" dataCellStyle="Body Boxed (Italik)"/>
    <tableColumn id="5" xr3:uid="{22F78A0C-8A88-40DF-BE2C-E5FA2360AC6F}" name="#" dataDxfId="1376" dataCellStyle="Body Subtitle (Italik)"/>
    <tableColumn id="6" xr3:uid="{69156DBB-77A4-4BA1-AEDC-5DC9534B4517}" name="Site" dataDxfId="1375" dataCellStyle="Body Boxed (Italik)"/>
    <tableColumn id="7" xr3:uid="{50E617EF-1CEB-45A7-A76F-14905701136D}" name="Location" dataDxfId="1374" dataCellStyle="Body Boxed (Italik)">
      <calculatedColumnFormula>IF(B4="","",VLOOKUP(B4,DEVICE_TABLE[#Data],MATCH(H$3,DEVICE_TABLE[#Headers],0),FALSE))</calculatedColumnFormula>
    </tableColumn>
    <tableColumn id="8" xr3:uid="{B3F13E4A-DE3E-416E-A10D-279B9E5FFF9A}" name="Status" dataDxfId="1373" dataCellStyle="Entry Lookup (Italik) 2"/>
    <tableColumn id="9" xr3:uid="{EFE46054-63AA-4336-BAD8-CC05EEE0162A}" name="Switch" dataDxfId="1372" dataCellStyle="Entry Lookup (Italik) 2"/>
    <tableColumn id="10" xr3:uid="{E400D5A5-19E3-4195-BB48-DD44F89F88DE}" name="Switch Port" dataDxfId="1371" dataCellStyle="Entry Lookup (Italik) 2"/>
    <tableColumn id="11" xr3:uid="{3E2F89A7-20B2-493A-9A65-61A67F14C64F}" name="Switch-Port" dataDxfId="1370" dataCellStyle="Body Boxed (Italik)"/>
    <tableColumn id="12" xr3:uid="{40BA975B-A9E7-45C1-8062-531D9298D1CD}" name="Type" dataDxfId="1369" dataCellStyle="Entry Lookup (Italik) 2"/>
    <tableColumn id="13" xr3:uid="{444ACCDE-0EE9-41C8-A17C-C8C0FB0E23B4}" name="Speed/Duplex" dataDxfId="1368" dataCellStyle="Entry Lookup (Italik) 2"/>
    <tableColumn id="14" xr3:uid="{5349A090-D13A-4DBE-AC04-7E95365F82BE}" name="EC No" dataDxfId="1367" dataCellStyle="Entry Number (Italik)"/>
    <tableColumn id="15" xr3:uid="{2E8DB766-E684-43BB-AEDE-81F33432366E}" name="VLAN" dataDxfId="1366" dataCellStyle="Entry Number (Italik)"/>
    <tableColumn id="16" xr3:uid="{4B7F12B3-CAE4-469C-9A57-E0EEF8FA7917}" name="Net Name" dataDxfId="1365" dataCellStyle="Body Boxed (Italik) 2">
      <calculatedColumnFormula>IF(L4="","",IFERROR(VLOOKUP(UPPER($G4)&amp;"/"&amp;$P4,NETWORKS_TABLE[],MATCH(Q$3,NETWORKS_TABLE[#Headers],0),FALSE),""))</calculatedColumnFormula>
    </tableColumn>
    <tableColumn id="17" xr3:uid="{AF96ABE2-3B20-4058-AAA9-A35CE925BF31}" name="Network" dataDxfId="1364" dataCellStyle="Body Boxed (Italik) 2">
      <calculatedColumnFormula>IF(B4="","",IFERROR(VLOOKUP(UPPER($G4)&amp;"/"&amp;$P4,NETWORKS_TABLE[],MATCH(R$3,NETWORKS_TABLE[#Headers],0),FALSE),""))</calculatedColumnFormula>
    </tableColumn>
    <tableColumn id="19" xr3:uid="{361552D5-C1E5-4235-AFBB-37690188AB58}" name="IP Address" dataDxfId="1363" dataCellStyle="Entry Number (Italik)"/>
    <tableColumn id="20" xr3:uid="{C2A4836C-B9D8-4D4F-BF99-0B39F7FCB358}" name="Native VLAN" dataDxfId="1362" dataCellStyle="Entry Number (Italik)"/>
    <tableColumn id="21" xr3:uid="{392ED6C8-D60F-435F-8D12-FA3EE777DD30}" name="VLAN Allowed" dataDxfId="1361" dataCellStyle="Entry Number (Italik)"/>
    <tableColumn id="22" xr3:uid="{CCC0D4EC-51C1-471B-B46E-9D2FF3965C93}" name="Comments" dataDxfId="1360" dataCellStyle="Entry Number (Italik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B91518-F9AA-4DE8-B01C-33B6C327DFE0}" name="MODEL_TABLE" displayName="MODEL_TABLE" ref="B5:AA16" totalsRowShown="0" tableBorderDxfId="2" headerRowCellStyle="Heading 5 (Italik)" dataCellStyle="Entry Number (Italik)">
  <autoFilter ref="B5:AA16" xr:uid="{4137B57F-6A61-4518-A9BF-235A6679AE00}"/>
  <tableColumns count="26">
    <tableColumn id="1" xr3:uid="{185B5A9C-0CE1-481B-8B7E-242A36C7034E}" name="Model" dataCellStyle="Body Subtitle (Italik)"/>
    <tableColumn id="2" xr3:uid="{DA916D28-7F3E-46CC-9889-FF8349611935}" name="Supplier" dataCellStyle="Entry Number (Italik)"/>
    <tableColumn id="3" xr3:uid="{979CA934-2C00-4A91-9640-F750E164DAD3}" name="Family" dataCellStyle="Entry Number (Italik)"/>
    <tableColumn id="4" xr3:uid="{C2EC6B11-2DFF-4A4D-93B4-168128F29C50}" name="Description" dataCellStyle="Entry Number (Italik)"/>
    <tableColumn id="5" xr3:uid="{0991E7EA-6683-47DB-9244-4B0C54946A59}" name="License" dataCellStyle="Entry Number (Italik)"/>
    <tableColumn id="7" xr3:uid="{3B55FF10-B819-481B-A230-1CCE072921F7}" name="Ports" dataCellStyle="Entry Number (Italik)"/>
    <tableColumn id="23" xr3:uid="{A054CDA1-9D7F-42FC-8ADA-D58F0CEE5AFF}" name="Port Type" dataCellStyle="Entry Number (Italik)"/>
    <tableColumn id="6" xr3:uid="{99F24DDC-FD0E-41CD-A7A1-29353020891A}" name="Port Desc" dataCellStyle="Entry Number (Italik)"/>
    <tableColumn id="8" xr3:uid="{CA24756E-0064-47E1-A285-74BED51BDD6B}" name="PoE Count" dataCellStyle="Entry Number (Italik)"/>
    <tableColumn id="10" xr3:uid="{8B0628DC-3E57-437D-BBF9-2333BEA5BCDC}" name="Uplinks" dataCellStyle="Entry Number (Italik)"/>
    <tableColumn id="24" xr3:uid="{C6D7530D-8E5C-41CC-8596-6AEA413D9870}" name="Uplink Type" dataCellStyle="Entry Number (Italik)"/>
    <tableColumn id="26" xr3:uid="{C07BCAB2-C368-48F0-84F2-B6973669AE2C}" name="Uplink Module" dataCellStyle="Entry Number (Italik)"/>
    <tableColumn id="25" xr3:uid="{011A5C98-8640-4D6E-9CE5-2AF7E6FB26DD}" name="Uplink Port" dataCellStyle="Entry Number (Italik)"/>
    <tableColumn id="9" xr3:uid="{FBB3BE52-CB51-4F7E-85A9-F205D0333678}" name="Uplink Desc" dataCellStyle="Entry Number (Italik)"/>
    <tableColumn id="11" xr3:uid="{93EA22FA-6F5F-4EA0-8035-1B4DF091A8CD}" name="Dimentions" dataCellStyle="Entry Number (Italik)"/>
    <tableColumn id="12" xr3:uid="{BF89A6F2-8BBF-4992-8F61-C9FC507BFF80}" name="Rack U" dataCellStyle="Entry Number (Italik)"/>
    <tableColumn id="13" xr3:uid="{C429060A-C059-4C89-9EAF-7BB3AA0BAA97}" name="Weight" dataCellStyle="Entry Number (Italik)"/>
    <tableColumn id="14" xr3:uid="{1A33332E-D766-47AF-86AF-DB38A3D4F67D}" name="No PSU" dataCellStyle="Entry Number (Italik)"/>
    <tableColumn id="15" xr3:uid="{6B76CED3-C44C-4047-8F08-736D5EF55ED1}" name="Input voltage" dataCellStyle="Entry Number (Italik)"/>
    <tableColumn id="16" xr3:uid="{18100C75-2E09-49CA-9A51-7B03D064E367}" name="Operating temp" dataCellStyle="Entry Number (Italik)"/>
    <tableColumn id="17" xr3:uid="{B8571D7D-0D65-4C7E-950E-2D4D96665EBB}" name="Relative humidity" dataCellStyle="Entry Number (Italik)"/>
    <tableColumn id="18" xr3:uid="{AD284DDB-788A-41AA-A104-15483EB55F35}" name="MTBF (Hrs)" dataDxfId="1" dataCellStyle="Entry Number (Italik)"/>
    <tableColumn id="19" xr3:uid="{7D5A2163-499A-4F9B-A999-2A5C2A26A411}" name="Max Power" dataCellStyle="Entry Number (Italik)"/>
    <tableColumn id="20" xr3:uid="{E6220F8D-A8A7-4B40-8347-24AD6BEA6129}" name="Base PoE" dataCellStyle="Entry Number (Italik)"/>
    <tableColumn id="21" xr3:uid="{7DB60A55-E55A-4BBE-8BF1-875AAF02A464}" name="BTU/hr" dataCellStyle="Entry Number (Italik)"/>
    <tableColumn id="22" xr3:uid="{99B56225-A82E-4DE0-96EE-B2121B0B9CEB}" name="BTU W" dataDxfId="0" dataCellStyle="Entry Number (Italik)">
      <calculatedColumnFormula>Z6/1000*293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Steven.Ricks@fgh-uk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10.emf"/><Relationship Id="rId4" Type="http://schemas.openxmlformats.org/officeDocument/2006/relationships/package" Target="../embeddings/Microsoft_Visio_Drawing.vsdx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A4485-6819-4514-8FE4-99D5432FC1EC}">
  <sheetPr codeName="Sheet1"/>
  <dimension ref="B1:L63"/>
  <sheetViews>
    <sheetView showGridLines="0" zoomScaleNormal="100" zoomScalePageLayoutView="90" workbookViewId="0">
      <selection activeCell="J47" sqref="J47"/>
    </sheetView>
  </sheetViews>
  <sheetFormatPr defaultRowHeight="10.199999999999999"/>
  <cols>
    <col min="1" max="1" width="8.6640625" customWidth="1"/>
    <col min="2" max="2" width="11.6640625" customWidth="1"/>
    <col min="3" max="3" width="14.33203125" customWidth="1"/>
    <col min="4" max="4" width="11.44140625" customWidth="1"/>
    <col min="5" max="5" width="12.44140625" customWidth="1"/>
    <col min="6" max="8" width="15.6640625" customWidth="1"/>
    <col min="9" max="9" width="3.6640625" customWidth="1"/>
    <col min="10" max="10" width="6.33203125" customWidth="1"/>
    <col min="11" max="11" width="28.44140625" customWidth="1"/>
  </cols>
  <sheetData>
    <row r="1" spans="3:12" ht="12.75" customHeight="1"/>
    <row r="2" spans="3:12" ht="13.5" customHeight="1"/>
    <row r="3" spans="3:12" ht="13.5" customHeight="1">
      <c r="C3" s="1"/>
    </row>
    <row r="4" spans="3:12" ht="12.75" customHeight="1"/>
    <row r="5" spans="3:12" ht="12.75" customHeight="1"/>
    <row r="6" spans="3:12" ht="12.75" customHeight="1">
      <c r="E6" s="2" t="s">
        <v>0</v>
      </c>
      <c r="F6" s="2" t="s">
        <v>1</v>
      </c>
      <c r="G6" s="2" t="s">
        <v>2</v>
      </c>
      <c r="H6" s="2" t="s">
        <v>3</v>
      </c>
      <c r="I6" s="2"/>
      <c r="J6" s="3"/>
      <c r="K6" s="4"/>
      <c r="L6" s="5"/>
    </row>
    <row r="10" spans="3:12" ht="12.75" customHeight="1"/>
    <row r="11" spans="3:12" ht="12.75" customHeight="1"/>
    <row r="21" spans="5:5" ht="12.75" customHeight="1"/>
    <row r="27" spans="5:5" ht="22.8">
      <c r="E27" s="6" t="s">
        <v>37</v>
      </c>
    </row>
    <row r="28" spans="5:5" ht="12.75" customHeight="1"/>
    <row r="29" spans="5:5" ht="12.75" customHeight="1"/>
    <row r="30" spans="5:5" ht="12.75" customHeight="1"/>
    <row r="31" spans="5:5" ht="12.75" customHeight="1"/>
    <row r="32" spans="5:5" ht="12.75" customHeight="1"/>
    <row r="35" spans="4:5" ht="17.399999999999999">
      <c r="E35" s="7" t="s">
        <v>2</v>
      </c>
    </row>
    <row r="36" spans="4:5" ht="13.2">
      <c r="E36" s="8" t="s">
        <v>38</v>
      </c>
    </row>
    <row r="39" spans="4:5" ht="16.8">
      <c r="D39" s="210"/>
      <c r="E39" s="210"/>
    </row>
    <row r="40" spans="4:5" ht="13.2">
      <c r="D40" s="211" t="s">
        <v>2874</v>
      </c>
      <c r="E40" s="211"/>
    </row>
    <row r="41" spans="4:5" ht="13.2">
      <c r="D41" s="211">
        <f ca="1">IF(LAST_SAVED&lt;&gt;"",LAST_SAVED,NOW())</f>
        <v>44028.72347222222</v>
      </c>
      <c r="E41" s="211"/>
    </row>
    <row r="58" spans="2:11" ht="12.75" customHeight="1">
      <c r="B58" s="212" t="s">
        <v>4</v>
      </c>
      <c r="C58" s="212"/>
      <c r="D58" s="212"/>
      <c r="E58" s="212"/>
      <c r="F58" s="212"/>
      <c r="G58" s="9"/>
      <c r="H58" s="9"/>
      <c r="I58" s="9"/>
    </row>
    <row r="59" spans="2:11" ht="12.75" customHeight="1">
      <c r="B59" s="212"/>
      <c r="C59" s="212"/>
      <c r="D59" s="212"/>
      <c r="E59" s="212"/>
      <c r="F59" s="212"/>
      <c r="G59" s="9"/>
      <c r="H59" s="9"/>
      <c r="I59" s="9"/>
      <c r="J59" s="9"/>
      <c r="K59" s="9"/>
    </row>
    <row r="60" spans="2:11">
      <c r="B60" s="212"/>
      <c r="C60" s="212"/>
      <c r="D60" s="212"/>
      <c r="E60" s="212"/>
      <c r="F60" s="212"/>
      <c r="G60" s="9"/>
      <c r="H60" s="9"/>
      <c r="I60" s="9"/>
      <c r="J60" s="9"/>
      <c r="K60" s="9"/>
    </row>
    <row r="61" spans="2:11">
      <c r="B61" s="212"/>
      <c r="C61" s="212"/>
      <c r="D61" s="212"/>
      <c r="E61" s="212"/>
      <c r="F61" s="212"/>
      <c r="G61" s="9"/>
      <c r="H61" s="9"/>
      <c r="I61" s="9"/>
      <c r="J61" s="9"/>
      <c r="K61" s="9"/>
    </row>
    <row r="62" spans="2:11">
      <c r="B62" s="9"/>
      <c r="C62" s="9"/>
      <c r="D62" s="9"/>
      <c r="E62" s="9"/>
      <c r="F62" s="9"/>
      <c r="G62" s="9"/>
      <c r="H62" s="9"/>
      <c r="I62" s="9"/>
    </row>
    <row r="63" spans="2:11">
      <c r="B63" s="10"/>
      <c r="C63" s="10"/>
      <c r="D63" s="10"/>
    </row>
  </sheetData>
  <sheetProtection selectLockedCells="1" selectUnlockedCells="1"/>
  <mergeCells count="4">
    <mergeCell ref="D39:E39"/>
    <mergeCell ref="D40:E40"/>
    <mergeCell ref="D41:E41"/>
    <mergeCell ref="B58:F61"/>
  </mergeCells>
  <pageMargins left="0.39370078740157483" right="0.39370078740157483" top="0.59055118110236227" bottom="0.39370078740157483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C87CF-EFC6-401F-8D8A-614503A2D0D0}">
  <sheetPr codeName="Sheet6"/>
  <dimension ref="A1:E38"/>
  <sheetViews>
    <sheetView showGridLines="0" topLeftCell="A19" zoomScale="115" zoomScaleNormal="115" workbookViewId="0">
      <selection activeCell="C36" sqref="C36"/>
    </sheetView>
  </sheetViews>
  <sheetFormatPr defaultRowHeight="10.199999999999999"/>
  <cols>
    <col min="1" max="1" width="1.6640625" customWidth="1"/>
    <col min="2" max="2" width="28.6640625" customWidth="1"/>
    <col min="3" max="3" width="45.6640625" customWidth="1"/>
    <col min="4" max="4" width="2.44140625" customWidth="1"/>
    <col min="5" max="5" width="33.6640625" customWidth="1"/>
  </cols>
  <sheetData>
    <row r="1" spans="1:3" ht="24" customHeight="1">
      <c r="A1" s="11" t="s">
        <v>5</v>
      </c>
      <c r="B1" s="12"/>
      <c r="C1" s="13" t="s">
        <v>78</v>
      </c>
    </row>
    <row r="2" spans="1:3" ht="13.2">
      <c r="B2" s="14"/>
      <c r="C2" s="14"/>
    </row>
    <row r="3" spans="1:3" ht="15.6">
      <c r="B3" s="15" t="s">
        <v>6</v>
      </c>
      <c r="C3" s="16" t="s">
        <v>7</v>
      </c>
    </row>
    <row r="4" spans="1:3">
      <c r="B4" s="17" t="s">
        <v>8</v>
      </c>
      <c r="C4" s="18" t="s">
        <v>37</v>
      </c>
    </row>
    <row r="5" spans="1:3">
      <c r="B5" s="17" t="s">
        <v>9</v>
      </c>
      <c r="C5" s="18" t="s">
        <v>26</v>
      </c>
    </row>
    <row r="6" spans="1:3">
      <c r="B6" s="19" t="s">
        <v>10</v>
      </c>
      <c r="C6" s="18" t="s">
        <v>41</v>
      </c>
    </row>
    <row r="7" spans="1:3">
      <c r="B7" s="19" t="s">
        <v>11</v>
      </c>
      <c r="C7" s="18" t="s">
        <v>41</v>
      </c>
    </row>
    <row r="8" spans="1:3">
      <c r="B8" s="17" t="s">
        <v>12</v>
      </c>
      <c r="C8" s="18" t="s">
        <v>38</v>
      </c>
    </row>
    <row r="9" spans="1:3">
      <c r="B9" s="17" t="s">
        <v>13</v>
      </c>
      <c r="C9" s="18" t="s">
        <v>39</v>
      </c>
    </row>
    <row r="10" spans="1:3">
      <c r="B10" s="17" t="s">
        <v>14</v>
      </c>
      <c r="C10" s="18" t="s">
        <v>2</v>
      </c>
    </row>
    <row r="11" spans="1:3">
      <c r="B11" s="17" t="s">
        <v>15</v>
      </c>
      <c r="C11" s="18" t="s">
        <v>42</v>
      </c>
    </row>
    <row r="12" spans="1:3">
      <c r="B12" s="19" t="s">
        <v>16</v>
      </c>
      <c r="C12" s="18" t="s">
        <v>2129</v>
      </c>
    </row>
    <row r="14" spans="1:3" ht="15.75" customHeight="1">
      <c r="B14" s="15" t="s">
        <v>17</v>
      </c>
      <c r="C14" s="20"/>
    </row>
    <row r="15" spans="1:3" ht="15.75" customHeight="1">
      <c r="B15" s="19" t="s">
        <v>18</v>
      </c>
      <c r="C15" s="21" t="s">
        <v>37</v>
      </c>
    </row>
    <row r="16" spans="1:3" ht="15.75" customHeight="1">
      <c r="B16" s="19" t="s">
        <v>19</v>
      </c>
      <c r="C16" s="22" t="s">
        <v>38</v>
      </c>
    </row>
    <row r="17" spans="2:5" ht="15.75" customHeight="1">
      <c r="B17" s="19" t="s">
        <v>20</v>
      </c>
      <c r="C17" s="22" t="s">
        <v>39</v>
      </c>
      <c r="E17" s="23"/>
    </row>
    <row r="18" spans="2:5" ht="15.75" customHeight="1">
      <c r="B18" s="19" t="s">
        <v>21</v>
      </c>
      <c r="C18" s="24" t="s">
        <v>2</v>
      </c>
      <c r="E18" s="23"/>
    </row>
    <row r="19" spans="2:5" ht="60" customHeight="1">
      <c r="B19" s="25" t="s">
        <v>22</v>
      </c>
      <c r="C19" s="26" t="s">
        <v>23</v>
      </c>
    </row>
    <row r="21" spans="2:5" ht="15.6">
      <c r="B21" s="15" t="s">
        <v>24</v>
      </c>
      <c r="C21" s="15"/>
    </row>
    <row r="22" spans="2:5" ht="15.75" customHeight="1">
      <c r="B22" s="19" t="s">
        <v>25</v>
      </c>
      <c r="C22" s="24" t="s">
        <v>26</v>
      </c>
    </row>
    <row r="23" spans="2:5" ht="15.75" customHeight="1">
      <c r="B23" s="19" t="s">
        <v>27</v>
      </c>
      <c r="C23" s="27" t="s">
        <v>28</v>
      </c>
    </row>
    <row r="24" spans="2:5" ht="15.75" customHeight="1">
      <c r="B24" s="19" t="s">
        <v>29</v>
      </c>
      <c r="C24" s="24" t="s">
        <v>40</v>
      </c>
    </row>
    <row r="25" spans="2:5" ht="15.75" customHeight="1">
      <c r="B25" s="19" t="s">
        <v>10</v>
      </c>
      <c r="C25" s="28" t="s">
        <v>41</v>
      </c>
    </row>
    <row r="26" spans="2:5" ht="15.75" customHeight="1">
      <c r="B26" s="19" t="s">
        <v>11</v>
      </c>
      <c r="C26" s="28" t="s">
        <v>41</v>
      </c>
    </row>
    <row r="27" spans="2:5" ht="15.75" customHeight="1">
      <c r="B27" s="19" t="s">
        <v>30</v>
      </c>
      <c r="C27" s="29" t="s">
        <v>42</v>
      </c>
      <c r="E27" s="23"/>
    </row>
    <row r="28" spans="2:5" ht="15.75" customHeight="1">
      <c r="B28" s="19" t="s">
        <v>31</v>
      </c>
      <c r="C28" s="30" t="s">
        <v>42</v>
      </c>
    </row>
    <row r="29" spans="2:5" ht="15.75" customHeight="1">
      <c r="B29" s="19" t="s">
        <v>32</v>
      </c>
      <c r="C29" s="31">
        <v>44028.72347222222</v>
      </c>
    </row>
    <row r="30" spans="2:5" ht="15.75" customHeight="1">
      <c r="B30" s="19" t="s">
        <v>33</v>
      </c>
      <c r="C30" s="30" t="s">
        <v>2129</v>
      </c>
    </row>
    <row r="31" spans="2:5" ht="90" customHeight="1">
      <c r="B31" s="32" t="s">
        <v>34</v>
      </c>
      <c r="C31" s="33"/>
    </row>
    <row r="32" spans="2:5" ht="15" customHeight="1">
      <c r="B32" s="34" t="s">
        <v>35</v>
      </c>
      <c r="C32" s="28" t="str" cm="1">
        <f t="array" aca="1" ref="C32" ca="1">CLIENT_ID&amp;" -  "&amp;DOCUMENT_TYPE&amp;" - "&amp;PROJECT&amp;" "&amp;YEAR(NOW())&amp;" v"&amp;DOCUMENT_NUMBER&amp;"r"&amp;REVISION_NUMBER</f>
        <v>FGH -  Infrastructure Design - Networking 2021 v1r1</v>
      </c>
    </row>
    <row r="34" spans="2:3" ht="15.6">
      <c r="B34" s="15" t="s">
        <v>36</v>
      </c>
      <c r="C34" s="15"/>
    </row>
    <row r="35" spans="2:3" ht="15" customHeight="1">
      <c r="B35" s="17"/>
      <c r="C35" s="35"/>
    </row>
    <row r="36" spans="2:3" ht="15" customHeight="1">
      <c r="B36" s="17"/>
      <c r="C36" s="35"/>
    </row>
    <row r="37" spans="2:3" ht="15" customHeight="1">
      <c r="B37" s="17"/>
      <c r="C37" s="35"/>
    </row>
    <row r="38" spans="2:3" ht="15" customHeight="1">
      <c r="B38" s="17"/>
      <c r="C38" s="35"/>
    </row>
  </sheetData>
  <conditionalFormatting sqref="C16">
    <cfRule type="cellIs" dxfId="1808" priority="7" stopIfTrue="1" operator="equal">
      <formula>4</formula>
    </cfRule>
  </conditionalFormatting>
  <conditionalFormatting sqref="C16">
    <cfRule type="colorScale" priority="8">
      <colorScale>
        <cfvo type="num" val="1"/>
        <cfvo type="num" val="2"/>
        <cfvo type="num" val="3"/>
        <color rgb="FFF8696B"/>
        <color rgb="FFFFEB84"/>
        <color rgb="FF63BE7B"/>
      </colorScale>
    </cfRule>
    <cfRule type="iconSet" priority="9">
      <iconSet iconSet="3Signs">
        <cfvo type="percent" val="0"/>
        <cfvo type="num" val="2"/>
        <cfvo type="num" val="3"/>
      </iconSet>
    </cfRule>
  </conditionalFormatting>
  <conditionalFormatting sqref="C22:C24">
    <cfRule type="colorScale" priority="5">
      <colorScale>
        <cfvo type="num" val="1"/>
        <cfvo type="num" val="2"/>
        <cfvo type="num" val="3"/>
        <color rgb="FFF8696B"/>
        <color rgb="FFFFEB84"/>
        <color rgb="FF63BE7B"/>
      </colorScale>
    </cfRule>
    <cfRule type="iconSet" priority="6">
      <iconSet iconSet="3Signs">
        <cfvo type="percent" val="0"/>
        <cfvo type="num" val="2"/>
        <cfvo type="num" val="3"/>
      </iconSet>
    </cfRule>
  </conditionalFormatting>
  <conditionalFormatting sqref="C26">
    <cfRule type="colorScale" priority="3">
      <colorScale>
        <cfvo type="num" val="1"/>
        <cfvo type="num" val="2"/>
        <cfvo type="num" val="3"/>
        <color rgb="FFF8696B"/>
        <color rgb="FFFFEB84"/>
        <color rgb="FF63BE7B"/>
      </colorScale>
    </cfRule>
    <cfRule type="iconSet" priority="4">
      <iconSet iconSet="3Signs">
        <cfvo type="percent" val="0"/>
        <cfvo type="num" val="2"/>
        <cfvo type="num" val="3"/>
      </iconSet>
    </cfRule>
  </conditionalFormatting>
  <conditionalFormatting sqref="C25">
    <cfRule type="colorScale" priority="1">
      <colorScale>
        <cfvo type="num" val="1"/>
        <cfvo type="num" val="2"/>
        <cfvo type="num" val="3"/>
        <color rgb="FFF8696B"/>
        <color rgb="FFFFEB84"/>
        <color rgb="FF63BE7B"/>
      </colorScale>
    </cfRule>
    <cfRule type="iconSet" priority="2">
      <iconSet iconSet="3Signs">
        <cfvo type="percent" val="0"/>
        <cfvo type="num" val="2"/>
        <cfvo type="num" val="3"/>
      </iconSet>
    </cfRule>
  </conditionalFormatting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&amp;G&amp;R&amp;K20265B&amp;B&amp;8&amp;"Georgia"_x000D_Client_x000D_&amp;B&amp;8Example Project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348E-42A9-4B87-A1C1-EC8A95C8B352}">
  <sheetPr codeName="Sheet4"/>
  <dimension ref="A1:J14"/>
  <sheetViews>
    <sheetView workbookViewId="0">
      <selection activeCell="H22" sqref="H22"/>
    </sheetView>
  </sheetViews>
  <sheetFormatPr defaultColWidth="9" defaultRowHeight="10.199999999999999"/>
  <cols>
    <col min="1" max="1" width="1.6640625" style="111" customWidth="1"/>
    <col min="2" max="2" width="18.21875" style="111" bestFit="1" customWidth="1"/>
    <col min="3" max="4" width="6.77734375" style="111" customWidth="1"/>
    <col min="5" max="5" width="33.33203125" style="111" customWidth="1"/>
    <col min="6" max="6" width="12.21875" style="111" bestFit="1" customWidth="1"/>
    <col min="7" max="7" width="22.109375" style="111" bestFit="1" customWidth="1"/>
    <col min="8" max="8" width="15.88671875" style="111" customWidth="1"/>
    <col min="9" max="9" width="17.44140625" style="111" customWidth="1"/>
    <col min="10" max="10" width="33.21875" style="111" customWidth="1"/>
    <col min="11" max="11" width="10.6640625" style="111" customWidth="1"/>
    <col min="12" max="16384" width="9" style="111"/>
  </cols>
  <sheetData>
    <row r="1" spans="1:10" ht="24" customHeight="1">
      <c r="A1" s="108" t="str">
        <f ca="1">MID(CELL("filename",A1),SEARCH("]",CELL("filename",A1))+1,99)</f>
        <v>Sites</v>
      </c>
      <c r="B1" s="108"/>
      <c r="C1" s="108"/>
      <c r="D1" s="108"/>
      <c r="E1" s="192"/>
      <c r="F1" s="108"/>
      <c r="G1" s="108"/>
      <c r="H1" s="108"/>
      <c r="I1" s="108"/>
      <c r="J1" s="193"/>
    </row>
    <row r="2" spans="1:10" ht="13.2">
      <c r="A2" s="194"/>
      <c r="B2" s="194"/>
      <c r="C2" s="194"/>
      <c r="D2" s="194"/>
      <c r="E2" s="194"/>
    </row>
    <row r="3" spans="1:10" ht="15.6">
      <c r="B3" s="160" t="s">
        <v>44</v>
      </c>
      <c r="C3" s="160" t="s">
        <v>2846</v>
      </c>
      <c r="D3" s="160" t="s">
        <v>43</v>
      </c>
      <c r="E3" s="160" t="s">
        <v>2847</v>
      </c>
      <c r="F3" s="160" t="s">
        <v>2848</v>
      </c>
      <c r="G3" s="160" t="s">
        <v>2849</v>
      </c>
      <c r="H3" s="160" t="s">
        <v>2850</v>
      </c>
      <c r="I3" s="160" t="s">
        <v>2851</v>
      </c>
      <c r="J3" s="160" t="s">
        <v>2852</v>
      </c>
    </row>
    <row r="4" spans="1:10" ht="27" customHeight="1">
      <c r="B4" s="195" t="s">
        <v>57</v>
      </c>
      <c r="C4" s="196" t="s">
        <v>2144</v>
      </c>
      <c r="D4" s="197">
        <v>101</v>
      </c>
      <c r="E4" s="198" t="s">
        <v>2853</v>
      </c>
      <c r="F4" s="199" t="s">
        <v>2854</v>
      </c>
      <c r="G4" s="199" t="s">
        <v>2855</v>
      </c>
      <c r="H4" s="199" t="s">
        <v>2856</v>
      </c>
      <c r="I4" s="199" t="s">
        <v>2857</v>
      </c>
      <c r="J4" s="195" t="s">
        <v>2858</v>
      </c>
    </row>
    <row r="5" spans="1:10" ht="24.75" customHeight="1">
      <c r="B5" s="195" t="s">
        <v>744</v>
      </c>
      <c r="C5" s="196" t="s">
        <v>2145</v>
      </c>
      <c r="D5" s="197">
        <v>102</v>
      </c>
      <c r="E5" s="198" t="s">
        <v>2859</v>
      </c>
      <c r="F5" s="199" t="s">
        <v>2860</v>
      </c>
      <c r="G5" s="199" t="s">
        <v>2861</v>
      </c>
      <c r="H5" s="199" t="s">
        <v>2862</v>
      </c>
      <c r="I5" s="199" t="s">
        <v>2863</v>
      </c>
      <c r="J5" s="195" t="s">
        <v>2864</v>
      </c>
    </row>
    <row r="6" spans="1:10" ht="21.15" customHeight="1">
      <c r="B6" s="195" t="s">
        <v>715</v>
      </c>
      <c r="C6" s="197" t="str">
        <f t="shared" ref="C6:C13" si="0">UPPER(LEFT(B6) &amp; RIGHT(B6))</f>
        <v>SD</v>
      </c>
      <c r="D6" s="197">
        <v>103</v>
      </c>
      <c r="E6" s="198" t="s">
        <v>2865</v>
      </c>
      <c r="F6" s="199" t="s">
        <v>2866</v>
      </c>
      <c r="G6" s="199"/>
      <c r="H6" s="199" t="s">
        <v>2867</v>
      </c>
      <c r="I6" s="199"/>
      <c r="J6" s="195"/>
    </row>
    <row r="7" spans="1:10" ht="20.399999999999999">
      <c r="B7" s="195" t="s">
        <v>67</v>
      </c>
      <c r="C7" s="197" t="str">
        <f t="shared" si="0"/>
        <v>HG</v>
      </c>
      <c r="D7" s="197">
        <v>104</v>
      </c>
      <c r="E7" s="198" t="s">
        <v>2868</v>
      </c>
      <c r="F7" s="199"/>
      <c r="G7" s="199"/>
      <c r="H7" s="199" t="s">
        <v>2869</v>
      </c>
      <c r="I7" s="199"/>
      <c r="J7" s="195"/>
    </row>
    <row r="8" spans="1:10" ht="40.799999999999997">
      <c r="B8" s="200" t="s">
        <v>864</v>
      </c>
      <c r="C8" s="197" t="str">
        <f t="shared" si="0"/>
        <v>GD</v>
      </c>
      <c r="D8" s="197">
        <v>105</v>
      </c>
      <c r="E8" s="198" t="s">
        <v>2870</v>
      </c>
      <c r="F8" s="199" t="s">
        <v>2871</v>
      </c>
      <c r="G8" s="199"/>
      <c r="H8" s="199" t="s">
        <v>2872</v>
      </c>
      <c r="I8" s="199"/>
      <c r="J8" s="199"/>
    </row>
    <row r="9" spans="1:10" ht="21.15" customHeight="1">
      <c r="B9" s="195"/>
      <c r="C9" s="197" t="str">
        <f t="shared" si="0"/>
        <v/>
      </c>
      <c r="D9" s="197">
        <v>106</v>
      </c>
      <c r="E9" s="198"/>
      <c r="F9" s="199"/>
      <c r="G9" s="199"/>
      <c r="H9" s="199"/>
      <c r="I9" s="199"/>
      <c r="J9" s="199"/>
    </row>
    <row r="10" spans="1:10" ht="21.15" customHeight="1">
      <c r="B10" s="195"/>
      <c r="C10" s="197" t="str">
        <f t="shared" si="0"/>
        <v/>
      </c>
      <c r="D10" s="197">
        <v>107</v>
      </c>
      <c r="E10" s="198"/>
      <c r="F10" s="199"/>
      <c r="G10" s="199"/>
      <c r="H10" s="199"/>
      <c r="I10" s="199"/>
      <c r="J10" s="199"/>
    </row>
    <row r="11" spans="1:10" ht="21.15" customHeight="1">
      <c r="B11" s="195"/>
      <c r="C11" s="197" t="str">
        <f t="shared" si="0"/>
        <v/>
      </c>
      <c r="D11" s="197">
        <v>108</v>
      </c>
      <c r="E11" s="198"/>
      <c r="F11" s="199"/>
      <c r="G11" s="199"/>
      <c r="H11" s="199"/>
      <c r="I11" s="199"/>
      <c r="J11" s="199"/>
    </row>
    <row r="12" spans="1:10" ht="21.15" customHeight="1">
      <c r="B12" s="195"/>
      <c r="C12" s="197" t="str">
        <f t="shared" si="0"/>
        <v/>
      </c>
      <c r="D12" s="197">
        <v>109</v>
      </c>
      <c r="E12" s="198"/>
      <c r="F12" s="199"/>
      <c r="G12" s="199"/>
      <c r="H12" s="199"/>
      <c r="I12" s="199"/>
      <c r="J12" s="199"/>
    </row>
    <row r="13" spans="1:10" ht="21.15" customHeight="1">
      <c r="B13" s="195"/>
      <c r="C13" s="197" t="str">
        <f t="shared" si="0"/>
        <v/>
      </c>
      <c r="D13" s="197">
        <v>110</v>
      </c>
      <c r="E13" s="198"/>
      <c r="F13" s="199"/>
      <c r="G13" s="199"/>
      <c r="H13" s="199"/>
      <c r="I13" s="199"/>
      <c r="J13" s="199"/>
    </row>
    <row r="14" spans="1:10">
      <c r="B14" s="201"/>
      <c r="C14" s="201"/>
      <c r="D14" s="201"/>
      <c r="E14" s="201"/>
      <c r="F14" s="201"/>
      <c r="G14" s="201"/>
      <c r="H14" s="201"/>
      <c r="I14" s="201"/>
      <c r="J14" s="201"/>
    </row>
  </sheetData>
  <hyperlinks>
    <hyperlink ref="J4" r:id="rId1" xr:uid="{EA805AF0-D042-4A6A-AB3A-E43D2DE70F80}"/>
  </hyperlinks>
  <pageMargins left="0.59055118110236227" right="0.59055118110236227" top="1.1811023622047245" bottom="0.98425196850393704" header="0.39370078740157483" footer="0.39370078740157483"/>
  <pageSetup paperSize="9" orientation="landscape" horizontalDpi="300" verticalDpi="300" r:id="rId2"/>
  <headerFooter>
    <oddHeader>&amp;L&amp;G&amp;C&amp;7
&amp;G&amp;R&amp;K20265B&amp;B&amp;8&amp;"Georgia"_x000D_Client_x000D_&amp;B&amp;8Project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85F61-21BD-48CB-8A91-F106B54086DB}">
  <sheetPr codeName="Sheet2">
    <tabColor rgb="FF7030A0"/>
  </sheetPr>
  <dimension ref="A1:E248"/>
  <sheetViews>
    <sheetView tabSelected="1" topLeftCell="A16" workbookViewId="0">
      <selection activeCell="E43" sqref="E43"/>
    </sheetView>
  </sheetViews>
  <sheetFormatPr defaultRowHeight="10.199999999999999"/>
  <cols>
    <col min="1" max="1" width="1.77734375" customWidth="1"/>
    <col min="2" max="2" width="19.109375" bestFit="1" customWidth="1"/>
    <col min="3" max="3" width="32.33203125" bestFit="1" customWidth="1"/>
    <col min="4" max="4" width="20" bestFit="1" customWidth="1"/>
    <col min="5" max="5" width="18.109375" bestFit="1" customWidth="1"/>
  </cols>
  <sheetData>
    <row r="1" spans="1:4" ht="21">
      <c r="A1" s="12" t="s">
        <v>2142</v>
      </c>
      <c r="B1" s="12"/>
      <c r="C1" s="12"/>
      <c r="D1" s="74"/>
    </row>
    <row r="2" spans="1:4" ht="13.2">
      <c r="A2" s="38"/>
      <c r="B2" s="38"/>
      <c r="C2" s="38"/>
      <c r="D2" s="40"/>
    </row>
    <row r="3" spans="1:4" ht="15.6">
      <c r="A3" s="40"/>
      <c r="B3" s="15" t="s">
        <v>2143</v>
      </c>
      <c r="C3" s="15" t="s">
        <v>2144</v>
      </c>
      <c r="D3" s="15" t="s">
        <v>2145</v>
      </c>
    </row>
    <row r="4" spans="1:4">
      <c r="A4" s="40"/>
      <c r="B4" s="17" t="s">
        <v>2146</v>
      </c>
      <c r="C4" s="50" t="s">
        <v>1932</v>
      </c>
      <c r="D4" s="50" t="s">
        <v>1969</v>
      </c>
    </row>
    <row r="5" spans="1:4">
      <c r="A5" s="40"/>
      <c r="B5" s="17" t="s">
        <v>2147</v>
      </c>
      <c r="C5" s="35" t="s">
        <v>2148</v>
      </c>
      <c r="D5" s="35" t="s">
        <v>2148</v>
      </c>
    </row>
    <row r="6" spans="1:4">
      <c r="A6" s="40"/>
      <c r="B6" s="17" t="s">
        <v>2149</v>
      </c>
      <c r="C6" s="35" t="s">
        <v>2150</v>
      </c>
      <c r="D6" s="35" t="s">
        <v>2150</v>
      </c>
    </row>
    <row r="7" spans="1:4">
      <c r="A7" s="40"/>
      <c r="B7" s="17" t="s">
        <v>2151</v>
      </c>
      <c r="C7" s="35" t="s">
        <v>2152</v>
      </c>
      <c r="D7" s="35" t="s">
        <v>2152</v>
      </c>
    </row>
    <row r="8" spans="1:4" ht="13.2">
      <c r="A8" s="38"/>
      <c r="B8" s="38"/>
      <c r="C8" s="38"/>
      <c r="D8" s="40"/>
    </row>
    <row r="9" spans="1:4" ht="13.2">
      <c r="A9" s="38"/>
      <c r="B9" s="38"/>
      <c r="C9" s="38"/>
      <c r="D9" s="40"/>
    </row>
    <row r="10" spans="1:4" ht="15.6">
      <c r="A10" s="40"/>
      <c r="B10" s="15" t="s">
        <v>2153</v>
      </c>
      <c r="C10" s="15"/>
      <c r="D10" s="40"/>
    </row>
    <row r="11" spans="1:4">
      <c r="A11" s="40"/>
      <c r="B11" s="17" t="s">
        <v>2154</v>
      </c>
      <c r="C11" s="35" t="s">
        <v>2155</v>
      </c>
      <c r="D11" s="40"/>
    </row>
    <row r="12" spans="1:4">
      <c r="A12" s="40"/>
      <c r="B12" s="17" t="s">
        <v>2156</v>
      </c>
      <c r="C12" s="35" t="s">
        <v>2157</v>
      </c>
      <c r="D12" s="40"/>
    </row>
    <row r="13" spans="1:4">
      <c r="A13" s="40"/>
      <c r="B13" s="40"/>
      <c r="C13" s="40"/>
      <c r="D13" s="40"/>
    </row>
    <row r="14" spans="1:4">
      <c r="A14" s="40"/>
      <c r="B14" s="40"/>
      <c r="C14" s="40"/>
      <c r="D14" s="40"/>
    </row>
    <row r="15" spans="1:4" ht="15.6">
      <c r="A15" s="40"/>
      <c r="B15" s="15" t="s">
        <v>2158</v>
      </c>
      <c r="C15" s="15"/>
      <c r="D15" s="40"/>
    </row>
    <row r="16" spans="1:4">
      <c r="A16" s="40"/>
      <c r="B16" s="17" t="s">
        <v>2159</v>
      </c>
      <c r="C16" s="35" t="s">
        <v>2160</v>
      </c>
      <c r="D16" s="73" t="s">
        <v>2161</v>
      </c>
    </row>
    <row r="17" spans="1:4">
      <c r="A17" s="40"/>
      <c r="B17" s="17" t="s">
        <v>2162</v>
      </c>
      <c r="C17" s="35" t="s">
        <v>2163</v>
      </c>
      <c r="D17" s="40"/>
    </row>
    <row r="18" spans="1:4">
      <c r="A18" s="40"/>
      <c r="B18" s="40"/>
      <c r="C18" s="40"/>
      <c r="D18" s="40"/>
    </row>
    <row r="19" spans="1:4">
      <c r="A19" s="40"/>
      <c r="B19" s="40"/>
      <c r="C19" s="40"/>
      <c r="D19" s="40"/>
    </row>
    <row r="20" spans="1:4" ht="15.6">
      <c r="A20" s="40"/>
      <c r="B20" s="15" t="s">
        <v>2164</v>
      </c>
      <c r="C20" s="15"/>
      <c r="D20" s="40"/>
    </row>
    <row r="21" spans="1:4">
      <c r="A21" s="40"/>
      <c r="B21" s="17" t="s">
        <v>2165</v>
      </c>
      <c r="C21" s="35" t="s">
        <v>2133</v>
      </c>
      <c r="D21" s="40"/>
    </row>
    <row r="22" spans="1:4">
      <c r="A22" s="40"/>
      <c r="B22" s="17" t="s">
        <v>2166</v>
      </c>
      <c r="C22" s="35" t="s">
        <v>2167</v>
      </c>
      <c r="D22" s="40"/>
    </row>
    <row r="23" spans="1:4">
      <c r="A23" s="40"/>
      <c r="B23" s="17" t="s">
        <v>2168</v>
      </c>
      <c r="C23" s="50" t="s">
        <v>1664</v>
      </c>
      <c r="D23" s="40"/>
    </row>
    <row r="24" spans="1:4">
      <c r="A24" s="40"/>
      <c r="B24" s="17" t="s">
        <v>2169</v>
      </c>
      <c r="C24" s="46" t="s">
        <v>1666</v>
      </c>
      <c r="D24" s="40"/>
    </row>
    <row r="25" spans="1:4">
      <c r="A25" s="40"/>
      <c r="B25" s="17" t="s">
        <v>2170</v>
      </c>
      <c r="C25" s="50" t="s">
        <v>1668</v>
      </c>
      <c r="D25" s="40"/>
    </row>
    <row r="26" spans="1:4">
      <c r="A26" s="40"/>
      <c r="B26" s="17" t="s">
        <v>2171</v>
      </c>
      <c r="C26" s="46" t="s">
        <v>1669</v>
      </c>
      <c r="D26" s="40"/>
    </row>
    <row r="27" spans="1:4">
      <c r="A27" s="40"/>
      <c r="B27" s="17" t="s">
        <v>2172</v>
      </c>
      <c r="C27" s="50" t="s">
        <v>1670</v>
      </c>
      <c r="D27" s="40"/>
    </row>
    <row r="28" spans="1:4">
      <c r="A28" s="40"/>
      <c r="B28" s="17" t="s">
        <v>2173</v>
      </c>
      <c r="C28" s="46" t="s">
        <v>1671</v>
      </c>
      <c r="D28" s="40"/>
    </row>
    <row r="29" spans="1:4">
      <c r="A29" s="40"/>
      <c r="B29" s="40"/>
      <c r="C29" s="40"/>
      <c r="D29" s="40"/>
    </row>
    <row r="30" spans="1:4">
      <c r="A30" s="40"/>
      <c r="B30" s="40"/>
      <c r="C30" s="40"/>
      <c r="D30" s="40"/>
    </row>
    <row r="31" spans="1:4" ht="15.6">
      <c r="A31" s="40"/>
      <c r="B31" s="15" t="s">
        <v>1658</v>
      </c>
      <c r="C31" s="15"/>
      <c r="D31" s="40"/>
    </row>
    <row r="32" spans="1:4">
      <c r="A32" s="40"/>
      <c r="B32" s="17" t="s">
        <v>2174</v>
      </c>
      <c r="C32" s="50" t="s">
        <v>1657</v>
      </c>
      <c r="D32" s="40"/>
    </row>
    <row r="33" spans="1:5">
      <c r="A33" s="40"/>
      <c r="B33" s="17" t="s">
        <v>1661</v>
      </c>
      <c r="C33" s="46" t="s">
        <v>1660</v>
      </c>
      <c r="D33" s="40"/>
    </row>
    <row r="34" spans="1:5">
      <c r="A34" s="40"/>
      <c r="B34" s="17" t="s">
        <v>2175</v>
      </c>
      <c r="C34" s="50" t="s">
        <v>1662</v>
      </c>
      <c r="D34" s="40"/>
    </row>
    <row r="35" spans="1:5">
      <c r="A35" s="40"/>
      <c r="B35" s="17" t="s">
        <v>2176</v>
      </c>
      <c r="C35" s="46" t="s">
        <v>1663</v>
      </c>
      <c r="D35" s="40"/>
    </row>
    <row r="36" spans="1:5">
      <c r="A36" s="40"/>
      <c r="B36" s="17" t="s">
        <v>2177</v>
      </c>
      <c r="C36" s="35"/>
      <c r="D36" s="40"/>
    </row>
    <row r="37" spans="1:5">
      <c r="A37" s="40"/>
      <c r="B37" s="17" t="s">
        <v>2178</v>
      </c>
      <c r="C37" s="46"/>
      <c r="D37" s="40"/>
    </row>
    <row r="38" spans="1:5">
      <c r="A38" s="40"/>
      <c r="B38" s="40"/>
      <c r="C38" s="40"/>
      <c r="D38" s="40"/>
    </row>
    <row r="39" spans="1:5">
      <c r="A39" s="40"/>
      <c r="B39" s="40"/>
      <c r="C39" s="40"/>
      <c r="D39" s="40"/>
    </row>
    <row r="40" spans="1:5" ht="15.6">
      <c r="A40" s="40"/>
      <c r="B40" s="15" t="s">
        <v>2179</v>
      </c>
      <c r="C40" s="15"/>
      <c r="D40" s="40"/>
    </row>
    <row r="41" spans="1:5">
      <c r="A41" s="40"/>
      <c r="B41" s="17" t="s">
        <v>2180</v>
      </c>
      <c r="C41" s="52" t="s">
        <v>2181</v>
      </c>
      <c r="D41" s="40"/>
    </row>
    <row r="42" spans="1:5">
      <c r="A42" s="40"/>
      <c r="B42" s="17" t="s">
        <v>2182</v>
      </c>
      <c r="C42" s="52" t="s">
        <v>2183</v>
      </c>
      <c r="D42" s="53" t="s">
        <v>2184</v>
      </c>
      <c r="E42" t="s">
        <v>2194</v>
      </c>
    </row>
    <row r="43" spans="1:5">
      <c r="A43" s="40"/>
      <c r="B43" s="17" t="s">
        <v>2185</v>
      </c>
      <c r="C43" s="53" t="s">
        <v>2186</v>
      </c>
      <c r="D43" s="40" t="s">
        <v>2187</v>
      </c>
      <c r="E43" t="s">
        <v>2416</v>
      </c>
    </row>
    <row r="44" spans="1:5">
      <c r="A44" s="40"/>
      <c r="B44" s="17" t="s">
        <v>2188</v>
      </c>
      <c r="C44" s="52" t="s">
        <v>2189</v>
      </c>
      <c r="D44" s="54" t="s">
        <v>2190</v>
      </c>
    </row>
    <row r="45" spans="1:5">
      <c r="A45" s="40"/>
      <c r="B45" s="40"/>
      <c r="C45" s="40"/>
      <c r="D45" s="40"/>
    </row>
    <row r="46" spans="1:5">
      <c r="A46" s="40"/>
      <c r="B46" s="40"/>
      <c r="C46" s="40"/>
      <c r="D46" s="40"/>
    </row>
    <row r="47" spans="1:5" ht="15.6">
      <c r="A47" s="40"/>
      <c r="B47" s="15" t="s">
        <v>2191</v>
      </c>
      <c r="C47" s="15"/>
      <c r="D47" s="40"/>
    </row>
    <row r="48" spans="1:5">
      <c r="A48" s="40"/>
      <c r="B48" s="17" t="s">
        <v>2192</v>
      </c>
      <c r="C48" s="52" t="s">
        <v>2193</v>
      </c>
      <c r="D48" s="40" t="s">
        <v>2194</v>
      </c>
    </row>
    <row r="49" spans="1:4">
      <c r="A49" s="40"/>
      <c r="B49" s="17" t="s">
        <v>2195</v>
      </c>
      <c r="C49" s="52" t="s">
        <v>2196</v>
      </c>
      <c r="D49" s="40" t="s">
        <v>2197</v>
      </c>
    </row>
    <row r="50" spans="1:4">
      <c r="A50" s="40"/>
      <c r="B50" s="17" t="s">
        <v>2198</v>
      </c>
      <c r="C50" s="52" t="s">
        <v>1654</v>
      </c>
      <c r="D50" s="40"/>
    </row>
    <row r="51" spans="1:4">
      <c r="A51" s="40"/>
      <c r="B51" s="40"/>
      <c r="C51" s="40"/>
      <c r="D51" s="40"/>
    </row>
    <row r="52" spans="1:4">
      <c r="A52" s="40"/>
      <c r="B52" s="40"/>
      <c r="C52" s="40"/>
      <c r="D52" s="40"/>
    </row>
    <row r="53" spans="1:4">
      <c r="A53" s="40"/>
      <c r="B53" s="40"/>
      <c r="C53" s="40"/>
      <c r="D53" s="40"/>
    </row>
    <row r="54" spans="1:4">
      <c r="A54" s="40"/>
      <c r="B54" s="40"/>
      <c r="C54" s="40"/>
      <c r="D54" s="40"/>
    </row>
    <row r="55" spans="1:4">
      <c r="A55" s="40"/>
      <c r="B55" s="40"/>
      <c r="C55" s="40"/>
      <c r="D55" s="40"/>
    </row>
    <row r="56" spans="1:4">
      <c r="A56" s="40"/>
      <c r="B56" s="40"/>
      <c r="C56" s="40"/>
      <c r="D56" s="40"/>
    </row>
    <row r="57" spans="1:4">
      <c r="A57" s="40"/>
      <c r="B57" s="40"/>
      <c r="C57" s="40"/>
      <c r="D57" s="40"/>
    </row>
    <row r="58" spans="1:4">
      <c r="A58" s="40"/>
      <c r="B58" s="40"/>
      <c r="C58" s="40"/>
      <c r="D58" s="40"/>
    </row>
    <row r="59" spans="1:4">
      <c r="A59" s="40"/>
      <c r="B59" s="40"/>
      <c r="C59" s="40"/>
      <c r="D59" s="40"/>
    </row>
    <row r="60" spans="1:4">
      <c r="A60" s="40"/>
      <c r="B60" s="40"/>
      <c r="C60" s="40"/>
      <c r="D60" s="40"/>
    </row>
    <row r="61" spans="1:4">
      <c r="A61" s="40"/>
      <c r="B61" s="40"/>
      <c r="C61" s="40"/>
      <c r="D61" s="40"/>
    </row>
    <row r="62" spans="1:4">
      <c r="A62" s="40"/>
      <c r="B62" s="40"/>
      <c r="C62" s="40"/>
      <c r="D62" s="40"/>
    </row>
    <row r="63" spans="1:4">
      <c r="A63" s="40"/>
      <c r="B63" s="40"/>
      <c r="C63" s="40"/>
      <c r="D63" s="40"/>
    </row>
    <row r="64" spans="1:4">
      <c r="A64" s="40"/>
      <c r="B64" s="40"/>
      <c r="C64" s="40"/>
      <c r="D64" s="40"/>
    </row>
    <row r="65" spans="1:4">
      <c r="A65" s="40"/>
      <c r="B65" s="40"/>
      <c r="C65" s="40"/>
      <c r="D65" s="40"/>
    </row>
    <row r="66" spans="1:4">
      <c r="A66" s="40"/>
      <c r="B66" s="40"/>
      <c r="C66" s="40"/>
      <c r="D66" s="40"/>
    </row>
    <row r="67" spans="1:4">
      <c r="A67" s="40"/>
      <c r="B67" s="40"/>
      <c r="C67" s="40"/>
      <c r="D67" s="40"/>
    </row>
    <row r="68" spans="1:4">
      <c r="A68" s="40"/>
      <c r="B68" s="40"/>
      <c r="C68" s="40"/>
      <c r="D68" s="40"/>
    </row>
    <row r="69" spans="1:4">
      <c r="A69" s="40"/>
      <c r="B69" s="40"/>
      <c r="C69" s="40"/>
      <c r="D69" s="40"/>
    </row>
    <row r="70" spans="1:4">
      <c r="A70" s="40"/>
      <c r="B70" s="40"/>
      <c r="C70" s="40"/>
      <c r="D70" s="40"/>
    </row>
    <row r="71" spans="1:4">
      <c r="A71" s="40"/>
      <c r="B71" s="40"/>
      <c r="C71" s="40"/>
      <c r="D71" s="40"/>
    </row>
    <row r="72" spans="1:4">
      <c r="A72" s="40"/>
      <c r="B72" s="40"/>
      <c r="C72" s="40"/>
      <c r="D72" s="40"/>
    </row>
    <row r="73" spans="1:4">
      <c r="A73" s="40"/>
      <c r="B73" s="40"/>
      <c r="C73" s="40"/>
      <c r="D73" s="40"/>
    </row>
    <row r="74" spans="1:4">
      <c r="A74" s="40"/>
      <c r="B74" s="40"/>
      <c r="C74" s="40"/>
      <c r="D74" s="40"/>
    </row>
    <row r="75" spans="1:4">
      <c r="A75" s="40"/>
      <c r="B75" s="40"/>
      <c r="C75" s="40"/>
      <c r="D75" s="40"/>
    </row>
    <row r="76" spans="1:4">
      <c r="A76" s="40"/>
      <c r="B76" s="40"/>
      <c r="C76" s="40"/>
      <c r="D76" s="40"/>
    </row>
    <row r="77" spans="1:4">
      <c r="A77" s="40"/>
      <c r="B77" s="40"/>
      <c r="C77" s="40"/>
      <c r="D77" s="40"/>
    </row>
    <row r="78" spans="1:4">
      <c r="A78" s="40"/>
      <c r="B78" s="40"/>
      <c r="C78" s="40"/>
      <c r="D78" s="40"/>
    </row>
    <row r="79" spans="1:4">
      <c r="A79" s="40"/>
      <c r="B79" s="40"/>
      <c r="C79" s="40"/>
      <c r="D79" s="40"/>
    </row>
    <row r="80" spans="1:4">
      <c r="A80" s="40"/>
      <c r="B80" s="40"/>
      <c r="C80" s="40"/>
      <c r="D80" s="40"/>
    </row>
    <row r="81" spans="1:4">
      <c r="A81" s="40"/>
      <c r="B81" s="40"/>
      <c r="C81" s="40"/>
      <c r="D81" s="40"/>
    </row>
    <row r="82" spans="1:4">
      <c r="A82" s="40"/>
      <c r="B82" s="40"/>
      <c r="C82" s="40"/>
      <c r="D82" s="40"/>
    </row>
    <row r="83" spans="1:4">
      <c r="A83" s="40"/>
      <c r="B83" s="40"/>
      <c r="C83" s="40"/>
      <c r="D83" s="40"/>
    </row>
    <row r="84" spans="1:4">
      <c r="A84" s="40"/>
      <c r="B84" s="40"/>
      <c r="C84" s="40"/>
      <c r="D84" s="40"/>
    </row>
    <row r="85" spans="1:4">
      <c r="A85" s="40"/>
      <c r="B85" s="40"/>
      <c r="C85" s="40"/>
      <c r="D85" s="40"/>
    </row>
    <row r="86" spans="1:4">
      <c r="A86" s="40"/>
      <c r="B86" s="40"/>
      <c r="C86" s="40"/>
      <c r="D86" s="40"/>
    </row>
    <row r="87" spans="1:4">
      <c r="A87" s="40"/>
      <c r="B87" s="40"/>
      <c r="C87" s="40"/>
      <c r="D87" s="40"/>
    </row>
    <row r="88" spans="1:4">
      <c r="A88" s="40"/>
      <c r="B88" s="40"/>
      <c r="C88" s="40"/>
      <c r="D88" s="40"/>
    </row>
    <row r="89" spans="1:4">
      <c r="A89" s="40"/>
      <c r="B89" s="40"/>
      <c r="C89" s="40"/>
      <c r="D89" s="40"/>
    </row>
    <row r="90" spans="1:4">
      <c r="A90" s="40"/>
      <c r="B90" s="40"/>
      <c r="C90" s="40"/>
      <c r="D90" s="40"/>
    </row>
    <row r="91" spans="1:4">
      <c r="A91" s="40"/>
      <c r="B91" s="40"/>
      <c r="C91" s="40"/>
      <c r="D91" s="40"/>
    </row>
    <row r="92" spans="1:4">
      <c r="A92" s="40"/>
      <c r="B92" s="40"/>
      <c r="C92" s="40"/>
      <c r="D92" s="40"/>
    </row>
    <row r="93" spans="1:4">
      <c r="A93" s="40"/>
      <c r="B93" s="40"/>
      <c r="C93" s="40"/>
      <c r="D93" s="40"/>
    </row>
    <row r="94" spans="1:4">
      <c r="A94" s="40"/>
      <c r="B94" s="40"/>
      <c r="C94" s="40"/>
      <c r="D94" s="40"/>
    </row>
    <row r="95" spans="1:4">
      <c r="A95" s="40"/>
      <c r="B95" s="40"/>
      <c r="C95" s="40"/>
      <c r="D95" s="40"/>
    </row>
    <row r="96" spans="1:4">
      <c r="A96" s="40"/>
      <c r="B96" s="40"/>
      <c r="C96" s="40"/>
      <c r="D96" s="40"/>
    </row>
    <row r="97" spans="1:4">
      <c r="A97" s="40"/>
      <c r="B97" s="40"/>
      <c r="C97" s="40"/>
      <c r="D97" s="40"/>
    </row>
    <row r="98" spans="1:4">
      <c r="A98" s="40"/>
      <c r="B98" s="40"/>
      <c r="C98" s="40"/>
      <c r="D98" s="40"/>
    </row>
    <row r="99" spans="1:4">
      <c r="A99" s="40"/>
      <c r="B99" s="40"/>
      <c r="C99" s="40"/>
      <c r="D99" s="40"/>
    </row>
    <row r="100" spans="1:4">
      <c r="A100" s="40"/>
      <c r="B100" s="40"/>
      <c r="C100" s="40"/>
      <c r="D100" s="40"/>
    </row>
    <row r="101" spans="1:4">
      <c r="A101" s="40"/>
      <c r="B101" s="40"/>
      <c r="C101" s="40"/>
      <c r="D101" s="40"/>
    </row>
    <row r="102" spans="1:4">
      <c r="A102" s="40"/>
      <c r="B102" s="40"/>
      <c r="C102" s="40"/>
      <c r="D102" s="40"/>
    </row>
    <row r="103" spans="1:4">
      <c r="A103" s="40"/>
      <c r="B103" s="40"/>
      <c r="C103" s="40"/>
      <c r="D103" s="40"/>
    </row>
    <row r="104" spans="1:4">
      <c r="A104" s="40"/>
      <c r="B104" s="40"/>
      <c r="C104" s="40"/>
      <c r="D104" s="40"/>
    </row>
    <row r="105" spans="1:4">
      <c r="A105" s="40"/>
      <c r="B105" s="40"/>
      <c r="C105" s="40"/>
      <c r="D105" s="40"/>
    </row>
    <row r="106" spans="1:4">
      <c r="A106" s="40"/>
      <c r="B106" s="40"/>
      <c r="C106" s="40"/>
      <c r="D106" s="40"/>
    </row>
    <row r="107" spans="1:4">
      <c r="A107" s="40"/>
      <c r="B107" s="40"/>
      <c r="C107" s="40"/>
      <c r="D107" s="40"/>
    </row>
    <row r="108" spans="1:4">
      <c r="A108" s="40"/>
      <c r="B108" s="40"/>
      <c r="C108" s="40"/>
      <c r="D108" s="40"/>
    </row>
    <row r="109" spans="1:4">
      <c r="A109" s="40"/>
      <c r="B109" s="40"/>
      <c r="C109" s="40"/>
      <c r="D109" s="40"/>
    </row>
    <row r="110" spans="1:4">
      <c r="A110" s="40"/>
      <c r="B110" s="40"/>
      <c r="C110" s="40"/>
      <c r="D110" s="40"/>
    </row>
    <row r="111" spans="1:4">
      <c r="A111" s="40"/>
      <c r="B111" s="40"/>
      <c r="C111" s="40"/>
      <c r="D111" s="40"/>
    </row>
    <row r="112" spans="1:4">
      <c r="A112" s="40"/>
      <c r="B112" s="40"/>
      <c r="C112" s="40"/>
      <c r="D112" s="40"/>
    </row>
    <row r="113" spans="1:4">
      <c r="A113" s="40"/>
      <c r="B113" s="40"/>
      <c r="C113" s="40"/>
      <c r="D113" s="40"/>
    </row>
    <row r="114" spans="1:4">
      <c r="A114" s="40"/>
      <c r="B114" s="40"/>
      <c r="C114" s="40"/>
      <c r="D114" s="40"/>
    </row>
    <row r="115" spans="1:4">
      <c r="A115" s="40"/>
      <c r="B115" s="40"/>
      <c r="C115" s="40"/>
      <c r="D115" s="40"/>
    </row>
    <row r="116" spans="1:4">
      <c r="A116" s="40"/>
      <c r="B116" s="40"/>
      <c r="C116" s="40"/>
      <c r="D116" s="40"/>
    </row>
    <row r="117" spans="1:4">
      <c r="A117" s="40"/>
      <c r="B117" s="40"/>
      <c r="C117" s="40"/>
      <c r="D117" s="40"/>
    </row>
    <row r="118" spans="1:4">
      <c r="A118" s="40"/>
      <c r="B118" s="40"/>
      <c r="C118" s="40"/>
      <c r="D118" s="40"/>
    </row>
    <row r="119" spans="1:4">
      <c r="A119" s="40"/>
      <c r="B119" s="40"/>
      <c r="C119" s="40"/>
      <c r="D119" s="40"/>
    </row>
    <row r="120" spans="1:4">
      <c r="A120" s="40"/>
      <c r="B120" s="40"/>
      <c r="C120" s="40"/>
      <c r="D120" s="40"/>
    </row>
    <row r="121" spans="1:4">
      <c r="A121" s="40"/>
      <c r="B121" s="40"/>
      <c r="C121" s="40"/>
      <c r="D121" s="40"/>
    </row>
    <row r="122" spans="1:4">
      <c r="A122" s="40"/>
      <c r="B122" s="40"/>
      <c r="C122" s="40"/>
      <c r="D122" s="40"/>
    </row>
    <row r="123" spans="1:4">
      <c r="A123" s="40"/>
      <c r="B123" s="40"/>
      <c r="C123" s="40"/>
      <c r="D123" s="40"/>
    </row>
    <row r="124" spans="1:4">
      <c r="A124" s="40"/>
      <c r="B124" s="40"/>
      <c r="C124" s="40"/>
      <c r="D124" s="40"/>
    </row>
    <row r="125" spans="1:4">
      <c r="A125" s="40"/>
      <c r="B125" s="40"/>
      <c r="C125" s="40"/>
      <c r="D125" s="40"/>
    </row>
    <row r="126" spans="1:4">
      <c r="A126" s="40"/>
      <c r="B126" s="40"/>
      <c r="C126" s="40"/>
      <c r="D126" s="40"/>
    </row>
    <row r="127" spans="1:4">
      <c r="A127" s="40"/>
      <c r="B127" s="40"/>
      <c r="C127" s="40"/>
      <c r="D127" s="40"/>
    </row>
    <row r="128" spans="1:4">
      <c r="A128" s="40"/>
      <c r="B128" s="40"/>
      <c r="C128" s="40"/>
      <c r="D128" s="40"/>
    </row>
    <row r="129" spans="1:4">
      <c r="A129" s="40"/>
      <c r="B129" s="40"/>
      <c r="C129" s="40"/>
      <c r="D129" s="40"/>
    </row>
    <row r="130" spans="1:4">
      <c r="A130" s="40"/>
      <c r="B130" s="40"/>
      <c r="C130" s="40"/>
      <c r="D130" s="40"/>
    </row>
    <row r="131" spans="1:4">
      <c r="A131" s="40"/>
      <c r="B131" s="40"/>
      <c r="C131" s="40"/>
      <c r="D131" s="40"/>
    </row>
    <row r="132" spans="1:4">
      <c r="A132" s="40"/>
      <c r="B132" s="40"/>
      <c r="C132" s="40"/>
      <c r="D132" s="40"/>
    </row>
    <row r="133" spans="1:4">
      <c r="A133" s="40"/>
      <c r="B133" s="40"/>
      <c r="C133" s="40"/>
      <c r="D133" s="40"/>
    </row>
    <row r="134" spans="1:4">
      <c r="A134" s="40"/>
      <c r="B134" s="40"/>
      <c r="C134" s="40"/>
      <c r="D134" s="40"/>
    </row>
    <row r="135" spans="1:4">
      <c r="A135" s="40"/>
      <c r="B135" s="40"/>
      <c r="C135" s="40"/>
      <c r="D135" s="40"/>
    </row>
    <row r="136" spans="1:4">
      <c r="A136" s="40"/>
      <c r="B136" s="40"/>
      <c r="C136" s="40"/>
      <c r="D136" s="40"/>
    </row>
    <row r="137" spans="1:4">
      <c r="A137" s="40"/>
      <c r="B137" s="40"/>
      <c r="C137" s="40"/>
      <c r="D137" s="40"/>
    </row>
    <row r="138" spans="1:4">
      <c r="A138" s="40"/>
      <c r="B138" s="40"/>
      <c r="C138" s="40"/>
      <c r="D138" s="40"/>
    </row>
    <row r="139" spans="1:4">
      <c r="A139" s="40"/>
      <c r="B139" s="40"/>
      <c r="C139" s="40"/>
      <c r="D139" s="40"/>
    </row>
    <row r="140" spans="1:4">
      <c r="A140" s="40"/>
      <c r="B140" s="40"/>
      <c r="C140" s="40"/>
      <c r="D140" s="40"/>
    </row>
    <row r="141" spans="1:4">
      <c r="A141" s="40"/>
      <c r="B141" s="40"/>
      <c r="C141" s="40"/>
      <c r="D141" s="40"/>
    </row>
    <row r="142" spans="1:4">
      <c r="A142" s="40"/>
      <c r="B142" s="40"/>
      <c r="C142" s="40"/>
      <c r="D142" s="40"/>
    </row>
    <row r="143" spans="1:4">
      <c r="A143" s="40"/>
      <c r="B143" s="40"/>
      <c r="C143" s="40"/>
      <c r="D143" s="40"/>
    </row>
    <row r="144" spans="1:4">
      <c r="A144" s="40"/>
      <c r="B144" s="40"/>
      <c r="C144" s="40"/>
      <c r="D144" s="40"/>
    </row>
    <row r="145" spans="1:4">
      <c r="A145" s="40"/>
      <c r="B145" s="40"/>
      <c r="C145" s="40"/>
      <c r="D145" s="40"/>
    </row>
    <row r="146" spans="1:4">
      <c r="A146" s="40"/>
      <c r="B146" s="40"/>
      <c r="C146" s="40"/>
      <c r="D146" s="40"/>
    </row>
    <row r="147" spans="1:4">
      <c r="A147" s="40"/>
      <c r="B147" s="40"/>
      <c r="C147" s="40"/>
      <c r="D147" s="40"/>
    </row>
    <row r="148" spans="1:4">
      <c r="A148" s="40"/>
      <c r="B148" s="40"/>
      <c r="C148" s="40"/>
      <c r="D148" s="40"/>
    </row>
    <row r="149" spans="1:4">
      <c r="A149" s="40"/>
      <c r="B149" s="40"/>
      <c r="C149" s="40"/>
      <c r="D149" s="40"/>
    </row>
    <row r="150" spans="1:4">
      <c r="A150" s="40"/>
      <c r="B150" s="40"/>
      <c r="C150" s="40"/>
      <c r="D150" s="40"/>
    </row>
    <row r="151" spans="1:4">
      <c r="A151" s="40"/>
      <c r="B151" s="40"/>
      <c r="C151" s="40"/>
      <c r="D151" s="40"/>
    </row>
    <row r="152" spans="1:4">
      <c r="A152" s="40"/>
      <c r="B152" s="40"/>
      <c r="C152" s="40"/>
      <c r="D152" s="40"/>
    </row>
    <row r="153" spans="1:4">
      <c r="A153" s="40"/>
      <c r="B153" s="40"/>
      <c r="C153" s="40"/>
      <c r="D153" s="40"/>
    </row>
    <row r="154" spans="1:4">
      <c r="A154" s="40"/>
      <c r="B154" s="40"/>
      <c r="C154" s="40"/>
      <c r="D154" s="40"/>
    </row>
    <row r="155" spans="1:4">
      <c r="A155" s="40"/>
      <c r="B155" s="40"/>
      <c r="C155" s="40"/>
      <c r="D155" s="40"/>
    </row>
    <row r="156" spans="1:4">
      <c r="A156" s="40"/>
      <c r="B156" s="40"/>
      <c r="C156" s="40"/>
      <c r="D156" s="40"/>
    </row>
    <row r="157" spans="1:4">
      <c r="A157" s="40"/>
      <c r="B157" s="40"/>
      <c r="C157" s="40"/>
      <c r="D157" s="40"/>
    </row>
    <row r="158" spans="1:4">
      <c r="A158" s="40"/>
      <c r="B158" s="40"/>
      <c r="C158" s="40"/>
      <c r="D158" s="40"/>
    </row>
    <row r="159" spans="1:4">
      <c r="A159" s="40"/>
      <c r="B159" s="40"/>
      <c r="C159" s="40"/>
      <c r="D159" s="40"/>
    </row>
    <row r="160" spans="1:4">
      <c r="A160" s="40"/>
      <c r="B160" s="40"/>
      <c r="C160" s="40"/>
      <c r="D160" s="40"/>
    </row>
    <row r="161" spans="1:4">
      <c r="A161" s="40"/>
      <c r="B161" s="40"/>
      <c r="C161" s="40"/>
      <c r="D161" s="40"/>
    </row>
    <row r="162" spans="1:4">
      <c r="A162" s="40"/>
      <c r="B162" s="40"/>
      <c r="C162" s="40"/>
      <c r="D162" s="40"/>
    </row>
    <row r="163" spans="1:4">
      <c r="A163" s="40"/>
      <c r="B163" s="40"/>
      <c r="C163" s="40"/>
      <c r="D163" s="40"/>
    </row>
    <row r="164" spans="1:4">
      <c r="A164" s="40"/>
      <c r="B164" s="40"/>
      <c r="C164" s="40"/>
      <c r="D164" s="40"/>
    </row>
    <row r="165" spans="1:4">
      <c r="A165" s="40"/>
      <c r="B165" s="40"/>
      <c r="C165" s="40"/>
      <c r="D165" s="40"/>
    </row>
    <row r="166" spans="1:4">
      <c r="A166" s="40"/>
      <c r="B166" s="40"/>
      <c r="C166" s="40"/>
      <c r="D166" s="40"/>
    </row>
    <row r="167" spans="1:4">
      <c r="A167" s="40"/>
      <c r="B167" s="40"/>
      <c r="C167" s="40"/>
      <c r="D167" s="40"/>
    </row>
    <row r="168" spans="1:4">
      <c r="A168" s="40"/>
      <c r="B168" s="40"/>
      <c r="C168" s="40"/>
      <c r="D168" s="40"/>
    </row>
    <row r="169" spans="1:4">
      <c r="A169" s="40"/>
      <c r="B169" s="40"/>
      <c r="C169" s="40"/>
      <c r="D169" s="40"/>
    </row>
    <row r="170" spans="1:4">
      <c r="A170" s="40"/>
      <c r="B170" s="40"/>
      <c r="C170" s="40"/>
      <c r="D170" s="40"/>
    </row>
    <row r="171" spans="1:4">
      <c r="A171" s="40"/>
      <c r="B171" s="40"/>
      <c r="C171" s="40"/>
      <c r="D171" s="40"/>
    </row>
    <row r="172" spans="1:4">
      <c r="A172" s="40"/>
      <c r="B172" s="40"/>
      <c r="C172" s="40"/>
      <c r="D172" s="40"/>
    </row>
    <row r="173" spans="1:4">
      <c r="A173" s="40"/>
      <c r="B173" s="40"/>
      <c r="C173" s="40"/>
      <c r="D173" s="40"/>
    </row>
    <row r="174" spans="1:4">
      <c r="A174" s="40"/>
      <c r="B174" s="40"/>
      <c r="C174" s="40"/>
      <c r="D174" s="40"/>
    </row>
    <row r="175" spans="1:4">
      <c r="A175" s="40"/>
      <c r="B175" s="40"/>
      <c r="C175" s="40"/>
      <c r="D175" s="40"/>
    </row>
    <row r="176" spans="1:4">
      <c r="A176" s="40"/>
      <c r="B176" s="40"/>
      <c r="C176" s="40"/>
      <c r="D176" s="40"/>
    </row>
    <row r="177" spans="1:4">
      <c r="A177" s="40"/>
      <c r="B177" s="40"/>
      <c r="C177" s="40"/>
      <c r="D177" s="40"/>
    </row>
    <row r="178" spans="1:4">
      <c r="A178" s="40"/>
      <c r="B178" s="40"/>
      <c r="C178" s="40"/>
      <c r="D178" s="40"/>
    </row>
    <row r="179" spans="1:4">
      <c r="A179" s="40"/>
      <c r="B179" s="40"/>
      <c r="C179" s="40"/>
      <c r="D179" s="40"/>
    </row>
    <row r="180" spans="1:4">
      <c r="A180" s="40"/>
      <c r="B180" s="40"/>
      <c r="C180" s="40"/>
      <c r="D180" s="40"/>
    </row>
    <row r="181" spans="1:4">
      <c r="A181" s="40"/>
      <c r="B181" s="40"/>
      <c r="C181" s="40"/>
      <c r="D181" s="40"/>
    </row>
    <row r="182" spans="1:4">
      <c r="A182" s="40"/>
      <c r="B182" s="40"/>
      <c r="C182" s="40"/>
      <c r="D182" s="40"/>
    </row>
    <row r="183" spans="1:4">
      <c r="A183" s="40"/>
      <c r="B183" s="40"/>
      <c r="C183" s="40"/>
      <c r="D183" s="40"/>
    </row>
    <row r="184" spans="1:4">
      <c r="A184" s="40"/>
      <c r="B184" s="40"/>
      <c r="C184" s="40"/>
      <c r="D184" s="40"/>
    </row>
    <row r="185" spans="1:4">
      <c r="A185" s="40"/>
      <c r="B185" s="40"/>
      <c r="C185" s="40"/>
      <c r="D185" s="40"/>
    </row>
    <row r="186" spans="1:4">
      <c r="A186" s="40"/>
      <c r="B186" s="40"/>
      <c r="C186" s="40"/>
      <c r="D186" s="40"/>
    </row>
    <row r="187" spans="1:4">
      <c r="A187" s="40"/>
      <c r="B187" s="40"/>
      <c r="C187" s="40"/>
      <c r="D187" s="40"/>
    </row>
    <row r="188" spans="1:4">
      <c r="A188" s="40"/>
      <c r="B188" s="40"/>
      <c r="C188" s="40"/>
      <c r="D188" s="40"/>
    </row>
    <row r="189" spans="1:4">
      <c r="A189" s="40"/>
      <c r="B189" s="40"/>
      <c r="C189" s="40"/>
      <c r="D189" s="40"/>
    </row>
    <row r="190" spans="1:4">
      <c r="A190" s="40"/>
      <c r="B190" s="40"/>
      <c r="C190" s="40"/>
      <c r="D190" s="40"/>
    </row>
    <row r="191" spans="1:4">
      <c r="A191" s="40"/>
      <c r="B191" s="40"/>
      <c r="C191" s="40"/>
      <c r="D191" s="40"/>
    </row>
    <row r="192" spans="1:4">
      <c r="A192" s="40"/>
      <c r="B192" s="40"/>
      <c r="C192" s="40"/>
      <c r="D192" s="40"/>
    </row>
    <row r="193" spans="1:4">
      <c r="A193" s="40"/>
      <c r="B193" s="40"/>
      <c r="C193" s="40"/>
      <c r="D193" s="40"/>
    </row>
    <row r="194" spans="1:4">
      <c r="A194" s="40"/>
      <c r="B194" s="40"/>
      <c r="C194" s="40"/>
      <c r="D194" s="40"/>
    </row>
    <row r="195" spans="1:4">
      <c r="A195" s="40"/>
      <c r="B195" s="40"/>
      <c r="C195" s="40"/>
      <c r="D195" s="40"/>
    </row>
    <row r="196" spans="1:4">
      <c r="A196" s="40"/>
      <c r="B196" s="40"/>
      <c r="C196" s="40"/>
      <c r="D196" s="40"/>
    </row>
    <row r="197" spans="1:4">
      <c r="A197" s="40"/>
      <c r="B197" s="40"/>
      <c r="C197" s="40"/>
      <c r="D197" s="40"/>
    </row>
    <row r="198" spans="1:4">
      <c r="A198" s="40"/>
      <c r="B198" s="40"/>
      <c r="C198" s="40"/>
      <c r="D198" s="40"/>
    </row>
    <row r="199" spans="1:4">
      <c r="A199" s="40"/>
      <c r="B199" s="40"/>
      <c r="C199" s="40"/>
      <c r="D199" s="40"/>
    </row>
    <row r="200" spans="1:4">
      <c r="A200" s="40"/>
      <c r="B200" s="40"/>
      <c r="C200" s="40"/>
      <c r="D200" s="40"/>
    </row>
    <row r="201" spans="1:4">
      <c r="A201" s="40"/>
      <c r="B201" s="40"/>
      <c r="C201" s="40"/>
      <c r="D201" s="40"/>
    </row>
    <row r="202" spans="1:4">
      <c r="A202" s="40"/>
      <c r="B202" s="40"/>
      <c r="C202" s="40"/>
      <c r="D202" s="40"/>
    </row>
    <row r="203" spans="1:4">
      <c r="A203" s="40"/>
      <c r="B203" s="40"/>
      <c r="C203" s="40"/>
      <c r="D203" s="40"/>
    </row>
    <row r="204" spans="1:4">
      <c r="A204" s="40"/>
      <c r="B204" s="40"/>
      <c r="C204" s="40"/>
      <c r="D204" s="40"/>
    </row>
    <row r="205" spans="1:4">
      <c r="A205" s="40"/>
      <c r="B205" s="40"/>
      <c r="C205" s="40"/>
      <c r="D205" s="40"/>
    </row>
    <row r="206" spans="1:4">
      <c r="A206" s="40"/>
      <c r="B206" s="40"/>
      <c r="C206" s="40"/>
      <c r="D206" s="40"/>
    </row>
    <row r="207" spans="1:4">
      <c r="A207" s="40"/>
      <c r="B207" s="40"/>
      <c r="C207" s="40"/>
      <c r="D207" s="40"/>
    </row>
    <row r="208" spans="1:4">
      <c r="A208" s="40"/>
      <c r="B208" s="40"/>
      <c r="C208" s="40"/>
      <c r="D208" s="40"/>
    </row>
    <row r="209" spans="1:4">
      <c r="A209" s="40"/>
      <c r="B209" s="40"/>
      <c r="C209" s="40"/>
      <c r="D209" s="40"/>
    </row>
    <row r="210" spans="1:4">
      <c r="A210" s="40"/>
      <c r="B210" s="40"/>
      <c r="C210" s="40"/>
      <c r="D210" s="40"/>
    </row>
    <row r="211" spans="1:4">
      <c r="A211" s="40"/>
      <c r="B211" s="40"/>
      <c r="C211" s="40"/>
      <c r="D211" s="40"/>
    </row>
    <row r="212" spans="1:4">
      <c r="A212" s="40"/>
      <c r="B212" s="40"/>
      <c r="C212" s="40"/>
      <c r="D212" s="40"/>
    </row>
    <row r="213" spans="1:4">
      <c r="A213" s="40"/>
      <c r="B213" s="40"/>
      <c r="C213" s="40"/>
      <c r="D213" s="40"/>
    </row>
    <row r="214" spans="1:4">
      <c r="A214" s="40"/>
      <c r="B214" s="40"/>
      <c r="C214" s="40"/>
      <c r="D214" s="40"/>
    </row>
    <row r="215" spans="1:4">
      <c r="A215" s="40"/>
      <c r="B215" s="40"/>
      <c r="C215" s="40"/>
      <c r="D215" s="40"/>
    </row>
    <row r="216" spans="1:4">
      <c r="A216" s="40"/>
      <c r="B216" s="40"/>
      <c r="C216" s="40"/>
      <c r="D216" s="40"/>
    </row>
    <row r="217" spans="1:4">
      <c r="A217" s="40"/>
      <c r="B217" s="40"/>
      <c r="C217" s="40"/>
      <c r="D217" s="40"/>
    </row>
    <row r="218" spans="1:4">
      <c r="A218" s="40"/>
      <c r="B218" s="40"/>
      <c r="C218" s="40"/>
      <c r="D218" s="40"/>
    </row>
    <row r="219" spans="1:4">
      <c r="A219" s="40"/>
      <c r="B219" s="40"/>
      <c r="C219" s="40"/>
      <c r="D219" s="40"/>
    </row>
    <row r="220" spans="1:4">
      <c r="A220" s="40"/>
      <c r="B220" s="40"/>
      <c r="C220" s="40"/>
      <c r="D220" s="40"/>
    </row>
    <row r="221" spans="1:4">
      <c r="A221" s="40"/>
      <c r="B221" s="40"/>
      <c r="C221" s="40"/>
      <c r="D221" s="40"/>
    </row>
    <row r="222" spans="1:4">
      <c r="A222" s="40"/>
      <c r="B222" s="40"/>
      <c r="C222" s="40"/>
      <c r="D222" s="40"/>
    </row>
    <row r="223" spans="1:4">
      <c r="A223" s="40"/>
      <c r="B223" s="40"/>
      <c r="C223" s="40"/>
      <c r="D223" s="40"/>
    </row>
    <row r="224" spans="1:4">
      <c r="A224" s="40"/>
      <c r="B224" s="40"/>
      <c r="C224" s="40"/>
      <c r="D224" s="40"/>
    </row>
    <row r="225" spans="1:4">
      <c r="A225" s="40"/>
      <c r="B225" s="40"/>
      <c r="C225" s="40"/>
      <c r="D225" s="40"/>
    </row>
    <row r="226" spans="1:4">
      <c r="A226" s="40"/>
      <c r="B226" s="40"/>
      <c r="C226" s="40"/>
      <c r="D226" s="40"/>
    </row>
    <row r="227" spans="1:4">
      <c r="A227" s="40"/>
      <c r="B227" s="40"/>
      <c r="C227" s="40"/>
      <c r="D227" s="40"/>
    </row>
    <row r="228" spans="1:4">
      <c r="A228" s="40"/>
      <c r="B228" s="40"/>
      <c r="C228" s="40"/>
      <c r="D228" s="40"/>
    </row>
    <row r="229" spans="1:4">
      <c r="A229" s="40"/>
      <c r="B229" s="40"/>
      <c r="C229" s="40"/>
      <c r="D229" s="40"/>
    </row>
    <row r="230" spans="1:4">
      <c r="A230" s="40"/>
      <c r="B230" s="40"/>
      <c r="C230" s="40"/>
      <c r="D230" s="40"/>
    </row>
    <row r="231" spans="1:4">
      <c r="A231" s="40"/>
      <c r="B231" s="40"/>
      <c r="C231" s="40"/>
      <c r="D231" s="40"/>
    </row>
    <row r="232" spans="1:4">
      <c r="A232" s="40"/>
      <c r="B232" s="40"/>
      <c r="C232" s="40"/>
      <c r="D232" s="40"/>
    </row>
    <row r="233" spans="1:4">
      <c r="A233" s="40"/>
      <c r="B233" s="40"/>
      <c r="C233" s="40"/>
      <c r="D233" s="40"/>
    </row>
    <row r="234" spans="1:4">
      <c r="A234" s="40"/>
      <c r="B234" s="40"/>
      <c r="C234" s="40"/>
      <c r="D234" s="40"/>
    </row>
    <row r="235" spans="1:4">
      <c r="A235" s="40"/>
      <c r="B235" s="40"/>
      <c r="C235" s="40"/>
      <c r="D235" s="40"/>
    </row>
    <row r="236" spans="1:4">
      <c r="A236" s="40"/>
      <c r="B236" s="40"/>
      <c r="C236" s="40"/>
      <c r="D236" s="40"/>
    </row>
    <row r="237" spans="1:4">
      <c r="A237" s="40"/>
      <c r="B237" s="40"/>
      <c r="C237" s="40"/>
      <c r="D237" s="40"/>
    </row>
    <row r="238" spans="1:4">
      <c r="A238" s="40"/>
      <c r="B238" s="40"/>
      <c r="C238" s="40"/>
      <c r="D238" s="40"/>
    </row>
    <row r="239" spans="1:4">
      <c r="A239" s="40"/>
      <c r="B239" s="40"/>
      <c r="C239" s="40"/>
      <c r="D239" s="40"/>
    </row>
    <row r="240" spans="1:4">
      <c r="A240" s="40"/>
      <c r="B240" s="40"/>
      <c r="C240" s="40"/>
      <c r="D240" s="40"/>
    </row>
    <row r="241" spans="1:4">
      <c r="A241" s="40"/>
      <c r="B241" s="40"/>
      <c r="C241" s="40"/>
      <c r="D241" s="40"/>
    </row>
    <row r="242" spans="1:4">
      <c r="A242" s="40"/>
      <c r="B242" s="40"/>
      <c r="C242" s="40"/>
      <c r="D242" s="40"/>
    </row>
    <row r="243" spans="1:4">
      <c r="A243" s="40"/>
      <c r="B243" s="40"/>
      <c r="C243" s="40"/>
      <c r="D243" s="40"/>
    </row>
    <row r="244" spans="1:4">
      <c r="A244" s="40"/>
      <c r="B244" s="40"/>
      <c r="C244" s="40"/>
      <c r="D244" s="40"/>
    </row>
    <row r="245" spans="1:4">
      <c r="A245" s="40"/>
      <c r="B245" s="40"/>
      <c r="C245" s="40"/>
      <c r="D245" s="40"/>
    </row>
    <row r="246" spans="1:4">
      <c r="A246" s="40"/>
      <c r="B246" s="40"/>
      <c r="C246" s="40"/>
      <c r="D246" s="40"/>
    </row>
    <row r="247" spans="1:4">
      <c r="A247" s="40"/>
      <c r="B247" s="40"/>
      <c r="C247" s="40"/>
      <c r="D247" s="40"/>
    </row>
    <row r="248" spans="1:4">
      <c r="A248" s="40"/>
      <c r="B248" s="40"/>
      <c r="C248" s="40"/>
      <c r="D248" s="40"/>
    </row>
  </sheetData>
  <conditionalFormatting sqref="C34">
    <cfRule type="expression" dxfId="1807" priority="1">
      <formula>AND(C34="",A34="SWITCH")</formula>
    </cfRule>
  </conditionalFormatting>
  <conditionalFormatting sqref="C4">
    <cfRule type="expression" dxfId="1806" priority="7">
      <formula>AND(C4="",A4="SWITCH")</formula>
    </cfRule>
  </conditionalFormatting>
  <conditionalFormatting sqref="D4">
    <cfRule type="expression" dxfId="1805" priority="6">
      <formula>AND(D4="",B4="SWITCH")</formula>
    </cfRule>
  </conditionalFormatting>
  <conditionalFormatting sqref="C23">
    <cfRule type="expression" dxfId="1804" priority="5">
      <formula>AND(C23="",A23="SWITCH")</formula>
    </cfRule>
  </conditionalFormatting>
  <conditionalFormatting sqref="C25">
    <cfRule type="expression" dxfId="1803" priority="4">
      <formula>AND(C25="",A25="SWITCH")</formula>
    </cfRule>
  </conditionalFormatting>
  <conditionalFormatting sqref="C27">
    <cfRule type="expression" dxfId="1802" priority="3">
      <formula>AND(C27="",A27="SWITCH")</formula>
    </cfRule>
  </conditionalFormatting>
  <conditionalFormatting sqref="C32">
    <cfRule type="expression" dxfId="1801" priority="2">
      <formula>AND(C32="",A32="SWITCH")</formula>
    </cfRule>
  </conditionalFormatting>
  <pageMargins left="0.59055118110236227" right="0.59055118110236227" top="1.1811023622047245" bottom="0.98425196850393704" header="0.39370078740157483" footer="0.39370078740157483"/>
  <pageSetup paperSize="9" orientation="portrait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499D-DBB5-4720-9C5B-4A696B7F8524}">
  <sheetPr codeName="Sheet5">
    <tabColor rgb="FF7030A0"/>
  </sheetPr>
  <dimension ref="A1:D37"/>
  <sheetViews>
    <sheetView workbookViewId="0">
      <selection activeCell="E27" sqref="E27"/>
    </sheetView>
  </sheetViews>
  <sheetFormatPr defaultRowHeight="10.199999999999999"/>
  <cols>
    <col min="1" max="1" width="1.44140625" customWidth="1"/>
    <col min="2" max="2" width="25.21875" bestFit="1" customWidth="1"/>
    <col min="3" max="3" width="21.44140625" bestFit="1" customWidth="1"/>
    <col min="4" max="4" width="32.33203125" bestFit="1" customWidth="1"/>
  </cols>
  <sheetData>
    <row r="1" spans="1:4" ht="21">
      <c r="A1" s="12" t="s">
        <v>2199</v>
      </c>
      <c r="B1" s="12"/>
      <c r="C1" s="12"/>
      <c r="D1" s="12"/>
    </row>
    <row r="2" spans="1:4" ht="13.2">
      <c r="A2" s="38"/>
      <c r="B2" s="38"/>
      <c r="C2" s="38"/>
      <c r="D2" s="38"/>
    </row>
    <row r="3" spans="1:4" ht="15.6">
      <c r="A3" s="40"/>
      <c r="B3" s="15" t="s">
        <v>2200</v>
      </c>
      <c r="C3" s="15"/>
      <c r="D3" s="15" t="s">
        <v>16</v>
      </c>
    </row>
    <row r="4" spans="1:4">
      <c r="A4" s="40"/>
      <c r="B4" s="17" t="s">
        <v>2201</v>
      </c>
      <c r="C4" s="35" t="s">
        <v>2202</v>
      </c>
      <c r="D4" s="35"/>
    </row>
    <row r="5" spans="1:4">
      <c r="A5" s="40"/>
      <c r="B5" s="75" t="s">
        <v>2203</v>
      </c>
      <c r="C5" s="50" t="s">
        <v>1643</v>
      </c>
      <c r="D5" s="35"/>
    </row>
    <row r="6" spans="1:4">
      <c r="A6" s="40"/>
      <c r="B6" s="17" t="s">
        <v>2200</v>
      </c>
      <c r="C6" s="46" t="s">
        <v>1647</v>
      </c>
      <c r="D6" s="35"/>
    </row>
    <row r="7" spans="1:4">
      <c r="A7" s="40"/>
      <c r="B7" s="17" t="s">
        <v>2204</v>
      </c>
      <c r="C7" s="54" t="s">
        <v>2190</v>
      </c>
      <c r="D7" s="35" t="s">
        <v>2189</v>
      </c>
    </row>
    <row r="8" spans="1:4">
      <c r="A8" s="40"/>
      <c r="B8" s="75" t="s">
        <v>2205</v>
      </c>
      <c r="C8" s="50" t="s">
        <v>1649</v>
      </c>
      <c r="D8" s="35"/>
    </row>
    <row r="9" spans="1:4">
      <c r="A9" s="40"/>
      <c r="B9" s="75" t="s">
        <v>2206</v>
      </c>
      <c r="C9" s="46" t="s">
        <v>1650</v>
      </c>
      <c r="D9" s="35"/>
    </row>
    <row r="10" spans="1:4" ht="13.2">
      <c r="A10" s="38"/>
      <c r="B10" s="38"/>
      <c r="C10" s="38"/>
      <c r="D10" s="38"/>
    </row>
    <row r="11" spans="1:4" ht="13.2">
      <c r="A11" s="38"/>
      <c r="B11" s="38"/>
      <c r="C11" s="38"/>
      <c r="D11" s="38"/>
    </row>
    <row r="12" spans="1:4" ht="15.6">
      <c r="A12" s="40"/>
      <c r="B12" s="15" t="s">
        <v>2207</v>
      </c>
      <c r="C12" s="15"/>
      <c r="D12" s="15" t="s">
        <v>16</v>
      </c>
    </row>
    <row r="13" spans="1:4">
      <c r="A13" s="40"/>
      <c r="B13" s="75" t="s">
        <v>2208</v>
      </c>
      <c r="C13" s="50" t="s">
        <v>1643</v>
      </c>
      <c r="D13" s="35"/>
    </row>
    <row r="14" spans="1:4">
      <c r="A14" s="40"/>
      <c r="B14" s="75" t="s">
        <v>2209</v>
      </c>
      <c r="C14" s="46" t="s">
        <v>1647</v>
      </c>
      <c r="D14" s="35"/>
    </row>
    <row r="15" spans="1:4">
      <c r="A15" s="40"/>
      <c r="B15" s="75" t="s">
        <v>2210</v>
      </c>
      <c r="C15" s="50" t="s">
        <v>1649</v>
      </c>
      <c r="D15" s="35"/>
    </row>
    <row r="16" spans="1:4">
      <c r="A16" s="40"/>
      <c r="B16" s="75" t="s">
        <v>2211</v>
      </c>
      <c r="C16" s="46" t="s">
        <v>1650</v>
      </c>
      <c r="D16" s="35"/>
    </row>
    <row r="17" spans="1:4">
      <c r="A17" s="40"/>
      <c r="B17" s="17" t="s">
        <v>2212</v>
      </c>
      <c r="C17" s="54" t="s">
        <v>2190</v>
      </c>
      <c r="D17" s="35" t="s">
        <v>2189</v>
      </c>
    </row>
    <row r="18" spans="1:4" ht="13.2">
      <c r="A18" s="38"/>
      <c r="B18" s="38"/>
      <c r="C18" s="38"/>
      <c r="D18" s="38"/>
    </row>
    <row r="19" spans="1:4" ht="13.2">
      <c r="A19" s="38"/>
      <c r="B19" s="38"/>
      <c r="C19" s="38"/>
      <c r="D19" s="38"/>
    </row>
    <row r="20" spans="1:4" ht="15.6">
      <c r="A20" s="40"/>
      <c r="B20" s="15" t="s">
        <v>2213</v>
      </c>
      <c r="C20" s="15"/>
      <c r="D20" s="15"/>
    </row>
    <row r="21" spans="1:4">
      <c r="A21" s="40"/>
      <c r="B21" s="75" t="s">
        <v>2214</v>
      </c>
      <c r="C21" s="35" t="s">
        <v>2215</v>
      </c>
      <c r="D21" s="35"/>
    </row>
    <row r="22" spans="1:4">
      <c r="A22" s="40"/>
      <c r="B22" s="75" t="s">
        <v>2216</v>
      </c>
      <c r="C22" s="35" t="s">
        <v>2215</v>
      </c>
      <c r="D22" s="35"/>
    </row>
    <row r="23" spans="1:4">
      <c r="A23" s="40"/>
      <c r="B23" s="17" t="s">
        <v>2217</v>
      </c>
      <c r="C23" s="35" t="s">
        <v>2218</v>
      </c>
      <c r="D23" s="35"/>
    </row>
    <row r="24" spans="1:4" ht="13.2">
      <c r="A24" s="38"/>
      <c r="B24" s="38"/>
      <c r="C24" s="38"/>
      <c r="D24" s="38"/>
    </row>
    <row r="25" spans="1:4" ht="13.2">
      <c r="A25" s="38"/>
      <c r="B25" s="38"/>
      <c r="C25" s="38"/>
      <c r="D25" s="38"/>
    </row>
    <row r="26" spans="1:4" ht="15.6">
      <c r="A26" s="40"/>
      <c r="B26" s="15" t="s">
        <v>2219</v>
      </c>
      <c r="C26" s="15"/>
      <c r="D26" s="15"/>
    </row>
    <row r="27" spans="1:4">
      <c r="A27" s="40"/>
      <c r="B27" s="17" t="s">
        <v>2220</v>
      </c>
      <c r="C27" s="35" t="s">
        <v>2221</v>
      </c>
      <c r="D27" s="35"/>
    </row>
    <row r="28" spans="1:4">
      <c r="A28" s="40"/>
      <c r="B28" s="75" t="s">
        <v>2222</v>
      </c>
      <c r="C28" s="35" t="s">
        <v>2223</v>
      </c>
      <c r="D28" s="35"/>
    </row>
    <row r="29" spans="1:4">
      <c r="A29" s="40"/>
      <c r="B29" s="40"/>
      <c r="C29" s="40"/>
      <c r="D29" s="40"/>
    </row>
    <row r="30" spans="1:4">
      <c r="A30" s="40"/>
      <c r="B30" s="40"/>
      <c r="C30" s="40"/>
      <c r="D30" s="40"/>
    </row>
    <row r="31" spans="1:4" ht="15.6">
      <c r="A31" s="40"/>
      <c r="B31" s="15" t="s">
        <v>2224</v>
      </c>
      <c r="C31" s="15"/>
      <c r="D31" s="15"/>
    </row>
    <row r="32" spans="1:4">
      <c r="A32" s="40"/>
      <c r="B32" s="17" t="s">
        <v>2220</v>
      </c>
      <c r="C32" s="35" t="s">
        <v>2221</v>
      </c>
      <c r="D32" s="35"/>
    </row>
    <row r="33" spans="1:4">
      <c r="A33" s="40"/>
      <c r="B33" s="75" t="s">
        <v>2222</v>
      </c>
      <c r="C33" s="35" t="s">
        <v>2223</v>
      </c>
      <c r="D33" s="35"/>
    </row>
    <row r="34" spans="1:4">
      <c r="A34" s="40"/>
      <c r="B34" s="40"/>
      <c r="C34" s="40"/>
      <c r="D34" s="40"/>
    </row>
    <row r="35" spans="1:4">
      <c r="A35" s="40"/>
      <c r="B35" s="40"/>
      <c r="C35" s="40"/>
      <c r="D35" s="40"/>
    </row>
    <row r="36" spans="1:4" ht="15.6">
      <c r="A36" s="40"/>
      <c r="B36" s="15" t="s">
        <v>2225</v>
      </c>
      <c r="C36" s="15"/>
      <c r="D36" s="15"/>
    </row>
    <row r="37" spans="1:4">
      <c r="A37" s="40"/>
      <c r="B37" s="17" t="s">
        <v>2226</v>
      </c>
      <c r="C37" s="35" t="s">
        <v>2227</v>
      </c>
      <c r="D37" s="35"/>
    </row>
  </sheetData>
  <conditionalFormatting sqref="C8">
    <cfRule type="expression" dxfId="1800" priority="1">
      <formula>AND(C8="",A8="SWITCH")</formula>
    </cfRule>
  </conditionalFormatting>
  <conditionalFormatting sqref="C13">
    <cfRule type="expression" dxfId="1799" priority="4">
      <formula>AND(C13="",A13="SWITCH")</formula>
    </cfRule>
  </conditionalFormatting>
  <conditionalFormatting sqref="C15">
    <cfRule type="expression" dxfId="1798" priority="3">
      <formula>AND(C15="",A15="SWITCH")</formula>
    </cfRule>
  </conditionalFormatting>
  <conditionalFormatting sqref="C5">
    <cfRule type="expression" dxfId="1797" priority="2">
      <formula>AND(C5="",A5="SWITCH")</formula>
    </cfRule>
  </conditionalFormatting>
  <pageMargins left="0.59055118110236227" right="0.59055118110236227" top="1.1811023622047245" bottom="0.98425196850393704" header="0.39370078740157483" footer="0.39370078740157483"/>
  <pageSetup paperSize="9" orientation="portrait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FECBF-593A-4BD1-B866-E4902D5CBFA0}">
  <sheetPr codeName="Sheet7">
    <tabColor rgb="FF7030A0"/>
  </sheetPr>
  <dimension ref="A1:C26"/>
  <sheetViews>
    <sheetView workbookViewId="0">
      <selection activeCell="C31" sqref="C31"/>
    </sheetView>
  </sheetViews>
  <sheetFormatPr defaultRowHeight="10.199999999999999"/>
  <cols>
    <col min="1" max="1" width="1.77734375" customWidth="1"/>
    <col min="2" max="2" width="21" bestFit="1" customWidth="1"/>
    <col min="3" max="3" width="36.44140625" customWidth="1"/>
  </cols>
  <sheetData>
    <row r="1" spans="1:3" ht="21">
      <c r="A1" s="12" t="s">
        <v>2228</v>
      </c>
      <c r="B1" s="12"/>
      <c r="C1" s="12"/>
    </row>
    <row r="2" spans="1:3" ht="13.2">
      <c r="A2" s="38"/>
      <c r="B2" s="38"/>
      <c r="C2" s="38"/>
    </row>
    <row r="3" spans="1:3" ht="15.6">
      <c r="A3" s="40"/>
      <c r="B3" s="15" t="s">
        <v>2229</v>
      </c>
      <c r="C3" s="15"/>
    </row>
    <row r="4" spans="1:3">
      <c r="A4" s="40"/>
      <c r="B4" s="75" t="s">
        <v>2230</v>
      </c>
      <c r="C4" s="50" t="s">
        <v>1643</v>
      </c>
    </row>
    <row r="5" spans="1:3">
      <c r="A5" s="40"/>
      <c r="B5" s="75" t="s">
        <v>2231</v>
      </c>
      <c r="C5" s="46" t="s">
        <v>1647</v>
      </c>
    </row>
    <row r="6" spans="1:3">
      <c r="A6" s="40"/>
      <c r="B6" s="75" t="s">
        <v>2232</v>
      </c>
      <c r="C6" s="50" t="s">
        <v>1649</v>
      </c>
    </row>
    <row r="7" spans="1:3">
      <c r="A7" s="40"/>
      <c r="B7" s="75" t="s">
        <v>2232</v>
      </c>
      <c r="C7" s="46" t="s">
        <v>1650</v>
      </c>
    </row>
    <row r="8" spans="1:3" ht="13.2">
      <c r="A8" s="38"/>
      <c r="B8" s="40"/>
      <c r="C8" s="38"/>
    </row>
    <row r="9" spans="1:3" ht="13.2">
      <c r="A9" s="38"/>
      <c r="B9" s="40"/>
      <c r="C9" s="38"/>
    </row>
    <row r="10" spans="1:3" ht="15.6">
      <c r="A10" s="40"/>
      <c r="B10" s="15" t="s">
        <v>2233</v>
      </c>
      <c r="C10" s="15"/>
    </row>
    <row r="11" spans="1:3">
      <c r="A11" s="40"/>
      <c r="B11" s="17" t="s">
        <v>2234</v>
      </c>
      <c r="C11" s="35" t="s">
        <v>2235</v>
      </c>
    </row>
    <row r="12" spans="1:3">
      <c r="A12" s="40"/>
      <c r="B12" s="17" t="s">
        <v>2236</v>
      </c>
      <c r="C12" s="35" t="s">
        <v>2237</v>
      </c>
    </row>
    <row r="13" spans="1:3">
      <c r="A13" s="40"/>
      <c r="B13" s="17" t="s">
        <v>2238</v>
      </c>
      <c r="C13" s="35" t="s">
        <v>2239</v>
      </c>
    </row>
    <row r="14" spans="1:3">
      <c r="A14" s="40"/>
      <c r="B14" s="17" t="s">
        <v>2240</v>
      </c>
      <c r="C14" s="35" t="s">
        <v>2241</v>
      </c>
    </row>
    <row r="15" spans="1:3">
      <c r="A15" s="40"/>
      <c r="B15" s="17" t="s">
        <v>2242</v>
      </c>
      <c r="C15" s="35" t="s">
        <v>2243</v>
      </c>
    </row>
    <row r="16" spans="1:3">
      <c r="A16" s="40"/>
      <c r="B16" s="17" t="s">
        <v>2244</v>
      </c>
      <c r="C16" s="35" t="s">
        <v>2245</v>
      </c>
    </row>
    <row r="17" spans="1:3">
      <c r="A17" s="40"/>
      <c r="B17" s="17" t="s">
        <v>2246</v>
      </c>
      <c r="C17" s="35" t="s">
        <v>2247</v>
      </c>
    </row>
    <row r="18" spans="1:3">
      <c r="A18" s="40"/>
      <c r="B18" s="17" t="s">
        <v>2248</v>
      </c>
      <c r="C18" s="50" t="s">
        <v>1643</v>
      </c>
    </row>
    <row r="19" spans="1:3">
      <c r="A19" s="40"/>
      <c r="B19" s="17" t="s">
        <v>2249</v>
      </c>
      <c r="C19" s="46" t="s">
        <v>1647</v>
      </c>
    </row>
    <row r="20" spans="1:3">
      <c r="A20" s="40"/>
      <c r="B20" s="17" t="s">
        <v>2250</v>
      </c>
      <c r="C20" s="50" t="s">
        <v>1649</v>
      </c>
    </row>
    <row r="21" spans="1:3">
      <c r="A21" s="40"/>
      <c r="B21" s="17" t="s">
        <v>2251</v>
      </c>
      <c r="C21" s="46" t="s">
        <v>1650</v>
      </c>
    </row>
    <row r="22" spans="1:3">
      <c r="A22" s="40"/>
      <c r="B22" s="17" t="s">
        <v>2252</v>
      </c>
      <c r="C22" s="35"/>
    </row>
    <row r="23" spans="1:3" ht="13.2">
      <c r="A23" s="38"/>
      <c r="B23" s="17" t="s">
        <v>2253</v>
      </c>
      <c r="C23" s="35"/>
    </row>
    <row r="24" spans="1:3" ht="13.2">
      <c r="A24" s="38"/>
      <c r="B24" s="76" t="s">
        <v>2254</v>
      </c>
      <c r="C24" s="54" t="s">
        <v>2255</v>
      </c>
    </row>
    <row r="25" spans="1:3" ht="13.2">
      <c r="A25" s="38"/>
      <c r="B25" s="76" t="s">
        <v>2256</v>
      </c>
      <c r="C25" s="54" t="s">
        <v>2257</v>
      </c>
    </row>
    <row r="26" spans="1:3">
      <c r="A26" s="40"/>
      <c r="B26" s="40"/>
      <c r="C26" s="40"/>
    </row>
  </sheetData>
  <conditionalFormatting sqref="C4">
    <cfRule type="expression" dxfId="1796" priority="4">
      <formula>AND(C4="",A4="SWITCH")</formula>
    </cfRule>
  </conditionalFormatting>
  <conditionalFormatting sqref="C6">
    <cfRule type="expression" dxfId="1795" priority="3">
      <formula>AND(C6="",A6="SWITCH")</formula>
    </cfRule>
  </conditionalFormatting>
  <conditionalFormatting sqref="C18">
    <cfRule type="expression" dxfId="1794" priority="2">
      <formula>AND(C18="",A18="SWITCH")</formula>
    </cfRule>
  </conditionalFormatting>
  <conditionalFormatting sqref="C20">
    <cfRule type="expression" dxfId="1793" priority="1">
      <formula>AND(C20="",A20="SWITCH")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EF8C0-BD81-45A3-A6C8-B9061F812AF1}">
  <sheetPr codeName="Sheet10">
    <tabColor rgb="FFFF0000"/>
    <pageSetUpPr fitToPage="1"/>
  </sheetPr>
  <dimension ref="A1:B2"/>
  <sheetViews>
    <sheetView topLeftCell="A10" workbookViewId="0">
      <selection activeCell="F50" sqref="F50"/>
    </sheetView>
  </sheetViews>
  <sheetFormatPr defaultRowHeight="10.199999999999999"/>
  <cols>
    <col min="1" max="1" width="1.77734375" customWidth="1"/>
    <col min="2" max="2" width="70.77734375" customWidth="1"/>
  </cols>
  <sheetData>
    <row r="1" spans="1:2" ht="21">
      <c r="A1" s="12" t="s">
        <v>2845</v>
      </c>
      <c r="B1" s="12"/>
    </row>
    <row r="2" spans="1:2" ht="13.2">
      <c r="A2" s="38"/>
      <c r="B2" s="38"/>
    </row>
  </sheetData>
  <pageMargins left="0.7" right="0.7" top="0.75" bottom="0.75" header="0.3" footer="0.3"/>
  <pageSetup paperSize="9" scale="95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43009" r:id="rId4">
          <objectPr defaultSize="0" autoPict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5334000</xdr:colOff>
                <xdr:row>73</xdr:row>
                <xdr:rowOff>68580</xdr:rowOff>
              </to>
            </anchor>
          </objectPr>
        </oleObject>
      </mc:Choice>
      <mc:Fallback>
        <oleObject progId="Visio.Drawing.15" shapeId="43009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E3A8-DCD6-485F-9F5D-FDC0DED3BE2D}">
  <sheetPr codeName="Sheet13">
    <tabColor rgb="FF0070C0"/>
    <pageSetUpPr fitToPage="1"/>
  </sheetPr>
  <dimension ref="A1:Q160"/>
  <sheetViews>
    <sheetView workbookViewId="0">
      <selection activeCell="G17" sqref="G17"/>
    </sheetView>
  </sheetViews>
  <sheetFormatPr defaultRowHeight="10.199999999999999"/>
  <cols>
    <col min="1" max="1" width="1.88671875" customWidth="1"/>
    <col min="2" max="2" width="16.6640625" customWidth="1"/>
    <col min="3" max="3" width="12.21875" customWidth="1"/>
    <col min="4" max="4" width="13" bestFit="1" customWidth="1"/>
    <col min="5" max="5" width="8.6640625" bestFit="1" customWidth="1"/>
    <col min="6" max="7" width="36.44140625" bestFit="1" customWidth="1"/>
    <col min="8" max="8" width="14.77734375" bestFit="1" customWidth="1"/>
    <col min="9" max="9" width="25.77734375" bestFit="1" customWidth="1"/>
    <col min="10" max="10" width="14.33203125" customWidth="1"/>
    <col min="11" max="11" width="14.44140625" bestFit="1" customWidth="1"/>
    <col min="12" max="12" width="14.33203125" customWidth="1"/>
    <col min="13" max="13" width="43.77734375" bestFit="1" customWidth="1"/>
  </cols>
  <sheetData>
    <row r="1" spans="1:17" ht="21">
      <c r="A1" s="12" t="s">
        <v>55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3" spans="1:17" ht="15.6">
      <c r="B3" s="15" t="s">
        <v>43</v>
      </c>
      <c r="C3" s="15" t="s">
        <v>44</v>
      </c>
      <c r="D3" s="15" t="s">
        <v>45</v>
      </c>
      <c r="E3" s="15" t="s">
        <v>46</v>
      </c>
      <c r="F3" s="15" t="s">
        <v>48</v>
      </c>
      <c r="G3" s="15" t="s">
        <v>47</v>
      </c>
      <c r="H3" s="15" t="s">
        <v>49</v>
      </c>
      <c r="I3" s="15" t="s">
        <v>50</v>
      </c>
      <c r="J3" s="15" t="s">
        <v>51</v>
      </c>
      <c r="K3" s="15" t="s">
        <v>52</v>
      </c>
      <c r="L3" s="15" t="s">
        <v>53</v>
      </c>
      <c r="M3" s="15" t="s">
        <v>54</v>
      </c>
    </row>
    <row r="4" spans="1:17">
      <c r="B4" s="18" t="s">
        <v>74</v>
      </c>
      <c r="C4" s="122" t="s">
        <v>57</v>
      </c>
      <c r="D4" s="45" t="s">
        <v>58</v>
      </c>
      <c r="E4" s="36">
        <v>2</v>
      </c>
      <c r="F4" s="36" t="s">
        <v>76</v>
      </c>
      <c r="G4" s="18" t="s">
        <v>75</v>
      </c>
      <c r="H4" s="18" t="s">
        <v>77</v>
      </c>
      <c r="I4" s="18" t="s">
        <v>78</v>
      </c>
      <c r="J4" s="18" t="s">
        <v>78</v>
      </c>
      <c r="K4" s="18" t="s">
        <v>78</v>
      </c>
      <c r="L4" s="18" t="s">
        <v>79</v>
      </c>
      <c r="M4" s="36"/>
      <c r="Q4" t="s">
        <v>58</v>
      </c>
    </row>
    <row r="5" spans="1:17">
      <c r="B5" s="18" t="s">
        <v>80</v>
      </c>
      <c r="C5" s="122" t="s">
        <v>57</v>
      </c>
      <c r="D5" s="45" t="s">
        <v>58</v>
      </c>
      <c r="E5" s="36">
        <v>4</v>
      </c>
      <c r="F5" s="36" t="s">
        <v>82</v>
      </c>
      <c r="G5" s="18" t="s">
        <v>81</v>
      </c>
      <c r="H5" s="18" t="s">
        <v>77</v>
      </c>
      <c r="I5" s="18" t="s">
        <v>78</v>
      </c>
      <c r="J5" s="18" t="s">
        <v>78</v>
      </c>
      <c r="K5" s="18" t="s">
        <v>78</v>
      </c>
      <c r="L5" s="18" t="s">
        <v>79</v>
      </c>
      <c r="M5" s="36"/>
      <c r="Q5" t="s">
        <v>58</v>
      </c>
    </row>
    <row r="6" spans="1:17">
      <c r="B6" s="18" t="s">
        <v>83</v>
      </c>
      <c r="C6" s="122" t="s">
        <v>57</v>
      </c>
      <c r="D6" s="45" t="s">
        <v>58</v>
      </c>
      <c r="E6" s="36">
        <v>6</v>
      </c>
      <c r="F6" s="36" t="s">
        <v>85</v>
      </c>
      <c r="G6" s="18" t="s">
        <v>84</v>
      </c>
      <c r="H6" s="18" t="s">
        <v>77</v>
      </c>
      <c r="I6" s="18" t="s">
        <v>78</v>
      </c>
      <c r="J6" s="18" t="s">
        <v>78</v>
      </c>
      <c r="K6" s="18" t="s">
        <v>78</v>
      </c>
      <c r="L6" s="18" t="s">
        <v>79</v>
      </c>
      <c r="M6" s="36"/>
      <c r="Q6" t="s">
        <v>58</v>
      </c>
    </row>
    <row r="7" spans="1:17">
      <c r="B7" s="18" t="s">
        <v>86</v>
      </c>
      <c r="C7" s="122" t="s">
        <v>57</v>
      </c>
      <c r="D7" s="45" t="s">
        <v>58</v>
      </c>
      <c r="E7" s="36">
        <v>8</v>
      </c>
      <c r="F7" s="36" t="s">
        <v>88</v>
      </c>
      <c r="G7" s="18" t="s">
        <v>87</v>
      </c>
      <c r="H7" s="18" t="s">
        <v>89</v>
      </c>
      <c r="I7" s="18" t="s">
        <v>90</v>
      </c>
      <c r="J7" s="18" t="s">
        <v>91</v>
      </c>
      <c r="K7" s="18" t="s">
        <v>64</v>
      </c>
      <c r="L7" s="18" t="s">
        <v>65</v>
      </c>
      <c r="M7" s="36" t="s">
        <v>92</v>
      </c>
      <c r="Q7" t="s">
        <v>58</v>
      </c>
    </row>
    <row r="8" spans="1:17">
      <c r="B8" s="18" t="s">
        <v>93</v>
      </c>
      <c r="C8" s="122" t="s">
        <v>57</v>
      </c>
      <c r="D8" s="45" t="s">
        <v>58</v>
      </c>
      <c r="E8" s="36">
        <v>28</v>
      </c>
      <c r="F8" s="36" t="s">
        <v>95</v>
      </c>
      <c r="G8" s="18" t="s">
        <v>94</v>
      </c>
      <c r="H8" s="18" t="s">
        <v>96</v>
      </c>
      <c r="I8" s="18" t="s">
        <v>97</v>
      </c>
      <c r="J8" s="18" t="s">
        <v>98</v>
      </c>
      <c r="K8" s="18" t="s">
        <v>64</v>
      </c>
      <c r="L8" s="18" t="s">
        <v>65</v>
      </c>
      <c r="M8" s="36"/>
      <c r="Q8" t="s">
        <v>58</v>
      </c>
    </row>
    <row r="9" spans="1:17">
      <c r="B9" s="18" t="s">
        <v>99</v>
      </c>
      <c r="C9" s="122" t="s">
        <v>57</v>
      </c>
      <c r="D9" s="45" t="s">
        <v>58</v>
      </c>
      <c r="E9" s="36">
        <v>32</v>
      </c>
      <c r="F9" s="36" t="s">
        <v>101</v>
      </c>
      <c r="G9" s="18" t="s">
        <v>100</v>
      </c>
      <c r="H9" s="18" t="s">
        <v>102</v>
      </c>
      <c r="I9" s="18" t="s">
        <v>103</v>
      </c>
      <c r="J9" s="18" t="s">
        <v>104</v>
      </c>
      <c r="K9" s="18" t="s">
        <v>64</v>
      </c>
      <c r="L9" s="18" t="s">
        <v>65</v>
      </c>
      <c r="M9" s="36"/>
      <c r="Q9" t="s">
        <v>58</v>
      </c>
    </row>
    <row r="10" spans="1:17">
      <c r="B10" s="18" t="s">
        <v>105</v>
      </c>
      <c r="C10" s="122" t="s">
        <v>57</v>
      </c>
      <c r="D10" s="45" t="s">
        <v>58</v>
      </c>
      <c r="E10" s="36">
        <v>84</v>
      </c>
      <c r="F10" s="36" t="s">
        <v>107</v>
      </c>
      <c r="G10" s="18" t="s">
        <v>106</v>
      </c>
      <c r="H10" s="18" t="s">
        <v>108</v>
      </c>
      <c r="I10" s="18" t="s">
        <v>109</v>
      </c>
      <c r="J10" s="18" t="s">
        <v>110</v>
      </c>
      <c r="K10" s="18" t="s">
        <v>64</v>
      </c>
      <c r="L10" s="18"/>
      <c r="M10" s="36"/>
      <c r="Q10" t="s">
        <v>58</v>
      </c>
    </row>
    <row r="11" spans="1:17">
      <c r="B11" s="18" t="s">
        <v>111</v>
      </c>
      <c r="C11" s="122" t="s">
        <v>57</v>
      </c>
      <c r="D11" s="45" t="s">
        <v>58</v>
      </c>
      <c r="E11" s="36">
        <v>88</v>
      </c>
      <c r="F11" s="36" t="s">
        <v>113</v>
      </c>
      <c r="G11" s="18" t="s">
        <v>112</v>
      </c>
      <c r="H11" s="18" t="s">
        <v>114</v>
      </c>
      <c r="I11" s="18" t="s">
        <v>115</v>
      </c>
      <c r="J11" s="18" t="s">
        <v>116</v>
      </c>
      <c r="K11" s="18" t="s">
        <v>64</v>
      </c>
      <c r="L11" s="18"/>
      <c r="M11" s="36"/>
      <c r="Q11" t="s">
        <v>58</v>
      </c>
    </row>
    <row r="12" spans="1:17">
      <c r="B12" s="18" t="s">
        <v>56</v>
      </c>
      <c r="C12" s="122" t="s">
        <v>57</v>
      </c>
      <c r="D12" s="45" t="s">
        <v>58</v>
      </c>
      <c r="E12" s="36">
        <v>92</v>
      </c>
      <c r="F12" s="36" t="s">
        <v>60</v>
      </c>
      <c r="G12" s="18" t="s">
        <v>59</v>
      </c>
      <c r="H12" s="18" t="s">
        <v>61</v>
      </c>
      <c r="I12" s="18" t="s">
        <v>62</v>
      </c>
      <c r="J12" s="18" t="s">
        <v>63</v>
      </c>
      <c r="K12" s="18" t="s">
        <v>64</v>
      </c>
      <c r="L12" s="18" t="s">
        <v>65</v>
      </c>
      <c r="M12" s="36"/>
      <c r="Q12" t="s">
        <v>58</v>
      </c>
    </row>
    <row r="13" spans="1:17">
      <c r="B13" s="18" t="s">
        <v>117</v>
      </c>
      <c r="C13" s="122" t="s">
        <v>57</v>
      </c>
      <c r="D13" s="45" t="s">
        <v>58</v>
      </c>
      <c r="E13" s="36">
        <v>132</v>
      </c>
      <c r="F13" s="36" t="s">
        <v>119</v>
      </c>
      <c r="G13" s="18" t="s">
        <v>118</v>
      </c>
      <c r="H13" s="18" t="s">
        <v>120</v>
      </c>
      <c r="I13" s="18" t="s">
        <v>121</v>
      </c>
      <c r="J13" s="18" t="s">
        <v>122</v>
      </c>
      <c r="K13" s="18" t="s">
        <v>64</v>
      </c>
      <c r="L13" s="18"/>
      <c r="M13" s="36"/>
      <c r="Q13" t="s">
        <v>58</v>
      </c>
    </row>
    <row r="14" spans="1:17">
      <c r="B14" s="18" t="s">
        <v>123</v>
      </c>
      <c r="C14" s="122" t="s">
        <v>57</v>
      </c>
      <c r="D14" s="45" t="s">
        <v>58</v>
      </c>
      <c r="E14" s="36">
        <v>201</v>
      </c>
      <c r="F14" s="36" t="s">
        <v>125</v>
      </c>
      <c r="G14" s="18" t="s">
        <v>124</v>
      </c>
      <c r="H14" s="18" t="s">
        <v>126</v>
      </c>
      <c r="I14" s="18" t="s">
        <v>127</v>
      </c>
      <c r="J14" s="18" t="s">
        <v>128</v>
      </c>
      <c r="K14" s="18" t="s">
        <v>129</v>
      </c>
      <c r="L14" s="18"/>
      <c r="M14" s="36"/>
      <c r="Q14" t="s">
        <v>58</v>
      </c>
    </row>
    <row r="15" spans="1:17">
      <c r="B15" s="18" t="s">
        <v>130</v>
      </c>
      <c r="C15" s="122" t="s">
        <v>57</v>
      </c>
      <c r="D15" s="45" t="s">
        <v>58</v>
      </c>
      <c r="E15" s="36">
        <v>202</v>
      </c>
      <c r="F15" s="36" t="s">
        <v>132</v>
      </c>
      <c r="G15" s="18" t="s">
        <v>131</v>
      </c>
      <c r="H15" s="18" t="s">
        <v>133</v>
      </c>
      <c r="I15" s="18" t="s">
        <v>134</v>
      </c>
      <c r="J15" s="18" t="s">
        <v>135</v>
      </c>
      <c r="K15" s="18" t="s">
        <v>129</v>
      </c>
      <c r="L15" s="18"/>
      <c r="M15" s="36"/>
      <c r="Q15" t="s">
        <v>58</v>
      </c>
    </row>
    <row r="16" spans="1:17">
      <c r="B16" s="18" t="s">
        <v>136</v>
      </c>
      <c r="C16" s="122" t="s">
        <v>57</v>
      </c>
      <c r="D16" s="45" t="s">
        <v>58</v>
      </c>
      <c r="E16" s="36">
        <v>220</v>
      </c>
      <c r="F16" s="36" t="s">
        <v>138</v>
      </c>
      <c r="G16" s="18" t="s">
        <v>137</v>
      </c>
      <c r="H16" s="18" t="s">
        <v>139</v>
      </c>
      <c r="I16" s="18" t="s">
        <v>140</v>
      </c>
      <c r="J16" s="18" t="s">
        <v>141</v>
      </c>
      <c r="K16" s="18" t="s">
        <v>73</v>
      </c>
      <c r="L16" s="18" t="s">
        <v>65</v>
      </c>
      <c r="M16" s="36"/>
      <c r="Q16" t="s">
        <v>58</v>
      </c>
    </row>
    <row r="17" spans="2:17">
      <c r="B17" s="18" t="s">
        <v>142</v>
      </c>
      <c r="C17" s="122" t="s">
        <v>57</v>
      </c>
      <c r="D17" s="45" t="s">
        <v>58</v>
      </c>
      <c r="E17" s="36">
        <v>230</v>
      </c>
      <c r="F17" s="36" t="s">
        <v>144</v>
      </c>
      <c r="G17" s="18" t="s">
        <v>143</v>
      </c>
      <c r="H17" s="18" t="s">
        <v>145</v>
      </c>
      <c r="I17" s="18" t="s">
        <v>146</v>
      </c>
      <c r="J17" s="18"/>
      <c r="K17" s="18" t="s">
        <v>73</v>
      </c>
      <c r="L17" s="18" t="s">
        <v>65</v>
      </c>
      <c r="M17" s="36"/>
      <c r="Q17" t="s">
        <v>58</v>
      </c>
    </row>
    <row r="18" spans="2:17">
      <c r="B18" s="18" t="s">
        <v>147</v>
      </c>
      <c r="C18" s="122" t="s">
        <v>57</v>
      </c>
      <c r="D18" s="45" t="s">
        <v>58</v>
      </c>
      <c r="E18" s="36">
        <v>300</v>
      </c>
      <c r="F18" s="36" t="s">
        <v>149</v>
      </c>
      <c r="G18" s="18" t="s">
        <v>148</v>
      </c>
      <c r="H18" s="18" t="s">
        <v>150</v>
      </c>
      <c r="I18" s="18" t="s">
        <v>151</v>
      </c>
      <c r="J18" s="18" t="s">
        <v>152</v>
      </c>
      <c r="K18" s="18" t="s">
        <v>73</v>
      </c>
      <c r="L18" s="18" t="s">
        <v>65</v>
      </c>
      <c r="M18" s="36"/>
      <c r="Q18" t="s">
        <v>58</v>
      </c>
    </row>
    <row r="19" spans="2:17">
      <c r="B19" s="18" t="s">
        <v>153</v>
      </c>
      <c r="C19" s="122" t="s">
        <v>57</v>
      </c>
      <c r="D19" s="45" t="s">
        <v>58</v>
      </c>
      <c r="E19" s="36">
        <v>310</v>
      </c>
      <c r="F19" s="36" t="s">
        <v>155</v>
      </c>
      <c r="G19" s="18" t="s">
        <v>154</v>
      </c>
      <c r="H19" s="18" t="s">
        <v>156</v>
      </c>
      <c r="I19" s="18" t="s">
        <v>157</v>
      </c>
      <c r="J19" s="18" t="s">
        <v>158</v>
      </c>
      <c r="K19" s="18" t="s">
        <v>73</v>
      </c>
      <c r="L19" s="18" t="s">
        <v>79</v>
      </c>
      <c r="M19" s="36"/>
      <c r="Q19" t="s">
        <v>58</v>
      </c>
    </row>
    <row r="20" spans="2:17">
      <c r="B20" s="18" t="s">
        <v>159</v>
      </c>
      <c r="C20" s="122" t="s">
        <v>57</v>
      </c>
      <c r="D20" s="45" t="s">
        <v>58</v>
      </c>
      <c r="E20" s="36">
        <v>320</v>
      </c>
      <c r="F20" s="36" t="s">
        <v>161</v>
      </c>
      <c r="G20" s="18" t="s">
        <v>160</v>
      </c>
      <c r="H20" s="18" t="s">
        <v>162</v>
      </c>
      <c r="I20" s="18" t="s">
        <v>163</v>
      </c>
      <c r="J20" s="18" t="s">
        <v>164</v>
      </c>
      <c r="K20" s="18" t="s">
        <v>73</v>
      </c>
      <c r="L20" s="18" t="s">
        <v>79</v>
      </c>
      <c r="M20" s="36"/>
      <c r="Q20" t="s">
        <v>58</v>
      </c>
    </row>
    <row r="21" spans="2:17">
      <c r="B21" s="18" t="s">
        <v>165</v>
      </c>
      <c r="C21" s="122" t="s">
        <v>57</v>
      </c>
      <c r="D21" s="45" t="s">
        <v>58</v>
      </c>
      <c r="E21" s="36">
        <v>400</v>
      </c>
      <c r="F21" s="36" t="s">
        <v>167</v>
      </c>
      <c r="G21" s="18" t="s">
        <v>166</v>
      </c>
      <c r="H21" s="18" t="s">
        <v>168</v>
      </c>
      <c r="I21" s="18" t="s">
        <v>169</v>
      </c>
      <c r="J21" s="18" t="s">
        <v>170</v>
      </c>
      <c r="K21" s="18" t="s">
        <v>73</v>
      </c>
      <c r="L21" s="18" t="s">
        <v>65</v>
      </c>
      <c r="M21" s="36"/>
      <c r="Q21" t="s">
        <v>58</v>
      </c>
    </row>
    <row r="22" spans="2:17">
      <c r="B22" s="18" t="s">
        <v>171</v>
      </c>
      <c r="C22" s="122" t="s">
        <v>57</v>
      </c>
      <c r="D22" s="45" t="s">
        <v>58</v>
      </c>
      <c r="E22" s="36">
        <v>401</v>
      </c>
      <c r="F22" s="36" t="s">
        <v>173</v>
      </c>
      <c r="G22" s="18" t="s">
        <v>172</v>
      </c>
      <c r="H22" s="18" t="s">
        <v>174</v>
      </c>
      <c r="I22" s="18" t="s">
        <v>175</v>
      </c>
      <c r="J22" s="18" t="s">
        <v>176</v>
      </c>
      <c r="K22" s="18" t="s">
        <v>73</v>
      </c>
      <c r="L22" s="18" t="s">
        <v>65</v>
      </c>
      <c r="M22" s="36"/>
      <c r="Q22" t="s">
        <v>58</v>
      </c>
    </row>
    <row r="23" spans="2:17">
      <c r="B23" s="18" t="s">
        <v>177</v>
      </c>
      <c r="C23" s="122" t="s">
        <v>57</v>
      </c>
      <c r="D23" s="45" t="s">
        <v>58</v>
      </c>
      <c r="E23" s="36">
        <v>402</v>
      </c>
      <c r="F23" s="36" t="s">
        <v>179</v>
      </c>
      <c r="G23" s="18" t="s">
        <v>178</v>
      </c>
      <c r="H23" s="18" t="s">
        <v>180</v>
      </c>
      <c r="I23" s="18" t="s">
        <v>181</v>
      </c>
      <c r="J23" s="18" t="s">
        <v>182</v>
      </c>
      <c r="K23" s="18" t="s">
        <v>73</v>
      </c>
      <c r="L23" s="18" t="s">
        <v>65</v>
      </c>
      <c r="M23" s="36"/>
      <c r="Q23" t="s">
        <v>58</v>
      </c>
    </row>
    <row r="24" spans="2:17">
      <c r="B24" s="18" t="s">
        <v>183</v>
      </c>
      <c r="C24" s="122" t="s">
        <v>57</v>
      </c>
      <c r="D24" s="45" t="s">
        <v>58</v>
      </c>
      <c r="E24" s="36">
        <v>403</v>
      </c>
      <c r="F24" s="36" t="s">
        <v>185</v>
      </c>
      <c r="G24" s="18" t="s">
        <v>184</v>
      </c>
      <c r="H24" s="18" t="s">
        <v>186</v>
      </c>
      <c r="I24" s="18" t="s">
        <v>187</v>
      </c>
      <c r="J24" s="18" t="s">
        <v>188</v>
      </c>
      <c r="K24" s="18" t="s">
        <v>73</v>
      </c>
      <c r="L24" s="18" t="s">
        <v>65</v>
      </c>
      <c r="M24" s="36"/>
      <c r="Q24" t="s">
        <v>58</v>
      </c>
    </row>
    <row r="25" spans="2:17">
      <c r="B25" s="18" t="s">
        <v>189</v>
      </c>
      <c r="C25" s="122" t="s">
        <v>57</v>
      </c>
      <c r="D25" s="45" t="s">
        <v>58</v>
      </c>
      <c r="E25" s="36">
        <v>404</v>
      </c>
      <c r="F25" s="36" t="s">
        <v>191</v>
      </c>
      <c r="G25" s="18" t="s">
        <v>190</v>
      </c>
      <c r="H25" s="18" t="s">
        <v>192</v>
      </c>
      <c r="I25" s="18" t="s">
        <v>193</v>
      </c>
      <c r="J25" s="18" t="s">
        <v>194</v>
      </c>
      <c r="K25" s="18" t="s">
        <v>73</v>
      </c>
      <c r="L25" s="18" t="s">
        <v>65</v>
      </c>
      <c r="M25" s="36"/>
      <c r="Q25" t="s">
        <v>58</v>
      </c>
    </row>
    <row r="26" spans="2:17">
      <c r="B26" s="18" t="s">
        <v>195</v>
      </c>
      <c r="C26" s="122" t="s">
        <v>57</v>
      </c>
      <c r="D26" s="45" t="s">
        <v>58</v>
      </c>
      <c r="E26" s="36">
        <v>405</v>
      </c>
      <c r="F26" s="36" t="s">
        <v>197</v>
      </c>
      <c r="G26" s="18" t="s">
        <v>196</v>
      </c>
      <c r="H26" s="18" t="s">
        <v>198</v>
      </c>
      <c r="I26" s="18" t="s">
        <v>199</v>
      </c>
      <c r="J26" s="18" t="s">
        <v>200</v>
      </c>
      <c r="K26" s="18" t="s">
        <v>73</v>
      </c>
      <c r="L26" s="18" t="s">
        <v>65</v>
      </c>
      <c r="M26" s="36"/>
      <c r="Q26" t="s">
        <v>58</v>
      </c>
    </row>
    <row r="27" spans="2:17">
      <c r="B27" s="18" t="s">
        <v>201</v>
      </c>
      <c r="C27" s="122" t="s">
        <v>57</v>
      </c>
      <c r="D27" s="45" t="s">
        <v>58</v>
      </c>
      <c r="E27" s="36">
        <v>406</v>
      </c>
      <c r="F27" s="36" t="s">
        <v>203</v>
      </c>
      <c r="G27" s="18" t="s">
        <v>202</v>
      </c>
      <c r="H27" s="18" t="s">
        <v>204</v>
      </c>
      <c r="I27" s="18" t="s">
        <v>205</v>
      </c>
      <c r="J27" s="18" t="s">
        <v>206</v>
      </c>
      <c r="K27" s="18" t="s">
        <v>73</v>
      </c>
      <c r="L27" s="18" t="s">
        <v>65</v>
      </c>
      <c r="M27" s="36"/>
      <c r="Q27" t="s">
        <v>58</v>
      </c>
    </row>
    <row r="28" spans="2:17">
      <c r="B28" s="18" t="s">
        <v>207</v>
      </c>
      <c r="C28" s="122" t="s">
        <v>57</v>
      </c>
      <c r="D28" s="45" t="s">
        <v>58</v>
      </c>
      <c r="E28" s="36">
        <v>407</v>
      </c>
      <c r="F28" s="36" t="s">
        <v>209</v>
      </c>
      <c r="G28" s="18" t="s">
        <v>208</v>
      </c>
      <c r="H28" s="18" t="s">
        <v>210</v>
      </c>
      <c r="I28" s="18" t="s">
        <v>211</v>
      </c>
      <c r="J28" s="18" t="s">
        <v>212</v>
      </c>
      <c r="K28" s="18" t="s">
        <v>73</v>
      </c>
      <c r="L28" s="18" t="s">
        <v>65</v>
      </c>
      <c r="M28" s="36"/>
      <c r="Q28" t="s">
        <v>58</v>
      </c>
    </row>
    <row r="29" spans="2:17">
      <c r="B29" s="18" t="s">
        <v>213</v>
      </c>
      <c r="C29" s="122" t="s">
        <v>57</v>
      </c>
      <c r="D29" s="45" t="s">
        <v>58</v>
      </c>
      <c r="E29" s="36">
        <v>408</v>
      </c>
      <c r="F29" s="36" t="s">
        <v>215</v>
      </c>
      <c r="G29" s="18" t="s">
        <v>214</v>
      </c>
      <c r="H29" s="18" t="s">
        <v>216</v>
      </c>
      <c r="I29" s="18" t="s">
        <v>217</v>
      </c>
      <c r="J29" s="18" t="s">
        <v>218</v>
      </c>
      <c r="K29" s="18" t="s">
        <v>73</v>
      </c>
      <c r="L29" s="18" t="s">
        <v>65</v>
      </c>
      <c r="M29" s="36"/>
      <c r="Q29" t="s">
        <v>58</v>
      </c>
    </row>
    <row r="30" spans="2:17">
      <c r="B30" s="18" t="s">
        <v>219</v>
      </c>
      <c r="C30" s="122" t="s">
        <v>57</v>
      </c>
      <c r="D30" s="45" t="s">
        <v>58</v>
      </c>
      <c r="E30" s="36">
        <v>409</v>
      </c>
      <c r="F30" s="36" t="s">
        <v>221</v>
      </c>
      <c r="G30" s="18" t="s">
        <v>220</v>
      </c>
      <c r="H30" s="18" t="s">
        <v>222</v>
      </c>
      <c r="I30" s="18" t="s">
        <v>223</v>
      </c>
      <c r="J30" s="18" t="s">
        <v>224</v>
      </c>
      <c r="K30" s="18" t="s">
        <v>73</v>
      </c>
      <c r="L30" s="18" t="s">
        <v>65</v>
      </c>
      <c r="M30" s="36"/>
      <c r="Q30" t="s">
        <v>58</v>
      </c>
    </row>
    <row r="31" spans="2:17">
      <c r="B31" s="18" t="s">
        <v>225</v>
      </c>
      <c r="C31" s="122" t="s">
        <v>57</v>
      </c>
      <c r="D31" s="45" t="s">
        <v>58</v>
      </c>
      <c r="E31" s="36">
        <v>410</v>
      </c>
      <c r="F31" s="36" t="s">
        <v>227</v>
      </c>
      <c r="G31" s="18" t="s">
        <v>226</v>
      </c>
      <c r="H31" s="18" t="s">
        <v>228</v>
      </c>
      <c r="I31" s="18" t="s">
        <v>229</v>
      </c>
      <c r="J31" s="18" t="s">
        <v>230</v>
      </c>
      <c r="K31" s="18" t="s">
        <v>73</v>
      </c>
      <c r="L31" s="18" t="s">
        <v>65</v>
      </c>
      <c r="M31" s="36"/>
      <c r="Q31" t="s">
        <v>58</v>
      </c>
    </row>
    <row r="32" spans="2:17">
      <c r="B32" s="18" t="s">
        <v>231</v>
      </c>
      <c r="C32" s="122" t="s">
        <v>57</v>
      </c>
      <c r="D32" s="45" t="s">
        <v>58</v>
      </c>
      <c r="E32" s="36">
        <v>411</v>
      </c>
      <c r="F32" s="36" t="s">
        <v>233</v>
      </c>
      <c r="G32" s="18" t="s">
        <v>232</v>
      </c>
      <c r="H32" s="18" t="s">
        <v>234</v>
      </c>
      <c r="I32" s="18" t="s">
        <v>235</v>
      </c>
      <c r="J32" s="18" t="s">
        <v>236</v>
      </c>
      <c r="K32" s="18" t="s">
        <v>73</v>
      </c>
      <c r="L32" s="18" t="s">
        <v>65</v>
      </c>
      <c r="M32" s="36"/>
      <c r="Q32" t="s">
        <v>58</v>
      </c>
    </row>
    <row r="33" spans="2:17">
      <c r="B33" s="18" t="s">
        <v>237</v>
      </c>
      <c r="C33" s="122" t="s">
        <v>57</v>
      </c>
      <c r="D33" s="45" t="s">
        <v>58</v>
      </c>
      <c r="E33" s="36">
        <v>412</v>
      </c>
      <c r="F33" s="36" t="s">
        <v>239</v>
      </c>
      <c r="G33" s="18" t="s">
        <v>238</v>
      </c>
      <c r="H33" s="18" t="s">
        <v>240</v>
      </c>
      <c r="I33" s="18" t="s">
        <v>241</v>
      </c>
      <c r="J33" s="18" t="s">
        <v>242</v>
      </c>
      <c r="K33" s="18" t="s">
        <v>73</v>
      </c>
      <c r="L33" s="18" t="s">
        <v>65</v>
      </c>
      <c r="M33" s="36"/>
      <c r="Q33" t="s">
        <v>58</v>
      </c>
    </row>
    <row r="34" spans="2:17">
      <c r="B34" s="18" t="s">
        <v>243</v>
      </c>
      <c r="C34" s="122" t="s">
        <v>57</v>
      </c>
      <c r="D34" s="45" t="s">
        <v>58</v>
      </c>
      <c r="E34" s="36">
        <v>413</v>
      </c>
      <c r="F34" s="36" t="s">
        <v>245</v>
      </c>
      <c r="G34" s="18" t="s">
        <v>244</v>
      </c>
      <c r="H34" s="18" t="s">
        <v>246</v>
      </c>
      <c r="I34" s="18" t="s">
        <v>247</v>
      </c>
      <c r="J34" s="18" t="s">
        <v>248</v>
      </c>
      <c r="K34" s="18" t="s">
        <v>73</v>
      </c>
      <c r="L34" s="18" t="s">
        <v>65</v>
      </c>
      <c r="M34" s="36"/>
      <c r="Q34" t="s">
        <v>58</v>
      </c>
    </row>
    <row r="35" spans="2:17">
      <c r="B35" s="18" t="s">
        <v>249</v>
      </c>
      <c r="C35" s="122" t="s">
        <v>57</v>
      </c>
      <c r="D35" s="45" t="s">
        <v>58</v>
      </c>
      <c r="E35" s="36">
        <v>414</v>
      </c>
      <c r="F35" s="36" t="s">
        <v>251</v>
      </c>
      <c r="G35" s="18" t="s">
        <v>250</v>
      </c>
      <c r="H35" s="18" t="s">
        <v>252</v>
      </c>
      <c r="I35" s="18" t="s">
        <v>253</v>
      </c>
      <c r="J35" s="18" t="s">
        <v>254</v>
      </c>
      <c r="K35" s="18" t="s">
        <v>73</v>
      </c>
      <c r="L35" s="18" t="s">
        <v>65</v>
      </c>
      <c r="M35" s="36"/>
      <c r="Q35" t="s">
        <v>58</v>
      </c>
    </row>
    <row r="36" spans="2:17">
      <c r="B36" s="18" t="s">
        <v>255</v>
      </c>
      <c r="C36" s="122" t="s">
        <v>57</v>
      </c>
      <c r="D36" s="45" t="s">
        <v>58</v>
      </c>
      <c r="E36" s="36">
        <v>415</v>
      </c>
      <c r="F36" s="36" t="s">
        <v>257</v>
      </c>
      <c r="G36" s="18" t="s">
        <v>256</v>
      </c>
      <c r="H36" s="18" t="s">
        <v>258</v>
      </c>
      <c r="I36" s="18" t="s">
        <v>259</v>
      </c>
      <c r="J36" s="18" t="s">
        <v>260</v>
      </c>
      <c r="K36" s="18" t="s">
        <v>73</v>
      </c>
      <c r="L36" s="18" t="s">
        <v>65</v>
      </c>
      <c r="M36" s="36"/>
      <c r="Q36" t="s">
        <v>58</v>
      </c>
    </row>
    <row r="37" spans="2:17">
      <c r="B37" s="18" t="s">
        <v>261</v>
      </c>
      <c r="C37" s="122" t="s">
        <v>57</v>
      </c>
      <c r="D37" s="45" t="s">
        <v>58</v>
      </c>
      <c r="E37" s="36">
        <v>440</v>
      </c>
      <c r="F37" s="36" t="s">
        <v>263</v>
      </c>
      <c r="G37" s="18" t="s">
        <v>262</v>
      </c>
      <c r="H37" s="18" t="s">
        <v>77</v>
      </c>
      <c r="I37" s="18" t="s">
        <v>78</v>
      </c>
      <c r="J37" s="18" t="s">
        <v>78</v>
      </c>
      <c r="K37" s="18" t="s">
        <v>78</v>
      </c>
      <c r="L37" s="18" t="s">
        <v>79</v>
      </c>
      <c r="M37" s="36"/>
      <c r="Q37" t="s">
        <v>58</v>
      </c>
    </row>
    <row r="38" spans="2:17">
      <c r="B38" s="18" t="s">
        <v>264</v>
      </c>
      <c r="C38" s="122" t="s">
        <v>57</v>
      </c>
      <c r="D38" s="45" t="s">
        <v>58</v>
      </c>
      <c r="E38" s="36">
        <v>441</v>
      </c>
      <c r="F38" s="36" t="s">
        <v>266</v>
      </c>
      <c r="G38" s="18" t="s">
        <v>265</v>
      </c>
      <c r="H38" s="18" t="s">
        <v>267</v>
      </c>
      <c r="I38" s="18" t="s">
        <v>268</v>
      </c>
      <c r="J38" s="18" t="s">
        <v>269</v>
      </c>
      <c r="K38" s="18" t="s">
        <v>73</v>
      </c>
      <c r="L38" s="18" t="s">
        <v>79</v>
      </c>
      <c r="M38" s="36"/>
      <c r="Q38" t="s">
        <v>58</v>
      </c>
    </row>
    <row r="39" spans="2:17">
      <c r="B39" s="18" t="s">
        <v>273</v>
      </c>
      <c r="C39" s="122" t="s">
        <v>57</v>
      </c>
      <c r="D39" s="45" t="s">
        <v>58</v>
      </c>
      <c r="E39" s="36">
        <v>444</v>
      </c>
      <c r="F39" s="36" t="s">
        <v>275</v>
      </c>
      <c r="G39" s="18" t="s">
        <v>274</v>
      </c>
      <c r="H39" s="18" t="s">
        <v>276</v>
      </c>
      <c r="I39" s="18" t="s">
        <v>277</v>
      </c>
      <c r="J39" s="18" t="s">
        <v>278</v>
      </c>
      <c r="K39" s="18" t="s">
        <v>73</v>
      </c>
      <c r="L39" s="18" t="s">
        <v>79</v>
      </c>
      <c r="M39" s="36"/>
      <c r="Q39" t="s">
        <v>58</v>
      </c>
    </row>
    <row r="40" spans="2:17">
      <c r="B40" s="18" t="s">
        <v>279</v>
      </c>
      <c r="C40" s="122" t="s">
        <v>57</v>
      </c>
      <c r="D40" s="45" t="s">
        <v>58</v>
      </c>
      <c r="E40" s="36">
        <v>448</v>
      </c>
      <c r="F40" s="36" t="s">
        <v>281</v>
      </c>
      <c r="G40" s="18" t="s">
        <v>280</v>
      </c>
      <c r="H40" s="18" t="s">
        <v>282</v>
      </c>
      <c r="I40" s="18" t="s">
        <v>283</v>
      </c>
      <c r="J40" s="18" t="s">
        <v>78</v>
      </c>
      <c r="K40" s="18" t="s">
        <v>73</v>
      </c>
      <c r="L40" s="18" t="s">
        <v>65</v>
      </c>
      <c r="M40" s="36"/>
      <c r="Q40" t="s">
        <v>58</v>
      </c>
    </row>
    <row r="41" spans="2:17">
      <c r="B41" s="18" t="s">
        <v>284</v>
      </c>
      <c r="C41" s="122" t="s">
        <v>57</v>
      </c>
      <c r="D41" s="45" t="s">
        <v>58</v>
      </c>
      <c r="E41" s="36">
        <v>449</v>
      </c>
      <c r="F41" s="36" t="s">
        <v>286</v>
      </c>
      <c r="G41" s="18" t="s">
        <v>285</v>
      </c>
      <c r="H41" s="18" t="s">
        <v>77</v>
      </c>
      <c r="I41" s="18" t="s">
        <v>78</v>
      </c>
      <c r="J41" s="18" t="s">
        <v>78</v>
      </c>
      <c r="K41" s="18" t="s">
        <v>78</v>
      </c>
      <c r="L41" s="18" t="s">
        <v>79</v>
      </c>
      <c r="M41" s="36"/>
      <c r="Q41" t="s">
        <v>58</v>
      </c>
    </row>
    <row r="42" spans="2:17">
      <c r="B42" s="18" t="s">
        <v>287</v>
      </c>
      <c r="C42" s="122" t="s">
        <v>57</v>
      </c>
      <c r="D42" s="45" t="s">
        <v>58</v>
      </c>
      <c r="E42" s="36">
        <v>510</v>
      </c>
      <c r="F42" s="36" t="s">
        <v>289</v>
      </c>
      <c r="G42" s="18" t="s">
        <v>288</v>
      </c>
      <c r="H42" s="18" t="s">
        <v>77</v>
      </c>
      <c r="I42" s="18" t="s">
        <v>78</v>
      </c>
      <c r="J42" s="18" t="s">
        <v>78</v>
      </c>
      <c r="K42" s="18" t="s">
        <v>78</v>
      </c>
      <c r="L42" s="18" t="s">
        <v>65</v>
      </c>
      <c r="M42" s="36"/>
      <c r="Q42" t="s">
        <v>58</v>
      </c>
    </row>
    <row r="43" spans="2:17">
      <c r="B43" s="18" t="s">
        <v>290</v>
      </c>
      <c r="C43" s="122" t="s">
        <v>57</v>
      </c>
      <c r="D43" s="45" t="s">
        <v>58</v>
      </c>
      <c r="E43" s="36">
        <v>511</v>
      </c>
      <c r="F43" s="36" t="s">
        <v>292</v>
      </c>
      <c r="G43" s="18" t="s">
        <v>291</v>
      </c>
      <c r="H43" s="18" t="s">
        <v>77</v>
      </c>
      <c r="I43" s="18" t="s">
        <v>78</v>
      </c>
      <c r="J43" s="18" t="s">
        <v>78</v>
      </c>
      <c r="K43" s="18" t="s">
        <v>78</v>
      </c>
      <c r="L43" s="18" t="s">
        <v>65</v>
      </c>
      <c r="M43" s="36"/>
      <c r="Q43" t="s">
        <v>58</v>
      </c>
    </row>
    <row r="44" spans="2:17">
      <c r="B44" s="18" t="s">
        <v>293</v>
      </c>
      <c r="C44" s="122" t="s">
        <v>57</v>
      </c>
      <c r="D44" s="45" t="s">
        <v>58</v>
      </c>
      <c r="E44" s="36">
        <v>512</v>
      </c>
      <c r="F44" s="36" t="s">
        <v>295</v>
      </c>
      <c r="G44" s="18" t="s">
        <v>294</v>
      </c>
      <c r="H44" s="18" t="s">
        <v>296</v>
      </c>
      <c r="I44" s="18" t="s">
        <v>297</v>
      </c>
      <c r="J44" s="18" t="s">
        <v>298</v>
      </c>
      <c r="K44" s="18" t="s">
        <v>73</v>
      </c>
      <c r="L44" s="18" t="s">
        <v>79</v>
      </c>
      <c r="M44" s="36"/>
      <c r="Q44" t="s">
        <v>58</v>
      </c>
    </row>
    <row r="45" spans="2:17">
      <c r="B45" s="18" t="s">
        <v>299</v>
      </c>
      <c r="C45" s="122" t="s">
        <v>57</v>
      </c>
      <c r="D45" s="45" t="s">
        <v>300</v>
      </c>
      <c r="E45" s="36">
        <v>999</v>
      </c>
      <c r="F45" s="36" t="s">
        <v>301</v>
      </c>
      <c r="G45" s="18"/>
      <c r="H45" s="18" t="s">
        <v>77</v>
      </c>
      <c r="I45" s="18" t="s">
        <v>78</v>
      </c>
      <c r="J45" s="18" t="s">
        <v>78</v>
      </c>
      <c r="K45" s="18" t="s">
        <v>78</v>
      </c>
      <c r="L45" s="18" t="s">
        <v>302</v>
      </c>
      <c r="M45" s="36" t="s">
        <v>303</v>
      </c>
      <c r="Q45" t="s">
        <v>300</v>
      </c>
    </row>
    <row r="46" spans="2:17">
      <c r="B46" s="18" t="s">
        <v>304</v>
      </c>
      <c r="C46" s="122" t="s">
        <v>57</v>
      </c>
      <c r="D46" s="45" t="s">
        <v>58</v>
      </c>
      <c r="E46" s="36">
        <v>1000</v>
      </c>
      <c r="F46" s="36" t="s">
        <v>306</v>
      </c>
      <c r="G46" s="18" t="s">
        <v>305</v>
      </c>
      <c r="H46" s="18" t="s">
        <v>307</v>
      </c>
      <c r="I46" s="18" t="s">
        <v>308</v>
      </c>
      <c r="J46" s="18" t="s">
        <v>309</v>
      </c>
      <c r="K46" s="18" t="s">
        <v>78</v>
      </c>
      <c r="L46" s="18" t="s">
        <v>79</v>
      </c>
      <c r="M46" s="36"/>
      <c r="Q46" t="s">
        <v>58</v>
      </c>
    </row>
    <row r="47" spans="2:17">
      <c r="B47" s="18" t="s">
        <v>310</v>
      </c>
      <c r="C47" s="122" t="s">
        <v>57</v>
      </c>
      <c r="D47" s="45" t="s">
        <v>58</v>
      </c>
      <c r="E47" s="36">
        <v>1018</v>
      </c>
      <c r="F47" s="36" t="s">
        <v>311</v>
      </c>
      <c r="G47" s="18"/>
      <c r="H47" s="18" t="s">
        <v>312</v>
      </c>
      <c r="I47" s="18" t="s">
        <v>313</v>
      </c>
      <c r="J47" s="18" t="s">
        <v>314</v>
      </c>
      <c r="K47" s="18" t="s">
        <v>73</v>
      </c>
      <c r="L47" s="18" t="s">
        <v>302</v>
      </c>
      <c r="M47" s="36" t="s">
        <v>315</v>
      </c>
      <c r="Q47" t="s">
        <v>58</v>
      </c>
    </row>
    <row r="48" spans="2:17">
      <c r="B48" s="18" t="s">
        <v>316</v>
      </c>
      <c r="C48" s="122" t="s">
        <v>57</v>
      </c>
      <c r="D48" s="45" t="s">
        <v>58</v>
      </c>
      <c r="E48" s="36">
        <v>1021</v>
      </c>
      <c r="F48" s="36" t="s">
        <v>317</v>
      </c>
      <c r="G48" s="18"/>
      <c r="H48" s="18" t="s">
        <v>318</v>
      </c>
      <c r="I48" s="18" t="s">
        <v>319</v>
      </c>
      <c r="J48" s="18" t="s">
        <v>320</v>
      </c>
      <c r="K48" s="18" t="s">
        <v>73</v>
      </c>
      <c r="L48" s="18" t="s">
        <v>302</v>
      </c>
      <c r="M48" s="36" t="s">
        <v>321</v>
      </c>
      <c r="Q48" t="s">
        <v>58</v>
      </c>
    </row>
    <row r="49" spans="2:17">
      <c r="B49" s="18" t="s">
        <v>322</v>
      </c>
      <c r="C49" s="122" t="s">
        <v>57</v>
      </c>
      <c r="D49" s="45" t="s">
        <v>58</v>
      </c>
      <c r="E49" s="36">
        <v>1022</v>
      </c>
      <c r="F49" s="36" t="s">
        <v>874</v>
      </c>
      <c r="G49" s="18"/>
      <c r="H49" s="18" t="s">
        <v>323</v>
      </c>
      <c r="I49" s="18" t="s">
        <v>324</v>
      </c>
      <c r="J49" s="18" t="s">
        <v>325</v>
      </c>
      <c r="K49" s="18" t="s">
        <v>73</v>
      </c>
      <c r="L49" s="18" t="s">
        <v>302</v>
      </c>
      <c r="M49" s="36" t="s">
        <v>326</v>
      </c>
      <c r="Q49" t="s">
        <v>58</v>
      </c>
    </row>
    <row r="50" spans="2:17">
      <c r="B50" s="18" t="s">
        <v>327</v>
      </c>
      <c r="C50" s="122" t="s">
        <v>57</v>
      </c>
      <c r="D50" s="45" t="s">
        <v>300</v>
      </c>
      <c r="E50" s="36">
        <v>1029</v>
      </c>
      <c r="F50" s="36" t="s">
        <v>328</v>
      </c>
      <c r="G50" s="18"/>
      <c r="H50" s="18" t="s">
        <v>329</v>
      </c>
      <c r="I50" s="18" t="s">
        <v>330</v>
      </c>
      <c r="J50" s="18" t="s">
        <v>331</v>
      </c>
      <c r="K50" s="18" t="s">
        <v>73</v>
      </c>
      <c r="L50" s="18" t="s">
        <v>302</v>
      </c>
      <c r="M50" s="36" t="s">
        <v>332</v>
      </c>
      <c r="Q50" t="s">
        <v>300</v>
      </c>
    </row>
    <row r="51" spans="2:17">
      <c r="B51" s="18" t="s">
        <v>333</v>
      </c>
      <c r="C51" s="122" t="s">
        <v>57</v>
      </c>
      <c r="D51" s="45" t="s">
        <v>300</v>
      </c>
      <c r="E51" s="36">
        <v>1999</v>
      </c>
      <c r="F51" s="36" t="s">
        <v>334</v>
      </c>
      <c r="G51" s="18"/>
      <c r="H51" s="18" t="s">
        <v>77</v>
      </c>
      <c r="I51" s="18" t="s">
        <v>78</v>
      </c>
      <c r="J51" s="18" t="s">
        <v>78</v>
      </c>
      <c r="K51" s="18" t="s">
        <v>78</v>
      </c>
      <c r="L51" s="18" t="s">
        <v>302</v>
      </c>
      <c r="M51" s="36" t="s">
        <v>335</v>
      </c>
      <c r="Q51" t="s">
        <v>300</v>
      </c>
    </row>
    <row r="52" spans="2:17">
      <c r="B52" s="18" t="s">
        <v>336</v>
      </c>
      <c r="C52" s="122" t="s">
        <v>57</v>
      </c>
      <c r="D52" s="45" t="s">
        <v>58</v>
      </c>
      <c r="E52" s="36">
        <v>2000</v>
      </c>
      <c r="F52" s="36" t="s">
        <v>338</v>
      </c>
      <c r="G52" s="18" t="s">
        <v>337</v>
      </c>
      <c r="H52" s="18" t="s">
        <v>339</v>
      </c>
      <c r="I52" s="18" t="s">
        <v>340</v>
      </c>
      <c r="J52" s="18" t="s">
        <v>341</v>
      </c>
      <c r="K52" s="18" t="s">
        <v>73</v>
      </c>
      <c r="L52" s="18" t="s">
        <v>65</v>
      </c>
      <c r="M52" s="36"/>
      <c r="Q52" t="s">
        <v>58</v>
      </c>
    </row>
    <row r="53" spans="2:17">
      <c r="B53" s="18" t="s">
        <v>342</v>
      </c>
      <c r="C53" s="122" t="s">
        <v>57</v>
      </c>
      <c r="D53" s="45" t="s">
        <v>58</v>
      </c>
      <c r="E53" s="36">
        <v>2001</v>
      </c>
      <c r="F53" s="36" t="s">
        <v>344</v>
      </c>
      <c r="G53" s="18" t="s">
        <v>343</v>
      </c>
      <c r="H53" s="18" t="s">
        <v>345</v>
      </c>
      <c r="I53" s="18" t="s">
        <v>346</v>
      </c>
      <c r="J53" s="18" t="s">
        <v>347</v>
      </c>
      <c r="K53" s="18" t="s">
        <v>73</v>
      </c>
      <c r="L53" s="18" t="s">
        <v>65</v>
      </c>
      <c r="M53" s="36"/>
      <c r="Q53" t="s">
        <v>58</v>
      </c>
    </row>
    <row r="54" spans="2:17">
      <c r="B54" s="18" t="s">
        <v>348</v>
      </c>
      <c r="C54" s="122" t="s">
        <v>57</v>
      </c>
      <c r="D54" s="45" t="s">
        <v>58</v>
      </c>
      <c r="E54" s="36">
        <v>2002</v>
      </c>
      <c r="F54" s="36" t="s">
        <v>350</v>
      </c>
      <c r="G54" s="18" t="s">
        <v>349</v>
      </c>
      <c r="H54" s="18" t="s">
        <v>351</v>
      </c>
      <c r="I54" s="18" t="s">
        <v>352</v>
      </c>
      <c r="J54" s="18" t="s">
        <v>353</v>
      </c>
      <c r="K54" s="18" t="s">
        <v>73</v>
      </c>
      <c r="L54" s="18" t="s">
        <v>65</v>
      </c>
      <c r="M54" s="36"/>
      <c r="Q54" t="s">
        <v>58</v>
      </c>
    </row>
    <row r="55" spans="2:17">
      <c r="B55" s="18" t="s">
        <v>354</v>
      </c>
      <c r="C55" s="122" t="s">
        <v>57</v>
      </c>
      <c r="D55" s="45" t="s">
        <v>58</v>
      </c>
      <c r="E55" s="36">
        <v>2003</v>
      </c>
      <c r="F55" s="36" t="s">
        <v>356</v>
      </c>
      <c r="G55" s="18" t="s">
        <v>355</v>
      </c>
      <c r="H55" s="18" t="s">
        <v>357</v>
      </c>
      <c r="I55" s="18" t="s">
        <v>358</v>
      </c>
      <c r="J55" s="18" t="s">
        <v>359</v>
      </c>
      <c r="K55" s="18" t="s">
        <v>73</v>
      </c>
      <c r="L55" s="18" t="s">
        <v>65</v>
      </c>
      <c r="M55" s="36"/>
      <c r="Q55" t="s">
        <v>58</v>
      </c>
    </row>
    <row r="56" spans="2:17">
      <c r="B56" s="18" t="s">
        <v>360</v>
      </c>
      <c r="C56" s="122" t="s">
        <v>57</v>
      </c>
      <c r="D56" s="45" t="s">
        <v>58</v>
      </c>
      <c r="E56" s="36">
        <v>2004</v>
      </c>
      <c r="F56" s="36" t="s">
        <v>362</v>
      </c>
      <c r="G56" s="18" t="s">
        <v>361</v>
      </c>
      <c r="H56" s="18" t="s">
        <v>363</v>
      </c>
      <c r="I56" s="18" t="s">
        <v>364</v>
      </c>
      <c r="J56" s="18" t="s">
        <v>365</v>
      </c>
      <c r="K56" s="18" t="s">
        <v>73</v>
      </c>
      <c r="L56" s="18" t="s">
        <v>65</v>
      </c>
      <c r="M56" s="36"/>
      <c r="Q56" t="s">
        <v>58</v>
      </c>
    </row>
    <row r="57" spans="2:17">
      <c r="B57" s="18" t="s">
        <v>366</v>
      </c>
      <c r="C57" s="122" t="s">
        <v>57</v>
      </c>
      <c r="D57" s="45" t="s">
        <v>58</v>
      </c>
      <c r="E57" s="36">
        <v>2005</v>
      </c>
      <c r="F57" s="36" t="s">
        <v>368</v>
      </c>
      <c r="G57" s="18" t="s">
        <v>367</v>
      </c>
      <c r="H57" s="18" t="s">
        <v>369</v>
      </c>
      <c r="I57" s="18" t="s">
        <v>370</v>
      </c>
      <c r="J57" s="18" t="s">
        <v>371</v>
      </c>
      <c r="K57" s="18" t="s">
        <v>73</v>
      </c>
      <c r="L57" s="18" t="s">
        <v>65</v>
      </c>
      <c r="M57" s="36"/>
      <c r="Q57" t="s">
        <v>58</v>
      </c>
    </row>
    <row r="58" spans="2:17">
      <c r="B58" s="18" t="s">
        <v>372</v>
      </c>
      <c r="C58" s="122" t="s">
        <v>57</v>
      </c>
      <c r="D58" s="45" t="s">
        <v>58</v>
      </c>
      <c r="E58" s="36">
        <v>2006</v>
      </c>
      <c r="F58" s="36" t="s">
        <v>374</v>
      </c>
      <c r="G58" s="18" t="s">
        <v>373</v>
      </c>
      <c r="H58" s="18" t="s">
        <v>375</v>
      </c>
      <c r="I58" s="18" t="s">
        <v>376</v>
      </c>
      <c r="J58" s="18" t="s">
        <v>377</v>
      </c>
      <c r="K58" s="18" t="s">
        <v>73</v>
      </c>
      <c r="L58" s="18" t="s">
        <v>65</v>
      </c>
      <c r="M58" s="36"/>
      <c r="Q58" t="s">
        <v>58</v>
      </c>
    </row>
    <row r="59" spans="2:17">
      <c r="B59" s="18" t="s">
        <v>378</v>
      </c>
      <c r="C59" s="122" t="s">
        <v>57</v>
      </c>
      <c r="D59" s="45" t="s">
        <v>58</v>
      </c>
      <c r="E59" s="36">
        <v>2007</v>
      </c>
      <c r="F59" s="36" t="s">
        <v>380</v>
      </c>
      <c r="G59" s="18" t="s">
        <v>379</v>
      </c>
      <c r="H59" s="18" t="s">
        <v>381</v>
      </c>
      <c r="I59" s="18" t="s">
        <v>382</v>
      </c>
      <c r="J59" s="18" t="s">
        <v>383</v>
      </c>
      <c r="K59" s="18" t="s">
        <v>73</v>
      </c>
      <c r="L59" s="18" t="s">
        <v>65</v>
      </c>
      <c r="M59" s="36"/>
      <c r="Q59" t="s">
        <v>58</v>
      </c>
    </row>
    <row r="60" spans="2:17">
      <c r="B60" s="18" t="s">
        <v>384</v>
      </c>
      <c r="C60" s="122" t="s">
        <v>57</v>
      </c>
      <c r="D60" s="45" t="s">
        <v>58</v>
      </c>
      <c r="E60" s="36">
        <v>2008</v>
      </c>
      <c r="F60" s="36" t="s">
        <v>386</v>
      </c>
      <c r="G60" s="18" t="s">
        <v>385</v>
      </c>
      <c r="H60" s="18" t="s">
        <v>387</v>
      </c>
      <c r="I60" s="18" t="s">
        <v>388</v>
      </c>
      <c r="J60" s="18" t="s">
        <v>389</v>
      </c>
      <c r="K60" s="18" t="s">
        <v>73</v>
      </c>
      <c r="L60" s="18" t="s">
        <v>65</v>
      </c>
      <c r="M60" s="36"/>
      <c r="Q60" t="s">
        <v>58</v>
      </c>
    </row>
    <row r="61" spans="2:17">
      <c r="B61" s="18" t="s">
        <v>390</v>
      </c>
      <c r="C61" s="122" t="s">
        <v>57</v>
      </c>
      <c r="D61" s="45" t="s">
        <v>58</v>
      </c>
      <c r="E61" s="36">
        <v>2009</v>
      </c>
      <c r="F61" s="36" t="s">
        <v>392</v>
      </c>
      <c r="G61" s="18" t="s">
        <v>391</v>
      </c>
      <c r="H61" s="18" t="s">
        <v>393</v>
      </c>
      <c r="I61" s="18" t="s">
        <v>394</v>
      </c>
      <c r="J61" s="18" t="s">
        <v>395</v>
      </c>
      <c r="K61" s="18" t="s">
        <v>73</v>
      </c>
      <c r="L61" s="18" t="s">
        <v>65</v>
      </c>
      <c r="M61" s="36"/>
      <c r="Q61" t="s">
        <v>58</v>
      </c>
    </row>
    <row r="62" spans="2:17">
      <c r="B62" s="18" t="s">
        <v>396</v>
      </c>
      <c r="C62" s="122" t="s">
        <v>57</v>
      </c>
      <c r="D62" s="45" t="s">
        <v>58</v>
      </c>
      <c r="E62" s="36">
        <v>2010</v>
      </c>
      <c r="F62" s="36" t="s">
        <v>398</v>
      </c>
      <c r="G62" s="18" t="s">
        <v>397</v>
      </c>
      <c r="H62" s="18" t="s">
        <v>399</v>
      </c>
      <c r="I62" s="18" t="s">
        <v>400</v>
      </c>
      <c r="J62" s="18" t="s">
        <v>401</v>
      </c>
      <c r="K62" s="18" t="s">
        <v>73</v>
      </c>
      <c r="L62" s="18" t="s">
        <v>65</v>
      </c>
      <c r="M62" s="36"/>
      <c r="Q62" t="s">
        <v>58</v>
      </c>
    </row>
    <row r="63" spans="2:17">
      <c r="B63" s="18" t="s">
        <v>402</v>
      </c>
      <c r="C63" s="122" t="s">
        <v>57</v>
      </c>
      <c r="D63" s="45" t="s">
        <v>58</v>
      </c>
      <c r="E63" s="36">
        <v>2011</v>
      </c>
      <c r="F63" s="36" t="s">
        <v>404</v>
      </c>
      <c r="G63" s="18" t="s">
        <v>403</v>
      </c>
      <c r="H63" s="18" t="s">
        <v>405</v>
      </c>
      <c r="I63" s="18" t="s">
        <v>406</v>
      </c>
      <c r="J63" s="18" t="s">
        <v>407</v>
      </c>
      <c r="K63" s="18" t="s">
        <v>73</v>
      </c>
      <c r="L63" s="18" t="s">
        <v>65</v>
      </c>
      <c r="M63" s="36"/>
      <c r="Q63" t="s">
        <v>58</v>
      </c>
    </row>
    <row r="64" spans="2:17">
      <c r="B64" s="18" t="s">
        <v>408</v>
      </c>
      <c r="C64" s="122" t="s">
        <v>57</v>
      </c>
      <c r="D64" s="45" t="s">
        <v>58</v>
      </c>
      <c r="E64" s="36">
        <v>2012</v>
      </c>
      <c r="F64" s="36" t="s">
        <v>410</v>
      </c>
      <c r="G64" s="18" t="s">
        <v>409</v>
      </c>
      <c r="H64" s="18" t="s">
        <v>411</v>
      </c>
      <c r="I64" s="18" t="s">
        <v>412</v>
      </c>
      <c r="J64" s="18" t="s">
        <v>413</v>
      </c>
      <c r="K64" s="18" t="s">
        <v>73</v>
      </c>
      <c r="L64" s="18" t="s">
        <v>65</v>
      </c>
      <c r="M64" s="36"/>
      <c r="Q64" t="s">
        <v>58</v>
      </c>
    </row>
    <row r="65" spans="2:17">
      <c r="B65" s="18" t="s">
        <v>414</v>
      </c>
      <c r="C65" s="122" t="s">
        <v>57</v>
      </c>
      <c r="D65" s="45" t="s">
        <v>58</v>
      </c>
      <c r="E65" s="36">
        <v>2013</v>
      </c>
      <c r="F65" s="36" t="s">
        <v>416</v>
      </c>
      <c r="G65" s="18" t="s">
        <v>415</v>
      </c>
      <c r="H65" s="18" t="s">
        <v>417</v>
      </c>
      <c r="I65" s="18" t="s">
        <v>418</v>
      </c>
      <c r="J65" s="18" t="s">
        <v>419</v>
      </c>
      <c r="K65" s="18" t="s">
        <v>73</v>
      </c>
      <c r="L65" s="18" t="s">
        <v>65</v>
      </c>
      <c r="M65" s="36"/>
      <c r="Q65" t="s">
        <v>58</v>
      </c>
    </row>
    <row r="66" spans="2:17">
      <c r="B66" s="18" t="s">
        <v>420</v>
      </c>
      <c r="C66" s="122" t="s">
        <v>57</v>
      </c>
      <c r="D66" s="45" t="s">
        <v>58</v>
      </c>
      <c r="E66" s="36">
        <v>2014</v>
      </c>
      <c r="F66" s="36" t="s">
        <v>422</v>
      </c>
      <c r="G66" s="18" t="s">
        <v>421</v>
      </c>
      <c r="H66" s="18" t="s">
        <v>423</v>
      </c>
      <c r="I66" s="18" t="s">
        <v>424</v>
      </c>
      <c r="J66" s="18" t="s">
        <v>425</v>
      </c>
      <c r="K66" s="18" t="s">
        <v>73</v>
      </c>
      <c r="L66" s="18" t="s">
        <v>65</v>
      </c>
      <c r="M66" s="36"/>
      <c r="Q66" t="s">
        <v>58</v>
      </c>
    </row>
    <row r="67" spans="2:17">
      <c r="B67" s="18" t="s">
        <v>426</v>
      </c>
      <c r="C67" s="122" t="s">
        <v>57</v>
      </c>
      <c r="D67" s="45" t="s">
        <v>58</v>
      </c>
      <c r="E67" s="36">
        <v>2015</v>
      </c>
      <c r="F67" s="36" t="s">
        <v>428</v>
      </c>
      <c r="G67" s="18" t="s">
        <v>427</v>
      </c>
      <c r="H67" s="18" t="s">
        <v>429</v>
      </c>
      <c r="I67" s="18" t="s">
        <v>430</v>
      </c>
      <c r="J67" s="18" t="s">
        <v>431</v>
      </c>
      <c r="K67" s="18" t="s">
        <v>73</v>
      </c>
      <c r="L67" s="18" t="s">
        <v>65</v>
      </c>
      <c r="M67" s="36"/>
      <c r="Q67" t="s">
        <v>58</v>
      </c>
    </row>
    <row r="68" spans="2:17">
      <c r="B68" s="18" t="s">
        <v>432</v>
      </c>
      <c r="C68" s="122" t="s">
        <v>57</v>
      </c>
      <c r="D68" s="45" t="s">
        <v>58</v>
      </c>
      <c r="E68" s="36">
        <v>2016</v>
      </c>
      <c r="F68" s="36" t="s">
        <v>434</v>
      </c>
      <c r="G68" s="18" t="s">
        <v>433</v>
      </c>
      <c r="H68" s="18" t="s">
        <v>435</v>
      </c>
      <c r="I68" s="18" t="s">
        <v>436</v>
      </c>
      <c r="J68" s="18" t="s">
        <v>437</v>
      </c>
      <c r="K68" s="18" t="s">
        <v>73</v>
      </c>
      <c r="L68" s="18" t="s">
        <v>65</v>
      </c>
      <c r="M68" s="36"/>
      <c r="Q68" t="s">
        <v>58</v>
      </c>
    </row>
    <row r="69" spans="2:17">
      <c r="B69" s="18" t="s">
        <v>438</v>
      </c>
      <c r="C69" s="122" t="s">
        <v>57</v>
      </c>
      <c r="D69" s="45" t="s">
        <v>58</v>
      </c>
      <c r="E69" s="36">
        <v>2017</v>
      </c>
      <c r="F69" s="36" t="s">
        <v>440</v>
      </c>
      <c r="G69" s="18" t="s">
        <v>439</v>
      </c>
      <c r="H69" s="18" t="s">
        <v>441</v>
      </c>
      <c r="I69" s="18" t="s">
        <v>442</v>
      </c>
      <c r="J69" s="18" t="s">
        <v>443</v>
      </c>
      <c r="K69" s="18" t="s">
        <v>73</v>
      </c>
      <c r="L69" s="18" t="s">
        <v>65</v>
      </c>
      <c r="M69" s="36"/>
      <c r="Q69" t="s">
        <v>58</v>
      </c>
    </row>
    <row r="70" spans="2:17">
      <c r="B70" s="18" t="s">
        <v>444</v>
      </c>
      <c r="C70" s="122" t="s">
        <v>57</v>
      </c>
      <c r="D70" s="45" t="s">
        <v>58</v>
      </c>
      <c r="E70" s="36">
        <v>2018</v>
      </c>
      <c r="F70" s="36" t="s">
        <v>446</v>
      </c>
      <c r="G70" s="18" t="s">
        <v>445</v>
      </c>
      <c r="H70" s="18" t="s">
        <v>447</v>
      </c>
      <c r="I70" s="18" t="s">
        <v>448</v>
      </c>
      <c r="J70" s="18" t="s">
        <v>449</v>
      </c>
      <c r="K70" s="18" t="s">
        <v>73</v>
      </c>
      <c r="L70" s="18" t="s">
        <v>65</v>
      </c>
      <c r="M70" s="36"/>
      <c r="Q70" t="s">
        <v>58</v>
      </c>
    </row>
    <row r="71" spans="2:17">
      <c r="B71" s="18" t="s">
        <v>450</v>
      </c>
      <c r="C71" s="122" t="s">
        <v>57</v>
      </c>
      <c r="D71" s="45" t="s">
        <v>58</v>
      </c>
      <c r="E71" s="36">
        <v>2019</v>
      </c>
      <c r="F71" s="36" t="s">
        <v>452</v>
      </c>
      <c r="G71" s="18" t="s">
        <v>451</v>
      </c>
      <c r="H71" s="18" t="s">
        <v>453</v>
      </c>
      <c r="I71" s="18" t="s">
        <v>454</v>
      </c>
      <c r="J71" s="18" t="s">
        <v>455</v>
      </c>
      <c r="K71" s="18" t="s">
        <v>73</v>
      </c>
      <c r="L71" s="18" t="s">
        <v>65</v>
      </c>
      <c r="M71" s="36"/>
      <c r="Q71" t="s">
        <v>58</v>
      </c>
    </row>
    <row r="72" spans="2:17">
      <c r="B72" s="18" t="s">
        <v>456</v>
      </c>
      <c r="C72" s="122" t="s">
        <v>57</v>
      </c>
      <c r="D72" s="45" t="s">
        <v>58</v>
      </c>
      <c r="E72" s="36">
        <v>2020</v>
      </c>
      <c r="F72" s="36" t="s">
        <v>458</v>
      </c>
      <c r="G72" s="18" t="s">
        <v>457</v>
      </c>
      <c r="H72" s="18" t="s">
        <v>459</v>
      </c>
      <c r="I72" s="18" t="s">
        <v>460</v>
      </c>
      <c r="J72" s="18" t="s">
        <v>461</v>
      </c>
      <c r="K72" s="18" t="s">
        <v>73</v>
      </c>
      <c r="L72" s="18" t="s">
        <v>65</v>
      </c>
      <c r="M72" s="36"/>
      <c r="Q72" t="s">
        <v>58</v>
      </c>
    </row>
    <row r="73" spans="2:17">
      <c r="B73" s="18" t="s">
        <v>462</v>
      </c>
      <c r="C73" s="122" t="s">
        <v>57</v>
      </c>
      <c r="D73" s="45" t="s">
        <v>58</v>
      </c>
      <c r="E73" s="36">
        <v>2021</v>
      </c>
      <c r="F73" s="36" t="s">
        <v>464</v>
      </c>
      <c r="G73" s="18" t="s">
        <v>463</v>
      </c>
      <c r="H73" s="18" t="s">
        <v>465</v>
      </c>
      <c r="I73" s="18" t="s">
        <v>466</v>
      </c>
      <c r="J73" s="18" t="s">
        <v>467</v>
      </c>
      <c r="K73" s="18" t="s">
        <v>73</v>
      </c>
      <c r="L73" s="18" t="s">
        <v>65</v>
      </c>
      <c r="M73" s="36"/>
      <c r="Q73" t="s">
        <v>58</v>
      </c>
    </row>
    <row r="74" spans="2:17">
      <c r="B74" s="18" t="s">
        <v>468</v>
      </c>
      <c r="C74" s="122" t="s">
        <v>57</v>
      </c>
      <c r="D74" s="45" t="s">
        <v>58</v>
      </c>
      <c r="E74" s="36">
        <v>2022</v>
      </c>
      <c r="F74" s="36" t="s">
        <v>470</v>
      </c>
      <c r="G74" s="18" t="s">
        <v>469</v>
      </c>
      <c r="H74" s="18" t="s">
        <v>471</v>
      </c>
      <c r="I74" s="18" t="s">
        <v>472</v>
      </c>
      <c r="J74" s="18" t="s">
        <v>473</v>
      </c>
      <c r="K74" s="18" t="s">
        <v>73</v>
      </c>
      <c r="L74" s="18" t="s">
        <v>65</v>
      </c>
      <c r="M74" s="36"/>
      <c r="Q74" t="s">
        <v>58</v>
      </c>
    </row>
    <row r="75" spans="2:17">
      <c r="B75" s="18" t="s">
        <v>474</v>
      </c>
      <c r="C75" s="122" t="s">
        <v>57</v>
      </c>
      <c r="D75" s="45" t="s">
        <v>58</v>
      </c>
      <c r="E75" s="36">
        <v>2023</v>
      </c>
      <c r="F75" s="36" t="s">
        <v>476</v>
      </c>
      <c r="G75" s="18" t="s">
        <v>475</v>
      </c>
      <c r="H75" s="18" t="s">
        <v>477</v>
      </c>
      <c r="I75" s="18" t="s">
        <v>478</v>
      </c>
      <c r="J75" s="18" t="s">
        <v>479</v>
      </c>
      <c r="K75" s="18" t="s">
        <v>73</v>
      </c>
      <c r="L75" s="18" t="s">
        <v>65</v>
      </c>
      <c r="M75" s="36"/>
      <c r="Q75" t="s">
        <v>58</v>
      </c>
    </row>
    <row r="76" spans="2:17">
      <c r="B76" s="18" t="s">
        <v>480</v>
      </c>
      <c r="C76" s="122" t="s">
        <v>57</v>
      </c>
      <c r="D76" s="45" t="s">
        <v>58</v>
      </c>
      <c r="E76" s="36">
        <v>2024</v>
      </c>
      <c r="F76" s="36" t="s">
        <v>482</v>
      </c>
      <c r="G76" s="18" t="s">
        <v>481</v>
      </c>
      <c r="H76" s="18" t="s">
        <v>483</v>
      </c>
      <c r="I76" s="18" t="s">
        <v>484</v>
      </c>
      <c r="J76" s="18" t="s">
        <v>485</v>
      </c>
      <c r="K76" s="18" t="s">
        <v>73</v>
      </c>
      <c r="L76" s="18" t="s">
        <v>65</v>
      </c>
      <c r="M76" s="36"/>
      <c r="Q76" t="s">
        <v>58</v>
      </c>
    </row>
    <row r="77" spans="2:17">
      <c r="B77" s="18" t="s">
        <v>486</v>
      </c>
      <c r="C77" s="122" t="s">
        <v>57</v>
      </c>
      <c r="D77" s="45" t="s">
        <v>58</v>
      </c>
      <c r="E77" s="36">
        <v>2025</v>
      </c>
      <c r="F77" s="36" t="s">
        <v>488</v>
      </c>
      <c r="G77" s="18" t="s">
        <v>487</v>
      </c>
      <c r="H77" s="18" t="s">
        <v>489</v>
      </c>
      <c r="I77" s="18" t="s">
        <v>490</v>
      </c>
      <c r="J77" s="18" t="s">
        <v>491</v>
      </c>
      <c r="K77" s="18" t="s">
        <v>73</v>
      </c>
      <c r="L77" s="18" t="s">
        <v>65</v>
      </c>
      <c r="M77" s="36"/>
      <c r="Q77" t="s">
        <v>58</v>
      </c>
    </row>
    <row r="78" spans="2:17">
      <c r="B78" s="18" t="s">
        <v>492</v>
      </c>
      <c r="C78" s="122" t="s">
        <v>57</v>
      </c>
      <c r="D78" s="45" t="s">
        <v>58</v>
      </c>
      <c r="E78" s="36">
        <v>2026</v>
      </c>
      <c r="F78" s="36" t="s">
        <v>494</v>
      </c>
      <c r="G78" s="18" t="s">
        <v>493</v>
      </c>
      <c r="H78" s="18" t="s">
        <v>495</v>
      </c>
      <c r="I78" s="18" t="s">
        <v>496</v>
      </c>
      <c r="J78" s="18" t="s">
        <v>497</v>
      </c>
      <c r="K78" s="18" t="s">
        <v>73</v>
      </c>
      <c r="L78" s="18" t="s">
        <v>65</v>
      </c>
      <c r="M78" s="36"/>
      <c r="Q78" t="s">
        <v>58</v>
      </c>
    </row>
    <row r="79" spans="2:17">
      <c r="B79" s="18" t="s">
        <v>498</v>
      </c>
      <c r="C79" s="122" t="s">
        <v>57</v>
      </c>
      <c r="D79" s="45" t="s">
        <v>58</v>
      </c>
      <c r="E79" s="36">
        <v>2027</v>
      </c>
      <c r="F79" s="36" t="s">
        <v>500</v>
      </c>
      <c r="G79" s="18" t="s">
        <v>499</v>
      </c>
      <c r="H79" s="18" t="s">
        <v>501</v>
      </c>
      <c r="I79" s="18" t="s">
        <v>502</v>
      </c>
      <c r="J79" s="18" t="s">
        <v>503</v>
      </c>
      <c r="K79" s="18" t="s">
        <v>73</v>
      </c>
      <c r="L79" s="18" t="s">
        <v>65</v>
      </c>
      <c r="M79" s="36"/>
      <c r="Q79" t="s">
        <v>58</v>
      </c>
    </row>
    <row r="80" spans="2:17">
      <c r="B80" s="18" t="s">
        <v>504</v>
      </c>
      <c r="C80" s="122" t="s">
        <v>57</v>
      </c>
      <c r="D80" s="45" t="s">
        <v>58</v>
      </c>
      <c r="E80" s="36">
        <v>2028</v>
      </c>
      <c r="F80" s="36" t="s">
        <v>506</v>
      </c>
      <c r="G80" s="18" t="s">
        <v>505</v>
      </c>
      <c r="H80" s="18" t="s">
        <v>507</v>
      </c>
      <c r="I80" s="18" t="s">
        <v>508</v>
      </c>
      <c r="J80" s="18" t="s">
        <v>509</v>
      </c>
      <c r="K80" s="18" t="s">
        <v>73</v>
      </c>
      <c r="L80" s="18" t="s">
        <v>65</v>
      </c>
      <c r="M80" s="36"/>
      <c r="Q80" t="s">
        <v>58</v>
      </c>
    </row>
    <row r="81" spans="2:17">
      <c r="B81" s="18" t="s">
        <v>510</v>
      </c>
      <c r="C81" s="122" t="s">
        <v>57</v>
      </c>
      <c r="D81" s="45" t="s">
        <v>58</v>
      </c>
      <c r="E81" s="36">
        <v>2029</v>
      </c>
      <c r="F81" s="36" t="s">
        <v>512</v>
      </c>
      <c r="G81" s="18" t="s">
        <v>511</v>
      </c>
      <c r="H81" s="18" t="s">
        <v>513</v>
      </c>
      <c r="I81" s="18" t="s">
        <v>514</v>
      </c>
      <c r="J81" s="18" t="s">
        <v>515</v>
      </c>
      <c r="K81" s="18" t="s">
        <v>73</v>
      </c>
      <c r="L81" s="18" t="s">
        <v>65</v>
      </c>
      <c r="M81" s="36"/>
      <c r="Q81" t="s">
        <v>58</v>
      </c>
    </row>
    <row r="82" spans="2:17">
      <c r="B82" s="18" t="s">
        <v>516</v>
      </c>
      <c r="C82" s="122" t="s">
        <v>57</v>
      </c>
      <c r="D82" s="45" t="s">
        <v>58</v>
      </c>
      <c r="E82" s="36">
        <v>2030</v>
      </c>
      <c r="F82" s="36" t="s">
        <v>518</v>
      </c>
      <c r="G82" s="18" t="s">
        <v>517</v>
      </c>
      <c r="H82" s="18" t="s">
        <v>519</v>
      </c>
      <c r="I82" s="18" t="s">
        <v>520</v>
      </c>
      <c r="J82" s="18" t="s">
        <v>521</v>
      </c>
      <c r="K82" s="18" t="s">
        <v>73</v>
      </c>
      <c r="L82" s="18" t="s">
        <v>65</v>
      </c>
      <c r="M82" s="36"/>
      <c r="Q82" t="s">
        <v>58</v>
      </c>
    </row>
    <row r="83" spans="2:17">
      <c r="B83" s="18" t="s">
        <v>522</v>
      </c>
      <c r="C83" s="122" t="s">
        <v>57</v>
      </c>
      <c r="D83" s="45" t="s">
        <v>58</v>
      </c>
      <c r="E83" s="36">
        <v>2031</v>
      </c>
      <c r="F83" s="36" t="s">
        <v>524</v>
      </c>
      <c r="G83" s="18" t="s">
        <v>523</v>
      </c>
      <c r="H83" s="18" t="s">
        <v>525</v>
      </c>
      <c r="I83" s="18" t="s">
        <v>526</v>
      </c>
      <c r="J83" s="18" t="s">
        <v>527</v>
      </c>
      <c r="K83" s="18" t="s">
        <v>73</v>
      </c>
      <c r="L83" s="18" t="s">
        <v>65</v>
      </c>
      <c r="M83" s="36"/>
      <c r="Q83" t="s">
        <v>58</v>
      </c>
    </row>
    <row r="84" spans="2:17">
      <c r="B84" s="18" t="s">
        <v>528</v>
      </c>
      <c r="C84" s="122" t="s">
        <v>57</v>
      </c>
      <c r="D84" s="45" t="s">
        <v>58</v>
      </c>
      <c r="E84" s="36">
        <v>2032</v>
      </c>
      <c r="F84" s="36" t="s">
        <v>530</v>
      </c>
      <c r="G84" s="18" t="s">
        <v>529</v>
      </c>
      <c r="H84" s="18" t="s">
        <v>531</v>
      </c>
      <c r="I84" s="18" t="s">
        <v>532</v>
      </c>
      <c r="J84" s="18" t="s">
        <v>533</v>
      </c>
      <c r="K84" s="18" t="s">
        <v>73</v>
      </c>
      <c r="L84" s="18" t="s">
        <v>65</v>
      </c>
      <c r="M84" s="36"/>
      <c r="Q84" t="s">
        <v>58</v>
      </c>
    </row>
    <row r="85" spans="2:17">
      <c r="B85" s="18" t="s">
        <v>534</v>
      </c>
      <c r="C85" s="122" t="s">
        <v>57</v>
      </c>
      <c r="D85" s="45" t="s">
        <v>58</v>
      </c>
      <c r="E85" s="36">
        <v>2033</v>
      </c>
      <c r="F85" s="36" t="s">
        <v>536</v>
      </c>
      <c r="G85" s="18" t="s">
        <v>535</v>
      </c>
      <c r="H85" s="18" t="s">
        <v>537</v>
      </c>
      <c r="I85" s="18" t="s">
        <v>538</v>
      </c>
      <c r="J85" s="18" t="s">
        <v>539</v>
      </c>
      <c r="K85" s="18" t="s">
        <v>73</v>
      </c>
      <c r="L85" s="18" t="s">
        <v>65</v>
      </c>
      <c r="M85" s="36"/>
      <c r="Q85" t="s">
        <v>58</v>
      </c>
    </row>
    <row r="86" spans="2:17">
      <c r="B86" s="18" t="s">
        <v>540</v>
      </c>
      <c r="C86" s="122" t="s">
        <v>57</v>
      </c>
      <c r="D86" s="45" t="s">
        <v>58</v>
      </c>
      <c r="E86" s="36">
        <v>2034</v>
      </c>
      <c r="F86" s="36" t="s">
        <v>542</v>
      </c>
      <c r="G86" s="18" t="s">
        <v>541</v>
      </c>
      <c r="H86" s="18" t="s">
        <v>543</v>
      </c>
      <c r="I86" s="18" t="s">
        <v>544</v>
      </c>
      <c r="J86" s="18" t="s">
        <v>545</v>
      </c>
      <c r="K86" s="18" t="s">
        <v>73</v>
      </c>
      <c r="L86" s="18" t="s">
        <v>65</v>
      </c>
      <c r="M86" s="36"/>
      <c r="Q86" t="s">
        <v>58</v>
      </c>
    </row>
    <row r="87" spans="2:17">
      <c r="B87" s="18" t="s">
        <v>546</v>
      </c>
      <c r="C87" s="122" t="s">
        <v>57</v>
      </c>
      <c r="D87" s="45" t="s">
        <v>58</v>
      </c>
      <c r="E87" s="36">
        <v>2035</v>
      </c>
      <c r="F87" s="36" t="s">
        <v>548</v>
      </c>
      <c r="G87" s="18" t="s">
        <v>547</v>
      </c>
      <c r="H87" s="18" t="s">
        <v>549</v>
      </c>
      <c r="I87" s="18" t="s">
        <v>550</v>
      </c>
      <c r="J87" s="18" t="s">
        <v>551</v>
      </c>
      <c r="K87" s="18" t="s">
        <v>73</v>
      </c>
      <c r="L87" s="18" t="s">
        <v>65</v>
      </c>
      <c r="M87" s="36"/>
      <c r="Q87" t="s">
        <v>58</v>
      </c>
    </row>
    <row r="88" spans="2:17">
      <c r="B88" s="18" t="s">
        <v>552</v>
      </c>
      <c r="C88" s="122" t="s">
        <v>57</v>
      </c>
      <c r="D88" s="45" t="s">
        <v>58</v>
      </c>
      <c r="E88" s="36">
        <v>2036</v>
      </c>
      <c r="F88" s="36" t="s">
        <v>554</v>
      </c>
      <c r="G88" s="18" t="s">
        <v>553</v>
      </c>
      <c r="H88" s="18" t="s">
        <v>555</v>
      </c>
      <c r="I88" s="18" t="s">
        <v>556</v>
      </c>
      <c r="J88" s="18" t="s">
        <v>557</v>
      </c>
      <c r="K88" s="18" t="s">
        <v>73</v>
      </c>
      <c r="L88" s="18" t="s">
        <v>65</v>
      </c>
      <c r="M88" s="36"/>
      <c r="Q88" t="s">
        <v>58</v>
      </c>
    </row>
    <row r="89" spans="2:17">
      <c r="B89" s="18" t="s">
        <v>558</v>
      </c>
      <c r="C89" s="122" t="s">
        <v>57</v>
      </c>
      <c r="D89" s="45" t="s">
        <v>58</v>
      </c>
      <c r="E89" s="36">
        <v>2037</v>
      </c>
      <c r="F89" s="36" t="s">
        <v>560</v>
      </c>
      <c r="G89" s="18" t="s">
        <v>559</v>
      </c>
      <c r="H89" s="18" t="s">
        <v>561</v>
      </c>
      <c r="I89" s="18" t="s">
        <v>562</v>
      </c>
      <c r="J89" s="18" t="s">
        <v>563</v>
      </c>
      <c r="K89" s="18" t="s">
        <v>73</v>
      </c>
      <c r="L89" s="18" t="s">
        <v>65</v>
      </c>
      <c r="M89" s="36"/>
      <c r="Q89" t="s">
        <v>58</v>
      </c>
    </row>
    <row r="90" spans="2:17">
      <c r="B90" s="18" t="s">
        <v>564</v>
      </c>
      <c r="C90" s="122" t="s">
        <v>57</v>
      </c>
      <c r="D90" s="45" t="s">
        <v>58</v>
      </c>
      <c r="E90" s="36">
        <v>2038</v>
      </c>
      <c r="F90" s="36" t="s">
        <v>566</v>
      </c>
      <c r="G90" s="18" t="s">
        <v>565</v>
      </c>
      <c r="H90" s="18" t="s">
        <v>567</v>
      </c>
      <c r="I90" s="18" t="s">
        <v>568</v>
      </c>
      <c r="J90" s="18" t="s">
        <v>569</v>
      </c>
      <c r="K90" s="18" t="s">
        <v>73</v>
      </c>
      <c r="L90" s="18" t="s">
        <v>65</v>
      </c>
      <c r="M90" s="36"/>
      <c r="Q90" t="s">
        <v>58</v>
      </c>
    </row>
    <row r="91" spans="2:17">
      <c r="B91" s="18" t="s">
        <v>570</v>
      </c>
      <c r="C91" s="122" t="s">
        <v>57</v>
      </c>
      <c r="D91" s="45" t="s">
        <v>58</v>
      </c>
      <c r="E91" s="36">
        <v>2039</v>
      </c>
      <c r="F91" s="36" t="s">
        <v>572</v>
      </c>
      <c r="G91" s="18" t="s">
        <v>571</v>
      </c>
      <c r="H91" s="18" t="s">
        <v>573</v>
      </c>
      <c r="I91" s="18" t="s">
        <v>574</v>
      </c>
      <c r="J91" s="18" t="s">
        <v>575</v>
      </c>
      <c r="K91" s="18" t="s">
        <v>73</v>
      </c>
      <c r="L91" s="18" t="s">
        <v>65</v>
      </c>
      <c r="M91" s="36"/>
      <c r="Q91" t="s">
        <v>58</v>
      </c>
    </row>
    <row r="92" spans="2:17">
      <c r="B92" s="18" t="s">
        <v>576</v>
      </c>
      <c r="C92" s="122" t="s">
        <v>57</v>
      </c>
      <c r="D92" s="45" t="s">
        <v>58</v>
      </c>
      <c r="E92" s="36">
        <v>2040</v>
      </c>
      <c r="F92" s="36" t="s">
        <v>578</v>
      </c>
      <c r="G92" s="18" t="s">
        <v>577</v>
      </c>
      <c r="H92" s="18" t="s">
        <v>579</v>
      </c>
      <c r="I92" s="18" t="s">
        <v>580</v>
      </c>
      <c r="J92" s="18" t="s">
        <v>581</v>
      </c>
      <c r="K92" s="18" t="s">
        <v>73</v>
      </c>
      <c r="L92" s="18" t="s">
        <v>65</v>
      </c>
      <c r="M92" s="36"/>
      <c r="Q92" t="s">
        <v>58</v>
      </c>
    </row>
    <row r="93" spans="2:17">
      <c r="B93" s="18" t="s">
        <v>582</v>
      </c>
      <c r="C93" s="122" t="s">
        <v>57</v>
      </c>
      <c r="D93" s="45" t="s">
        <v>58</v>
      </c>
      <c r="E93" s="36">
        <v>2041</v>
      </c>
      <c r="F93" s="36" t="s">
        <v>584</v>
      </c>
      <c r="G93" s="18" t="s">
        <v>583</v>
      </c>
      <c r="H93" s="18" t="s">
        <v>585</v>
      </c>
      <c r="I93" s="18" t="s">
        <v>586</v>
      </c>
      <c r="J93" s="18" t="s">
        <v>587</v>
      </c>
      <c r="K93" s="18" t="s">
        <v>73</v>
      </c>
      <c r="L93" s="18" t="s">
        <v>65</v>
      </c>
      <c r="M93" s="36"/>
      <c r="Q93" t="s">
        <v>58</v>
      </c>
    </row>
    <row r="94" spans="2:17">
      <c r="B94" s="18" t="s">
        <v>588</v>
      </c>
      <c r="C94" s="122" t="s">
        <v>57</v>
      </c>
      <c r="D94" s="45" t="s">
        <v>58</v>
      </c>
      <c r="E94" s="36">
        <v>2042</v>
      </c>
      <c r="F94" s="36" t="s">
        <v>590</v>
      </c>
      <c r="G94" s="18" t="s">
        <v>589</v>
      </c>
      <c r="H94" s="18" t="s">
        <v>591</v>
      </c>
      <c r="I94" s="18" t="s">
        <v>592</v>
      </c>
      <c r="J94" s="18" t="s">
        <v>593</v>
      </c>
      <c r="K94" s="18" t="s">
        <v>73</v>
      </c>
      <c r="L94" s="18" t="s">
        <v>65</v>
      </c>
      <c r="M94" s="36"/>
      <c r="Q94" t="s">
        <v>58</v>
      </c>
    </row>
    <row r="95" spans="2:17">
      <c r="B95" s="18" t="s">
        <v>594</v>
      </c>
      <c r="C95" s="122" t="s">
        <v>57</v>
      </c>
      <c r="D95" s="45" t="s">
        <v>58</v>
      </c>
      <c r="E95" s="36">
        <v>2043</v>
      </c>
      <c r="F95" s="36" t="s">
        <v>596</v>
      </c>
      <c r="G95" s="18" t="s">
        <v>595</v>
      </c>
      <c r="H95" s="18" t="s">
        <v>597</v>
      </c>
      <c r="I95" s="18" t="s">
        <v>598</v>
      </c>
      <c r="J95" s="18" t="s">
        <v>599</v>
      </c>
      <c r="K95" s="18" t="s">
        <v>73</v>
      </c>
      <c r="L95" s="18" t="s">
        <v>65</v>
      </c>
      <c r="M95" s="36"/>
      <c r="Q95" t="s">
        <v>58</v>
      </c>
    </row>
    <row r="96" spans="2:17">
      <c r="B96" s="18" t="s">
        <v>600</v>
      </c>
      <c r="C96" s="122" t="s">
        <v>57</v>
      </c>
      <c r="D96" s="45" t="s">
        <v>58</v>
      </c>
      <c r="E96" s="36">
        <v>2044</v>
      </c>
      <c r="F96" s="36" t="s">
        <v>602</v>
      </c>
      <c r="G96" s="18" t="s">
        <v>601</v>
      </c>
      <c r="H96" s="18" t="s">
        <v>603</v>
      </c>
      <c r="I96" s="18" t="s">
        <v>604</v>
      </c>
      <c r="J96" s="18" t="s">
        <v>605</v>
      </c>
      <c r="K96" s="18" t="s">
        <v>73</v>
      </c>
      <c r="L96" s="18" t="s">
        <v>65</v>
      </c>
      <c r="M96" s="36"/>
      <c r="Q96" t="s">
        <v>58</v>
      </c>
    </row>
    <row r="97" spans="2:17">
      <c r="B97" s="18" t="s">
        <v>606</v>
      </c>
      <c r="C97" s="122" t="s">
        <v>57</v>
      </c>
      <c r="D97" s="45" t="s">
        <v>58</v>
      </c>
      <c r="E97" s="36">
        <v>2045</v>
      </c>
      <c r="F97" s="36" t="s">
        <v>608</v>
      </c>
      <c r="G97" s="18" t="s">
        <v>607</v>
      </c>
      <c r="H97" s="18" t="s">
        <v>609</v>
      </c>
      <c r="I97" s="18" t="s">
        <v>610</v>
      </c>
      <c r="J97" s="18" t="s">
        <v>611</v>
      </c>
      <c r="K97" s="18" t="s">
        <v>73</v>
      </c>
      <c r="L97" s="18" t="s">
        <v>65</v>
      </c>
      <c r="M97" s="36"/>
      <c r="Q97" t="s">
        <v>58</v>
      </c>
    </row>
    <row r="98" spans="2:17">
      <c r="B98" s="18" t="s">
        <v>612</v>
      </c>
      <c r="C98" s="122" t="s">
        <v>57</v>
      </c>
      <c r="D98" s="45" t="s">
        <v>58</v>
      </c>
      <c r="E98" s="36">
        <v>2046</v>
      </c>
      <c r="F98" s="36" t="s">
        <v>614</v>
      </c>
      <c r="G98" s="18" t="s">
        <v>613</v>
      </c>
      <c r="H98" s="18" t="s">
        <v>615</v>
      </c>
      <c r="I98" s="18" t="s">
        <v>616</v>
      </c>
      <c r="J98" s="18" t="s">
        <v>617</v>
      </c>
      <c r="K98" s="18" t="s">
        <v>73</v>
      </c>
      <c r="L98" s="18" t="s">
        <v>65</v>
      </c>
      <c r="M98" s="36"/>
      <c r="Q98" t="s">
        <v>58</v>
      </c>
    </row>
    <row r="99" spans="2:17">
      <c r="B99" s="18" t="s">
        <v>618</v>
      </c>
      <c r="C99" s="122" t="s">
        <v>57</v>
      </c>
      <c r="D99" s="45" t="s">
        <v>58</v>
      </c>
      <c r="E99" s="36">
        <v>2065</v>
      </c>
      <c r="F99" s="36" t="s">
        <v>620</v>
      </c>
      <c r="G99" s="18" t="s">
        <v>619</v>
      </c>
      <c r="H99" s="18" t="s">
        <v>621</v>
      </c>
      <c r="I99" s="18" t="s">
        <v>622</v>
      </c>
      <c r="J99" s="18" t="s">
        <v>623</v>
      </c>
      <c r="K99" s="18" t="s">
        <v>73</v>
      </c>
      <c r="L99" s="18" t="s">
        <v>65</v>
      </c>
      <c r="M99" s="36"/>
      <c r="Q99" t="s">
        <v>58</v>
      </c>
    </row>
    <row r="100" spans="2:17">
      <c r="B100" s="18" t="s">
        <v>624</v>
      </c>
      <c r="C100" s="122" t="s">
        <v>57</v>
      </c>
      <c r="D100" s="45" t="s">
        <v>58</v>
      </c>
      <c r="E100" s="36">
        <v>3162</v>
      </c>
      <c r="F100" s="36" t="s">
        <v>625</v>
      </c>
      <c r="G100" s="18" t="s">
        <v>625</v>
      </c>
      <c r="H100" s="18" t="s">
        <v>626</v>
      </c>
      <c r="I100" s="18" t="s">
        <v>627</v>
      </c>
      <c r="J100" s="18" t="s">
        <v>628</v>
      </c>
      <c r="K100" s="18" t="s">
        <v>73</v>
      </c>
      <c r="L100" s="18" t="s">
        <v>65</v>
      </c>
      <c r="M100" s="36"/>
      <c r="Q100" t="s">
        <v>58</v>
      </c>
    </row>
    <row r="101" spans="2:17">
      <c r="B101" s="18" t="s">
        <v>629</v>
      </c>
      <c r="C101" s="122" t="s">
        <v>57</v>
      </c>
      <c r="D101" s="45" t="s">
        <v>58</v>
      </c>
      <c r="E101" s="36">
        <v>3176</v>
      </c>
      <c r="F101" s="36" t="s">
        <v>631</v>
      </c>
      <c r="G101" s="18" t="s">
        <v>630</v>
      </c>
      <c r="H101" s="18" t="s">
        <v>632</v>
      </c>
      <c r="I101" s="18" t="s">
        <v>633</v>
      </c>
      <c r="J101" s="18" t="s">
        <v>634</v>
      </c>
      <c r="K101" s="18" t="s">
        <v>635</v>
      </c>
      <c r="L101" s="18" t="s">
        <v>65</v>
      </c>
      <c r="M101" s="36"/>
      <c r="Q101" t="s">
        <v>58</v>
      </c>
    </row>
    <row r="102" spans="2:17">
      <c r="B102" s="18" t="s">
        <v>636</v>
      </c>
      <c r="C102" s="122" t="s">
        <v>57</v>
      </c>
      <c r="D102" s="45" t="s">
        <v>58</v>
      </c>
      <c r="E102" s="36">
        <v>3177</v>
      </c>
      <c r="F102" s="36" t="s">
        <v>638</v>
      </c>
      <c r="G102" s="18" t="s">
        <v>637</v>
      </c>
      <c r="H102" s="18" t="s">
        <v>639</v>
      </c>
      <c r="I102" s="18" t="s">
        <v>640</v>
      </c>
      <c r="J102" s="18" t="s">
        <v>641</v>
      </c>
      <c r="K102" s="18" t="s">
        <v>73</v>
      </c>
      <c r="L102" s="18" t="s">
        <v>65</v>
      </c>
      <c r="M102" s="36"/>
      <c r="Q102" t="s">
        <v>58</v>
      </c>
    </row>
    <row r="103" spans="2:17">
      <c r="B103" s="18" t="s">
        <v>642</v>
      </c>
      <c r="C103" s="122" t="s">
        <v>57</v>
      </c>
      <c r="D103" s="45" t="s">
        <v>58</v>
      </c>
      <c r="E103" s="36">
        <v>3178</v>
      </c>
      <c r="F103" s="36" t="s">
        <v>644</v>
      </c>
      <c r="G103" s="18" t="s">
        <v>643</v>
      </c>
      <c r="H103" s="18" t="s">
        <v>645</v>
      </c>
      <c r="I103" s="18" t="s">
        <v>646</v>
      </c>
      <c r="J103" s="18" t="s">
        <v>647</v>
      </c>
      <c r="K103" s="18" t="s">
        <v>73</v>
      </c>
      <c r="L103" s="18" t="s">
        <v>65</v>
      </c>
      <c r="M103" s="36"/>
      <c r="Q103" t="s">
        <v>58</v>
      </c>
    </row>
    <row r="104" spans="2:17">
      <c r="B104" s="18" t="s">
        <v>648</v>
      </c>
      <c r="C104" s="122" t="s">
        <v>57</v>
      </c>
      <c r="D104" s="45" t="s">
        <v>58</v>
      </c>
      <c r="E104" s="36">
        <v>3256</v>
      </c>
      <c r="F104" s="36" t="s">
        <v>650</v>
      </c>
      <c r="G104" s="18" t="s">
        <v>649</v>
      </c>
      <c r="H104" s="18" t="s">
        <v>77</v>
      </c>
      <c r="I104" s="18" t="s">
        <v>78</v>
      </c>
      <c r="J104" s="18" t="s">
        <v>78</v>
      </c>
      <c r="K104" s="18" t="s">
        <v>78</v>
      </c>
      <c r="L104" s="18" t="s">
        <v>65</v>
      </c>
      <c r="M104" s="36"/>
      <c r="Q104" t="s">
        <v>58</v>
      </c>
    </row>
    <row r="105" spans="2:17">
      <c r="B105" s="18" t="s">
        <v>651</v>
      </c>
      <c r="C105" s="122" t="s">
        <v>57</v>
      </c>
      <c r="D105" s="45" t="s">
        <v>58</v>
      </c>
      <c r="E105" s="36">
        <v>4080</v>
      </c>
      <c r="F105" s="36" t="s">
        <v>653</v>
      </c>
      <c r="G105" s="18" t="s">
        <v>652</v>
      </c>
      <c r="H105" s="18" t="s">
        <v>654</v>
      </c>
      <c r="I105" s="18" t="s">
        <v>655</v>
      </c>
      <c r="J105" s="18" t="s">
        <v>656</v>
      </c>
      <c r="K105" s="18" t="s">
        <v>64</v>
      </c>
      <c r="L105" s="18" t="s">
        <v>65</v>
      </c>
      <c r="M105" s="36"/>
      <c r="Q105" t="s">
        <v>58</v>
      </c>
    </row>
    <row r="106" spans="2:17">
      <c r="B106" s="18" t="s">
        <v>657</v>
      </c>
      <c r="C106" s="122" t="s">
        <v>57</v>
      </c>
      <c r="D106" s="45" t="s">
        <v>58</v>
      </c>
      <c r="E106" s="36">
        <v>4081</v>
      </c>
      <c r="F106" s="36" t="s">
        <v>659</v>
      </c>
      <c r="G106" s="18" t="s">
        <v>658</v>
      </c>
      <c r="H106" s="18" t="s">
        <v>660</v>
      </c>
      <c r="I106" s="18" t="s">
        <v>661</v>
      </c>
      <c r="J106" s="18" t="s">
        <v>662</v>
      </c>
      <c r="K106" s="18" t="s">
        <v>64</v>
      </c>
      <c r="L106" s="18" t="s">
        <v>65</v>
      </c>
      <c r="M106" s="36"/>
      <c r="Q106" t="s">
        <v>58</v>
      </c>
    </row>
    <row r="107" spans="2:17">
      <c r="B107" s="18" t="s">
        <v>663</v>
      </c>
      <c r="C107" s="122" t="s">
        <v>57</v>
      </c>
      <c r="D107" s="45" t="s">
        <v>58</v>
      </c>
      <c r="E107" s="36">
        <v>4082</v>
      </c>
      <c r="F107" s="36" t="s">
        <v>665</v>
      </c>
      <c r="G107" s="18" t="s">
        <v>664</v>
      </c>
      <c r="H107" s="18" t="s">
        <v>666</v>
      </c>
      <c r="I107" s="18" t="s">
        <v>667</v>
      </c>
      <c r="J107" s="18" t="s">
        <v>668</v>
      </c>
      <c r="K107" s="18" t="s">
        <v>64</v>
      </c>
      <c r="L107" s="18" t="s">
        <v>65</v>
      </c>
      <c r="M107" s="36"/>
      <c r="Q107" t="s">
        <v>58</v>
      </c>
    </row>
    <row r="108" spans="2:17">
      <c r="B108" s="18" t="s">
        <v>669</v>
      </c>
      <c r="C108" s="122" t="s">
        <v>57</v>
      </c>
      <c r="D108" s="45" t="s">
        <v>58</v>
      </c>
      <c r="E108" s="36">
        <v>4090</v>
      </c>
      <c r="F108" s="36" t="s">
        <v>671</v>
      </c>
      <c r="G108" s="18" t="s">
        <v>670</v>
      </c>
      <c r="H108" s="18" t="s">
        <v>672</v>
      </c>
      <c r="I108" s="18" t="s">
        <v>673</v>
      </c>
      <c r="J108" s="18" t="s">
        <v>674</v>
      </c>
      <c r="K108" s="18" t="s">
        <v>64</v>
      </c>
      <c r="L108" s="18" t="s">
        <v>65</v>
      </c>
      <c r="M108" s="36"/>
      <c r="Q108" t="s">
        <v>58</v>
      </c>
    </row>
    <row r="109" spans="2:17">
      <c r="B109" s="18" t="s">
        <v>675</v>
      </c>
      <c r="C109" s="122" t="s">
        <v>57</v>
      </c>
      <c r="D109" s="45" t="s">
        <v>58</v>
      </c>
      <c r="E109" s="36">
        <v>4091</v>
      </c>
      <c r="F109" s="36" t="s">
        <v>677</v>
      </c>
      <c r="G109" s="18" t="s">
        <v>676</v>
      </c>
      <c r="H109" s="18" t="s">
        <v>678</v>
      </c>
      <c r="I109" s="18" t="s">
        <v>679</v>
      </c>
      <c r="J109" s="18" t="s">
        <v>680</v>
      </c>
      <c r="K109" s="18" t="s">
        <v>64</v>
      </c>
      <c r="L109" s="18" t="s">
        <v>65</v>
      </c>
      <c r="M109" s="36"/>
      <c r="Q109" t="s">
        <v>58</v>
      </c>
    </row>
    <row r="110" spans="2:17">
      <c r="B110" s="18" t="s">
        <v>681</v>
      </c>
      <c r="C110" s="122" t="s">
        <v>57</v>
      </c>
      <c r="D110" s="45" t="s">
        <v>58</v>
      </c>
      <c r="E110" s="36">
        <v>4092</v>
      </c>
      <c r="F110" s="36" t="s">
        <v>683</v>
      </c>
      <c r="G110" s="18" t="s">
        <v>682</v>
      </c>
      <c r="H110" s="18" t="s">
        <v>684</v>
      </c>
      <c r="I110" s="18" t="s">
        <v>685</v>
      </c>
      <c r="J110" s="18" t="s">
        <v>686</v>
      </c>
      <c r="K110" s="18" t="s">
        <v>64</v>
      </c>
      <c r="L110" s="18" t="s">
        <v>65</v>
      </c>
      <c r="M110" s="36"/>
      <c r="Q110" t="s">
        <v>58</v>
      </c>
    </row>
    <row r="111" spans="2:17">
      <c r="B111" s="18" t="s">
        <v>687</v>
      </c>
      <c r="C111" s="122" t="s">
        <v>57</v>
      </c>
      <c r="D111" s="45" t="s">
        <v>58</v>
      </c>
      <c r="E111" s="36">
        <v>4093</v>
      </c>
      <c r="F111" s="36" t="s">
        <v>689</v>
      </c>
      <c r="G111" s="18" t="s">
        <v>688</v>
      </c>
      <c r="H111" s="18" t="s">
        <v>690</v>
      </c>
      <c r="I111" s="18" t="s">
        <v>691</v>
      </c>
      <c r="J111" s="18" t="s">
        <v>692</v>
      </c>
      <c r="K111" s="18" t="s">
        <v>693</v>
      </c>
      <c r="L111" s="18" t="s">
        <v>65</v>
      </c>
      <c r="M111" s="36"/>
      <c r="Q111" t="s">
        <v>58</v>
      </c>
    </row>
    <row r="112" spans="2:17">
      <c r="B112" s="18" t="s">
        <v>694</v>
      </c>
      <c r="C112" s="122" t="s">
        <v>57</v>
      </c>
      <c r="D112" s="45" t="s">
        <v>58</v>
      </c>
      <c r="E112" s="36">
        <v>4094</v>
      </c>
      <c r="F112" s="36" t="s">
        <v>696</v>
      </c>
      <c r="G112" s="18" t="s">
        <v>695</v>
      </c>
      <c r="H112" s="18" t="s">
        <v>697</v>
      </c>
      <c r="I112" s="18" t="s">
        <v>698</v>
      </c>
      <c r="J112" s="18" t="s">
        <v>699</v>
      </c>
      <c r="K112" s="18" t="s">
        <v>64</v>
      </c>
      <c r="L112" s="18" t="s">
        <v>65</v>
      </c>
      <c r="M112" s="36"/>
      <c r="Q112" t="s">
        <v>58</v>
      </c>
    </row>
    <row r="113" spans="2:17">
      <c r="B113" s="18" t="s">
        <v>700</v>
      </c>
      <c r="C113" s="122" t="s">
        <v>57</v>
      </c>
      <c r="D113" s="45" t="s">
        <v>58</v>
      </c>
      <c r="E113" s="36" t="s">
        <v>701</v>
      </c>
      <c r="F113" s="36" t="s">
        <v>702</v>
      </c>
      <c r="G113" s="18" t="s">
        <v>702</v>
      </c>
      <c r="H113" s="18" t="s">
        <v>703</v>
      </c>
      <c r="I113" s="18" t="s">
        <v>704</v>
      </c>
      <c r="J113" s="18" t="s">
        <v>705</v>
      </c>
      <c r="K113" s="18" t="s">
        <v>706</v>
      </c>
      <c r="L113" s="18"/>
      <c r="M113" s="36"/>
      <c r="Q113" t="s">
        <v>58</v>
      </c>
    </row>
    <row r="114" spans="2:17">
      <c r="B114" s="18" t="s">
        <v>709</v>
      </c>
      <c r="C114" s="122" t="s">
        <v>57</v>
      </c>
      <c r="D114" s="45" t="s">
        <v>58</v>
      </c>
      <c r="E114" s="36" t="s">
        <v>710</v>
      </c>
      <c r="F114" s="36" t="s">
        <v>711</v>
      </c>
      <c r="G114" s="18" t="s">
        <v>711</v>
      </c>
      <c r="H114" s="18" t="s">
        <v>712</v>
      </c>
      <c r="I114" s="18" t="s">
        <v>713</v>
      </c>
      <c r="J114" s="18" t="s">
        <v>668</v>
      </c>
      <c r="K114" s="18" t="s">
        <v>73</v>
      </c>
      <c r="L114" s="18"/>
      <c r="M114" s="36"/>
      <c r="Q114" t="s">
        <v>58</v>
      </c>
    </row>
    <row r="115" spans="2:17">
      <c r="B115" s="18" t="s">
        <v>877</v>
      </c>
      <c r="C115" s="122" t="s">
        <v>57</v>
      </c>
      <c r="D115" s="45" t="s">
        <v>58</v>
      </c>
      <c r="E115" s="36" t="s">
        <v>881</v>
      </c>
      <c r="F115" s="36" t="s">
        <v>880</v>
      </c>
      <c r="G115" s="18" t="s">
        <v>862</v>
      </c>
      <c r="H115" s="18" t="s">
        <v>876</v>
      </c>
      <c r="I115" s="18" t="s">
        <v>707</v>
      </c>
      <c r="J115" s="18" t="s">
        <v>879</v>
      </c>
      <c r="K115" s="18" t="s">
        <v>635</v>
      </c>
      <c r="L115" s="18"/>
      <c r="M115" s="36"/>
      <c r="Q115" t="s">
        <v>58</v>
      </c>
    </row>
    <row r="116" spans="2:17">
      <c r="B116" s="18" t="s">
        <v>743</v>
      </c>
      <c r="C116" s="122" t="s">
        <v>744</v>
      </c>
      <c r="D116" s="45" t="s">
        <v>58</v>
      </c>
      <c r="E116" s="36">
        <v>442</v>
      </c>
      <c r="F116" s="36" t="s">
        <v>270</v>
      </c>
      <c r="G116" s="18" t="s">
        <v>745</v>
      </c>
      <c r="H116" s="18" t="s">
        <v>271</v>
      </c>
      <c r="I116" s="18" t="s">
        <v>272</v>
      </c>
      <c r="J116" s="18" t="s">
        <v>746</v>
      </c>
      <c r="K116" s="18" t="s">
        <v>73</v>
      </c>
      <c r="L116" s="18" t="s">
        <v>79</v>
      </c>
      <c r="M116" s="36"/>
      <c r="Q116" t="s">
        <v>58</v>
      </c>
    </row>
    <row r="117" spans="2:17">
      <c r="B117" s="18" t="s">
        <v>747</v>
      </c>
      <c r="C117" s="122" t="s">
        <v>744</v>
      </c>
      <c r="D117" s="45" t="s">
        <v>58</v>
      </c>
      <c r="E117" s="36">
        <v>443</v>
      </c>
      <c r="F117" s="36" t="s">
        <v>749</v>
      </c>
      <c r="G117" s="18" t="s">
        <v>748</v>
      </c>
      <c r="H117" s="18" t="s">
        <v>750</v>
      </c>
      <c r="I117" s="18" t="s">
        <v>751</v>
      </c>
      <c r="J117" s="18" t="s">
        <v>752</v>
      </c>
      <c r="K117" s="18" t="s">
        <v>73</v>
      </c>
      <c r="L117" s="18"/>
      <c r="M117" s="36"/>
      <c r="Q117" t="s">
        <v>58</v>
      </c>
    </row>
    <row r="118" spans="2:17">
      <c r="B118" s="18" t="s">
        <v>753</v>
      </c>
      <c r="C118" s="122" t="s">
        <v>744</v>
      </c>
      <c r="D118" s="45" t="s">
        <v>300</v>
      </c>
      <c r="E118" s="36">
        <v>999</v>
      </c>
      <c r="F118" s="36" t="s">
        <v>301</v>
      </c>
      <c r="G118" s="18"/>
      <c r="H118" s="18" t="s">
        <v>77</v>
      </c>
      <c r="I118" s="18" t="s">
        <v>78</v>
      </c>
      <c r="J118" s="18" t="s">
        <v>78</v>
      </c>
      <c r="K118" s="18" t="s">
        <v>78</v>
      </c>
      <c r="L118" s="18" t="s">
        <v>302</v>
      </c>
      <c r="M118" s="36" t="s">
        <v>303</v>
      </c>
      <c r="Q118" t="s">
        <v>300</v>
      </c>
    </row>
    <row r="119" spans="2:17">
      <c r="B119" s="18" t="s">
        <v>754</v>
      </c>
      <c r="C119" s="122" t="s">
        <v>744</v>
      </c>
      <c r="D119" s="45" t="s">
        <v>58</v>
      </c>
      <c r="E119" s="36">
        <v>1021</v>
      </c>
      <c r="F119" s="36" t="s">
        <v>317</v>
      </c>
      <c r="G119" s="18"/>
      <c r="H119" s="18" t="s">
        <v>755</v>
      </c>
      <c r="I119" s="18" t="s">
        <v>756</v>
      </c>
      <c r="J119" s="18" t="s">
        <v>757</v>
      </c>
      <c r="K119" s="18" t="s">
        <v>73</v>
      </c>
      <c r="L119" s="18" t="s">
        <v>302</v>
      </c>
      <c r="M119" s="36" t="s">
        <v>758</v>
      </c>
      <c r="Q119" t="s">
        <v>58</v>
      </c>
    </row>
    <row r="120" spans="2:17">
      <c r="B120" s="18" t="s">
        <v>759</v>
      </c>
      <c r="C120" s="122" t="s">
        <v>744</v>
      </c>
      <c r="D120" s="45" t="s">
        <v>300</v>
      </c>
      <c r="E120" s="36">
        <v>1999</v>
      </c>
      <c r="F120" s="36" t="s">
        <v>334</v>
      </c>
      <c r="G120" s="18"/>
      <c r="H120" s="18" t="s">
        <v>77</v>
      </c>
      <c r="I120" s="18" t="s">
        <v>78</v>
      </c>
      <c r="J120" s="18" t="s">
        <v>78</v>
      </c>
      <c r="K120" s="18" t="s">
        <v>78</v>
      </c>
      <c r="L120" s="18" t="s">
        <v>302</v>
      </c>
      <c r="M120" s="36" t="s">
        <v>335</v>
      </c>
      <c r="Q120" t="s">
        <v>300</v>
      </c>
    </row>
    <row r="121" spans="2:17">
      <c r="B121" s="18" t="s">
        <v>760</v>
      </c>
      <c r="C121" s="122" t="s">
        <v>744</v>
      </c>
      <c r="D121" s="45" t="s">
        <v>58</v>
      </c>
      <c r="E121" s="36">
        <v>3081</v>
      </c>
      <c r="F121" s="36" t="s">
        <v>659</v>
      </c>
      <c r="G121" s="18" t="s">
        <v>658</v>
      </c>
      <c r="H121" s="18" t="s">
        <v>761</v>
      </c>
      <c r="I121" s="18" t="s">
        <v>762</v>
      </c>
      <c r="J121" s="18" t="s">
        <v>763</v>
      </c>
      <c r="K121" s="18" t="s">
        <v>693</v>
      </c>
      <c r="L121" s="18" t="s">
        <v>65</v>
      </c>
      <c r="M121" s="36"/>
      <c r="Q121" t="s">
        <v>58</v>
      </c>
    </row>
    <row r="122" spans="2:17">
      <c r="B122" s="18" t="s">
        <v>764</v>
      </c>
      <c r="C122" s="122" t="s">
        <v>744</v>
      </c>
      <c r="D122" s="45" t="s">
        <v>58</v>
      </c>
      <c r="E122" s="36">
        <v>3128</v>
      </c>
      <c r="F122" s="36" t="s">
        <v>765</v>
      </c>
      <c r="G122" s="18" t="s">
        <v>766</v>
      </c>
      <c r="H122" s="18" t="s">
        <v>767</v>
      </c>
      <c r="I122" s="18" t="s">
        <v>768</v>
      </c>
      <c r="J122" s="18" t="s">
        <v>769</v>
      </c>
      <c r="K122" s="18" t="s">
        <v>73</v>
      </c>
      <c r="L122" s="18" t="s">
        <v>65</v>
      </c>
      <c r="M122" s="36"/>
      <c r="Q122" t="s">
        <v>58</v>
      </c>
    </row>
    <row r="123" spans="2:17">
      <c r="B123" s="18" t="s">
        <v>770</v>
      </c>
      <c r="C123" s="122" t="s">
        <v>744</v>
      </c>
      <c r="D123" s="45" t="s">
        <v>58</v>
      </c>
      <c r="E123" s="36">
        <v>3129</v>
      </c>
      <c r="F123" s="36" t="s">
        <v>771</v>
      </c>
      <c r="G123" s="18" t="s">
        <v>772</v>
      </c>
      <c r="H123" s="18" t="s">
        <v>773</v>
      </c>
      <c r="I123" s="18" t="s">
        <v>774</v>
      </c>
      <c r="J123" s="18" t="s">
        <v>775</v>
      </c>
      <c r="K123" s="18" t="s">
        <v>73</v>
      </c>
      <c r="L123" s="18" t="s">
        <v>65</v>
      </c>
      <c r="M123" s="36"/>
      <c r="Q123" t="s">
        <v>58</v>
      </c>
    </row>
    <row r="124" spans="2:17">
      <c r="B124" s="18" t="s">
        <v>776</v>
      </c>
      <c r="C124" s="122" t="s">
        <v>744</v>
      </c>
      <c r="D124" s="45" t="s">
        <v>58</v>
      </c>
      <c r="E124" s="36">
        <v>3130</v>
      </c>
      <c r="F124" s="36" t="s">
        <v>777</v>
      </c>
      <c r="G124" s="18" t="s">
        <v>778</v>
      </c>
      <c r="H124" s="18" t="s">
        <v>779</v>
      </c>
      <c r="I124" s="18" t="s">
        <v>780</v>
      </c>
      <c r="J124" s="18" t="s">
        <v>781</v>
      </c>
      <c r="K124" s="18" t="s">
        <v>73</v>
      </c>
      <c r="L124" s="18" t="s">
        <v>65</v>
      </c>
      <c r="M124" s="36"/>
      <c r="Q124" t="s">
        <v>58</v>
      </c>
    </row>
    <row r="125" spans="2:17">
      <c r="B125" s="18" t="s">
        <v>782</v>
      </c>
      <c r="C125" s="122" t="s">
        <v>744</v>
      </c>
      <c r="D125" s="45" t="s">
        <v>58</v>
      </c>
      <c r="E125" s="36">
        <v>3131</v>
      </c>
      <c r="F125" s="36" t="s">
        <v>783</v>
      </c>
      <c r="G125" s="18" t="s">
        <v>784</v>
      </c>
      <c r="H125" s="18" t="s">
        <v>785</v>
      </c>
      <c r="I125" s="18" t="s">
        <v>786</v>
      </c>
      <c r="J125" s="18" t="s">
        <v>787</v>
      </c>
      <c r="K125" s="18" t="s">
        <v>73</v>
      </c>
      <c r="L125" s="18" t="s">
        <v>65</v>
      </c>
      <c r="M125" s="36"/>
      <c r="Q125" t="s">
        <v>58</v>
      </c>
    </row>
    <row r="126" spans="2:17">
      <c r="B126" s="18" t="s">
        <v>788</v>
      </c>
      <c r="C126" s="122" t="s">
        <v>744</v>
      </c>
      <c r="D126" s="45" t="s">
        <v>58</v>
      </c>
      <c r="E126" s="36">
        <v>3132</v>
      </c>
      <c r="F126" s="36" t="s">
        <v>789</v>
      </c>
      <c r="G126" s="18" t="s">
        <v>790</v>
      </c>
      <c r="H126" s="18" t="s">
        <v>791</v>
      </c>
      <c r="I126" s="18" t="s">
        <v>792</v>
      </c>
      <c r="J126" s="18" t="s">
        <v>793</v>
      </c>
      <c r="K126" s="18" t="s">
        <v>73</v>
      </c>
      <c r="L126" s="18" t="s">
        <v>65</v>
      </c>
      <c r="M126" s="36"/>
      <c r="Q126" t="s">
        <v>58</v>
      </c>
    </row>
    <row r="127" spans="2:17">
      <c r="B127" s="18" t="s">
        <v>794</v>
      </c>
      <c r="C127" s="122" t="s">
        <v>744</v>
      </c>
      <c r="D127" s="45" t="s">
        <v>58</v>
      </c>
      <c r="E127" s="36">
        <v>3133</v>
      </c>
      <c r="F127" s="36" t="s">
        <v>795</v>
      </c>
      <c r="G127" s="18" t="s">
        <v>796</v>
      </c>
      <c r="H127" s="18" t="s">
        <v>797</v>
      </c>
      <c r="I127" s="18" t="s">
        <v>798</v>
      </c>
      <c r="J127" s="18" t="s">
        <v>799</v>
      </c>
      <c r="K127" s="18" t="s">
        <v>73</v>
      </c>
      <c r="L127" s="18" t="s">
        <v>65</v>
      </c>
      <c r="M127" s="36"/>
      <c r="Q127" t="s">
        <v>58</v>
      </c>
    </row>
    <row r="128" spans="2:17">
      <c r="B128" s="18" t="s">
        <v>800</v>
      </c>
      <c r="C128" s="122" t="s">
        <v>744</v>
      </c>
      <c r="D128" s="45" t="s">
        <v>58</v>
      </c>
      <c r="E128" s="36">
        <v>3134</v>
      </c>
      <c r="F128" s="36" t="s">
        <v>801</v>
      </c>
      <c r="G128" s="18" t="s">
        <v>802</v>
      </c>
      <c r="H128" s="18" t="s">
        <v>803</v>
      </c>
      <c r="I128" s="18" t="s">
        <v>804</v>
      </c>
      <c r="J128" s="18" t="s">
        <v>805</v>
      </c>
      <c r="K128" s="18" t="s">
        <v>73</v>
      </c>
      <c r="L128" s="18" t="s">
        <v>65</v>
      </c>
      <c r="M128" s="36"/>
      <c r="Q128" t="s">
        <v>58</v>
      </c>
    </row>
    <row r="129" spans="2:17">
      <c r="B129" s="18" t="s">
        <v>806</v>
      </c>
      <c r="C129" s="122" t="s">
        <v>744</v>
      </c>
      <c r="D129" s="45" t="s">
        <v>58</v>
      </c>
      <c r="E129" s="36">
        <v>3135</v>
      </c>
      <c r="F129" s="36" t="s">
        <v>807</v>
      </c>
      <c r="G129" s="18" t="s">
        <v>808</v>
      </c>
      <c r="H129" s="18" t="s">
        <v>809</v>
      </c>
      <c r="I129" s="18" t="s">
        <v>810</v>
      </c>
      <c r="J129" s="18" t="s">
        <v>811</v>
      </c>
      <c r="K129" s="18" t="s">
        <v>73</v>
      </c>
      <c r="L129" s="18" t="s">
        <v>65</v>
      </c>
      <c r="M129" s="36"/>
      <c r="Q129" t="s">
        <v>58</v>
      </c>
    </row>
    <row r="130" spans="2:17">
      <c r="B130" s="18" t="s">
        <v>812</v>
      </c>
      <c r="C130" s="122" t="s">
        <v>744</v>
      </c>
      <c r="D130" s="45" t="s">
        <v>58</v>
      </c>
      <c r="E130" s="36">
        <v>3136</v>
      </c>
      <c r="F130" s="36" t="s">
        <v>813</v>
      </c>
      <c r="G130" s="18" t="s">
        <v>814</v>
      </c>
      <c r="H130" s="18" t="s">
        <v>815</v>
      </c>
      <c r="I130" s="18" t="s">
        <v>816</v>
      </c>
      <c r="J130" s="18" t="s">
        <v>817</v>
      </c>
      <c r="K130" s="18" t="s">
        <v>73</v>
      </c>
      <c r="L130" s="18" t="s">
        <v>65</v>
      </c>
      <c r="M130" s="36"/>
      <c r="Q130" t="s">
        <v>58</v>
      </c>
    </row>
    <row r="131" spans="2:17">
      <c r="B131" s="18" t="s">
        <v>818</v>
      </c>
      <c r="C131" s="122" t="s">
        <v>744</v>
      </c>
      <c r="D131" s="45" t="s">
        <v>58</v>
      </c>
      <c r="E131" s="36">
        <v>3137</v>
      </c>
      <c r="F131" s="36" t="s">
        <v>819</v>
      </c>
      <c r="G131" s="18" t="s">
        <v>820</v>
      </c>
      <c r="H131" s="18" t="s">
        <v>821</v>
      </c>
      <c r="I131" s="18" t="s">
        <v>822</v>
      </c>
      <c r="J131" s="18" t="s">
        <v>823</v>
      </c>
      <c r="K131" s="18" t="s">
        <v>73</v>
      </c>
      <c r="L131" s="18" t="s">
        <v>65</v>
      </c>
      <c r="M131" s="36"/>
      <c r="Q131" t="s">
        <v>58</v>
      </c>
    </row>
    <row r="132" spans="2:17">
      <c r="B132" s="18" t="s">
        <v>824</v>
      </c>
      <c r="C132" s="122" t="s">
        <v>744</v>
      </c>
      <c r="D132" s="45" t="s">
        <v>58</v>
      </c>
      <c r="E132" s="36">
        <v>3138</v>
      </c>
      <c r="F132" s="36" t="s">
        <v>825</v>
      </c>
      <c r="G132" s="18" t="s">
        <v>826</v>
      </c>
      <c r="H132" s="18" t="s">
        <v>827</v>
      </c>
      <c r="I132" s="18" t="s">
        <v>828</v>
      </c>
      <c r="J132" s="18" t="s">
        <v>829</v>
      </c>
      <c r="K132" s="18" t="s">
        <v>73</v>
      </c>
      <c r="L132" s="18" t="s">
        <v>65</v>
      </c>
      <c r="M132" s="36"/>
      <c r="Q132" t="s">
        <v>58</v>
      </c>
    </row>
    <row r="133" spans="2:17">
      <c r="B133" s="18" t="s">
        <v>830</v>
      </c>
      <c r="C133" s="122" t="s">
        <v>744</v>
      </c>
      <c r="D133" s="45" t="s">
        <v>58</v>
      </c>
      <c r="E133" s="36">
        <v>3139</v>
      </c>
      <c r="F133" s="36" t="s">
        <v>831</v>
      </c>
      <c r="G133" s="18" t="s">
        <v>832</v>
      </c>
      <c r="H133" s="18" t="s">
        <v>833</v>
      </c>
      <c r="I133" s="18" t="s">
        <v>834</v>
      </c>
      <c r="J133" s="18" t="s">
        <v>835</v>
      </c>
      <c r="K133" s="18" t="s">
        <v>73</v>
      </c>
      <c r="L133" s="18" t="s">
        <v>65</v>
      </c>
      <c r="M133" s="36"/>
      <c r="Q133" t="s">
        <v>58</v>
      </c>
    </row>
    <row r="134" spans="2:17">
      <c r="B134" s="18" t="s">
        <v>836</v>
      </c>
      <c r="C134" s="122" t="s">
        <v>744</v>
      </c>
      <c r="D134" s="45" t="s">
        <v>58</v>
      </c>
      <c r="E134" s="36">
        <v>3140</v>
      </c>
      <c r="F134" s="36" t="s">
        <v>837</v>
      </c>
      <c r="G134" s="18" t="s">
        <v>838</v>
      </c>
      <c r="H134" s="18" t="s">
        <v>839</v>
      </c>
      <c r="I134" s="18" t="s">
        <v>840</v>
      </c>
      <c r="J134" s="18" t="s">
        <v>841</v>
      </c>
      <c r="K134" s="18" t="s">
        <v>73</v>
      </c>
      <c r="L134" s="18"/>
      <c r="M134" s="36"/>
      <c r="Q134" t="s">
        <v>58</v>
      </c>
    </row>
    <row r="135" spans="2:17">
      <c r="B135" s="18" t="s">
        <v>845</v>
      </c>
      <c r="C135" s="122" t="s">
        <v>744</v>
      </c>
      <c r="D135" s="45" t="s">
        <v>58</v>
      </c>
      <c r="E135" s="36">
        <v>3160</v>
      </c>
      <c r="F135" s="36" t="s">
        <v>847</v>
      </c>
      <c r="G135" s="18" t="s">
        <v>846</v>
      </c>
      <c r="H135" s="18" t="s">
        <v>848</v>
      </c>
      <c r="I135" s="18" t="s">
        <v>849</v>
      </c>
      <c r="J135" s="18" t="s">
        <v>850</v>
      </c>
      <c r="K135" s="18" t="s">
        <v>635</v>
      </c>
      <c r="L135" s="18" t="s">
        <v>65</v>
      </c>
      <c r="M135" s="36"/>
      <c r="Q135" t="s">
        <v>58</v>
      </c>
    </row>
    <row r="136" spans="2:17">
      <c r="B136" s="18" t="s">
        <v>851</v>
      </c>
      <c r="C136" s="122" t="s">
        <v>744</v>
      </c>
      <c r="D136" s="45" t="s">
        <v>58</v>
      </c>
      <c r="E136" s="36">
        <v>3161</v>
      </c>
      <c r="F136" s="36" t="s">
        <v>852</v>
      </c>
      <c r="G136" s="18" t="s">
        <v>726</v>
      </c>
      <c r="H136" s="18" t="s">
        <v>853</v>
      </c>
      <c r="I136" s="18" t="s">
        <v>854</v>
      </c>
      <c r="J136" s="18" t="s">
        <v>855</v>
      </c>
      <c r="K136" s="18" t="s">
        <v>73</v>
      </c>
      <c r="L136" s="18" t="s">
        <v>65</v>
      </c>
      <c r="M136" s="36"/>
      <c r="Q136" t="s">
        <v>58</v>
      </c>
    </row>
    <row r="137" spans="2:17">
      <c r="B137" s="18" t="s">
        <v>856</v>
      </c>
      <c r="C137" s="122" t="s">
        <v>744</v>
      </c>
      <c r="D137" s="45" t="s">
        <v>58</v>
      </c>
      <c r="E137" s="36">
        <v>3162</v>
      </c>
      <c r="F137" s="36" t="s">
        <v>858</v>
      </c>
      <c r="G137" s="18" t="s">
        <v>857</v>
      </c>
      <c r="H137" s="18" t="s">
        <v>626</v>
      </c>
      <c r="I137" s="18" t="s">
        <v>627</v>
      </c>
      <c r="J137" s="18" t="s">
        <v>628</v>
      </c>
      <c r="K137" s="18" t="s">
        <v>73</v>
      </c>
      <c r="L137" s="18" t="s">
        <v>65</v>
      </c>
      <c r="M137" s="36"/>
      <c r="Q137" t="s">
        <v>58</v>
      </c>
    </row>
    <row r="138" spans="2:17">
      <c r="B138" s="18" t="s">
        <v>861</v>
      </c>
      <c r="C138" s="122" t="s">
        <v>744</v>
      </c>
      <c r="D138" s="45" t="s">
        <v>58</v>
      </c>
      <c r="E138" s="36">
        <v>3178</v>
      </c>
      <c r="F138" s="36" t="s">
        <v>644</v>
      </c>
      <c r="G138" s="18" t="s">
        <v>643</v>
      </c>
      <c r="H138" s="18" t="s">
        <v>645</v>
      </c>
      <c r="I138" s="18" t="s">
        <v>646</v>
      </c>
      <c r="J138" s="18" t="s">
        <v>647</v>
      </c>
      <c r="K138" s="18" t="s">
        <v>73</v>
      </c>
      <c r="L138" s="18" t="s">
        <v>65</v>
      </c>
      <c r="M138" s="36"/>
      <c r="Q138" t="s">
        <v>58</v>
      </c>
    </row>
    <row r="139" spans="2:17">
      <c r="B139" s="18" t="s">
        <v>836</v>
      </c>
      <c r="C139" s="122" t="s">
        <v>744</v>
      </c>
      <c r="D139" s="45" t="s">
        <v>58</v>
      </c>
      <c r="E139" s="36">
        <v>3254</v>
      </c>
      <c r="F139" s="36" t="s">
        <v>875</v>
      </c>
      <c r="G139" s="18"/>
      <c r="H139" s="18"/>
      <c r="I139" s="18"/>
      <c r="J139" s="18"/>
      <c r="K139" s="18"/>
      <c r="L139" s="18"/>
      <c r="M139" s="36"/>
      <c r="Q139" t="s">
        <v>58</v>
      </c>
    </row>
    <row r="140" spans="2:17">
      <c r="B140" s="18" t="s">
        <v>842</v>
      </c>
      <c r="C140" s="122" t="s">
        <v>744</v>
      </c>
      <c r="D140" s="45" t="s">
        <v>58</v>
      </c>
      <c r="E140" s="36">
        <v>3255</v>
      </c>
      <c r="F140" s="36" t="s">
        <v>844</v>
      </c>
      <c r="G140" s="18" t="s">
        <v>843</v>
      </c>
      <c r="H140" s="18" t="s">
        <v>77</v>
      </c>
      <c r="I140" s="18" t="s">
        <v>78</v>
      </c>
      <c r="J140" s="18"/>
      <c r="K140" s="18" t="s">
        <v>78</v>
      </c>
      <c r="L140" s="18"/>
      <c r="M140" s="36"/>
      <c r="Q140" t="s">
        <v>58</v>
      </c>
    </row>
    <row r="141" spans="2:17">
      <c r="B141" s="18" t="s">
        <v>883</v>
      </c>
      <c r="C141" s="122" t="s">
        <v>744</v>
      </c>
      <c r="D141" s="45" t="s">
        <v>58</v>
      </c>
      <c r="E141" s="36" t="s">
        <v>882</v>
      </c>
      <c r="F141" s="36" t="s">
        <v>859</v>
      </c>
      <c r="G141" s="18" t="s">
        <v>878</v>
      </c>
      <c r="H141" s="18" t="s">
        <v>860</v>
      </c>
      <c r="I141" s="18" t="s">
        <v>707</v>
      </c>
      <c r="J141" s="18" t="s">
        <v>708</v>
      </c>
      <c r="K141" s="18" t="s">
        <v>635</v>
      </c>
      <c r="L141" s="18" t="s">
        <v>65</v>
      </c>
      <c r="M141" s="36"/>
      <c r="Q141" t="s">
        <v>58</v>
      </c>
    </row>
    <row r="142" spans="2:17">
      <c r="B142" s="18" t="s">
        <v>714</v>
      </c>
      <c r="C142" s="122" t="s">
        <v>715</v>
      </c>
      <c r="D142" s="45" t="s">
        <v>58</v>
      </c>
      <c r="E142" s="36">
        <v>11</v>
      </c>
      <c r="F142" s="36" t="s">
        <v>292</v>
      </c>
      <c r="G142" s="18" t="s">
        <v>716</v>
      </c>
      <c r="H142" s="18" t="s">
        <v>77</v>
      </c>
      <c r="I142" s="18" t="s">
        <v>78</v>
      </c>
      <c r="J142" s="18" t="s">
        <v>78</v>
      </c>
      <c r="K142" s="18" t="s">
        <v>78</v>
      </c>
      <c r="L142" s="18"/>
      <c r="M142" s="36"/>
      <c r="Q142" t="s">
        <v>58</v>
      </c>
    </row>
    <row r="143" spans="2:17">
      <c r="B143" s="18" t="s">
        <v>717</v>
      </c>
      <c r="C143" s="122" t="s">
        <v>715</v>
      </c>
      <c r="D143" s="45" t="s">
        <v>58</v>
      </c>
      <c r="E143" s="36">
        <v>20</v>
      </c>
      <c r="F143" s="36" t="s">
        <v>719</v>
      </c>
      <c r="G143" s="18" t="s">
        <v>718</v>
      </c>
      <c r="H143" s="18" t="s">
        <v>720</v>
      </c>
      <c r="I143" s="18" t="s">
        <v>721</v>
      </c>
      <c r="J143" s="18" t="s">
        <v>722</v>
      </c>
      <c r="K143" s="18" t="s">
        <v>73</v>
      </c>
      <c r="L143" s="18"/>
      <c r="M143" s="36"/>
      <c r="Q143" t="s">
        <v>58</v>
      </c>
    </row>
    <row r="144" spans="2:17">
      <c r="B144" s="18" t="s">
        <v>723</v>
      </c>
      <c r="C144" s="122" t="s">
        <v>715</v>
      </c>
      <c r="D144" s="45" t="s">
        <v>58</v>
      </c>
      <c r="E144" s="36">
        <v>32</v>
      </c>
      <c r="F144" s="36" t="s">
        <v>724</v>
      </c>
      <c r="G144" s="18" t="s">
        <v>100</v>
      </c>
      <c r="H144" s="18" t="s">
        <v>102</v>
      </c>
      <c r="I144" s="18" t="s">
        <v>103</v>
      </c>
      <c r="J144" s="18" t="s">
        <v>104</v>
      </c>
      <c r="K144" s="18" t="s">
        <v>64</v>
      </c>
      <c r="L144" s="18" t="s">
        <v>65</v>
      </c>
      <c r="M144" s="36"/>
      <c r="Q144" t="s">
        <v>58</v>
      </c>
    </row>
    <row r="145" spans="2:17">
      <c r="B145" s="18" t="s">
        <v>725</v>
      </c>
      <c r="C145" s="122" t="s">
        <v>715</v>
      </c>
      <c r="D145" s="45" t="s">
        <v>58</v>
      </c>
      <c r="E145" s="36">
        <v>36</v>
      </c>
      <c r="F145" s="36" t="s">
        <v>727</v>
      </c>
      <c r="G145" s="18" t="s">
        <v>726</v>
      </c>
      <c r="H145" s="18" t="s">
        <v>728</v>
      </c>
      <c r="I145" s="18" t="s">
        <v>729</v>
      </c>
      <c r="J145" s="18" t="s">
        <v>730</v>
      </c>
      <c r="K145" s="18" t="s">
        <v>73</v>
      </c>
      <c r="L145" s="18"/>
      <c r="M145" s="36"/>
      <c r="Q145" t="s">
        <v>58</v>
      </c>
    </row>
    <row r="146" spans="2:17">
      <c r="B146" s="18" t="s">
        <v>731</v>
      </c>
      <c r="C146" s="122" t="s">
        <v>715</v>
      </c>
      <c r="D146" s="45" t="s">
        <v>58</v>
      </c>
      <c r="E146" s="36">
        <v>37</v>
      </c>
      <c r="F146" s="36" t="s">
        <v>733</v>
      </c>
      <c r="G146" s="18" t="s">
        <v>732</v>
      </c>
      <c r="H146" s="18" t="s">
        <v>734</v>
      </c>
      <c r="I146" s="18" t="s">
        <v>735</v>
      </c>
      <c r="J146" s="18" t="s">
        <v>736</v>
      </c>
      <c r="K146" s="18" t="s">
        <v>73</v>
      </c>
      <c r="L146" s="18"/>
      <c r="M146" s="36"/>
      <c r="Q146" t="s">
        <v>58</v>
      </c>
    </row>
    <row r="147" spans="2:17">
      <c r="B147" s="18" t="s">
        <v>737</v>
      </c>
      <c r="C147" s="122" t="s">
        <v>715</v>
      </c>
      <c r="D147" s="45" t="s">
        <v>58</v>
      </c>
      <c r="E147" s="36">
        <v>38</v>
      </c>
      <c r="F147" s="36" t="s">
        <v>739</v>
      </c>
      <c r="G147" s="18" t="s">
        <v>738</v>
      </c>
      <c r="H147" s="18" t="s">
        <v>740</v>
      </c>
      <c r="I147" s="18" t="s">
        <v>741</v>
      </c>
      <c r="J147" s="18" t="s">
        <v>742</v>
      </c>
      <c r="K147" s="18" t="s">
        <v>635</v>
      </c>
      <c r="L147" s="18"/>
      <c r="M147" s="36"/>
      <c r="Q147" t="s">
        <v>58</v>
      </c>
    </row>
    <row r="148" spans="2:17">
      <c r="B148" s="18" t="s">
        <v>66</v>
      </c>
      <c r="C148" s="122" t="s">
        <v>67</v>
      </c>
      <c r="D148" s="45" t="s">
        <v>58</v>
      </c>
      <c r="E148" s="36">
        <v>108</v>
      </c>
      <c r="F148" s="36" t="s">
        <v>69</v>
      </c>
      <c r="G148" s="18" t="s">
        <v>68</v>
      </c>
      <c r="H148" s="18" t="s">
        <v>70</v>
      </c>
      <c r="I148" s="18" t="s">
        <v>71</v>
      </c>
      <c r="J148" s="18" t="s">
        <v>72</v>
      </c>
      <c r="K148" s="18" t="s">
        <v>73</v>
      </c>
      <c r="L148" s="18"/>
      <c r="M148" s="36"/>
      <c r="Q148" t="s">
        <v>58</v>
      </c>
    </row>
    <row r="149" spans="2:17">
      <c r="B149" s="18" t="s">
        <v>863</v>
      </c>
      <c r="C149" s="122" t="s">
        <v>864</v>
      </c>
      <c r="D149" s="45" t="s">
        <v>58</v>
      </c>
      <c r="E149" s="36">
        <v>99</v>
      </c>
      <c r="F149" s="36" t="s">
        <v>866</v>
      </c>
      <c r="G149" s="18" t="s">
        <v>865</v>
      </c>
      <c r="H149" s="18" t="s">
        <v>867</v>
      </c>
      <c r="I149" s="18"/>
      <c r="J149" s="18"/>
      <c r="K149" s="18"/>
      <c r="L149" s="18" t="s">
        <v>65</v>
      </c>
      <c r="M149" s="36"/>
      <c r="Q149" t="s">
        <v>58</v>
      </c>
    </row>
    <row r="150" spans="2:17">
      <c r="B150" s="157" t="s">
        <v>868</v>
      </c>
      <c r="C150" s="122" t="s">
        <v>864</v>
      </c>
      <c r="D150" s="45" t="s">
        <v>58</v>
      </c>
      <c r="E150" s="158">
        <v>100</v>
      </c>
      <c r="F150" s="158" t="s">
        <v>870</v>
      </c>
      <c r="G150" s="157" t="s">
        <v>869</v>
      </c>
      <c r="H150" s="157" t="s">
        <v>871</v>
      </c>
      <c r="I150" s="157" t="s">
        <v>872</v>
      </c>
      <c r="J150" s="157" t="s">
        <v>873</v>
      </c>
      <c r="K150" s="157" t="s">
        <v>73</v>
      </c>
      <c r="L150" s="157" t="s">
        <v>65</v>
      </c>
      <c r="M150" s="158"/>
      <c r="Q150" t="s">
        <v>58</v>
      </c>
    </row>
    <row r="151" spans="2:17">
      <c r="B151" s="25" t="s">
        <v>78</v>
      </c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spans="2:17">
      <c r="B152" t="s">
        <v>78</v>
      </c>
    </row>
    <row r="153" spans="2:17">
      <c r="B153" t="s">
        <v>78</v>
      </c>
    </row>
    <row r="154" spans="2:17">
      <c r="B154" t="s">
        <v>78</v>
      </c>
    </row>
    <row r="155" spans="2:17">
      <c r="B155" t="s">
        <v>78</v>
      </c>
    </row>
    <row r="156" spans="2:17">
      <c r="B156" t="s">
        <v>78</v>
      </c>
    </row>
    <row r="157" spans="2:17">
      <c r="B157" t="s">
        <v>78</v>
      </c>
    </row>
    <row r="158" spans="2:17">
      <c r="B158" t="s">
        <v>78</v>
      </c>
    </row>
    <row r="159" spans="2:17">
      <c r="B159" t="s">
        <v>78</v>
      </c>
    </row>
    <row r="160" spans="2:17">
      <c r="B160" t="s">
        <v>78</v>
      </c>
      <c r="I160" t="s">
        <v>78</v>
      </c>
    </row>
  </sheetData>
  <sortState xmlns:xlrd2="http://schemas.microsoft.com/office/spreadsheetml/2017/richdata2" ref="B4:M150">
    <sortCondition ref="C4:C150" customList="Listerhills,Vicar Lane,Sheffield,Hamburg,Greenford"/>
    <sortCondition ref="E4:E150"/>
  </sortState>
  <phoneticPr fontId="20" type="noConversion"/>
  <conditionalFormatting sqref="D4">
    <cfRule type="notContainsText" dxfId="1792" priority="2" operator="notContains" text="Routed Network">
      <formula>ISERROR(SEARCH("Routed Network",D4))</formula>
    </cfRule>
  </conditionalFormatting>
  <conditionalFormatting sqref="D5:D150">
    <cfRule type="notContainsText" dxfId="1791" priority="1" operator="notContains" text="Routed Network">
      <formula>ISERROR(SEARCH("Routed Network",D5))</formula>
    </cfRule>
  </conditionalFormatting>
  <dataValidations count="2">
    <dataValidation type="list" allowBlank="1" showInputMessage="1" showErrorMessage="1" sqref="D4:D150" xr:uid="{E3B49EAC-7AF0-43D3-9FEB-5E36A9739DAE}">
      <formula1>NETWORK_TYPE_LIST</formula1>
    </dataValidation>
    <dataValidation type="list" allowBlank="1" showInputMessage="1" showErrorMessage="1" sqref="C4:C150" xr:uid="{F03625D1-1169-4FBE-BE29-0B1CDB7F6ABE}">
      <formula1>SITE_LIST</formula1>
    </dataValidation>
  </dataValidations>
  <pageMargins left="0.59055118110236227" right="0.59055118110236227" top="1.1811023622047245" bottom="0.98425196850393704" header="0.39370078740157483" footer="0.39370078740157483"/>
  <pageSetup paperSize="9" scale="62" fitToHeight="0" orientation="landscape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E258D-50E4-465C-AEB4-B91AF83D4180}">
  <sheetPr codeName="Sheet14">
    <tabColor rgb="FF0070C0"/>
    <pageSetUpPr fitToPage="1"/>
  </sheetPr>
  <dimension ref="A1:T204"/>
  <sheetViews>
    <sheetView topLeftCell="O59" workbookViewId="0">
      <selection activeCell="T81" sqref="T81"/>
    </sheetView>
  </sheetViews>
  <sheetFormatPr defaultRowHeight="10.199999999999999"/>
  <cols>
    <col min="1" max="1" width="1.44140625" customWidth="1"/>
    <col min="2" max="2" width="18.33203125" bestFit="1" customWidth="1"/>
    <col min="3" max="3" width="11.21875" customWidth="1"/>
    <col min="4" max="4" width="15.21875" bestFit="1" customWidth="1"/>
    <col min="5" max="6" width="8.77734375" bestFit="1" customWidth="1"/>
    <col min="7" max="7" width="20" customWidth="1"/>
    <col min="9" max="9" width="15.6640625" customWidth="1"/>
    <col min="10" max="10" width="15.77734375" customWidth="1"/>
    <col min="11" max="11" width="12.21875" customWidth="1"/>
    <col min="12" max="12" width="11.6640625" customWidth="1"/>
    <col min="13" max="13" width="15.44140625" customWidth="1"/>
    <col min="14" max="14" width="16.77734375" customWidth="1"/>
    <col min="15" max="15" width="11.77734375" customWidth="1"/>
    <col min="17" max="17" width="16" customWidth="1"/>
    <col min="18" max="18" width="14.77734375" bestFit="1" customWidth="1"/>
    <col min="19" max="19" width="13.21875" bestFit="1" customWidth="1"/>
    <col min="20" max="20" width="28.88671875" customWidth="1"/>
  </cols>
  <sheetData>
    <row r="1" spans="1:20" ht="21">
      <c r="A1" s="12" t="s">
        <v>1563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3" spans="1:20" ht="15.6">
      <c r="B3" s="15" t="s">
        <v>889</v>
      </c>
      <c r="C3" s="15" t="s">
        <v>45</v>
      </c>
      <c r="D3" s="15" t="s">
        <v>1564</v>
      </c>
      <c r="E3" s="15" t="s">
        <v>53</v>
      </c>
      <c r="F3" s="15" t="s">
        <v>44</v>
      </c>
      <c r="G3" s="15" t="s">
        <v>1565</v>
      </c>
      <c r="H3" s="15" t="s">
        <v>1566</v>
      </c>
      <c r="I3" s="15" t="s">
        <v>885</v>
      </c>
      <c r="J3" s="15" t="s">
        <v>886</v>
      </c>
      <c r="K3" s="15" t="s">
        <v>888</v>
      </c>
      <c r="L3" s="15" t="s">
        <v>1567</v>
      </c>
      <c r="M3" s="15" t="s">
        <v>1568</v>
      </c>
      <c r="N3" s="15" t="s">
        <v>1569</v>
      </c>
      <c r="O3" s="15" t="s">
        <v>1570</v>
      </c>
      <c r="P3" s="15" t="s">
        <v>46</v>
      </c>
      <c r="Q3" s="15" t="s">
        <v>48</v>
      </c>
      <c r="R3" s="15" t="s">
        <v>49</v>
      </c>
      <c r="S3" s="15" t="s">
        <v>1572</v>
      </c>
      <c r="T3" s="15" t="s">
        <v>54</v>
      </c>
    </row>
    <row r="4" spans="1:20">
      <c r="B4" s="25" t="s">
        <v>1786</v>
      </c>
      <c r="C4" s="25"/>
      <c r="D4" s="25"/>
      <c r="E4" s="17"/>
      <c r="F4" s="17"/>
      <c r="G4" s="25"/>
      <c r="H4" s="25" t="s">
        <v>78</v>
      </c>
      <c r="I4" s="25"/>
      <c r="J4" s="25"/>
      <c r="K4" s="25" t="s">
        <v>78</v>
      </c>
      <c r="L4" s="25"/>
      <c r="M4" s="25"/>
      <c r="N4" s="25"/>
      <c r="O4" s="25"/>
      <c r="P4" s="25"/>
      <c r="Q4" s="25" t="str">
        <f>IF($P4="","",IFERROR(VLOOKUP(UPPER(DEVICE_TABLE[[#This Row],[Site]])&amp;"/"&amp;DEVICE_TABLE[[#This Row],[VLAN]],NETWORKS_TABLE[],MATCH(Q$3,NETWORKS_TABLE[#Headers],0),FALSE),""))</f>
        <v/>
      </c>
      <c r="R4" s="25" t="str">
        <f>IF($P4="","",IFERROR(VLOOKUP(UPPER(DEVICE_TABLE[[#This Row],[Site]])&amp;"/"&amp;DEVICE_TABLE[[#This Row],[VLAN]],NETWORKS_TABLE[],MATCH(R$3,NETWORKS_TABLE[#Headers],0),FALSE),""))</f>
        <v/>
      </c>
      <c r="S4" s="25" t="s">
        <v>78</v>
      </c>
      <c r="T4" s="25"/>
    </row>
    <row r="5" spans="1:20">
      <c r="B5" s="36" t="s">
        <v>1395</v>
      </c>
      <c r="C5" s="36" t="s">
        <v>980</v>
      </c>
      <c r="D5" s="36" t="s">
        <v>1598</v>
      </c>
      <c r="E5" s="122" t="s">
        <v>1575</v>
      </c>
      <c r="F5" s="122" t="s">
        <v>744</v>
      </c>
      <c r="G5" s="36" t="s">
        <v>1787</v>
      </c>
      <c r="H5" s="36" t="s">
        <v>78</v>
      </c>
      <c r="I5" s="36" t="s">
        <v>892</v>
      </c>
      <c r="J5" s="36" t="s">
        <v>1605</v>
      </c>
      <c r="K5" s="36" t="s">
        <v>1394</v>
      </c>
      <c r="L5" s="36"/>
      <c r="M5" s="36"/>
      <c r="N5" s="36"/>
      <c r="O5" s="36"/>
      <c r="P5" s="36">
        <v>1021</v>
      </c>
      <c r="Q5" s="202" t="str">
        <f>IF($P5="","",IFERROR(VLOOKUP(UPPER(DEVICE_TABLE[[#This Row],[Site]])&amp;"/"&amp;DEVICE_TABLE[[#This Row],[VLAN]],NETWORKS_TABLE[],MATCH(Q$3,NETWORKS_TABLE[#Headers],0),FALSE),""))</f>
        <v>SYSTEM</v>
      </c>
      <c r="R5" s="202" t="str">
        <f>IF($P5="","",IFERROR(VLOOKUP(UPPER(DEVICE_TABLE[[#This Row],[Site]])&amp;"/"&amp;DEVICE_TABLE[[#This Row],[VLAN]],NETWORKS_TABLE[],MATCH(R$3,NETWORKS_TABLE[#Headers],0),FALSE),""))</f>
        <v>10.227.21.0/24</v>
      </c>
      <c r="S5" s="36" t="s">
        <v>1788</v>
      </c>
      <c r="T5" s="36"/>
    </row>
    <row r="6" spans="1:20">
      <c r="B6" s="36" t="s">
        <v>1519</v>
      </c>
      <c r="C6" s="36" t="s">
        <v>980</v>
      </c>
      <c r="D6" s="36" t="s">
        <v>1598</v>
      </c>
      <c r="E6" s="122" t="s">
        <v>1575</v>
      </c>
      <c r="F6" s="122" t="s">
        <v>744</v>
      </c>
      <c r="G6" s="36" t="s">
        <v>1787</v>
      </c>
      <c r="H6" s="36" t="s">
        <v>78</v>
      </c>
      <c r="I6" s="36" t="s">
        <v>892</v>
      </c>
      <c r="J6" s="36" t="s">
        <v>1605</v>
      </c>
      <c r="K6" s="36" t="s">
        <v>1518</v>
      </c>
      <c r="L6" s="36"/>
      <c r="M6" s="36"/>
      <c r="N6" s="36"/>
      <c r="O6" s="36"/>
      <c r="P6" s="36">
        <v>1021</v>
      </c>
      <c r="Q6" s="202" t="str">
        <f>IF($P6="","",IFERROR(VLOOKUP(UPPER(DEVICE_TABLE[[#This Row],[Site]])&amp;"/"&amp;DEVICE_TABLE[[#This Row],[VLAN]],NETWORKS_TABLE[],MATCH(Q$3,NETWORKS_TABLE[#Headers],0),FALSE),""))</f>
        <v>SYSTEM</v>
      </c>
      <c r="R6" s="202" t="str">
        <f>IF($P6="","",IFERROR(VLOOKUP(UPPER(DEVICE_TABLE[[#This Row],[Site]])&amp;"/"&amp;DEVICE_TABLE[[#This Row],[VLAN]],NETWORKS_TABLE[],MATCH(R$3,NETWORKS_TABLE[#Headers],0),FALSE),""))</f>
        <v>10.227.21.0/24</v>
      </c>
      <c r="S6" s="36" t="s">
        <v>1788</v>
      </c>
      <c r="T6" s="36"/>
    </row>
    <row r="7" spans="1:20">
      <c r="B7" s="36" t="s">
        <v>1404</v>
      </c>
      <c r="C7" s="36" t="s">
        <v>980</v>
      </c>
      <c r="D7" s="36" t="s">
        <v>1598</v>
      </c>
      <c r="E7" s="122" t="s">
        <v>1575</v>
      </c>
      <c r="F7" s="122" t="s">
        <v>744</v>
      </c>
      <c r="G7" s="36" t="s">
        <v>1787</v>
      </c>
      <c r="H7" s="36" t="s">
        <v>78</v>
      </c>
      <c r="I7" s="36" t="s">
        <v>892</v>
      </c>
      <c r="J7" s="36" t="s">
        <v>1605</v>
      </c>
      <c r="K7" s="36" t="s">
        <v>1403</v>
      </c>
      <c r="L7" s="36"/>
      <c r="M7" s="36"/>
      <c r="N7" s="36"/>
      <c r="O7" s="36"/>
      <c r="P7" s="36">
        <v>1021</v>
      </c>
      <c r="Q7" s="202" t="str">
        <f>IF($P7="","",IFERROR(VLOOKUP(UPPER(DEVICE_TABLE[[#This Row],[Site]])&amp;"/"&amp;DEVICE_TABLE[[#This Row],[VLAN]],NETWORKS_TABLE[],MATCH(Q$3,NETWORKS_TABLE[#Headers],0),FALSE),""))</f>
        <v>SYSTEM</v>
      </c>
      <c r="R7" s="202" t="str">
        <f>IF($P7="","",IFERROR(VLOOKUP(UPPER(DEVICE_TABLE[[#This Row],[Site]])&amp;"/"&amp;DEVICE_TABLE[[#This Row],[VLAN]],NETWORKS_TABLE[],MATCH(R$3,NETWORKS_TABLE[#Headers],0),FALSE),""))</f>
        <v>10.227.21.0/24</v>
      </c>
      <c r="S7" s="36" t="s">
        <v>1788</v>
      </c>
      <c r="T7" s="36"/>
    </row>
    <row r="8" spans="1:20">
      <c r="B8" s="36" t="s">
        <v>1544</v>
      </c>
      <c r="C8" s="36" t="s">
        <v>980</v>
      </c>
      <c r="D8" s="36" t="s">
        <v>1598</v>
      </c>
      <c r="E8" s="122" t="s">
        <v>1575</v>
      </c>
      <c r="F8" s="122" t="s">
        <v>744</v>
      </c>
      <c r="G8" s="36" t="s">
        <v>1787</v>
      </c>
      <c r="H8" s="36" t="s">
        <v>78</v>
      </c>
      <c r="I8" s="36" t="s">
        <v>892</v>
      </c>
      <c r="J8" s="36" t="s">
        <v>1605</v>
      </c>
      <c r="K8" s="36" t="s">
        <v>1543</v>
      </c>
      <c r="L8" s="36"/>
      <c r="M8" s="36"/>
      <c r="N8" s="36"/>
      <c r="O8" s="36"/>
      <c r="P8" s="36">
        <v>1021</v>
      </c>
      <c r="Q8" s="202" t="str">
        <f>IF($P8="","",IFERROR(VLOOKUP(UPPER(DEVICE_TABLE[[#This Row],[Site]])&amp;"/"&amp;DEVICE_TABLE[[#This Row],[VLAN]],NETWORKS_TABLE[],MATCH(Q$3,NETWORKS_TABLE[#Headers],0),FALSE),""))</f>
        <v>SYSTEM</v>
      </c>
      <c r="R8" s="202" t="str">
        <f>IF($P8="","",IFERROR(VLOOKUP(UPPER(DEVICE_TABLE[[#This Row],[Site]])&amp;"/"&amp;DEVICE_TABLE[[#This Row],[VLAN]],NETWORKS_TABLE[],MATCH(R$3,NETWORKS_TABLE[#Headers],0),FALSE),""))</f>
        <v>10.227.21.0/24</v>
      </c>
      <c r="S8" s="36" t="s">
        <v>1788</v>
      </c>
      <c r="T8" s="36"/>
    </row>
    <row r="9" spans="1:20">
      <c r="B9" s="36" t="s">
        <v>1410</v>
      </c>
      <c r="C9" s="36" t="s">
        <v>980</v>
      </c>
      <c r="D9" s="36" t="s">
        <v>1598</v>
      </c>
      <c r="E9" s="122" t="s">
        <v>1575</v>
      </c>
      <c r="F9" s="122" t="s">
        <v>744</v>
      </c>
      <c r="G9" s="36" t="s">
        <v>1789</v>
      </c>
      <c r="H9" s="36" t="s">
        <v>78</v>
      </c>
      <c r="I9" s="36" t="s">
        <v>892</v>
      </c>
      <c r="J9" s="36" t="s">
        <v>1605</v>
      </c>
      <c r="K9" s="36" t="s">
        <v>1409</v>
      </c>
      <c r="L9" s="36"/>
      <c r="M9" s="36"/>
      <c r="N9" s="36"/>
      <c r="O9" s="36"/>
      <c r="P9" s="36">
        <v>1021</v>
      </c>
      <c r="Q9" s="202" t="str">
        <f>IF($P9="","",IFERROR(VLOOKUP(UPPER(DEVICE_TABLE[[#This Row],[Site]])&amp;"/"&amp;DEVICE_TABLE[[#This Row],[VLAN]],NETWORKS_TABLE[],MATCH(Q$3,NETWORKS_TABLE[#Headers],0),FALSE),""))</f>
        <v>SYSTEM</v>
      </c>
      <c r="R9" s="202" t="str">
        <f>IF($P9="","",IFERROR(VLOOKUP(UPPER(DEVICE_TABLE[[#This Row],[Site]])&amp;"/"&amp;DEVICE_TABLE[[#This Row],[VLAN]],NETWORKS_TABLE[],MATCH(R$3,NETWORKS_TABLE[#Headers],0),FALSE),""))</f>
        <v>10.227.21.0/24</v>
      </c>
      <c r="S9" s="36" t="s">
        <v>1790</v>
      </c>
      <c r="T9" s="36"/>
    </row>
    <row r="10" spans="1:20">
      <c r="B10" s="36" t="s">
        <v>1525</v>
      </c>
      <c r="C10" s="36" t="s">
        <v>980</v>
      </c>
      <c r="D10" s="36" t="s">
        <v>1598</v>
      </c>
      <c r="E10" s="122" t="s">
        <v>1575</v>
      </c>
      <c r="F10" s="122" t="s">
        <v>744</v>
      </c>
      <c r="G10" s="36" t="s">
        <v>1789</v>
      </c>
      <c r="H10" s="36" t="s">
        <v>78</v>
      </c>
      <c r="I10" s="36" t="s">
        <v>892</v>
      </c>
      <c r="J10" s="36" t="s">
        <v>1605</v>
      </c>
      <c r="K10" s="36" t="s">
        <v>1524</v>
      </c>
      <c r="L10" s="36"/>
      <c r="M10" s="36"/>
      <c r="N10" s="36"/>
      <c r="O10" s="36"/>
      <c r="P10" s="36">
        <v>1021</v>
      </c>
      <c r="Q10" s="202" t="str">
        <f>IF($P10="","",IFERROR(VLOOKUP(UPPER(DEVICE_TABLE[[#This Row],[Site]])&amp;"/"&amp;DEVICE_TABLE[[#This Row],[VLAN]],NETWORKS_TABLE[],MATCH(Q$3,NETWORKS_TABLE[#Headers],0),FALSE),""))</f>
        <v>SYSTEM</v>
      </c>
      <c r="R10" s="202" t="str">
        <f>IF($P10="","",IFERROR(VLOOKUP(UPPER(DEVICE_TABLE[[#This Row],[Site]])&amp;"/"&amp;DEVICE_TABLE[[#This Row],[VLAN]],NETWORKS_TABLE[],MATCH(R$3,NETWORKS_TABLE[#Headers],0),FALSE),""))</f>
        <v>10.227.21.0/24</v>
      </c>
      <c r="S10" s="36" t="s">
        <v>1790</v>
      </c>
      <c r="T10" s="36"/>
    </row>
    <row r="11" spans="1:20">
      <c r="B11" s="36" t="s">
        <v>1416</v>
      </c>
      <c r="C11" s="36" t="s">
        <v>980</v>
      </c>
      <c r="D11" s="36" t="s">
        <v>1598</v>
      </c>
      <c r="E11" s="122" t="s">
        <v>1575</v>
      </c>
      <c r="F11" s="122" t="s">
        <v>744</v>
      </c>
      <c r="G11" s="36" t="s">
        <v>1789</v>
      </c>
      <c r="H11" s="36" t="s">
        <v>78</v>
      </c>
      <c r="I11" s="36" t="s">
        <v>892</v>
      </c>
      <c r="J11" s="36" t="s">
        <v>1605</v>
      </c>
      <c r="K11" s="36" t="s">
        <v>1415</v>
      </c>
      <c r="L11" s="36"/>
      <c r="M11" s="36"/>
      <c r="N11" s="36"/>
      <c r="O11" s="36"/>
      <c r="P11" s="36">
        <v>1021</v>
      </c>
      <c r="Q11" s="202" t="str">
        <f>IF($P11="","",IFERROR(VLOOKUP(UPPER(DEVICE_TABLE[[#This Row],[Site]])&amp;"/"&amp;DEVICE_TABLE[[#This Row],[VLAN]],NETWORKS_TABLE[],MATCH(Q$3,NETWORKS_TABLE[#Headers],0),FALSE),""))</f>
        <v>SYSTEM</v>
      </c>
      <c r="R11" s="202" t="str">
        <f>IF($P11="","",IFERROR(VLOOKUP(UPPER(DEVICE_TABLE[[#This Row],[Site]])&amp;"/"&amp;DEVICE_TABLE[[#This Row],[VLAN]],NETWORKS_TABLE[],MATCH(R$3,NETWORKS_TABLE[#Headers],0),FALSE),""))</f>
        <v>10.227.21.0/24</v>
      </c>
      <c r="S11" s="36" t="s">
        <v>1790</v>
      </c>
      <c r="T11" s="36"/>
    </row>
    <row r="12" spans="1:20">
      <c r="B12" s="36" t="s">
        <v>1546</v>
      </c>
      <c r="C12" s="36" t="s">
        <v>980</v>
      </c>
      <c r="D12" s="36" t="s">
        <v>1598</v>
      </c>
      <c r="E12" s="122" t="s">
        <v>1575</v>
      </c>
      <c r="F12" s="122" t="s">
        <v>744</v>
      </c>
      <c r="G12" s="36" t="s">
        <v>1789</v>
      </c>
      <c r="H12" s="36" t="s">
        <v>78</v>
      </c>
      <c r="I12" s="36" t="s">
        <v>892</v>
      </c>
      <c r="J12" s="36" t="s">
        <v>1605</v>
      </c>
      <c r="K12" s="36" t="s">
        <v>1545</v>
      </c>
      <c r="L12" s="36"/>
      <c r="M12" s="36"/>
      <c r="N12" s="36"/>
      <c r="O12" s="36"/>
      <c r="P12" s="36">
        <v>1021</v>
      </c>
      <c r="Q12" s="202" t="str">
        <f>IF($P12="","",IFERROR(VLOOKUP(UPPER(DEVICE_TABLE[[#This Row],[Site]])&amp;"/"&amp;DEVICE_TABLE[[#This Row],[VLAN]],NETWORKS_TABLE[],MATCH(Q$3,NETWORKS_TABLE[#Headers],0),FALSE),""))</f>
        <v>SYSTEM</v>
      </c>
      <c r="R12" s="202" t="str">
        <f>IF($P12="","",IFERROR(VLOOKUP(UPPER(DEVICE_TABLE[[#This Row],[Site]])&amp;"/"&amp;DEVICE_TABLE[[#This Row],[VLAN]],NETWORKS_TABLE[],MATCH(R$3,NETWORKS_TABLE[#Headers],0),FALSE),""))</f>
        <v>10.227.21.0/24</v>
      </c>
      <c r="S12" s="36" t="s">
        <v>1790</v>
      </c>
      <c r="T12" s="36"/>
    </row>
    <row r="13" spans="1:20">
      <c r="B13" s="36" t="s">
        <v>1422</v>
      </c>
      <c r="C13" s="36" t="s">
        <v>980</v>
      </c>
      <c r="D13" s="36" t="s">
        <v>1598</v>
      </c>
      <c r="E13" s="122" t="s">
        <v>1575</v>
      </c>
      <c r="F13" s="122" t="s">
        <v>744</v>
      </c>
      <c r="G13" s="36" t="s">
        <v>1791</v>
      </c>
      <c r="H13" s="36" t="s">
        <v>78</v>
      </c>
      <c r="I13" s="36" t="s">
        <v>892</v>
      </c>
      <c r="J13" s="36" t="s">
        <v>1605</v>
      </c>
      <c r="K13" s="36" t="s">
        <v>1421</v>
      </c>
      <c r="L13" s="36"/>
      <c r="M13" s="36"/>
      <c r="N13" s="36"/>
      <c r="O13" s="36"/>
      <c r="P13" s="36">
        <v>1021</v>
      </c>
      <c r="Q13" s="202" t="str">
        <f>IF($P13="","",IFERROR(VLOOKUP(UPPER(DEVICE_TABLE[[#This Row],[Site]])&amp;"/"&amp;DEVICE_TABLE[[#This Row],[VLAN]],NETWORKS_TABLE[],MATCH(Q$3,NETWORKS_TABLE[#Headers],0),FALSE),""))</f>
        <v>SYSTEM</v>
      </c>
      <c r="R13" s="202" t="str">
        <f>IF($P13="","",IFERROR(VLOOKUP(UPPER(DEVICE_TABLE[[#This Row],[Site]])&amp;"/"&amp;DEVICE_TABLE[[#This Row],[VLAN]],NETWORKS_TABLE[],MATCH(R$3,NETWORKS_TABLE[#Headers],0),FALSE),""))</f>
        <v>10.227.21.0/24</v>
      </c>
      <c r="S13" s="36" t="s">
        <v>1792</v>
      </c>
      <c r="T13" s="36"/>
    </row>
    <row r="14" spans="1:20">
      <c r="B14" s="36" t="s">
        <v>1428</v>
      </c>
      <c r="C14" s="36" t="s">
        <v>980</v>
      </c>
      <c r="D14" s="36" t="s">
        <v>1598</v>
      </c>
      <c r="E14" s="122" t="s">
        <v>1575</v>
      </c>
      <c r="F14" s="122" t="s">
        <v>744</v>
      </c>
      <c r="G14" s="36" t="s">
        <v>1791</v>
      </c>
      <c r="H14" s="36" t="s">
        <v>78</v>
      </c>
      <c r="I14" s="36" t="s">
        <v>892</v>
      </c>
      <c r="J14" s="36" t="s">
        <v>1605</v>
      </c>
      <c r="K14" s="36" t="s">
        <v>1427</v>
      </c>
      <c r="L14" s="36"/>
      <c r="M14" s="36"/>
      <c r="N14" s="36"/>
      <c r="O14" s="36"/>
      <c r="P14" s="36">
        <v>1021</v>
      </c>
      <c r="Q14" s="202" t="str">
        <f>IF($P14="","",IFERROR(VLOOKUP(UPPER(DEVICE_TABLE[[#This Row],[Site]])&amp;"/"&amp;DEVICE_TABLE[[#This Row],[VLAN]],NETWORKS_TABLE[],MATCH(Q$3,NETWORKS_TABLE[#Headers],0),FALSE),""))</f>
        <v>SYSTEM</v>
      </c>
      <c r="R14" s="202" t="str">
        <f>IF($P14="","",IFERROR(VLOOKUP(UPPER(DEVICE_TABLE[[#This Row],[Site]])&amp;"/"&amp;DEVICE_TABLE[[#This Row],[VLAN]],NETWORKS_TABLE[],MATCH(R$3,NETWORKS_TABLE[#Headers],0),FALSE),""))</f>
        <v>10.227.21.0/24</v>
      </c>
      <c r="S14" s="36" t="s">
        <v>1792</v>
      </c>
      <c r="T14" s="36"/>
    </row>
    <row r="15" spans="1:20">
      <c r="B15" s="36" t="s">
        <v>1548</v>
      </c>
      <c r="C15" s="36" t="s">
        <v>980</v>
      </c>
      <c r="D15" s="36" t="s">
        <v>1598</v>
      </c>
      <c r="E15" s="122" t="s">
        <v>1575</v>
      </c>
      <c r="F15" s="122" t="s">
        <v>744</v>
      </c>
      <c r="G15" s="36" t="s">
        <v>1791</v>
      </c>
      <c r="H15" s="36" t="s">
        <v>78</v>
      </c>
      <c r="I15" s="36" t="s">
        <v>892</v>
      </c>
      <c r="J15" s="36" t="s">
        <v>1605</v>
      </c>
      <c r="K15" s="36" t="s">
        <v>1547</v>
      </c>
      <c r="L15" s="36"/>
      <c r="M15" s="36"/>
      <c r="N15" s="36"/>
      <c r="O15" s="36"/>
      <c r="P15" s="36">
        <v>1021</v>
      </c>
      <c r="Q15" s="202" t="str">
        <f>IF($P15="","",IFERROR(VLOOKUP(UPPER(DEVICE_TABLE[[#This Row],[Site]])&amp;"/"&amp;DEVICE_TABLE[[#This Row],[VLAN]],NETWORKS_TABLE[],MATCH(Q$3,NETWORKS_TABLE[#Headers],0),FALSE),""))</f>
        <v>SYSTEM</v>
      </c>
      <c r="R15" s="202" t="str">
        <f>IF($P15="","",IFERROR(VLOOKUP(UPPER(DEVICE_TABLE[[#This Row],[Site]])&amp;"/"&amp;DEVICE_TABLE[[#This Row],[VLAN]],NETWORKS_TABLE[],MATCH(R$3,NETWORKS_TABLE[#Headers],0),FALSE),""))</f>
        <v>10.227.21.0/24</v>
      </c>
      <c r="S15" s="36" t="s">
        <v>1792</v>
      </c>
      <c r="T15" s="36"/>
    </row>
    <row r="16" spans="1:20">
      <c r="B16" s="36" t="s">
        <v>1453</v>
      </c>
      <c r="C16" s="36" t="s">
        <v>980</v>
      </c>
      <c r="D16" s="36" t="s">
        <v>1598</v>
      </c>
      <c r="E16" s="122" t="s">
        <v>1575</v>
      </c>
      <c r="F16" s="122" t="s">
        <v>744</v>
      </c>
      <c r="G16" s="36" t="s">
        <v>1791</v>
      </c>
      <c r="H16" s="36" t="s">
        <v>78</v>
      </c>
      <c r="I16" s="36" t="s">
        <v>892</v>
      </c>
      <c r="J16" s="36" t="s">
        <v>1605</v>
      </c>
      <c r="K16" s="36" t="s">
        <v>1452</v>
      </c>
      <c r="L16" s="36"/>
      <c r="M16" s="36"/>
      <c r="N16" s="36"/>
      <c r="O16" s="36"/>
      <c r="P16" s="36">
        <v>1021</v>
      </c>
      <c r="Q16" s="202" t="str">
        <f>IF($P16="","",IFERROR(VLOOKUP(UPPER(DEVICE_TABLE[[#This Row],[Site]])&amp;"/"&amp;DEVICE_TABLE[[#This Row],[VLAN]],NETWORKS_TABLE[],MATCH(Q$3,NETWORKS_TABLE[#Headers],0),FALSE),""))</f>
        <v>SYSTEM</v>
      </c>
      <c r="R16" s="202" t="str">
        <f>IF($P16="","",IFERROR(VLOOKUP(UPPER(DEVICE_TABLE[[#This Row],[Site]])&amp;"/"&amp;DEVICE_TABLE[[#This Row],[VLAN]],NETWORKS_TABLE[],MATCH(R$3,NETWORKS_TABLE[#Headers],0),FALSE),""))</f>
        <v>10.227.21.0/24</v>
      </c>
      <c r="S16" s="36" t="s">
        <v>1792</v>
      </c>
      <c r="T16" s="36"/>
    </row>
    <row r="17" spans="2:20">
      <c r="B17" s="36" t="s">
        <v>1434</v>
      </c>
      <c r="C17" s="36" t="s">
        <v>980</v>
      </c>
      <c r="D17" s="36" t="s">
        <v>1598</v>
      </c>
      <c r="E17" s="122" t="s">
        <v>1575</v>
      </c>
      <c r="F17" s="122" t="s">
        <v>744</v>
      </c>
      <c r="G17" s="36" t="s">
        <v>1793</v>
      </c>
      <c r="H17" s="36" t="s">
        <v>78</v>
      </c>
      <c r="I17" s="36" t="s">
        <v>892</v>
      </c>
      <c r="J17" s="36" t="s">
        <v>1605</v>
      </c>
      <c r="K17" s="36" t="s">
        <v>1433</v>
      </c>
      <c r="L17" s="36"/>
      <c r="M17" s="36"/>
      <c r="N17" s="36"/>
      <c r="O17" s="36"/>
      <c r="P17" s="36">
        <v>1021</v>
      </c>
      <c r="Q17" s="202" t="str">
        <f>IF($P17="","",IFERROR(VLOOKUP(UPPER(DEVICE_TABLE[[#This Row],[Site]])&amp;"/"&amp;DEVICE_TABLE[[#This Row],[VLAN]],NETWORKS_TABLE[],MATCH(Q$3,NETWORKS_TABLE[#Headers],0),FALSE),""))</f>
        <v>SYSTEM</v>
      </c>
      <c r="R17" s="202" t="str">
        <f>IF($P17="","",IFERROR(VLOOKUP(UPPER(DEVICE_TABLE[[#This Row],[Site]])&amp;"/"&amp;DEVICE_TABLE[[#This Row],[VLAN]],NETWORKS_TABLE[],MATCH(R$3,NETWORKS_TABLE[#Headers],0),FALSE),""))</f>
        <v>10.227.21.0/24</v>
      </c>
      <c r="S17" s="36" t="s">
        <v>1794</v>
      </c>
      <c r="T17" s="36"/>
    </row>
    <row r="18" spans="2:20">
      <c r="B18" s="36" t="s">
        <v>1532</v>
      </c>
      <c r="C18" s="36" t="s">
        <v>980</v>
      </c>
      <c r="D18" s="36" t="s">
        <v>1598</v>
      </c>
      <c r="E18" s="122" t="s">
        <v>1575</v>
      </c>
      <c r="F18" s="122" t="s">
        <v>744</v>
      </c>
      <c r="G18" s="36" t="s">
        <v>1793</v>
      </c>
      <c r="H18" s="36" t="s">
        <v>78</v>
      </c>
      <c r="I18" s="36" t="s">
        <v>892</v>
      </c>
      <c r="J18" s="36" t="s">
        <v>1605</v>
      </c>
      <c r="K18" s="36" t="s">
        <v>1531</v>
      </c>
      <c r="L18" s="36"/>
      <c r="M18" s="36"/>
      <c r="N18" s="36"/>
      <c r="O18" s="36"/>
      <c r="P18" s="36">
        <v>1021</v>
      </c>
      <c r="Q18" s="202" t="str">
        <f>IF($P18="","",IFERROR(VLOOKUP(UPPER(DEVICE_TABLE[[#This Row],[Site]])&amp;"/"&amp;DEVICE_TABLE[[#This Row],[VLAN]],NETWORKS_TABLE[],MATCH(Q$3,NETWORKS_TABLE[#Headers],0),FALSE),""))</f>
        <v>SYSTEM</v>
      </c>
      <c r="R18" s="202" t="str">
        <f>IF($P18="","",IFERROR(VLOOKUP(UPPER(DEVICE_TABLE[[#This Row],[Site]])&amp;"/"&amp;DEVICE_TABLE[[#This Row],[VLAN]],NETWORKS_TABLE[],MATCH(R$3,NETWORKS_TABLE[#Headers],0),FALSE),""))</f>
        <v>10.227.21.0/24</v>
      </c>
      <c r="S18" s="36" t="s">
        <v>1794</v>
      </c>
      <c r="T18" s="36"/>
    </row>
    <row r="19" spans="2:20">
      <c r="B19" s="36" t="s">
        <v>1538</v>
      </c>
      <c r="C19" s="36" t="s">
        <v>980</v>
      </c>
      <c r="D19" s="36" t="s">
        <v>1598</v>
      </c>
      <c r="E19" s="122" t="s">
        <v>1575</v>
      </c>
      <c r="F19" s="122" t="s">
        <v>744</v>
      </c>
      <c r="G19" s="36" t="s">
        <v>1793</v>
      </c>
      <c r="H19" s="36" t="s">
        <v>78</v>
      </c>
      <c r="I19" s="36" t="s">
        <v>892</v>
      </c>
      <c r="J19" s="36" t="s">
        <v>1605</v>
      </c>
      <c r="K19" s="36" t="s">
        <v>1537</v>
      </c>
      <c r="L19" s="36"/>
      <c r="M19" s="36"/>
      <c r="N19" s="36"/>
      <c r="O19" s="36"/>
      <c r="P19" s="36">
        <v>1021</v>
      </c>
      <c r="Q19" s="202" t="str">
        <f>IF($P19="","",IFERROR(VLOOKUP(UPPER(DEVICE_TABLE[[#This Row],[Site]])&amp;"/"&amp;DEVICE_TABLE[[#This Row],[VLAN]],NETWORKS_TABLE[],MATCH(Q$3,NETWORKS_TABLE[#Headers],0),FALSE),""))</f>
        <v>SYSTEM</v>
      </c>
      <c r="R19" s="202" t="str">
        <f>IF($P19="","",IFERROR(VLOOKUP(UPPER(DEVICE_TABLE[[#This Row],[Site]])&amp;"/"&amp;DEVICE_TABLE[[#This Row],[VLAN]],NETWORKS_TABLE[],MATCH(R$3,NETWORKS_TABLE[#Headers],0),FALSE),""))</f>
        <v>10.227.21.0/24</v>
      </c>
      <c r="S19" s="36" t="s">
        <v>1794</v>
      </c>
      <c r="T19" s="36"/>
    </row>
    <row r="20" spans="2:20">
      <c r="B20" s="36" t="s">
        <v>1440</v>
      </c>
      <c r="C20" s="36" t="s">
        <v>980</v>
      </c>
      <c r="D20" s="36" t="s">
        <v>1598</v>
      </c>
      <c r="E20" s="122" t="s">
        <v>1575</v>
      </c>
      <c r="F20" s="122" t="s">
        <v>744</v>
      </c>
      <c r="G20" s="36" t="s">
        <v>1793</v>
      </c>
      <c r="H20" s="36" t="s">
        <v>78</v>
      </c>
      <c r="I20" s="36" t="s">
        <v>892</v>
      </c>
      <c r="J20" s="36" t="s">
        <v>1605</v>
      </c>
      <c r="K20" s="36" t="s">
        <v>1439</v>
      </c>
      <c r="L20" s="36"/>
      <c r="M20" s="36"/>
      <c r="N20" s="36"/>
      <c r="O20" s="36"/>
      <c r="P20" s="36">
        <v>1021</v>
      </c>
      <c r="Q20" s="202" t="str">
        <f>IF($P20="","",IFERROR(VLOOKUP(UPPER(DEVICE_TABLE[[#This Row],[Site]])&amp;"/"&amp;DEVICE_TABLE[[#This Row],[VLAN]],NETWORKS_TABLE[],MATCH(Q$3,NETWORKS_TABLE[#Headers],0),FALSE),""))</f>
        <v>SYSTEM</v>
      </c>
      <c r="R20" s="202" t="str">
        <f>IF($P20="","",IFERROR(VLOOKUP(UPPER(DEVICE_TABLE[[#This Row],[Site]])&amp;"/"&amp;DEVICE_TABLE[[#This Row],[VLAN]],NETWORKS_TABLE[],MATCH(R$3,NETWORKS_TABLE[#Headers],0),FALSE),""))</f>
        <v>10.227.21.0/24</v>
      </c>
      <c r="S20" s="36" t="s">
        <v>1794</v>
      </c>
      <c r="T20" s="36"/>
    </row>
    <row r="21" spans="2:20">
      <c r="B21" s="36" t="s">
        <v>1446</v>
      </c>
      <c r="C21" s="36" t="s">
        <v>980</v>
      </c>
      <c r="D21" s="36" t="s">
        <v>1598</v>
      </c>
      <c r="E21" s="122" t="s">
        <v>1575</v>
      </c>
      <c r="F21" s="122" t="s">
        <v>744</v>
      </c>
      <c r="G21" s="36" t="s">
        <v>1795</v>
      </c>
      <c r="H21" s="36" t="s">
        <v>78</v>
      </c>
      <c r="I21" s="36" t="s">
        <v>892</v>
      </c>
      <c r="J21" s="36" t="s">
        <v>1605</v>
      </c>
      <c r="K21" s="36" t="s">
        <v>1445</v>
      </c>
      <c r="L21" s="36"/>
      <c r="M21" s="36"/>
      <c r="N21" s="36"/>
      <c r="O21" s="36"/>
      <c r="P21" s="36">
        <v>1021</v>
      </c>
      <c r="Q21" s="202" t="str">
        <f>IF($P21="","",IFERROR(VLOOKUP(UPPER(DEVICE_TABLE[[#This Row],[Site]])&amp;"/"&amp;DEVICE_TABLE[[#This Row],[VLAN]],NETWORKS_TABLE[],MATCH(Q$3,NETWORKS_TABLE[#Headers],0),FALSE),""))</f>
        <v>SYSTEM</v>
      </c>
      <c r="R21" s="202" t="str">
        <f>IF($P21="","",IFERROR(VLOOKUP(UPPER(DEVICE_TABLE[[#This Row],[Site]])&amp;"/"&amp;DEVICE_TABLE[[#This Row],[VLAN]],NETWORKS_TABLE[],MATCH(R$3,NETWORKS_TABLE[#Headers],0),FALSE),""))</f>
        <v>10.227.21.0/24</v>
      </c>
      <c r="S21" s="36" t="s">
        <v>1796</v>
      </c>
      <c r="T21" s="36"/>
    </row>
    <row r="22" spans="2:20">
      <c r="B22" s="36" t="s">
        <v>1067</v>
      </c>
      <c r="C22" s="36" t="s">
        <v>980</v>
      </c>
      <c r="D22" s="36" t="s">
        <v>1598</v>
      </c>
      <c r="E22" s="122" t="s">
        <v>1575</v>
      </c>
      <c r="F22" s="122" t="s">
        <v>744</v>
      </c>
      <c r="G22" s="36" t="s">
        <v>1797</v>
      </c>
      <c r="H22" s="36" t="s">
        <v>78</v>
      </c>
      <c r="I22" s="36" t="s">
        <v>892</v>
      </c>
      <c r="J22" s="36" t="s">
        <v>1605</v>
      </c>
      <c r="K22" s="36" t="s">
        <v>1066</v>
      </c>
      <c r="L22" s="36"/>
      <c r="M22" s="36"/>
      <c r="N22" s="36"/>
      <c r="O22" s="36"/>
      <c r="P22" s="36">
        <v>1021</v>
      </c>
      <c r="Q22" s="202" t="str">
        <f>IF($P22="","",IFERROR(VLOOKUP(UPPER(DEVICE_TABLE[[#This Row],[Site]])&amp;"/"&amp;DEVICE_TABLE[[#This Row],[VLAN]],NETWORKS_TABLE[],MATCH(Q$3,NETWORKS_TABLE[#Headers],0),FALSE),""))</f>
        <v>SYSTEM</v>
      </c>
      <c r="R22" s="202" t="str">
        <f>IF($P22="","",IFERROR(VLOOKUP(UPPER(DEVICE_TABLE[[#This Row],[Site]])&amp;"/"&amp;DEVICE_TABLE[[#This Row],[VLAN]],NETWORKS_TABLE[],MATCH(R$3,NETWORKS_TABLE[#Headers],0),FALSE),""))</f>
        <v>10.227.21.0/24</v>
      </c>
      <c r="S22" s="36" t="s">
        <v>1798</v>
      </c>
      <c r="T22" s="36"/>
    </row>
    <row r="23" spans="2:20">
      <c r="B23" s="36" t="s">
        <v>1359</v>
      </c>
      <c r="C23" s="36" t="s">
        <v>980</v>
      </c>
      <c r="D23" s="36" t="s">
        <v>1583</v>
      </c>
      <c r="E23" s="122" t="s">
        <v>1575</v>
      </c>
      <c r="F23" s="122" t="s">
        <v>744</v>
      </c>
      <c r="G23" s="36" t="s">
        <v>1797</v>
      </c>
      <c r="H23" s="36" t="s">
        <v>78</v>
      </c>
      <c r="I23" s="36" t="s">
        <v>892</v>
      </c>
      <c r="J23" s="36" t="s">
        <v>1799</v>
      </c>
      <c r="K23" s="36" t="s">
        <v>1358</v>
      </c>
      <c r="L23" s="36"/>
      <c r="M23" s="36"/>
      <c r="N23" s="36"/>
      <c r="O23" s="36"/>
      <c r="P23" s="36">
        <v>1021</v>
      </c>
      <c r="Q23" s="202" t="str">
        <f>IF($P23="","",IFERROR(VLOOKUP(UPPER(DEVICE_TABLE[[#This Row],[Site]])&amp;"/"&amp;DEVICE_TABLE[[#This Row],[VLAN]],NETWORKS_TABLE[],MATCH(Q$3,NETWORKS_TABLE[#Headers],0),FALSE),""))</f>
        <v>SYSTEM</v>
      </c>
      <c r="R23" s="202" t="str">
        <f>IF($P23="","",IFERROR(VLOOKUP(UPPER(DEVICE_TABLE[[#This Row],[Site]])&amp;"/"&amp;DEVICE_TABLE[[#This Row],[VLAN]],NETWORKS_TABLE[],MATCH(R$3,NETWORKS_TABLE[#Headers],0),FALSE),""))</f>
        <v>10.227.21.0/24</v>
      </c>
      <c r="S23" s="36" t="s">
        <v>757</v>
      </c>
      <c r="T23" s="36"/>
    </row>
    <row r="24" spans="2:20">
      <c r="B24" s="36" t="s">
        <v>1365</v>
      </c>
      <c r="C24" s="36" t="s">
        <v>980</v>
      </c>
      <c r="D24" s="36" t="s">
        <v>1583</v>
      </c>
      <c r="E24" s="122" t="s">
        <v>1575</v>
      </c>
      <c r="F24" s="122" t="s">
        <v>744</v>
      </c>
      <c r="G24" s="36" t="s">
        <v>1797</v>
      </c>
      <c r="H24" s="36" t="s">
        <v>78</v>
      </c>
      <c r="I24" s="36" t="s">
        <v>892</v>
      </c>
      <c r="J24" s="36" t="s">
        <v>1799</v>
      </c>
      <c r="K24" s="36" t="s">
        <v>1358</v>
      </c>
      <c r="L24" s="36"/>
      <c r="M24" s="36"/>
      <c r="N24" s="36"/>
      <c r="O24" s="36"/>
      <c r="P24" s="36">
        <v>1021</v>
      </c>
      <c r="Q24" s="202" t="str">
        <f>IF($P24="","",IFERROR(VLOOKUP(UPPER(DEVICE_TABLE[[#This Row],[Site]])&amp;"/"&amp;DEVICE_TABLE[[#This Row],[VLAN]],NETWORKS_TABLE[],MATCH(Q$3,NETWORKS_TABLE[#Headers],0),FALSE),""))</f>
        <v>SYSTEM</v>
      </c>
      <c r="R24" s="202" t="str">
        <f>IF($P24="","",IFERROR(VLOOKUP(UPPER(DEVICE_TABLE[[#This Row],[Site]])&amp;"/"&amp;DEVICE_TABLE[[#This Row],[VLAN]],NETWORKS_TABLE[],MATCH(R$3,NETWORKS_TABLE[#Headers],0),FALSE),""))</f>
        <v>10.227.21.0/24</v>
      </c>
      <c r="S24" s="36" t="s">
        <v>757</v>
      </c>
      <c r="T24" s="36"/>
    </row>
    <row r="25" spans="2:20">
      <c r="B25" s="36" t="s">
        <v>1800</v>
      </c>
      <c r="C25" s="36" t="s">
        <v>980</v>
      </c>
      <c r="D25" s="36" t="s">
        <v>1589</v>
      </c>
      <c r="E25" s="122" t="s">
        <v>1575</v>
      </c>
      <c r="F25" s="122" t="s">
        <v>744</v>
      </c>
      <c r="G25" s="36" t="s">
        <v>1797</v>
      </c>
      <c r="H25" s="36" t="s">
        <v>78</v>
      </c>
      <c r="I25" s="36" t="s">
        <v>892</v>
      </c>
      <c r="J25" s="36" t="s">
        <v>1591</v>
      </c>
      <c r="K25" s="36" t="s">
        <v>1106</v>
      </c>
      <c r="L25" s="36"/>
      <c r="M25" s="36"/>
      <c r="N25" s="36"/>
      <c r="O25" s="36"/>
      <c r="P25" s="36">
        <v>3160</v>
      </c>
      <c r="Q25" s="202" t="str">
        <f>IF($P25="","",IFERROR(VLOOKUP(UPPER(DEVICE_TABLE[[#This Row],[Site]])&amp;"/"&amp;DEVICE_TABLE[[#This Row],[VLAN]],NETWORKS_TABLE[],MATCH(Q$3,NETWORKS_TABLE[#Headers],0),FALSE),""))</f>
        <v>VLDEM-MGNT</v>
      </c>
      <c r="R25" s="202" t="str">
        <f>IF($P25="","",IFERROR(VLOOKUP(UPPER(DEVICE_TABLE[[#This Row],[Site]])&amp;"/"&amp;DEVICE_TABLE[[#This Row],[VLAN]],NETWORKS_TABLE[],MATCH(R$3,NETWORKS_TABLE[#Headers],0),FALSE),""))</f>
        <v>10.227.160.0/29</v>
      </c>
      <c r="S25" s="36" t="s">
        <v>850</v>
      </c>
      <c r="T25" s="36"/>
    </row>
    <row r="26" spans="2:20">
      <c r="B26" s="36" t="s">
        <v>1801</v>
      </c>
      <c r="C26" s="36" t="s">
        <v>980</v>
      </c>
      <c r="D26" s="36" t="s">
        <v>1589</v>
      </c>
      <c r="E26" s="122" t="s">
        <v>1575</v>
      </c>
      <c r="F26" s="122" t="s">
        <v>744</v>
      </c>
      <c r="G26" s="36" t="s">
        <v>1797</v>
      </c>
      <c r="H26" s="36" t="s">
        <v>78</v>
      </c>
      <c r="I26" s="36" t="s">
        <v>892</v>
      </c>
      <c r="J26" s="36" t="s">
        <v>1591</v>
      </c>
      <c r="K26" s="36" t="s">
        <v>1112</v>
      </c>
      <c r="L26" s="36"/>
      <c r="M26" s="36"/>
      <c r="N26" s="36"/>
      <c r="O26" s="36"/>
      <c r="P26" s="36">
        <v>3160</v>
      </c>
      <c r="Q26" s="202" t="str">
        <f>IF($P26="","",IFERROR(VLOOKUP(UPPER(DEVICE_TABLE[[#This Row],[Site]])&amp;"/"&amp;DEVICE_TABLE[[#This Row],[VLAN]],NETWORKS_TABLE[],MATCH(Q$3,NETWORKS_TABLE[#Headers],0),FALSE),""))</f>
        <v>VLDEM-MGNT</v>
      </c>
      <c r="R26" s="202" t="str">
        <f>IF($P26="","",IFERROR(VLOOKUP(UPPER(DEVICE_TABLE[[#This Row],[Site]])&amp;"/"&amp;DEVICE_TABLE[[#This Row],[VLAN]],NETWORKS_TABLE[],MATCH(R$3,NETWORKS_TABLE[#Headers],0),FALSE),""))</f>
        <v>10.227.160.0/29</v>
      </c>
      <c r="S26" s="36" t="s">
        <v>850</v>
      </c>
      <c r="T26" s="36"/>
    </row>
    <row r="27" spans="2:20">
      <c r="B27" s="25"/>
      <c r="C27" s="25"/>
      <c r="D27" s="25"/>
      <c r="E27" s="17"/>
      <c r="F27" s="17"/>
      <c r="G27" s="25"/>
      <c r="H27" s="25" t="s">
        <v>78</v>
      </c>
      <c r="I27" s="25"/>
      <c r="J27" s="25"/>
      <c r="K27" s="25" t="s">
        <v>78</v>
      </c>
      <c r="L27" s="25"/>
      <c r="M27" s="25"/>
      <c r="N27" s="25"/>
      <c r="O27" s="25"/>
      <c r="P27" s="25"/>
      <c r="Q27" s="25" t="str">
        <f>IF($P27="","",IFERROR(VLOOKUP(UPPER(DEVICE_TABLE[[#This Row],[Site]])&amp;"/"&amp;DEVICE_TABLE[[#This Row],[VLAN]],NETWORKS_TABLE[],MATCH(Q$3,NETWORKS_TABLE[#Headers],0),FALSE),""))</f>
        <v/>
      </c>
      <c r="R27" s="25" t="str">
        <f>IF($P27="","",IFERROR(VLOOKUP(UPPER(DEVICE_TABLE[[#This Row],[Site]])&amp;"/"&amp;DEVICE_TABLE[[#This Row],[VLAN]],NETWORKS_TABLE[],MATCH(R$3,NETWORKS_TABLE[#Headers],0),FALSE),""))</f>
        <v/>
      </c>
      <c r="S27" s="25" t="s">
        <v>78</v>
      </c>
      <c r="T27" s="25"/>
    </row>
    <row r="28" spans="2:20">
      <c r="B28" s="36" t="s">
        <v>1119</v>
      </c>
      <c r="C28" s="36" t="s">
        <v>980</v>
      </c>
      <c r="D28" s="36" t="s">
        <v>1589</v>
      </c>
      <c r="E28" s="122" t="s">
        <v>1575</v>
      </c>
      <c r="F28" s="122" t="s">
        <v>715</v>
      </c>
      <c r="G28" s="36" t="s">
        <v>1802</v>
      </c>
      <c r="H28" s="36" t="s">
        <v>78</v>
      </c>
      <c r="I28" s="36" t="s">
        <v>892</v>
      </c>
      <c r="J28" s="36" t="s">
        <v>1591</v>
      </c>
      <c r="K28" s="36" t="s">
        <v>1118</v>
      </c>
      <c r="L28" s="36"/>
      <c r="M28" s="36"/>
      <c r="N28" s="36"/>
      <c r="O28" s="36"/>
      <c r="P28" s="36">
        <v>36</v>
      </c>
      <c r="Q28" s="202" t="str">
        <f>IF($P28="","",IFERROR(VLOOKUP(UPPER(DEVICE_TABLE[[#This Row],[Site]])&amp;"/"&amp;DEVICE_TABLE[[#This Row],[VLAN]],NETWORKS_TABLE[],MATCH(Q$3,NETWORKS_TABLE[#Headers],0),FALSE),""))</f>
        <v>SDWAN-DMZ</v>
      </c>
      <c r="R28" s="202" t="str">
        <f>IF($P28="","",IFERROR(VLOOKUP(UPPER(DEVICE_TABLE[[#This Row],[Site]])&amp;"/"&amp;DEVICE_TABLE[[#This Row],[VLAN]],NETWORKS_TABLE[],MATCH(R$3,NETWORKS_TABLE[#Headers],0),FALSE),""))</f>
        <v>10.36.100.0/24</v>
      </c>
      <c r="S28" s="36" t="s">
        <v>1803</v>
      </c>
      <c r="T28" s="36"/>
    </row>
    <row r="29" spans="2:20">
      <c r="B29" s="36" t="s">
        <v>1125</v>
      </c>
      <c r="C29" s="36" t="s">
        <v>980</v>
      </c>
      <c r="D29" s="36" t="s">
        <v>1589</v>
      </c>
      <c r="E29" s="122" t="s">
        <v>1575</v>
      </c>
      <c r="F29" s="122" t="s">
        <v>715</v>
      </c>
      <c r="G29" s="36" t="s">
        <v>1804</v>
      </c>
      <c r="H29" s="36" t="s">
        <v>78</v>
      </c>
      <c r="I29" s="36" t="s">
        <v>892</v>
      </c>
      <c r="J29" s="36" t="s">
        <v>1591</v>
      </c>
      <c r="K29" s="36" t="s">
        <v>1124</v>
      </c>
      <c r="L29" s="36"/>
      <c r="M29" s="36"/>
      <c r="N29" s="36"/>
      <c r="O29" s="36"/>
      <c r="P29" s="36">
        <v>36</v>
      </c>
      <c r="Q29" s="202" t="str">
        <f>IF($P29="","",IFERROR(VLOOKUP(UPPER(DEVICE_TABLE[[#This Row],[Site]])&amp;"/"&amp;DEVICE_TABLE[[#This Row],[VLAN]],NETWORKS_TABLE[],MATCH(Q$3,NETWORKS_TABLE[#Headers],0),FALSE),""))</f>
        <v>SDWAN-DMZ</v>
      </c>
      <c r="R29" s="202" t="str">
        <f>IF($P29="","",IFERROR(VLOOKUP(UPPER(DEVICE_TABLE[[#This Row],[Site]])&amp;"/"&amp;DEVICE_TABLE[[#This Row],[VLAN]],NETWORKS_TABLE[],MATCH(R$3,NETWORKS_TABLE[#Headers],0),FALSE),""))</f>
        <v>10.36.100.0/24</v>
      </c>
      <c r="S29" s="36" t="s">
        <v>1805</v>
      </c>
      <c r="T29" s="36"/>
    </row>
    <row r="30" spans="2:20">
      <c r="B30" s="36" t="s">
        <v>1131</v>
      </c>
      <c r="C30" s="36" t="s">
        <v>980</v>
      </c>
      <c r="D30" s="36" t="s">
        <v>1589</v>
      </c>
      <c r="E30" s="122" t="s">
        <v>2082</v>
      </c>
      <c r="F30" s="122" t="s">
        <v>67</v>
      </c>
      <c r="G30" s="36" t="s">
        <v>1802</v>
      </c>
      <c r="H30" s="36" t="s">
        <v>78</v>
      </c>
      <c r="I30" s="36" t="s">
        <v>892</v>
      </c>
      <c r="J30" s="36" t="s">
        <v>1591</v>
      </c>
      <c r="K30" s="36" t="s">
        <v>1130</v>
      </c>
      <c r="L30" s="36"/>
      <c r="M30" s="36"/>
      <c r="N30" s="36"/>
      <c r="O30" s="36"/>
      <c r="P30" s="36">
        <v>108</v>
      </c>
      <c r="Q30" s="202" t="str">
        <f>IF($P30="","",IFERROR(VLOOKUP(UPPER(DEVICE_TABLE[[#This Row],[Site]])&amp;"/"&amp;DEVICE_TABLE[[#This Row],[VLAN]],NETWORKS_TABLE[],MATCH(Q$3,NETWORKS_TABLE[#Headers],0),FALSE),""))</f>
        <v>HGWAN-DMZ</v>
      </c>
      <c r="R30" s="202" t="str">
        <f>IF($P30="","",IFERROR(VLOOKUP(UPPER(DEVICE_TABLE[[#This Row],[Site]])&amp;"/"&amp;DEVICE_TABLE[[#This Row],[VLAN]],NETWORKS_TABLE[],MATCH(R$3,NETWORKS_TABLE[#Headers],0),FALSE),""))</f>
        <v>10.108.34.0/24</v>
      </c>
      <c r="S30" s="36" t="s">
        <v>1806</v>
      </c>
      <c r="T30" s="36"/>
    </row>
    <row r="31" spans="2:20">
      <c r="B31" s="36" t="s">
        <v>1137</v>
      </c>
      <c r="C31" s="36" t="s">
        <v>980</v>
      </c>
      <c r="D31" s="36" t="s">
        <v>1589</v>
      </c>
      <c r="E31" s="122" t="s">
        <v>2082</v>
      </c>
      <c r="F31" s="122" t="s">
        <v>67</v>
      </c>
      <c r="G31" s="36" t="s">
        <v>1804</v>
      </c>
      <c r="H31" s="36" t="s">
        <v>78</v>
      </c>
      <c r="I31" s="36" t="s">
        <v>892</v>
      </c>
      <c r="J31" s="36" t="s">
        <v>1591</v>
      </c>
      <c r="K31" s="36" t="s">
        <v>1136</v>
      </c>
      <c r="L31" s="36"/>
      <c r="M31" s="36"/>
      <c r="N31" s="36"/>
      <c r="O31" s="36"/>
      <c r="P31" s="36">
        <v>108</v>
      </c>
      <c r="Q31" s="202" t="str">
        <f>IF($P31="","",IFERROR(VLOOKUP(UPPER(DEVICE_TABLE[[#This Row],[Site]])&amp;"/"&amp;DEVICE_TABLE[[#This Row],[VLAN]],NETWORKS_TABLE[],MATCH(Q$3,NETWORKS_TABLE[#Headers],0),FALSE),""))</f>
        <v>HGWAN-DMZ</v>
      </c>
      <c r="R31" s="202" t="str">
        <f>IF($P31="","",IFERROR(VLOOKUP(UPPER(DEVICE_TABLE[[#This Row],[Site]])&amp;"/"&amp;DEVICE_TABLE[[#This Row],[VLAN]],NETWORKS_TABLE[],MATCH(R$3,NETWORKS_TABLE[#Headers],0),FALSE),""))</f>
        <v>10.108.34.0/24</v>
      </c>
      <c r="S31" s="36" t="s">
        <v>1807</v>
      </c>
      <c r="T31" s="36"/>
    </row>
    <row r="32" spans="2:20">
      <c r="B32" s="36" t="s">
        <v>1143</v>
      </c>
      <c r="C32" s="36" t="s">
        <v>980</v>
      </c>
      <c r="D32" s="36" t="s">
        <v>1589</v>
      </c>
      <c r="E32" s="122" t="s">
        <v>2082</v>
      </c>
      <c r="F32" s="122" t="s">
        <v>864</v>
      </c>
      <c r="G32" s="36" t="s">
        <v>2873</v>
      </c>
      <c r="H32" s="36" t="s">
        <v>78</v>
      </c>
      <c r="I32" s="36" t="s">
        <v>892</v>
      </c>
      <c r="J32" s="36" t="s">
        <v>1591</v>
      </c>
      <c r="K32" s="36" t="s">
        <v>1142</v>
      </c>
      <c r="L32" s="36"/>
      <c r="M32" s="36"/>
      <c r="N32" s="36"/>
      <c r="O32" s="36"/>
      <c r="P32" s="36">
        <v>100</v>
      </c>
      <c r="Q32" s="202" t="str">
        <f>IF($P32="","",IFERROR(VLOOKUP(UPPER(DEVICE_TABLE[[#This Row],[Site]])&amp;"/"&amp;DEVICE_TABLE[[#This Row],[VLAN]],NETWORKS_TABLE[],MATCH(Q$3,NETWORKS_TABLE[#Headers],0),FALSE),""))</f>
        <v>GDDEM-MGNT</v>
      </c>
      <c r="R32" s="202" t="str">
        <f>IF($P32="","",IFERROR(VLOOKUP(UPPER(DEVICE_TABLE[[#This Row],[Site]])&amp;"/"&amp;DEVICE_TABLE[[#This Row],[VLAN]],NETWORKS_TABLE[],MATCH(R$3,NETWORKS_TABLE[#Headers],0),FALSE),""))</f>
        <v>10.99.100.0/24</v>
      </c>
      <c r="S32" s="36" t="s">
        <v>1808</v>
      </c>
      <c r="T32" s="36"/>
    </row>
    <row r="33" spans="2:20">
      <c r="B33" s="25"/>
      <c r="C33" s="25"/>
      <c r="D33" s="25"/>
      <c r="E33" s="17"/>
      <c r="F33" s="17"/>
      <c r="G33" s="25"/>
      <c r="H33" s="25" t="s">
        <v>78</v>
      </c>
      <c r="I33" s="25"/>
      <c r="J33" s="25"/>
      <c r="K33" s="25" t="s">
        <v>78</v>
      </c>
      <c r="L33" s="25"/>
      <c r="M33" s="25"/>
      <c r="N33" s="25"/>
      <c r="O33" s="25"/>
      <c r="P33" s="25"/>
      <c r="Q33" s="25" t="str">
        <f>IF($P33="","",IFERROR(VLOOKUP(UPPER(DEVICE_TABLE[[#This Row],[Site]])&amp;"/"&amp;DEVICE_TABLE[[#This Row],[VLAN]],NETWORKS_TABLE[],MATCH(Q$3,NETWORKS_TABLE[#Headers],0),FALSE),""))</f>
        <v/>
      </c>
      <c r="R33" s="25" t="str">
        <f>IF($P33="","",IFERROR(VLOOKUP(UPPER(DEVICE_TABLE[[#This Row],[Site]])&amp;"/"&amp;DEVICE_TABLE[[#This Row],[VLAN]],NETWORKS_TABLE[],MATCH(R$3,NETWORKS_TABLE[#Headers],0),FALSE),""))</f>
        <v/>
      </c>
      <c r="S33" s="25" t="s">
        <v>78</v>
      </c>
      <c r="T33" s="25"/>
    </row>
    <row r="34" spans="2:20">
      <c r="B34" s="36" t="s">
        <v>1069</v>
      </c>
      <c r="C34" s="36"/>
      <c r="D34" s="36" t="s">
        <v>1598</v>
      </c>
      <c r="E34" s="122"/>
      <c r="F34" s="122" t="s">
        <v>57</v>
      </c>
      <c r="G34" s="36" t="s">
        <v>1809</v>
      </c>
      <c r="H34" s="36" t="s">
        <v>78</v>
      </c>
      <c r="I34" s="36" t="s">
        <v>892</v>
      </c>
      <c r="J34" s="36" t="s">
        <v>1605</v>
      </c>
      <c r="K34" s="36" t="s">
        <v>1068</v>
      </c>
      <c r="L34" s="36"/>
      <c r="M34" s="36"/>
      <c r="N34" s="36"/>
      <c r="O34" s="36"/>
      <c r="P34" s="36"/>
      <c r="Q34" s="202" t="str">
        <f>IF($P34="","",IFERROR(VLOOKUP(UPPER(DEVICE_TABLE[[#This Row],[Site]])&amp;"/"&amp;DEVICE_TABLE[[#This Row],[VLAN]],NETWORKS_TABLE[],MATCH(Q$3,NETWORKS_TABLE[#Headers],0),FALSE),""))</f>
        <v/>
      </c>
      <c r="R34" s="202" t="str">
        <f>IF($P34="","",IFERROR(VLOOKUP(UPPER(DEVICE_TABLE[[#This Row],[Site]])&amp;"/"&amp;DEVICE_TABLE[[#This Row],[VLAN]],NETWORKS_TABLE[],MATCH(R$3,NETWORKS_TABLE[#Headers],0),FALSE),""))</f>
        <v/>
      </c>
      <c r="S34" s="36"/>
      <c r="T34" s="36"/>
    </row>
    <row r="35" spans="2:20">
      <c r="B35" s="36" t="s">
        <v>1019</v>
      </c>
      <c r="C35" s="36"/>
      <c r="D35" s="36" t="s">
        <v>1598</v>
      </c>
      <c r="E35" s="122"/>
      <c r="F35" s="122" t="s">
        <v>57</v>
      </c>
      <c r="G35" s="36" t="s">
        <v>1809</v>
      </c>
      <c r="H35" s="36" t="s">
        <v>78</v>
      </c>
      <c r="I35" s="36" t="s">
        <v>892</v>
      </c>
      <c r="J35" s="36" t="s">
        <v>1600</v>
      </c>
      <c r="K35" s="36" t="s">
        <v>1018</v>
      </c>
      <c r="L35" s="36"/>
      <c r="M35" s="36"/>
      <c r="N35" s="36"/>
      <c r="O35" s="36"/>
      <c r="P35" s="36"/>
      <c r="Q35" s="202" t="str">
        <f>IF($P35="","",IFERROR(VLOOKUP(UPPER(DEVICE_TABLE[[#This Row],[Site]])&amp;"/"&amp;DEVICE_TABLE[[#This Row],[VLAN]],NETWORKS_TABLE[],MATCH(Q$3,NETWORKS_TABLE[#Headers],0),FALSE),""))</f>
        <v/>
      </c>
      <c r="R35" s="202" t="str">
        <f>IF($P35="","",IFERROR(VLOOKUP(UPPER(DEVICE_TABLE[[#This Row],[Site]])&amp;"/"&amp;DEVICE_TABLE[[#This Row],[VLAN]],NETWORKS_TABLE[],MATCH(R$3,NETWORKS_TABLE[#Headers],0),FALSE),""))</f>
        <v/>
      </c>
      <c r="S35" s="36"/>
      <c r="T35" s="36"/>
    </row>
    <row r="36" spans="2:20">
      <c r="B36" s="25" t="s">
        <v>1573</v>
      </c>
      <c r="C36" s="25"/>
      <c r="D36" s="25"/>
      <c r="E36" s="25"/>
      <c r="F36" s="25"/>
      <c r="G36" s="25"/>
      <c r="H36" s="25" t="s">
        <v>78</v>
      </c>
      <c r="I36" s="25"/>
      <c r="J36" s="25"/>
      <c r="K36" s="25" t="s">
        <v>78</v>
      </c>
      <c r="L36" s="25"/>
      <c r="M36" s="25"/>
      <c r="N36" s="25"/>
      <c r="O36" s="25"/>
      <c r="P36" s="25"/>
      <c r="Q36" s="25" t="s">
        <v>78</v>
      </c>
      <c r="R36" s="25" t="s">
        <v>78</v>
      </c>
      <c r="S36" s="25" t="s">
        <v>78</v>
      </c>
      <c r="T36" s="25"/>
    </row>
    <row r="37" spans="2:20">
      <c r="B37" s="36" t="s">
        <v>902</v>
      </c>
      <c r="C37" s="36" t="s">
        <v>980</v>
      </c>
      <c r="D37" s="36" t="s">
        <v>1574</v>
      </c>
      <c r="E37" s="122" t="s">
        <v>1575</v>
      </c>
      <c r="F37" s="122" t="s">
        <v>57</v>
      </c>
      <c r="G37" s="36" t="s">
        <v>1576</v>
      </c>
      <c r="H37" s="36" t="s">
        <v>78</v>
      </c>
      <c r="I37" s="36" t="s">
        <v>892</v>
      </c>
      <c r="J37" s="36" t="s">
        <v>1577</v>
      </c>
      <c r="K37" s="36" t="s">
        <v>1102</v>
      </c>
      <c r="L37" s="36"/>
      <c r="M37" s="36"/>
      <c r="N37" s="36"/>
      <c r="O37" s="36"/>
      <c r="P37" s="36">
        <v>1021</v>
      </c>
      <c r="Q37" s="202" t="str">
        <f>IF($P37="","",IFERROR(VLOOKUP(UPPER(DEVICE_TABLE[[#This Row],[Site]])&amp;"/"&amp;DEVICE_TABLE[[#This Row],[VLAN]],NETWORKS_TABLE[],MATCH(Q$3,NETWORKS_TABLE[#Headers],0),FALSE),""))</f>
        <v>SYSTEM</v>
      </c>
      <c r="R37" s="202" t="str">
        <f>IF($P37="","",IFERROR(VLOOKUP(UPPER(DEVICE_TABLE[[#This Row],[Site]])&amp;"/"&amp;DEVICE_TABLE[[#This Row],[VLAN]],NETWORKS_TABLE[],MATCH(R$3,NETWORKS_TABLE[#Headers],0),FALSE),""))</f>
        <v>10.224.21.0/24</v>
      </c>
      <c r="S37" s="36" t="s">
        <v>320</v>
      </c>
      <c r="T37" s="36"/>
    </row>
    <row r="38" spans="2:20">
      <c r="B38" s="36" t="s">
        <v>905</v>
      </c>
      <c r="C38" s="36" t="s">
        <v>980</v>
      </c>
      <c r="D38" s="36" t="s">
        <v>1574</v>
      </c>
      <c r="E38" s="122" t="s">
        <v>1575</v>
      </c>
      <c r="F38" s="122" t="s">
        <v>57</v>
      </c>
      <c r="G38" s="36" t="s">
        <v>1578</v>
      </c>
      <c r="H38" s="36" t="s">
        <v>78</v>
      </c>
      <c r="I38" s="36" t="s">
        <v>892</v>
      </c>
      <c r="J38" s="36" t="s">
        <v>1577</v>
      </c>
      <c r="K38" s="36" t="s">
        <v>1103</v>
      </c>
      <c r="L38" s="36"/>
      <c r="M38" s="36"/>
      <c r="N38" s="36"/>
      <c r="O38" s="36"/>
      <c r="P38" s="36">
        <v>1021</v>
      </c>
      <c r="Q38" s="202" t="str">
        <f>IF($P38="","",IFERROR(VLOOKUP(UPPER(DEVICE_TABLE[[#This Row],[Site]])&amp;"/"&amp;DEVICE_TABLE[[#This Row],[VLAN]],NETWORKS_TABLE[],MATCH(Q$3,NETWORKS_TABLE[#Headers],0),FALSE),""))</f>
        <v>SYSTEM</v>
      </c>
      <c r="R38" s="202" t="str">
        <f>IF($P38="","",IFERROR(VLOOKUP(UPPER(DEVICE_TABLE[[#This Row],[Site]])&amp;"/"&amp;DEVICE_TABLE[[#This Row],[VLAN]],NETWORKS_TABLE[],MATCH(R$3,NETWORKS_TABLE[#Headers],0),FALSE),""))</f>
        <v>10.224.21.0/24</v>
      </c>
      <c r="S38" s="36" t="s">
        <v>320</v>
      </c>
      <c r="T38" s="36"/>
    </row>
    <row r="39" spans="2:20">
      <c r="B39" s="36" t="s">
        <v>1371</v>
      </c>
      <c r="C39" s="36" t="s">
        <v>980</v>
      </c>
      <c r="D39" s="36" t="s">
        <v>1579</v>
      </c>
      <c r="E39" s="122" t="s">
        <v>1575</v>
      </c>
      <c r="F39" s="122" t="s">
        <v>57</v>
      </c>
      <c r="G39" s="36" t="s">
        <v>1576</v>
      </c>
      <c r="H39" s="36" t="s">
        <v>78</v>
      </c>
      <c r="I39" s="36" t="s">
        <v>892</v>
      </c>
      <c r="J39" s="36" t="s">
        <v>1580</v>
      </c>
      <c r="K39" s="36" t="s">
        <v>1370</v>
      </c>
      <c r="L39" s="36"/>
      <c r="M39" s="36"/>
      <c r="N39" s="36"/>
      <c r="O39" s="36"/>
      <c r="P39" s="36">
        <v>1021</v>
      </c>
      <c r="Q39" s="202" t="str">
        <f>IF($P39="","",IFERROR(VLOOKUP(UPPER(DEVICE_TABLE[[#This Row],[Site]])&amp;"/"&amp;DEVICE_TABLE[[#This Row],[VLAN]],NETWORKS_TABLE[],MATCH(Q$3,NETWORKS_TABLE[#Headers],0),FALSE),""))</f>
        <v>SYSTEM</v>
      </c>
      <c r="R39" s="202" t="str">
        <f>IF($P39="","",IFERROR(VLOOKUP(UPPER(DEVICE_TABLE[[#This Row],[Site]])&amp;"/"&amp;DEVICE_TABLE[[#This Row],[VLAN]],NETWORKS_TABLE[],MATCH(R$3,NETWORKS_TABLE[#Headers],0),FALSE),""))</f>
        <v>10.224.21.0/24</v>
      </c>
      <c r="S39" s="36" t="s">
        <v>1581</v>
      </c>
      <c r="T39" s="36"/>
    </row>
    <row r="40" spans="2:20">
      <c r="B40" s="36" t="s">
        <v>1375</v>
      </c>
      <c r="C40" s="36" t="s">
        <v>980</v>
      </c>
      <c r="D40" s="36" t="s">
        <v>1579</v>
      </c>
      <c r="E40" s="122" t="s">
        <v>1575</v>
      </c>
      <c r="F40" s="122" t="s">
        <v>57</v>
      </c>
      <c r="G40" s="36" t="s">
        <v>1576</v>
      </c>
      <c r="H40" s="36" t="s">
        <v>78</v>
      </c>
      <c r="I40" s="36" t="s">
        <v>892</v>
      </c>
      <c r="J40" s="36" t="s">
        <v>1580</v>
      </c>
      <c r="K40" s="36" t="s">
        <v>1374</v>
      </c>
      <c r="L40" s="36"/>
      <c r="M40" s="36"/>
      <c r="N40" s="36"/>
      <c r="O40" s="36"/>
      <c r="P40" s="36">
        <v>1021</v>
      </c>
      <c r="Q40" s="202" t="str">
        <f>IF($P40="","",IFERROR(VLOOKUP(UPPER(DEVICE_TABLE[[#This Row],[Site]])&amp;"/"&amp;DEVICE_TABLE[[#This Row],[VLAN]],NETWORKS_TABLE[],MATCH(Q$3,NETWORKS_TABLE[#Headers],0),FALSE),""))</f>
        <v>SYSTEM</v>
      </c>
      <c r="R40" s="202" t="str">
        <f>IF($P40="","",IFERROR(VLOOKUP(UPPER(DEVICE_TABLE[[#This Row],[Site]])&amp;"/"&amp;DEVICE_TABLE[[#This Row],[VLAN]],NETWORKS_TABLE[],MATCH(R$3,NETWORKS_TABLE[#Headers],0),FALSE),""))</f>
        <v>10.224.21.0/24</v>
      </c>
      <c r="S40" s="36" t="s">
        <v>1581</v>
      </c>
      <c r="T40" s="36"/>
    </row>
    <row r="41" spans="2:20">
      <c r="B41" s="36" t="s">
        <v>1379</v>
      </c>
      <c r="C41" s="36" t="s">
        <v>980</v>
      </c>
      <c r="D41" s="36" t="s">
        <v>1579</v>
      </c>
      <c r="E41" s="122" t="s">
        <v>1575</v>
      </c>
      <c r="F41" s="122" t="s">
        <v>57</v>
      </c>
      <c r="G41" s="36" t="s">
        <v>1578</v>
      </c>
      <c r="H41" s="36" t="s">
        <v>78</v>
      </c>
      <c r="I41" s="36" t="s">
        <v>892</v>
      </c>
      <c r="J41" s="36" t="s">
        <v>1580</v>
      </c>
      <c r="K41" s="36" t="s">
        <v>1378</v>
      </c>
      <c r="L41" s="36"/>
      <c r="M41" s="36"/>
      <c r="N41" s="36"/>
      <c r="O41" s="36"/>
      <c r="P41" s="36">
        <v>1021</v>
      </c>
      <c r="Q41" s="202" t="str">
        <f>IF($P41="","",IFERROR(VLOOKUP(UPPER(DEVICE_TABLE[[#This Row],[Site]])&amp;"/"&amp;DEVICE_TABLE[[#This Row],[VLAN]],NETWORKS_TABLE[],MATCH(Q$3,NETWORKS_TABLE[#Headers],0),FALSE),""))</f>
        <v>SYSTEM</v>
      </c>
      <c r="R41" s="202" t="str">
        <f>IF($P41="","",IFERROR(VLOOKUP(UPPER(DEVICE_TABLE[[#This Row],[Site]])&amp;"/"&amp;DEVICE_TABLE[[#This Row],[VLAN]],NETWORKS_TABLE[],MATCH(R$3,NETWORKS_TABLE[#Headers],0),FALSE),""))</f>
        <v>10.224.21.0/24</v>
      </c>
      <c r="S41" s="36" t="s">
        <v>1582</v>
      </c>
      <c r="T41" s="36"/>
    </row>
    <row r="42" spans="2:20">
      <c r="B42" s="36" t="s">
        <v>1383</v>
      </c>
      <c r="C42" s="36" t="s">
        <v>980</v>
      </c>
      <c r="D42" s="36" t="s">
        <v>1579</v>
      </c>
      <c r="E42" s="122" t="s">
        <v>1575</v>
      </c>
      <c r="F42" s="122" t="s">
        <v>57</v>
      </c>
      <c r="G42" s="36" t="s">
        <v>1578</v>
      </c>
      <c r="H42" s="36" t="s">
        <v>78</v>
      </c>
      <c r="I42" s="36" t="s">
        <v>892</v>
      </c>
      <c r="J42" s="36" t="s">
        <v>1580</v>
      </c>
      <c r="K42" s="36" t="s">
        <v>1382</v>
      </c>
      <c r="L42" s="36"/>
      <c r="M42" s="36"/>
      <c r="N42" s="36"/>
      <c r="O42" s="36"/>
      <c r="P42" s="36">
        <v>1021</v>
      </c>
      <c r="Q42" s="202" t="str">
        <f>IF($P42="","",IFERROR(VLOOKUP(UPPER(DEVICE_TABLE[[#This Row],[Site]])&amp;"/"&amp;DEVICE_TABLE[[#This Row],[VLAN]],NETWORKS_TABLE[],MATCH(Q$3,NETWORKS_TABLE[#Headers],0),FALSE),""))</f>
        <v>SYSTEM</v>
      </c>
      <c r="R42" s="202" t="str">
        <f>IF($P42="","",IFERROR(VLOOKUP(UPPER(DEVICE_TABLE[[#This Row],[Site]])&amp;"/"&amp;DEVICE_TABLE[[#This Row],[VLAN]],NETWORKS_TABLE[],MATCH(R$3,NETWORKS_TABLE[#Headers],0),FALSE),""))</f>
        <v>10.224.21.0/24</v>
      </c>
      <c r="S42" s="36" t="s">
        <v>1582</v>
      </c>
      <c r="T42" s="36"/>
    </row>
    <row r="43" spans="2:20">
      <c r="B43" s="36" t="s">
        <v>1387</v>
      </c>
      <c r="C43" s="36" t="s">
        <v>980</v>
      </c>
      <c r="D43" s="36" t="s">
        <v>1583</v>
      </c>
      <c r="E43" s="122" t="s">
        <v>1575</v>
      </c>
      <c r="F43" s="122" t="s">
        <v>57</v>
      </c>
      <c r="G43" s="36" t="s">
        <v>1576</v>
      </c>
      <c r="H43" s="36" t="s">
        <v>78</v>
      </c>
      <c r="I43" s="36" t="s">
        <v>892</v>
      </c>
      <c r="J43" s="36" t="s">
        <v>1580</v>
      </c>
      <c r="K43" s="36" t="s">
        <v>1386</v>
      </c>
      <c r="L43" s="36"/>
      <c r="M43" s="36"/>
      <c r="N43" s="36"/>
      <c r="O43" s="36"/>
      <c r="P43" s="36">
        <v>1021</v>
      </c>
      <c r="Q43" s="202" t="str">
        <f>IF($P43="","",IFERROR(VLOOKUP(UPPER(DEVICE_TABLE[[#This Row],[Site]])&amp;"/"&amp;DEVICE_TABLE[[#This Row],[VLAN]],NETWORKS_TABLE[],MATCH(Q$3,NETWORKS_TABLE[#Headers],0),FALSE),""))</f>
        <v>SYSTEM</v>
      </c>
      <c r="R43" s="202" t="str">
        <f>IF($P43="","",IFERROR(VLOOKUP(UPPER(DEVICE_TABLE[[#This Row],[Site]])&amp;"/"&amp;DEVICE_TABLE[[#This Row],[VLAN]],NETWORKS_TABLE[],MATCH(R$3,NETWORKS_TABLE[#Headers],0),FALSE),""))</f>
        <v>10.224.21.0/24</v>
      </c>
      <c r="S43" s="36" t="s">
        <v>1584</v>
      </c>
      <c r="T43" s="36"/>
    </row>
    <row r="44" spans="2:20">
      <c r="B44" s="36" t="s">
        <v>1391</v>
      </c>
      <c r="C44" s="36" t="s">
        <v>980</v>
      </c>
      <c r="D44" s="36" t="s">
        <v>1583</v>
      </c>
      <c r="E44" s="122" t="s">
        <v>1575</v>
      </c>
      <c r="F44" s="122" t="s">
        <v>57</v>
      </c>
      <c r="G44" s="36" t="s">
        <v>1578</v>
      </c>
      <c r="H44" s="36" t="s">
        <v>78</v>
      </c>
      <c r="I44" s="36" t="s">
        <v>892</v>
      </c>
      <c r="J44" s="36" t="s">
        <v>1580</v>
      </c>
      <c r="K44" s="36" t="s">
        <v>1390</v>
      </c>
      <c r="L44" s="36"/>
      <c r="M44" s="36"/>
      <c r="N44" s="36"/>
      <c r="O44" s="36"/>
      <c r="P44" s="36">
        <v>1021</v>
      </c>
      <c r="Q44" s="202" t="str">
        <f>IF($P44="","",IFERROR(VLOOKUP(UPPER(DEVICE_TABLE[[#This Row],[Site]])&amp;"/"&amp;DEVICE_TABLE[[#This Row],[VLAN]],NETWORKS_TABLE[],MATCH(Q$3,NETWORKS_TABLE[#Headers],0),FALSE),""))</f>
        <v>SYSTEM</v>
      </c>
      <c r="R44" s="202" t="str">
        <f>IF($P44="","",IFERROR(VLOOKUP(UPPER(DEVICE_TABLE[[#This Row],[Site]])&amp;"/"&amp;DEVICE_TABLE[[#This Row],[VLAN]],NETWORKS_TABLE[],MATCH(R$3,NETWORKS_TABLE[#Headers],0),FALSE),""))</f>
        <v>10.224.21.0/24</v>
      </c>
      <c r="S44" s="36" t="s">
        <v>1584</v>
      </c>
      <c r="T44" s="36"/>
    </row>
    <row r="45" spans="2:20">
      <c r="B45" s="36" t="s">
        <v>1073</v>
      </c>
      <c r="C45" s="36" t="s">
        <v>980</v>
      </c>
      <c r="D45" s="36" t="s">
        <v>1585</v>
      </c>
      <c r="E45" s="122" t="s">
        <v>1575</v>
      </c>
      <c r="F45" s="122" t="s">
        <v>57</v>
      </c>
      <c r="G45" s="36" t="s">
        <v>1576</v>
      </c>
      <c r="H45" s="36" t="s">
        <v>78</v>
      </c>
      <c r="I45" s="36" t="s">
        <v>892</v>
      </c>
      <c r="J45" s="36" t="s">
        <v>1586</v>
      </c>
      <c r="K45" s="36" t="s">
        <v>1072</v>
      </c>
      <c r="L45" s="36"/>
      <c r="M45" s="36"/>
      <c r="N45" s="36"/>
      <c r="O45" s="36"/>
      <c r="P45" s="36">
        <v>1021</v>
      </c>
      <c r="Q45" s="202" t="str">
        <f>IF($P45="","",IFERROR(VLOOKUP(UPPER(DEVICE_TABLE[[#This Row],[Site]])&amp;"/"&amp;DEVICE_TABLE[[#This Row],[VLAN]],NETWORKS_TABLE[],MATCH(Q$3,NETWORKS_TABLE[#Headers],0),FALSE),""))</f>
        <v>SYSTEM</v>
      </c>
      <c r="R45" s="202" t="str">
        <f>IF($P45="","",IFERROR(VLOOKUP(UPPER(DEVICE_TABLE[[#This Row],[Site]])&amp;"/"&amp;DEVICE_TABLE[[#This Row],[VLAN]],NETWORKS_TABLE[],MATCH(R$3,NETWORKS_TABLE[#Headers],0),FALSE),""))</f>
        <v>10.224.21.0/24</v>
      </c>
      <c r="S45" s="36" t="s">
        <v>1587</v>
      </c>
      <c r="T45" s="36"/>
    </row>
    <row r="46" spans="2:20">
      <c r="B46" s="36" t="s">
        <v>1083</v>
      </c>
      <c r="C46" s="36" t="s">
        <v>980</v>
      </c>
      <c r="D46" s="36" t="s">
        <v>1585</v>
      </c>
      <c r="E46" s="122" t="s">
        <v>1575</v>
      </c>
      <c r="F46" s="122" t="s">
        <v>57</v>
      </c>
      <c r="G46" s="36" t="s">
        <v>1576</v>
      </c>
      <c r="H46" s="36" t="s">
        <v>78</v>
      </c>
      <c r="I46" s="36" t="s">
        <v>892</v>
      </c>
      <c r="J46" s="36" t="s">
        <v>1586</v>
      </c>
      <c r="K46" s="36" t="s">
        <v>1082</v>
      </c>
      <c r="L46" s="36"/>
      <c r="M46" s="36"/>
      <c r="N46" s="36"/>
      <c r="O46" s="36"/>
      <c r="P46" s="36">
        <v>1021</v>
      </c>
      <c r="Q46" s="202" t="str">
        <f>IF($P46="","",IFERROR(VLOOKUP(UPPER(DEVICE_TABLE[[#This Row],[Site]])&amp;"/"&amp;DEVICE_TABLE[[#This Row],[VLAN]],NETWORKS_TABLE[],MATCH(Q$3,NETWORKS_TABLE[#Headers],0),FALSE),""))</f>
        <v>SYSTEM</v>
      </c>
      <c r="R46" s="202" t="str">
        <f>IF($P46="","",IFERROR(VLOOKUP(UPPER(DEVICE_TABLE[[#This Row],[Site]])&amp;"/"&amp;DEVICE_TABLE[[#This Row],[VLAN]],NETWORKS_TABLE[],MATCH(R$3,NETWORKS_TABLE[#Headers],0),FALSE),""))</f>
        <v>10.224.21.0/24</v>
      </c>
      <c r="S46" s="36" t="s">
        <v>1587</v>
      </c>
      <c r="T46" s="36"/>
    </row>
    <row r="47" spans="2:20">
      <c r="B47" s="36" t="s">
        <v>1089</v>
      </c>
      <c r="C47" s="36" t="s">
        <v>980</v>
      </c>
      <c r="D47" s="36" t="s">
        <v>1585</v>
      </c>
      <c r="E47" s="122" t="s">
        <v>1575</v>
      </c>
      <c r="F47" s="122" t="s">
        <v>57</v>
      </c>
      <c r="G47" s="36" t="s">
        <v>1578</v>
      </c>
      <c r="H47" s="36" t="s">
        <v>78</v>
      </c>
      <c r="I47" s="36" t="s">
        <v>892</v>
      </c>
      <c r="J47" s="36" t="s">
        <v>1586</v>
      </c>
      <c r="K47" s="36" t="s">
        <v>1088</v>
      </c>
      <c r="L47" s="36"/>
      <c r="M47" s="36"/>
      <c r="N47" s="36"/>
      <c r="O47" s="36"/>
      <c r="P47" s="36">
        <v>1021</v>
      </c>
      <c r="Q47" s="202" t="str">
        <f>IF($P47="","",IFERROR(VLOOKUP(UPPER(DEVICE_TABLE[[#This Row],[Site]])&amp;"/"&amp;DEVICE_TABLE[[#This Row],[VLAN]],NETWORKS_TABLE[],MATCH(Q$3,NETWORKS_TABLE[#Headers],0),FALSE),""))</f>
        <v>SYSTEM</v>
      </c>
      <c r="R47" s="202" t="str">
        <f>IF($P47="","",IFERROR(VLOOKUP(UPPER(DEVICE_TABLE[[#This Row],[Site]])&amp;"/"&amp;DEVICE_TABLE[[#This Row],[VLAN]],NETWORKS_TABLE[],MATCH(R$3,NETWORKS_TABLE[#Headers],0),FALSE),""))</f>
        <v>10.224.21.0/24</v>
      </c>
      <c r="S47" s="36" t="s">
        <v>1588</v>
      </c>
      <c r="T47" s="36"/>
    </row>
    <row r="48" spans="2:20">
      <c r="B48" s="36" t="s">
        <v>1095</v>
      </c>
      <c r="C48" s="36" t="s">
        <v>980</v>
      </c>
      <c r="D48" s="36" t="s">
        <v>1585</v>
      </c>
      <c r="E48" s="122" t="s">
        <v>1575</v>
      </c>
      <c r="F48" s="122" t="s">
        <v>57</v>
      </c>
      <c r="G48" s="36" t="s">
        <v>1578</v>
      </c>
      <c r="H48" s="36" t="s">
        <v>78</v>
      </c>
      <c r="I48" s="36" t="s">
        <v>892</v>
      </c>
      <c r="J48" s="36" t="s">
        <v>1586</v>
      </c>
      <c r="K48" s="36" t="s">
        <v>1094</v>
      </c>
      <c r="L48" s="36"/>
      <c r="M48" s="36"/>
      <c r="N48" s="36"/>
      <c r="O48" s="36"/>
      <c r="P48" s="36">
        <v>1021</v>
      </c>
      <c r="Q48" s="202" t="str">
        <f>IF($P48="","",IFERROR(VLOOKUP(UPPER(DEVICE_TABLE[[#This Row],[Site]])&amp;"/"&amp;DEVICE_TABLE[[#This Row],[VLAN]],NETWORKS_TABLE[],MATCH(Q$3,NETWORKS_TABLE[#Headers],0),FALSE),""))</f>
        <v>SYSTEM</v>
      </c>
      <c r="R48" s="202" t="str">
        <f>IF($P48="","",IFERROR(VLOOKUP(UPPER(DEVICE_TABLE[[#This Row],[Site]])&amp;"/"&amp;DEVICE_TABLE[[#This Row],[VLAN]],NETWORKS_TABLE[],MATCH(R$3,NETWORKS_TABLE[#Headers],0),FALSE),""))</f>
        <v>10.224.21.0/24</v>
      </c>
      <c r="S48" s="36" t="s">
        <v>1588</v>
      </c>
      <c r="T48" s="36"/>
    </row>
    <row r="49" spans="2:20">
      <c r="B49" s="36" t="s">
        <v>991</v>
      </c>
      <c r="C49" s="36" t="s">
        <v>980</v>
      </c>
      <c r="D49" s="36" t="s">
        <v>1589</v>
      </c>
      <c r="E49" s="122" t="s">
        <v>1575</v>
      </c>
      <c r="F49" s="122" t="s">
        <v>57</v>
      </c>
      <c r="G49" s="36" t="s">
        <v>1576</v>
      </c>
      <c r="H49" s="36" t="s">
        <v>78</v>
      </c>
      <c r="I49" s="36" t="s">
        <v>892</v>
      </c>
      <c r="J49" s="36" t="s">
        <v>1591</v>
      </c>
      <c r="K49" s="36" t="s">
        <v>1321</v>
      </c>
      <c r="L49" s="36"/>
      <c r="M49" s="36"/>
      <c r="N49" s="36"/>
      <c r="O49" s="36"/>
      <c r="P49" s="36">
        <v>3176</v>
      </c>
      <c r="Q49" s="202" t="str">
        <f>IF($P49="","",IFERROR(VLOOKUP(UPPER(DEVICE_TABLE[[#This Row],[Site]])&amp;"/"&amp;DEVICE_TABLE[[#This Row],[VLAN]],NETWORKS_TABLE[],MATCH(Q$3,NETWORKS_TABLE[#Headers],0),FALSE),""))</f>
        <v>LHDEM-MGNT</v>
      </c>
      <c r="R49" s="202" t="str">
        <f>IF($P49="","",IFERROR(VLOOKUP(UPPER(DEVICE_TABLE[[#This Row],[Site]])&amp;"/"&amp;DEVICE_TABLE[[#This Row],[VLAN]],NETWORKS_TABLE[],MATCH(R$3,NETWORKS_TABLE[#Headers],0),FALSE),""))</f>
        <v>10.227.176.0/29</v>
      </c>
      <c r="S49" s="36" t="s">
        <v>1592</v>
      </c>
      <c r="T49" s="36"/>
    </row>
    <row r="50" spans="2:20">
      <c r="B50" s="36" t="s">
        <v>1004</v>
      </c>
      <c r="C50" s="36" t="s">
        <v>980</v>
      </c>
      <c r="D50" s="36" t="s">
        <v>1589</v>
      </c>
      <c r="E50" s="122" t="s">
        <v>1575</v>
      </c>
      <c r="F50" s="122" t="s">
        <v>57</v>
      </c>
      <c r="G50" s="36" t="s">
        <v>1578</v>
      </c>
      <c r="H50" s="36" t="s">
        <v>78</v>
      </c>
      <c r="I50" s="36" t="s">
        <v>892</v>
      </c>
      <c r="J50" s="36" t="s">
        <v>1591</v>
      </c>
      <c r="K50" s="36" t="s">
        <v>1328</v>
      </c>
      <c r="L50" s="36"/>
      <c r="M50" s="36"/>
      <c r="N50" s="36"/>
      <c r="O50" s="36"/>
      <c r="P50" s="36">
        <v>3176</v>
      </c>
      <c r="Q50" s="202" t="str">
        <f>IF($P50="","",IFERROR(VLOOKUP(UPPER(DEVICE_TABLE[[#This Row],[Site]])&amp;"/"&amp;DEVICE_TABLE[[#This Row],[VLAN]],NETWORKS_TABLE[],MATCH(Q$3,NETWORKS_TABLE[#Headers],0),FALSE),""))</f>
        <v>LHDEM-MGNT</v>
      </c>
      <c r="R50" s="202" t="str">
        <f>IF($P50="","",IFERROR(VLOOKUP(UPPER(DEVICE_TABLE[[#This Row],[Site]])&amp;"/"&amp;DEVICE_TABLE[[#This Row],[VLAN]],NETWORKS_TABLE[],MATCH(R$3,NETWORKS_TABLE[#Headers],0),FALSE),""))</f>
        <v>10.227.176.0/29</v>
      </c>
      <c r="S50" s="36" t="s">
        <v>1593</v>
      </c>
      <c r="T50" s="36"/>
    </row>
    <row r="51" spans="2:20">
      <c r="B51" s="36" t="s">
        <v>982</v>
      </c>
      <c r="C51" s="36" t="s">
        <v>980</v>
      </c>
      <c r="D51" s="36" t="s">
        <v>1594</v>
      </c>
      <c r="E51" s="122" t="s">
        <v>1575</v>
      </c>
      <c r="F51" s="122" t="s">
        <v>57</v>
      </c>
      <c r="G51" s="36" t="s">
        <v>1576</v>
      </c>
      <c r="H51" s="36" t="s">
        <v>78</v>
      </c>
      <c r="I51" s="36" t="s">
        <v>892</v>
      </c>
      <c r="J51" s="36" t="s">
        <v>1586</v>
      </c>
      <c r="K51" s="36" t="s">
        <v>981</v>
      </c>
      <c r="L51" s="36"/>
      <c r="M51" s="36"/>
      <c r="N51" s="36"/>
      <c r="O51" s="36"/>
      <c r="P51" s="36">
        <v>1021</v>
      </c>
      <c r="Q51" s="202" t="str">
        <f>IF($P51="","",IFERROR(VLOOKUP(UPPER(DEVICE_TABLE[[#This Row],[Site]])&amp;"/"&amp;DEVICE_TABLE[[#This Row],[VLAN]],NETWORKS_TABLE[],MATCH(Q$3,NETWORKS_TABLE[#Headers],0),FALSE),""))</f>
        <v>SYSTEM</v>
      </c>
      <c r="R51" s="202" t="str">
        <f>IF($P51="","",IFERROR(VLOOKUP(UPPER(DEVICE_TABLE[[#This Row],[Site]])&amp;"/"&amp;DEVICE_TABLE[[#This Row],[VLAN]],NETWORKS_TABLE[],MATCH(R$3,NETWORKS_TABLE[#Headers],0),FALSE),""))</f>
        <v>10.224.21.0/24</v>
      </c>
      <c r="S51" s="36" t="s">
        <v>1595</v>
      </c>
      <c r="T51" s="36"/>
    </row>
    <row r="52" spans="2:20">
      <c r="B52" s="36" t="s">
        <v>1001</v>
      </c>
      <c r="C52" s="36" t="s">
        <v>980</v>
      </c>
      <c r="D52" s="36" t="s">
        <v>1594</v>
      </c>
      <c r="E52" s="122" t="s">
        <v>1575</v>
      </c>
      <c r="F52" s="122" t="s">
        <v>57</v>
      </c>
      <c r="G52" s="36" t="s">
        <v>1578</v>
      </c>
      <c r="H52" s="36" t="s">
        <v>78</v>
      </c>
      <c r="I52" s="36" t="s">
        <v>892</v>
      </c>
      <c r="J52" s="36" t="s">
        <v>1586</v>
      </c>
      <c r="K52" s="36" t="s">
        <v>1000</v>
      </c>
      <c r="L52" s="36"/>
      <c r="M52" s="36"/>
      <c r="N52" s="36"/>
      <c r="O52" s="36"/>
      <c r="P52" s="36">
        <v>1021</v>
      </c>
      <c r="Q52" s="202" t="str">
        <f>IF($P52="","",IFERROR(VLOOKUP(UPPER(DEVICE_TABLE[[#This Row],[Site]])&amp;"/"&amp;DEVICE_TABLE[[#This Row],[VLAN]],NETWORKS_TABLE[],MATCH(Q$3,NETWORKS_TABLE[#Headers],0),FALSE),""))</f>
        <v>SYSTEM</v>
      </c>
      <c r="R52" s="202" t="str">
        <f>IF($P52="","",IFERROR(VLOOKUP(UPPER(DEVICE_TABLE[[#This Row],[Site]])&amp;"/"&amp;DEVICE_TABLE[[#This Row],[VLAN]],NETWORKS_TABLE[],MATCH(R$3,NETWORKS_TABLE[#Headers],0),FALSE),""))</f>
        <v>10.224.21.0/24</v>
      </c>
      <c r="S52" s="36" t="s">
        <v>1596</v>
      </c>
      <c r="T52" s="36"/>
    </row>
    <row r="53" spans="2:20">
      <c r="B53" s="25" t="s">
        <v>1597</v>
      </c>
      <c r="C53" s="25"/>
      <c r="D53" s="25"/>
      <c r="E53" s="127"/>
      <c r="F53" s="127"/>
      <c r="G53" s="25"/>
      <c r="H53" s="25" t="s">
        <v>78</v>
      </c>
      <c r="I53" s="25"/>
      <c r="J53" s="25"/>
      <c r="K53" s="25" t="s">
        <v>78</v>
      </c>
      <c r="L53" s="25"/>
      <c r="M53" s="25"/>
      <c r="N53" s="25"/>
      <c r="O53" s="25"/>
      <c r="P53" s="25"/>
      <c r="Q53" s="25" t="str">
        <f>IF($P53="","",IFERROR(VLOOKUP(UPPER(DEVICE_TABLE[[#This Row],[Site]])&amp;"/"&amp;DEVICE_TABLE[[#This Row],[VLAN]],NETWORKS_TABLE[],MATCH(Q$3,NETWORKS_TABLE[#Headers],0),FALSE),""))</f>
        <v/>
      </c>
      <c r="R53" s="25" t="str">
        <f>IF($P53="","",IFERROR(VLOOKUP(UPPER(DEVICE_TABLE[[#This Row],[Site]])&amp;"/"&amp;DEVICE_TABLE[[#This Row],[VLAN]],NETWORKS_TABLE[],MATCH(R$3,NETWORKS_TABLE[#Headers],0),FALSE),""))</f>
        <v/>
      </c>
      <c r="S53" s="25" t="s">
        <v>78</v>
      </c>
      <c r="T53" s="25"/>
    </row>
    <row r="54" spans="2:20">
      <c r="B54" s="36" t="s">
        <v>1021</v>
      </c>
      <c r="C54" s="36" t="s">
        <v>980</v>
      </c>
      <c r="D54" s="36" t="s">
        <v>1598</v>
      </c>
      <c r="E54" s="122" t="s">
        <v>1575</v>
      </c>
      <c r="F54" s="122" t="s">
        <v>57</v>
      </c>
      <c r="G54" s="36" t="s">
        <v>1599</v>
      </c>
      <c r="H54" s="36" t="s">
        <v>78</v>
      </c>
      <c r="I54" s="36" t="s">
        <v>892</v>
      </c>
      <c r="J54" s="36" t="s">
        <v>1600</v>
      </c>
      <c r="K54" s="36" t="s">
        <v>1020</v>
      </c>
      <c r="L54" s="36"/>
      <c r="M54" s="36"/>
      <c r="N54" s="36"/>
      <c r="O54" s="36"/>
      <c r="P54" s="36">
        <v>1021</v>
      </c>
      <c r="Q54" s="202" t="str">
        <f>IF($P54="","",IFERROR(VLOOKUP(UPPER(DEVICE_TABLE[[#This Row],[Site]])&amp;"/"&amp;DEVICE_TABLE[[#This Row],[VLAN]],NETWORKS_TABLE[],MATCH(Q$3,NETWORKS_TABLE[#Headers],0),FALSE),""))</f>
        <v>SYSTEM</v>
      </c>
      <c r="R54" s="202" t="str">
        <f>IF($P54="","",IFERROR(VLOOKUP(UPPER(DEVICE_TABLE[[#This Row],[Site]])&amp;"/"&amp;DEVICE_TABLE[[#This Row],[VLAN]],NETWORKS_TABLE[],MATCH(R$3,NETWORKS_TABLE[#Headers],0),FALSE),""))</f>
        <v>10.224.21.0/24</v>
      </c>
      <c r="S54" s="36" t="s">
        <v>1601</v>
      </c>
      <c r="T54" s="36"/>
    </row>
    <row r="55" spans="2:20">
      <c r="B55" s="36" t="s">
        <v>1026</v>
      </c>
      <c r="C55" s="36" t="s">
        <v>980</v>
      </c>
      <c r="D55" s="36" t="s">
        <v>1598</v>
      </c>
      <c r="E55" s="122" t="s">
        <v>1575</v>
      </c>
      <c r="F55" s="122" t="s">
        <v>57</v>
      </c>
      <c r="G55" s="36" t="s">
        <v>1602</v>
      </c>
      <c r="H55" s="36" t="s">
        <v>78</v>
      </c>
      <c r="I55" s="36" t="s">
        <v>892</v>
      </c>
      <c r="J55" s="36" t="s">
        <v>1600</v>
      </c>
      <c r="K55" s="36" t="s">
        <v>1025</v>
      </c>
      <c r="L55" s="36"/>
      <c r="M55" s="36"/>
      <c r="N55" s="36"/>
      <c r="O55" s="36"/>
      <c r="P55" s="36">
        <v>1021</v>
      </c>
      <c r="Q55" s="202" t="str">
        <f>IF($P55="","",IFERROR(VLOOKUP(UPPER(DEVICE_TABLE[[#This Row],[Site]])&amp;"/"&amp;DEVICE_TABLE[[#This Row],[VLAN]],NETWORKS_TABLE[],MATCH(Q$3,NETWORKS_TABLE[#Headers],0),FALSE),""))</f>
        <v>SYSTEM</v>
      </c>
      <c r="R55" s="202" t="str">
        <f>IF($P55="","",IFERROR(VLOOKUP(UPPER(DEVICE_TABLE[[#This Row],[Site]])&amp;"/"&amp;DEVICE_TABLE[[#This Row],[VLAN]],NETWORKS_TABLE[],MATCH(R$3,NETWORKS_TABLE[#Headers],0),FALSE),""))</f>
        <v>10.224.21.0/24</v>
      </c>
      <c r="S55" s="36" t="s">
        <v>1603</v>
      </c>
      <c r="T55" s="36"/>
    </row>
    <row r="56" spans="2:20">
      <c r="B56" s="36" t="s">
        <v>1285</v>
      </c>
      <c r="C56" s="36" t="s">
        <v>980</v>
      </c>
      <c r="D56" s="36" t="s">
        <v>1598</v>
      </c>
      <c r="E56" s="122" t="s">
        <v>1575</v>
      </c>
      <c r="F56" s="122" t="s">
        <v>57</v>
      </c>
      <c r="G56" s="36" t="s">
        <v>1604</v>
      </c>
      <c r="H56" s="36" t="s">
        <v>78</v>
      </c>
      <c r="I56" s="36" t="s">
        <v>892</v>
      </c>
      <c r="J56" s="36" t="s">
        <v>1605</v>
      </c>
      <c r="K56" s="36" t="s">
        <v>1284</v>
      </c>
      <c r="L56" s="36"/>
      <c r="M56" s="36"/>
      <c r="N56" s="36"/>
      <c r="O56" s="36"/>
      <c r="P56" s="36">
        <v>1021</v>
      </c>
      <c r="Q56" s="202" t="str">
        <f>IF($P56="","",IFERROR(VLOOKUP(UPPER(DEVICE_TABLE[[#This Row],[Site]])&amp;"/"&amp;DEVICE_TABLE[[#This Row],[VLAN]],NETWORKS_TABLE[],MATCH(Q$3,NETWORKS_TABLE[#Headers],0),FALSE),""))</f>
        <v>SYSTEM</v>
      </c>
      <c r="R56" s="202" t="str">
        <f>IF($P56="","",IFERROR(VLOOKUP(UPPER(DEVICE_TABLE[[#This Row],[Site]])&amp;"/"&amp;DEVICE_TABLE[[#This Row],[VLAN]],NETWORKS_TABLE[],MATCH(R$3,NETWORKS_TABLE[#Headers],0),FALSE),""))</f>
        <v>10.224.21.0/24</v>
      </c>
      <c r="S56" s="36" t="s">
        <v>1606</v>
      </c>
      <c r="T56" s="36"/>
    </row>
    <row r="57" spans="2:20">
      <c r="B57" s="36" t="s">
        <v>1302</v>
      </c>
      <c r="C57" s="36" t="s">
        <v>980</v>
      </c>
      <c r="D57" s="36" t="s">
        <v>1598</v>
      </c>
      <c r="E57" s="122" t="s">
        <v>1575</v>
      </c>
      <c r="F57" s="122" t="s">
        <v>57</v>
      </c>
      <c r="G57" s="36" t="s">
        <v>1604</v>
      </c>
      <c r="H57" s="36" t="s">
        <v>78</v>
      </c>
      <c r="I57" s="36" t="s">
        <v>892</v>
      </c>
      <c r="J57" s="36" t="s">
        <v>1605</v>
      </c>
      <c r="K57" s="36" t="s">
        <v>1301</v>
      </c>
      <c r="L57" s="36"/>
      <c r="M57" s="36"/>
      <c r="N57" s="36"/>
      <c r="O57" s="36"/>
      <c r="P57" s="36">
        <v>1021</v>
      </c>
      <c r="Q57" s="202" t="str">
        <f>IF($P57="","",IFERROR(VLOOKUP(UPPER(DEVICE_TABLE[[#This Row],[Site]])&amp;"/"&amp;DEVICE_TABLE[[#This Row],[VLAN]],NETWORKS_TABLE[],MATCH(Q$3,NETWORKS_TABLE[#Headers],0),FALSE),""))</f>
        <v>SYSTEM</v>
      </c>
      <c r="R57" s="202" t="str">
        <f>IF($P57="","",IFERROR(VLOOKUP(UPPER(DEVICE_TABLE[[#This Row],[Site]])&amp;"/"&amp;DEVICE_TABLE[[#This Row],[VLAN]],NETWORKS_TABLE[],MATCH(R$3,NETWORKS_TABLE[#Headers],0),FALSE),""))</f>
        <v>10.224.21.0/24</v>
      </c>
      <c r="S57" s="36" t="s">
        <v>1606</v>
      </c>
      <c r="T57" s="36"/>
    </row>
    <row r="58" spans="2:20">
      <c r="B58" s="36" t="s">
        <v>1478</v>
      </c>
      <c r="C58" s="36" t="s">
        <v>980</v>
      </c>
      <c r="D58" s="36" t="s">
        <v>1598</v>
      </c>
      <c r="E58" s="122" t="s">
        <v>1575</v>
      </c>
      <c r="F58" s="122" t="s">
        <v>57</v>
      </c>
      <c r="G58" s="36" t="s">
        <v>1608</v>
      </c>
      <c r="H58" s="36" t="s">
        <v>78</v>
      </c>
      <c r="I58" s="36" t="s">
        <v>892</v>
      </c>
      <c r="J58" s="36" t="s">
        <v>1605</v>
      </c>
      <c r="K58" s="36" t="s">
        <v>1477</v>
      </c>
      <c r="L58" s="36"/>
      <c r="M58" s="36"/>
      <c r="N58" s="36"/>
      <c r="O58" s="36"/>
      <c r="P58" s="36">
        <v>1021</v>
      </c>
      <c r="Q58" s="202" t="str">
        <f>IF($P58="","",IFERROR(VLOOKUP(UPPER(DEVICE_TABLE[[#This Row],[Site]])&amp;"/"&amp;DEVICE_TABLE[[#This Row],[VLAN]],NETWORKS_TABLE[],MATCH(Q$3,NETWORKS_TABLE[#Headers],0),FALSE),""))</f>
        <v>SYSTEM</v>
      </c>
      <c r="R58" s="202" t="str">
        <f>IF($P58="","",IFERROR(VLOOKUP(UPPER(DEVICE_TABLE[[#This Row],[Site]])&amp;"/"&amp;DEVICE_TABLE[[#This Row],[VLAN]],NETWORKS_TABLE[],MATCH(R$3,NETWORKS_TABLE[#Headers],0),FALSE),""))</f>
        <v>10.224.21.0/24</v>
      </c>
      <c r="S58" s="36" t="s">
        <v>1609</v>
      </c>
      <c r="T58" s="36"/>
    </row>
    <row r="59" spans="2:20">
      <c r="B59" s="36" t="s">
        <v>1029</v>
      </c>
      <c r="C59" s="36" t="s">
        <v>980</v>
      </c>
      <c r="D59" s="36" t="s">
        <v>1598</v>
      </c>
      <c r="E59" s="122" t="s">
        <v>1575</v>
      </c>
      <c r="F59" s="122" t="s">
        <v>57</v>
      </c>
      <c r="G59" s="36" t="s">
        <v>1610</v>
      </c>
      <c r="H59" s="36" t="s">
        <v>78</v>
      </c>
      <c r="I59" s="36" t="s">
        <v>892</v>
      </c>
      <c r="J59" s="36" t="s">
        <v>1600</v>
      </c>
      <c r="K59" s="36" t="s">
        <v>1028</v>
      </c>
      <c r="L59" s="36"/>
      <c r="M59" s="36"/>
      <c r="N59" s="36"/>
      <c r="O59" s="36"/>
      <c r="P59" s="36">
        <v>1021</v>
      </c>
      <c r="Q59" s="202" t="str">
        <f>IF($P59="","",IFERROR(VLOOKUP(UPPER(DEVICE_TABLE[[#This Row],[Site]])&amp;"/"&amp;DEVICE_TABLE[[#This Row],[VLAN]],NETWORKS_TABLE[],MATCH(Q$3,NETWORKS_TABLE[#Headers],0),FALSE),""))</f>
        <v>SYSTEM</v>
      </c>
      <c r="R59" s="202" t="str">
        <f>IF($P59="","",IFERROR(VLOOKUP(UPPER(DEVICE_TABLE[[#This Row],[Site]])&amp;"/"&amp;DEVICE_TABLE[[#This Row],[VLAN]],NETWORKS_TABLE[],MATCH(R$3,NETWORKS_TABLE[#Headers],0),FALSE),""))</f>
        <v>10.224.21.0/24</v>
      </c>
      <c r="S59" s="36" t="s">
        <v>1611</v>
      </c>
      <c r="T59" s="36"/>
    </row>
    <row r="60" spans="2:20">
      <c r="B60" s="36" t="s">
        <v>1295</v>
      </c>
      <c r="C60" s="36" t="s">
        <v>980</v>
      </c>
      <c r="D60" s="36" t="s">
        <v>1598</v>
      </c>
      <c r="E60" s="122" t="s">
        <v>1575</v>
      </c>
      <c r="F60" s="122" t="s">
        <v>57</v>
      </c>
      <c r="G60" s="36" t="s">
        <v>1612</v>
      </c>
      <c r="H60" s="36" t="s">
        <v>78</v>
      </c>
      <c r="I60" s="36" t="s">
        <v>892</v>
      </c>
      <c r="J60" s="36" t="s">
        <v>1605</v>
      </c>
      <c r="K60" s="36" t="s">
        <v>1294</v>
      </c>
      <c r="L60" s="36"/>
      <c r="M60" s="36"/>
      <c r="N60" s="36"/>
      <c r="O60" s="36"/>
      <c r="P60" s="36">
        <v>1021</v>
      </c>
      <c r="Q60" s="202" t="str">
        <f>IF($P60="","",IFERROR(VLOOKUP(UPPER(DEVICE_TABLE[[#This Row],[Site]])&amp;"/"&amp;DEVICE_TABLE[[#This Row],[VLAN]],NETWORKS_TABLE[],MATCH(Q$3,NETWORKS_TABLE[#Headers],0),FALSE),""))</f>
        <v>SYSTEM</v>
      </c>
      <c r="R60" s="202" t="str">
        <f>IF($P60="","",IFERROR(VLOOKUP(UPPER(DEVICE_TABLE[[#This Row],[Site]])&amp;"/"&amp;DEVICE_TABLE[[#This Row],[VLAN]],NETWORKS_TABLE[],MATCH(R$3,NETWORKS_TABLE[#Headers],0),FALSE),""))</f>
        <v>10.224.21.0/24</v>
      </c>
      <c r="S60" s="36" t="s">
        <v>1613</v>
      </c>
      <c r="T60" s="36"/>
    </row>
    <row r="61" spans="2:20">
      <c r="B61" s="36" t="s">
        <v>1485</v>
      </c>
      <c r="C61" s="36" t="s">
        <v>980</v>
      </c>
      <c r="D61" s="36" t="s">
        <v>1598</v>
      </c>
      <c r="E61" s="122" t="s">
        <v>1575</v>
      </c>
      <c r="F61" s="122" t="s">
        <v>57</v>
      </c>
      <c r="G61" s="36" t="s">
        <v>1612</v>
      </c>
      <c r="H61" s="36" t="s">
        <v>78</v>
      </c>
      <c r="I61" s="36" t="s">
        <v>892</v>
      </c>
      <c r="J61" s="36" t="s">
        <v>1605</v>
      </c>
      <c r="K61" s="36" t="s">
        <v>1484</v>
      </c>
      <c r="L61" s="36"/>
      <c r="M61" s="36"/>
      <c r="N61" s="36"/>
      <c r="O61" s="36"/>
      <c r="P61" s="36">
        <v>1021</v>
      </c>
      <c r="Q61" s="202" t="str">
        <f>IF($P61="","",IFERROR(VLOOKUP(UPPER(DEVICE_TABLE[[#This Row],[Site]])&amp;"/"&amp;DEVICE_TABLE[[#This Row],[VLAN]],NETWORKS_TABLE[],MATCH(Q$3,NETWORKS_TABLE[#Headers],0),FALSE),""))</f>
        <v>SYSTEM</v>
      </c>
      <c r="R61" s="202" t="str">
        <f>IF($P61="","",IFERROR(VLOOKUP(UPPER(DEVICE_TABLE[[#This Row],[Site]])&amp;"/"&amp;DEVICE_TABLE[[#This Row],[VLAN]],NETWORKS_TABLE[],MATCH(R$3,NETWORKS_TABLE[#Headers],0),FALSE),""))</f>
        <v>10.224.21.0/24</v>
      </c>
      <c r="S61" s="36" t="s">
        <v>1613</v>
      </c>
      <c r="T61" s="36"/>
    </row>
    <row r="62" spans="2:20">
      <c r="B62" s="36" t="s">
        <v>1032</v>
      </c>
      <c r="C62" s="36" t="s">
        <v>980</v>
      </c>
      <c r="D62" s="36" t="s">
        <v>1598</v>
      </c>
      <c r="E62" s="122" t="s">
        <v>1575</v>
      </c>
      <c r="F62" s="122" t="s">
        <v>57</v>
      </c>
      <c r="G62" s="36" t="s">
        <v>1614</v>
      </c>
      <c r="H62" s="36" t="s">
        <v>78</v>
      </c>
      <c r="I62" s="36" t="s">
        <v>892</v>
      </c>
      <c r="J62" s="36" t="s">
        <v>1600</v>
      </c>
      <c r="K62" s="36" t="s">
        <v>1031</v>
      </c>
      <c r="L62" s="36"/>
      <c r="M62" s="36"/>
      <c r="N62" s="36"/>
      <c r="O62" s="36"/>
      <c r="P62" s="36">
        <v>1021</v>
      </c>
      <c r="Q62" s="202" t="str">
        <f>IF($P62="","",IFERROR(VLOOKUP(UPPER(DEVICE_TABLE[[#This Row],[Site]])&amp;"/"&amp;DEVICE_TABLE[[#This Row],[VLAN]],NETWORKS_TABLE[],MATCH(Q$3,NETWORKS_TABLE[#Headers],0),FALSE),""))</f>
        <v>SYSTEM</v>
      </c>
      <c r="R62" s="202" t="str">
        <f>IF($P62="","",IFERROR(VLOOKUP(UPPER(DEVICE_TABLE[[#This Row],[Site]])&amp;"/"&amp;DEVICE_TABLE[[#This Row],[VLAN]],NETWORKS_TABLE[],MATCH(R$3,NETWORKS_TABLE[#Headers],0),FALSE),""))</f>
        <v>10.224.21.0/24</v>
      </c>
      <c r="S62" s="36" t="s">
        <v>1615</v>
      </c>
      <c r="T62" s="36"/>
    </row>
    <row r="63" spans="2:20">
      <c r="B63" s="36" t="s">
        <v>1036</v>
      </c>
      <c r="C63" s="36" t="s">
        <v>980</v>
      </c>
      <c r="D63" s="36" t="s">
        <v>1598</v>
      </c>
      <c r="E63" s="122" t="s">
        <v>1575</v>
      </c>
      <c r="F63" s="122" t="s">
        <v>57</v>
      </c>
      <c r="G63" s="36" t="s">
        <v>1616</v>
      </c>
      <c r="H63" s="36" t="s">
        <v>78</v>
      </c>
      <c r="I63" s="36" t="s">
        <v>892</v>
      </c>
      <c r="J63" s="36" t="s">
        <v>1600</v>
      </c>
      <c r="K63" s="36" t="s">
        <v>1035</v>
      </c>
      <c r="L63" s="36"/>
      <c r="M63" s="36"/>
      <c r="N63" s="36"/>
      <c r="O63" s="36"/>
      <c r="P63" s="36">
        <v>1021</v>
      </c>
      <c r="Q63" s="202" t="str">
        <f>IF($P63="","",IFERROR(VLOOKUP(UPPER(DEVICE_TABLE[[#This Row],[Site]])&amp;"/"&amp;DEVICE_TABLE[[#This Row],[VLAN]],NETWORKS_TABLE[],MATCH(Q$3,NETWORKS_TABLE[#Headers],0),FALSE),""))</f>
        <v>SYSTEM</v>
      </c>
      <c r="R63" s="202" t="str">
        <f>IF($P63="","",IFERROR(VLOOKUP(UPPER(DEVICE_TABLE[[#This Row],[Site]])&amp;"/"&amp;DEVICE_TABLE[[#This Row],[VLAN]],NETWORKS_TABLE[],MATCH(R$3,NETWORKS_TABLE[#Headers],0),FALSE),""))</f>
        <v>10.224.21.0/24</v>
      </c>
      <c r="S63" s="36" t="s">
        <v>1618</v>
      </c>
      <c r="T63" s="36"/>
    </row>
    <row r="64" spans="2:20">
      <c r="B64" s="36" t="s">
        <v>1491</v>
      </c>
      <c r="C64" s="36" t="s">
        <v>980</v>
      </c>
      <c r="D64" s="36" t="s">
        <v>1598</v>
      </c>
      <c r="E64" s="122" t="s">
        <v>1575</v>
      </c>
      <c r="F64" s="122" t="s">
        <v>57</v>
      </c>
      <c r="G64" s="36" t="s">
        <v>1619</v>
      </c>
      <c r="H64" s="36" t="s">
        <v>78</v>
      </c>
      <c r="I64" s="36" t="s">
        <v>892</v>
      </c>
      <c r="J64" s="36" t="s">
        <v>1605</v>
      </c>
      <c r="K64" s="36" t="s">
        <v>1490</v>
      </c>
      <c r="L64" s="36"/>
      <c r="M64" s="36"/>
      <c r="N64" s="36"/>
      <c r="O64" s="36"/>
      <c r="P64" s="36">
        <v>1021</v>
      </c>
      <c r="Q64" s="202" t="str">
        <f>IF($P64="","",IFERROR(VLOOKUP(UPPER(DEVICE_TABLE[[#This Row],[Site]])&amp;"/"&amp;DEVICE_TABLE[[#This Row],[VLAN]],NETWORKS_TABLE[],MATCH(Q$3,NETWORKS_TABLE[#Headers],0),FALSE),""))</f>
        <v>SYSTEM</v>
      </c>
      <c r="R64" s="202" t="str">
        <f>IF($P64="","",IFERROR(VLOOKUP(UPPER(DEVICE_TABLE[[#This Row],[Site]])&amp;"/"&amp;DEVICE_TABLE[[#This Row],[VLAN]],NETWORKS_TABLE[],MATCH(R$3,NETWORKS_TABLE[#Headers],0),FALSE),""))</f>
        <v>10.224.21.0/24</v>
      </c>
      <c r="S64" s="36" t="s">
        <v>1621</v>
      </c>
      <c r="T64" s="36"/>
    </row>
    <row r="65" spans="2:20">
      <c r="B65" s="36" t="s">
        <v>1472</v>
      </c>
      <c r="C65" s="36" t="s">
        <v>980</v>
      </c>
      <c r="D65" s="36" t="s">
        <v>1598</v>
      </c>
      <c r="E65" s="122" t="s">
        <v>1575</v>
      </c>
      <c r="F65" s="122" t="s">
        <v>57</v>
      </c>
      <c r="G65" s="36" t="s">
        <v>1622</v>
      </c>
      <c r="H65" s="36" t="s">
        <v>78</v>
      </c>
      <c r="I65" s="36" t="s">
        <v>892</v>
      </c>
      <c r="J65" s="36" t="s">
        <v>1605</v>
      </c>
      <c r="K65" s="36" t="s">
        <v>1471</v>
      </c>
      <c r="L65" s="36"/>
      <c r="M65" s="36"/>
      <c r="N65" s="36"/>
      <c r="O65" s="36"/>
      <c r="P65" s="36">
        <v>1021</v>
      </c>
      <c r="Q65" s="202" t="str">
        <f>IF($P65="","",IFERROR(VLOOKUP(UPPER(DEVICE_TABLE[[#This Row],[Site]])&amp;"/"&amp;DEVICE_TABLE[[#This Row],[VLAN]],NETWORKS_TABLE[],MATCH(Q$3,NETWORKS_TABLE[#Headers],0),FALSE),""))</f>
        <v>SYSTEM</v>
      </c>
      <c r="R65" s="202" t="str">
        <f>IF($P65="","",IFERROR(VLOOKUP(UPPER(DEVICE_TABLE[[#This Row],[Site]])&amp;"/"&amp;DEVICE_TABLE[[#This Row],[VLAN]],NETWORKS_TABLE[],MATCH(R$3,NETWORKS_TABLE[#Headers],0),FALSE),""))</f>
        <v>10.224.21.0/24</v>
      </c>
      <c r="S65" s="36" t="s">
        <v>1623</v>
      </c>
      <c r="T65" s="36"/>
    </row>
    <row r="66" spans="2:20">
      <c r="B66" s="36" t="s">
        <v>1012</v>
      </c>
      <c r="C66" s="36" t="s">
        <v>980</v>
      </c>
      <c r="D66" s="36" t="s">
        <v>1598</v>
      </c>
      <c r="E66" s="122" t="s">
        <v>1575</v>
      </c>
      <c r="F66" s="122" t="s">
        <v>57</v>
      </c>
      <c r="G66" s="36" t="s">
        <v>1622</v>
      </c>
      <c r="H66" s="36" t="s">
        <v>78</v>
      </c>
      <c r="I66" s="36" t="s">
        <v>892</v>
      </c>
      <c r="J66" s="36" t="s">
        <v>1600</v>
      </c>
      <c r="K66" s="36" t="s">
        <v>1011</v>
      </c>
      <c r="L66" s="36"/>
      <c r="M66" s="36"/>
      <c r="N66" s="36"/>
      <c r="O66" s="36"/>
      <c r="P66" s="36">
        <v>1021</v>
      </c>
      <c r="Q66" s="202" t="str">
        <f>IF($P66="","",IFERROR(VLOOKUP(UPPER(DEVICE_TABLE[[#This Row],[Site]])&amp;"/"&amp;DEVICE_TABLE[[#This Row],[VLAN]],NETWORKS_TABLE[],MATCH(Q$3,NETWORKS_TABLE[#Headers],0),FALSE),""))</f>
        <v>SYSTEM</v>
      </c>
      <c r="R66" s="202" t="str">
        <f>IF($P66="","",IFERROR(VLOOKUP(UPPER(DEVICE_TABLE[[#This Row],[Site]])&amp;"/"&amp;DEVICE_TABLE[[#This Row],[VLAN]],NETWORKS_TABLE[],MATCH(R$3,NETWORKS_TABLE[#Headers],0),FALSE),""))</f>
        <v>10.224.21.0/24</v>
      </c>
      <c r="S66" s="36" t="s">
        <v>1623</v>
      </c>
      <c r="T66" s="36"/>
    </row>
    <row r="67" spans="2:20">
      <c r="B67" s="36" t="s">
        <v>1039</v>
      </c>
      <c r="C67" s="36" t="s">
        <v>980</v>
      </c>
      <c r="D67" s="36" t="s">
        <v>1598</v>
      </c>
      <c r="E67" s="122" t="s">
        <v>1575</v>
      </c>
      <c r="F67" s="122" t="s">
        <v>57</v>
      </c>
      <c r="G67" s="36" t="s">
        <v>1624</v>
      </c>
      <c r="H67" s="36" t="s">
        <v>78</v>
      </c>
      <c r="I67" s="36" t="s">
        <v>892</v>
      </c>
      <c r="J67" s="36" t="s">
        <v>1600</v>
      </c>
      <c r="K67" s="36" t="s">
        <v>1038</v>
      </c>
      <c r="L67" s="36"/>
      <c r="M67" s="36"/>
      <c r="N67" s="36"/>
      <c r="O67" s="36"/>
      <c r="P67" s="36">
        <v>1021</v>
      </c>
      <c r="Q67" s="202" t="str">
        <f>IF($P67="","",IFERROR(VLOOKUP(UPPER(DEVICE_TABLE[[#This Row],[Site]])&amp;"/"&amp;DEVICE_TABLE[[#This Row],[VLAN]],NETWORKS_TABLE[],MATCH(Q$3,NETWORKS_TABLE[#Headers],0),FALSE),""))</f>
        <v>SYSTEM</v>
      </c>
      <c r="R67" s="202" t="str">
        <f>IF($P67="","",IFERROR(VLOOKUP(UPPER(DEVICE_TABLE[[#This Row],[Site]])&amp;"/"&amp;DEVICE_TABLE[[#This Row],[VLAN]],NETWORKS_TABLE[],MATCH(R$3,NETWORKS_TABLE[#Headers],0),FALSE),""))</f>
        <v>10.224.21.0/24</v>
      </c>
      <c r="S67" s="36" t="s">
        <v>1625</v>
      </c>
      <c r="T67" s="36"/>
    </row>
    <row r="68" spans="2:20">
      <c r="B68" s="36" t="s">
        <v>1042</v>
      </c>
      <c r="C68" s="36" t="s">
        <v>980</v>
      </c>
      <c r="D68" s="36" t="s">
        <v>1598</v>
      </c>
      <c r="E68" s="122" t="s">
        <v>1575</v>
      </c>
      <c r="F68" s="122" t="s">
        <v>57</v>
      </c>
      <c r="G68" s="36" t="s">
        <v>1626</v>
      </c>
      <c r="H68" s="36" t="s">
        <v>78</v>
      </c>
      <c r="I68" s="36" t="s">
        <v>892</v>
      </c>
      <c r="J68" s="36" t="s">
        <v>1600</v>
      </c>
      <c r="K68" s="36" t="s">
        <v>1041</v>
      </c>
      <c r="L68" s="36"/>
      <c r="M68" s="36"/>
      <c r="N68" s="36"/>
      <c r="O68" s="36"/>
      <c r="P68" s="36">
        <v>1021</v>
      </c>
      <c r="Q68" s="202" t="str">
        <f>IF($P68="","",IFERROR(VLOOKUP(UPPER(DEVICE_TABLE[[#This Row],[Site]])&amp;"/"&amp;DEVICE_TABLE[[#This Row],[VLAN]],NETWORKS_TABLE[],MATCH(Q$3,NETWORKS_TABLE[#Headers],0),FALSE),""))</f>
        <v>SYSTEM</v>
      </c>
      <c r="R68" s="202" t="str">
        <f>IF($P68="","",IFERROR(VLOOKUP(UPPER(DEVICE_TABLE[[#This Row],[Site]])&amp;"/"&amp;DEVICE_TABLE[[#This Row],[VLAN]],NETWORKS_TABLE[],MATCH(R$3,NETWORKS_TABLE[#Headers],0),FALSE),""))</f>
        <v>10.224.21.0/24</v>
      </c>
      <c r="S68" s="36" t="s">
        <v>1627</v>
      </c>
      <c r="T68" s="36"/>
    </row>
    <row r="69" spans="2:20">
      <c r="B69" s="36" t="s">
        <v>1045</v>
      </c>
      <c r="C69" s="36" t="s">
        <v>980</v>
      </c>
      <c r="D69" s="36" t="s">
        <v>1598</v>
      </c>
      <c r="E69" s="122" t="s">
        <v>1575</v>
      </c>
      <c r="F69" s="122" t="s">
        <v>57</v>
      </c>
      <c r="G69" s="36" t="s">
        <v>1628</v>
      </c>
      <c r="H69" s="36" t="s">
        <v>78</v>
      </c>
      <c r="I69" s="36" t="s">
        <v>892</v>
      </c>
      <c r="J69" s="36" t="s">
        <v>1600</v>
      </c>
      <c r="K69" s="36" t="s">
        <v>1044</v>
      </c>
      <c r="L69" s="36"/>
      <c r="M69" s="36"/>
      <c r="N69" s="36"/>
      <c r="O69" s="36"/>
      <c r="P69" s="36">
        <v>1021</v>
      </c>
      <c r="Q69" s="202" t="str">
        <f>IF($P69="","",IFERROR(VLOOKUP(UPPER(DEVICE_TABLE[[#This Row],[Site]])&amp;"/"&amp;DEVICE_TABLE[[#This Row],[VLAN]],NETWORKS_TABLE[],MATCH(Q$3,NETWORKS_TABLE[#Headers],0),FALSE),""))</f>
        <v>SYSTEM</v>
      </c>
      <c r="R69" s="202" t="str">
        <f>IF($P69="","",IFERROR(VLOOKUP(UPPER(DEVICE_TABLE[[#This Row],[Site]])&amp;"/"&amp;DEVICE_TABLE[[#This Row],[VLAN]],NETWORKS_TABLE[],MATCH(R$3,NETWORKS_TABLE[#Headers],0),FALSE),""))</f>
        <v>10.224.21.0/24</v>
      </c>
      <c r="S69" s="36" t="s">
        <v>1629</v>
      </c>
      <c r="T69" s="36"/>
    </row>
    <row r="70" spans="2:20">
      <c r="B70" s="36" t="s">
        <v>1498</v>
      </c>
      <c r="C70" s="36" t="s">
        <v>980</v>
      </c>
      <c r="D70" s="36" t="s">
        <v>1598</v>
      </c>
      <c r="E70" s="122" t="s">
        <v>1575</v>
      </c>
      <c r="F70" s="122" t="s">
        <v>57</v>
      </c>
      <c r="G70" s="36" t="s">
        <v>1630</v>
      </c>
      <c r="H70" s="36" t="s">
        <v>78</v>
      </c>
      <c r="I70" s="36" t="s">
        <v>892</v>
      </c>
      <c r="J70" s="36" t="s">
        <v>1605</v>
      </c>
      <c r="K70" s="36" t="s">
        <v>1497</v>
      </c>
      <c r="L70" s="36"/>
      <c r="M70" s="36"/>
      <c r="N70" s="36"/>
      <c r="O70" s="36"/>
      <c r="P70" s="36">
        <v>1021</v>
      </c>
      <c r="Q70" s="202" t="str">
        <f>IF($P70="","",IFERROR(VLOOKUP(UPPER(DEVICE_TABLE[[#This Row],[Site]])&amp;"/"&amp;DEVICE_TABLE[[#This Row],[VLAN]],NETWORKS_TABLE[],MATCH(Q$3,NETWORKS_TABLE[#Headers],0),FALSE),""))</f>
        <v>SYSTEM</v>
      </c>
      <c r="R70" s="202" t="str">
        <f>IF($P70="","",IFERROR(VLOOKUP(UPPER(DEVICE_TABLE[[#This Row],[Site]])&amp;"/"&amp;DEVICE_TABLE[[#This Row],[VLAN]],NETWORKS_TABLE[],MATCH(R$3,NETWORKS_TABLE[#Headers],0),FALSE),""))</f>
        <v>10.224.21.0/24</v>
      </c>
      <c r="S70" s="36" t="s">
        <v>1631</v>
      </c>
      <c r="T70" s="36"/>
    </row>
    <row r="71" spans="2:20">
      <c r="B71" s="36" t="s">
        <v>1054</v>
      </c>
      <c r="C71" s="36" t="s">
        <v>980</v>
      </c>
      <c r="D71" s="36" t="s">
        <v>1598</v>
      </c>
      <c r="E71" s="122" t="s">
        <v>1575</v>
      </c>
      <c r="F71" s="122" t="s">
        <v>57</v>
      </c>
      <c r="G71" s="36" t="s">
        <v>1632</v>
      </c>
      <c r="H71" s="36" t="s">
        <v>78</v>
      </c>
      <c r="I71" s="36" t="s">
        <v>892</v>
      </c>
      <c r="J71" s="36" t="s">
        <v>1600</v>
      </c>
      <c r="K71" s="36" t="s">
        <v>1053</v>
      </c>
      <c r="L71" s="36"/>
      <c r="M71" s="36"/>
      <c r="N71" s="36"/>
      <c r="O71" s="36"/>
      <c r="P71" s="36">
        <v>1021</v>
      </c>
      <c r="Q71" s="202" t="str">
        <f>IF($P71="","",IFERROR(VLOOKUP(UPPER(DEVICE_TABLE[[#This Row],[Site]])&amp;"/"&amp;DEVICE_TABLE[[#This Row],[VLAN]],NETWORKS_TABLE[],MATCH(Q$3,NETWORKS_TABLE[#Headers],0),FALSE),""))</f>
        <v>SYSTEM</v>
      </c>
      <c r="R71" s="202" t="str">
        <f>IF($P71="","",IFERROR(VLOOKUP(UPPER(DEVICE_TABLE[[#This Row],[Site]])&amp;"/"&amp;DEVICE_TABLE[[#This Row],[VLAN]],NETWORKS_TABLE[],MATCH(R$3,NETWORKS_TABLE[#Headers],0),FALSE),""))</f>
        <v>10.224.21.0/24</v>
      </c>
      <c r="S71" s="36" t="s">
        <v>1633</v>
      </c>
      <c r="T71" s="36"/>
    </row>
    <row r="72" spans="2:20">
      <c r="B72" s="36" t="s">
        <v>1015</v>
      </c>
      <c r="C72" s="36" t="s">
        <v>980</v>
      </c>
      <c r="D72" s="36" t="s">
        <v>1598</v>
      </c>
      <c r="E72" s="122" t="s">
        <v>1575</v>
      </c>
      <c r="F72" s="122" t="s">
        <v>57</v>
      </c>
      <c r="G72" s="36" t="s">
        <v>1634</v>
      </c>
      <c r="H72" s="36" t="s">
        <v>78</v>
      </c>
      <c r="I72" s="36" t="s">
        <v>892</v>
      </c>
      <c r="J72" s="36" t="s">
        <v>1600</v>
      </c>
      <c r="K72" s="36" t="s">
        <v>1014</v>
      </c>
      <c r="L72" s="36"/>
      <c r="M72" s="36"/>
      <c r="N72" s="36"/>
      <c r="O72" s="36"/>
      <c r="P72" s="36">
        <v>1021</v>
      </c>
      <c r="Q72" s="202" t="str">
        <f>IF($P72="","",IFERROR(VLOOKUP(UPPER(DEVICE_TABLE[[#This Row],[Site]])&amp;"/"&amp;DEVICE_TABLE[[#This Row],[VLAN]],NETWORKS_TABLE[],MATCH(Q$3,NETWORKS_TABLE[#Headers],0),FALSE),""))</f>
        <v>SYSTEM</v>
      </c>
      <c r="R72" s="202" t="str">
        <f>IF($P72="","",IFERROR(VLOOKUP(UPPER(DEVICE_TABLE[[#This Row],[Site]])&amp;"/"&amp;DEVICE_TABLE[[#This Row],[VLAN]],NETWORKS_TABLE[],MATCH(R$3,NETWORKS_TABLE[#Headers],0),FALSE),""))</f>
        <v>10.224.21.0/24</v>
      </c>
      <c r="S72" s="36" t="s">
        <v>1635</v>
      </c>
      <c r="T72" s="36"/>
    </row>
    <row r="73" spans="2:20">
      <c r="B73" s="36" t="s">
        <v>1017</v>
      </c>
      <c r="C73" s="36" t="s">
        <v>980</v>
      </c>
      <c r="D73" s="36" t="s">
        <v>1598</v>
      </c>
      <c r="E73" s="122" t="s">
        <v>1575</v>
      </c>
      <c r="F73" s="122" t="s">
        <v>57</v>
      </c>
      <c r="G73" s="36" t="s">
        <v>1636</v>
      </c>
      <c r="H73" s="36" t="s">
        <v>78</v>
      </c>
      <c r="I73" s="36" t="s">
        <v>892</v>
      </c>
      <c r="J73" s="36" t="s">
        <v>1600</v>
      </c>
      <c r="K73" s="36" t="s">
        <v>1016</v>
      </c>
      <c r="L73" s="36"/>
      <c r="M73" s="36"/>
      <c r="N73" s="36"/>
      <c r="O73" s="36"/>
      <c r="P73" s="36">
        <v>1021</v>
      </c>
      <c r="Q73" s="202" t="str">
        <f>IF($P73="","",IFERROR(VLOOKUP(UPPER(DEVICE_TABLE[[#This Row],[Site]])&amp;"/"&amp;DEVICE_TABLE[[#This Row],[VLAN]],NETWORKS_TABLE[],MATCH(Q$3,NETWORKS_TABLE[#Headers],0),FALSE),""))</f>
        <v>SYSTEM</v>
      </c>
      <c r="R73" s="202" t="str">
        <f>IF($P73="","",IFERROR(VLOOKUP(UPPER(DEVICE_TABLE[[#This Row],[Site]])&amp;"/"&amp;DEVICE_TABLE[[#This Row],[VLAN]],NETWORKS_TABLE[],MATCH(R$3,NETWORKS_TABLE[#Headers],0),FALSE),""))</f>
        <v>10.224.21.0/24</v>
      </c>
      <c r="S73" s="36" t="s">
        <v>1637</v>
      </c>
      <c r="T73" s="36"/>
    </row>
    <row r="74" spans="2:20">
      <c r="B74" s="36" t="s">
        <v>1460</v>
      </c>
      <c r="C74" s="36" t="s">
        <v>980</v>
      </c>
      <c r="D74" s="36" t="s">
        <v>1598</v>
      </c>
      <c r="E74" s="122" t="s">
        <v>1575</v>
      </c>
      <c r="F74" s="122" t="s">
        <v>57</v>
      </c>
      <c r="G74" s="36" t="s">
        <v>1576</v>
      </c>
      <c r="H74" s="36" t="s">
        <v>78</v>
      </c>
      <c r="I74" s="36" t="s">
        <v>892</v>
      </c>
      <c r="J74" s="36" t="s">
        <v>1605</v>
      </c>
      <c r="K74" s="36" t="s">
        <v>1459</v>
      </c>
      <c r="L74" s="36"/>
      <c r="M74" s="36"/>
      <c r="N74" s="36"/>
      <c r="O74" s="36"/>
      <c r="P74" s="36">
        <v>1021</v>
      </c>
      <c r="Q74" s="202" t="str">
        <f>IF($P74="","",IFERROR(VLOOKUP(UPPER(DEVICE_TABLE[[#This Row],[Site]])&amp;"/"&amp;DEVICE_TABLE[[#This Row],[VLAN]],NETWORKS_TABLE[],MATCH(Q$3,NETWORKS_TABLE[#Headers],0),FALSE),""))</f>
        <v>SYSTEM</v>
      </c>
      <c r="R74" s="202" t="str">
        <f>IF($P74="","",IFERROR(VLOOKUP(UPPER(DEVICE_TABLE[[#This Row],[Site]])&amp;"/"&amp;DEVICE_TABLE[[#This Row],[VLAN]],NETWORKS_TABLE[],MATCH(R$3,NETWORKS_TABLE[#Headers],0),FALSE),""))</f>
        <v>10.224.21.0/24</v>
      </c>
      <c r="S74" s="36" t="s">
        <v>1639</v>
      </c>
      <c r="T74" s="36"/>
    </row>
    <row r="75" spans="2:20">
      <c r="B75" s="36" t="s">
        <v>1505</v>
      </c>
      <c r="C75" s="36" t="s">
        <v>980</v>
      </c>
      <c r="D75" s="36" t="s">
        <v>1598</v>
      </c>
      <c r="E75" s="122" t="s">
        <v>1575</v>
      </c>
      <c r="F75" s="122" t="s">
        <v>57</v>
      </c>
      <c r="G75" s="36" t="s">
        <v>1576</v>
      </c>
      <c r="H75" s="36" t="s">
        <v>78</v>
      </c>
      <c r="I75" s="36" t="s">
        <v>892</v>
      </c>
      <c r="J75" s="36" t="s">
        <v>1605</v>
      </c>
      <c r="K75" s="36" t="s">
        <v>1504</v>
      </c>
      <c r="L75" s="36"/>
      <c r="M75" s="36"/>
      <c r="N75" s="36"/>
      <c r="O75" s="36"/>
      <c r="P75" s="36">
        <v>1021</v>
      </c>
      <c r="Q75" s="202" t="str">
        <f>IF($P75="","",IFERROR(VLOOKUP(UPPER(DEVICE_TABLE[[#This Row],[Site]])&amp;"/"&amp;DEVICE_TABLE[[#This Row],[VLAN]],NETWORKS_TABLE[],MATCH(Q$3,NETWORKS_TABLE[#Headers],0),FALSE),""))</f>
        <v>SYSTEM</v>
      </c>
      <c r="R75" s="202" t="str">
        <f>IF($P75="","",IFERROR(VLOOKUP(UPPER(DEVICE_TABLE[[#This Row],[Site]])&amp;"/"&amp;DEVICE_TABLE[[#This Row],[VLAN]],NETWORKS_TABLE[],MATCH(R$3,NETWORKS_TABLE[#Headers],0),FALSE),""))</f>
        <v>10.224.21.0/24</v>
      </c>
      <c r="S75" s="36" t="s">
        <v>1639</v>
      </c>
      <c r="T75" s="36"/>
    </row>
    <row r="76" spans="2:20">
      <c r="B76" s="36" t="s">
        <v>1512</v>
      </c>
      <c r="C76" s="36" t="s">
        <v>980</v>
      </c>
      <c r="D76" s="36" t="s">
        <v>1598</v>
      </c>
      <c r="E76" s="122" t="s">
        <v>1575</v>
      </c>
      <c r="F76" s="122" t="s">
        <v>57</v>
      </c>
      <c r="G76" s="36" t="s">
        <v>1576</v>
      </c>
      <c r="H76" s="36" t="s">
        <v>78</v>
      </c>
      <c r="I76" s="36" t="s">
        <v>892</v>
      </c>
      <c r="J76" s="36" t="s">
        <v>1605</v>
      </c>
      <c r="K76" s="36" t="s">
        <v>1511</v>
      </c>
      <c r="L76" s="36"/>
      <c r="M76" s="36"/>
      <c r="N76" s="36"/>
      <c r="O76" s="36"/>
      <c r="P76" s="36">
        <v>1021</v>
      </c>
      <c r="Q76" s="202" t="str">
        <f>IF($P76="","",IFERROR(VLOOKUP(UPPER(DEVICE_TABLE[[#This Row],[Site]])&amp;"/"&amp;DEVICE_TABLE[[#This Row],[VLAN]],NETWORKS_TABLE[],MATCH(Q$3,NETWORKS_TABLE[#Headers],0),FALSE),""))</f>
        <v>SYSTEM</v>
      </c>
      <c r="R76" s="202" t="str">
        <f>IF($P76="","",IFERROR(VLOOKUP(UPPER(DEVICE_TABLE[[#This Row],[Site]])&amp;"/"&amp;DEVICE_TABLE[[#This Row],[VLAN]],NETWORKS_TABLE[],MATCH(R$3,NETWORKS_TABLE[#Headers],0),FALSE),""))</f>
        <v>10.224.21.0/24</v>
      </c>
      <c r="S76" s="36" t="s">
        <v>1639</v>
      </c>
      <c r="T76" s="36"/>
    </row>
    <row r="77" spans="2:20">
      <c r="B77" s="36" t="s">
        <v>1466</v>
      </c>
      <c r="C77" s="36" t="s">
        <v>980</v>
      </c>
      <c r="D77" s="36" t="s">
        <v>1598</v>
      </c>
      <c r="E77" s="122" t="s">
        <v>1575</v>
      </c>
      <c r="F77" s="122" t="s">
        <v>57</v>
      </c>
      <c r="G77" s="36" t="s">
        <v>1576</v>
      </c>
      <c r="H77" s="36" t="s">
        <v>78</v>
      </c>
      <c r="I77" s="36" t="s">
        <v>892</v>
      </c>
      <c r="J77" s="36" t="s">
        <v>1605</v>
      </c>
      <c r="K77" s="36" t="s">
        <v>1465</v>
      </c>
      <c r="L77" s="36"/>
      <c r="M77" s="36"/>
      <c r="N77" s="36"/>
      <c r="O77" s="36"/>
      <c r="P77" s="36">
        <v>1021</v>
      </c>
      <c r="Q77" s="202" t="str">
        <f>IF($P77="","",IFERROR(VLOOKUP(UPPER(DEVICE_TABLE[[#This Row],[Site]])&amp;"/"&amp;DEVICE_TABLE[[#This Row],[VLAN]],NETWORKS_TABLE[],MATCH(Q$3,NETWORKS_TABLE[#Headers],0),FALSE),""))</f>
        <v>SYSTEM</v>
      </c>
      <c r="R77" s="202" t="str">
        <f>IF($P77="","",IFERROR(VLOOKUP(UPPER(DEVICE_TABLE[[#This Row],[Site]])&amp;"/"&amp;DEVICE_TABLE[[#This Row],[VLAN]],NETWORKS_TABLE[],MATCH(R$3,NETWORKS_TABLE[#Headers],0),FALSE),""))</f>
        <v>10.224.21.0/24</v>
      </c>
      <c r="S77" s="36" t="s">
        <v>1639</v>
      </c>
      <c r="T77" s="36"/>
    </row>
    <row r="78" spans="2:20">
      <c r="B78" s="36" t="s">
        <v>1048</v>
      </c>
      <c r="C78" s="36" t="s">
        <v>980</v>
      </c>
      <c r="D78" s="36" t="s">
        <v>1598</v>
      </c>
      <c r="E78" s="122" t="s">
        <v>1575</v>
      </c>
      <c r="F78" s="122" t="s">
        <v>57</v>
      </c>
      <c r="G78" s="36" t="s">
        <v>1578</v>
      </c>
      <c r="H78" s="36" t="s">
        <v>78</v>
      </c>
      <c r="I78" s="36" t="s">
        <v>892</v>
      </c>
      <c r="J78" s="36" t="s">
        <v>1600</v>
      </c>
      <c r="K78" s="36" t="s">
        <v>1047</v>
      </c>
      <c r="L78" s="36"/>
      <c r="M78" s="36"/>
      <c r="N78" s="36"/>
      <c r="O78" s="36"/>
      <c r="P78" s="36">
        <v>1021</v>
      </c>
      <c r="Q78" s="202" t="str">
        <f>IF($P78="","",IFERROR(VLOOKUP(UPPER(DEVICE_TABLE[[#This Row],[Site]])&amp;"/"&amp;DEVICE_TABLE[[#This Row],[VLAN]],NETWORKS_TABLE[],MATCH(Q$3,NETWORKS_TABLE[#Headers],0),FALSE),""))</f>
        <v>SYSTEM</v>
      </c>
      <c r="R78" s="202" t="str">
        <f>IF($P78="","",IFERROR(VLOOKUP(UPPER(DEVICE_TABLE[[#This Row],[Site]])&amp;"/"&amp;DEVICE_TABLE[[#This Row],[VLAN]],NETWORKS_TABLE[],MATCH(R$3,NETWORKS_TABLE[#Headers],0),FALSE),""))</f>
        <v>10.224.21.0/24</v>
      </c>
      <c r="S78" s="36" t="s">
        <v>1640</v>
      </c>
      <c r="T78" s="36"/>
    </row>
    <row r="79" spans="2:20">
      <c r="B79" s="36" t="s">
        <v>1051</v>
      </c>
      <c r="C79" s="36" t="s">
        <v>980</v>
      </c>
      <c r="D79" s="36" t="s">
        <v>1598</v>
      </c>
      <c r="E79" s="122" t="s">
        <v>1575</v>
      </c>
      <c r="F79" s="122" t="s">
        <v>57</v>
      </c>
      <c r="G79" s="36" t="s">
        <v>1641</v>
      </c>
      <c r="H79" s="36" t="s">
        <v>78</v>
      </c>
      <c r="I79" s="36" t="s">
        <v>892</v>
      </c>
      <c r="J79" s="36" t="s">
        <v>1600</v>
      </c>
      <c r="K79" s="36" t="s">
        <v>1050</v>
      </c>
      <c r="L79" s="36"/>
      <c r="M79" s="36"/>
      <c r="N79" s="36"/>
      <c r="O79" s="36"/>
      <c r="P79" s="36">
        <v>1021</v>
      </c>
      <c r="Q79" s="202" t="str">
        <f>IF($P79="","",IFERROR(VLOOKUP(UPPER(DEVICE_TABLE[[#This Row],[Site]])&amp;"/"&amp;DEVICE_TABLE[[#This Row],[VLAN]],NETWORKS_TABLE[],MATCH(Q$3,NETWORKS_TABLE[#Headers],0),FALSE),""))</f>
        <v>SYSTEM</v>
      </c>
      <c r="R79" s="202" t="str">
        <f>IF($P79="","",IFERROR(VLOOKUP(UPPER(DEVICE_TABLE[[#This Row],[Site]])&amp;"/"&amp;DEVICE_TABLE[[#This Row],[VLAN]],NETWORKS_TABLE[],MATCH(R$3,NETWORKS_TABLE[#Headers],0),FALSE),""))</f>
        <v>10.224.21.0/24</v>
      </c>
      <c r="S79" s="36" t="s">
        <v>1642</v>
      </c>
      <c r="T79" s="36"/>
    </row>
    <row r="80" spans="2:20">
      <c r="B80" s="36" t="s">
        <v>1643</v>
      </c>
      <c r="C80" s="36" t="s">
        <v>1644</v>
      </c>
      <c r="D80" s="36" t="s">
        <v>1645</v>
      </c>
      <c r="E80" s="122" t="s">
        <v>1575</v>
      </c>
      <c r="F80" s="122" t="s">
        <v>57</v>
      </c>
      <c r="G80" s="36" t="s">
        <v>1576</v>
      </c>
      <c r="H80" s="36" t="s">
        <v>78</v>
      </c>
      <c r="I80" s="36" t="s">
        <v>892</v>
      </c>
      <c r="J80" s="36" t="s">
        <v>1646</v>
      </c>
      <c r="K80" s="36" t="s">
        <v>78</v>
      </c>
      <c r="L80" s="36"/>
      <c r="M80" s="36"/>
      <c r="N80" s="36"/>
      <c r="O80" s="36"/>
      <c r="P80" s="36">
        <v>300</v>
      </c>
      <c r="Q80" s="202" t="str">
        <f>IF($P80="","",IFERROR(VLOOKUP(UPPER(DEVICE_TABLE[[#This Row],[Site]])&amp;"/"&amp;DEVICE_TABLE[[#This Row],[VLAN]],NETWORKS_TABLE[],MATCH(Q$3,NETWORKS_TABLE[#Headers],0),FALSE),""))</f>
        <v>SERVER</v>
      </c>
      <c r="R80" s="202" t="str">
        <f>IF($P80="","",IFERROR(VLOOKUP(UPPER(DEVICE_TABLE[[#This Row],[Site]])&amp;"/"&amp;DEVICE_TABLE[[#This Row],[VLAN]],NETWORKS_TABLE[],MATCH(R$3,NETWORKS_TABLE[#Headers],0),FALSE),""))</f>
        <v>10.224.100.0/24</v>
      </c>
      <c r="S80" s="36" t="s">
        <v>1647</v>
      </c>
      <c r="T80" s="36" t="s">
        <v>1648</v>
      </c>
    </row>
    <row r="81" spans="2:20">
      <c r="B81" s="36" t="s">
        <v>1649</v>
      </c>
      <c r="C81" s="36" t="s">
        <v>1644</v>
      </c>
      <c r="D81" s="36" t="s">
        <v>1645</v>
      </c>
      <c r="E81" s="122" t="s">
        <v>1575</v>
      </c>
      <c r="F81" s="122" t="s">
        <v>57</v>
      </c>
      <c r="G81" s="36" t="s">
        <v>1578</v>
      </c>
      <c r="H81" s="36" t="s">
        <v>78</v>
      </c>
      <c r="I81" s="36" t="s">
        <v>892</v>
      </c>
      <c r="J81" s="36" t="s">
        <v>1646</v>
      </c>
      <c r="K81" s="36" t="s">
        <v>78</v>
      </c>
      <c r="L81" s="36"/>
      <c r="M81" s="36"/>
      <c r="N81" s="36"/>
      <c r="O81" s="36"/>
      <c r="P81" s="36">
        <v>300</v>
      </c>
      <c r="Q81" s="202" t="str">
        <f>IF($P81="","",IFERROR(VLOOKUP(UPPER(DEVICE_TABLE[[#This Row],[Site]])&amp;"/"&amp;DEVICE_TABLE[[#This Row],[VLAN]],NETWORKS_TABLE[],MATCH(Q$3,NETWORKS_TABLE[#Headers],0),FALSE),""))</f>
        <v>SERVER</v>
      </c>
      <c r="R81" s="202" t="str">
        <f>IF($P81="","",IFERROR(VLOOKUP(UPPER(DEVICE_TABLE[[#This Row],[Site]])&amp;"/"&amp;DEVICE_TABLE[[#This Row],[VLAN]],NETWORKS_TABLE[],MATCH(R$3,NETWORKS_TABLE[#Headers],0),FALSE),""))</f>
        <v>10.224.100.0/24</v>
      </c>
      <c r="S81" s="36" t="s">
        <v>1650</v>
      </c>
      <c r="T81" s="36" t="s">
        <v>1648</v>
      </c>
    </row>
    <row r="82" spans="2:20">
      <c r="B82" s="36" t="s">
        <v>1339</v>
      </c>
      <c r="C82" s="36" t="s">
        <v>1651</v>
      </c>
      <c r="D82" s="36" t="s">
        <v>1337</v>
      </c>
      <c r="E82" s="122" t="s">
        <v>1575</v>
      </c>
      <c r="F82" s="122" t="s">
        <v>57</v>
      </c>
      <c r="G82" s="36" t="s">
        <v>1576</v>
      </c>
      <c r="H82" s="36" t="s">
        <v>78</v>
      </c>
      <c r="I82" s="36" t="s">
        <v>892</v>
      </c>
      <c r="J82" s="36" t="s">
        <v>1652</v>
      </c>
      <c r="K82" s="36" t="s">
        <v>1338</v>
      </c>
      <c r="L82" s="36"/>
      <c r="M82" s="36"/>
      <c r="N82" s="36"/>
      <c r="O82" s="36"/>
      <c r="P82" s="36">
        <v>1021</v>
      </c>
      <c r="Q82" s="202" t="str">
        <f>IF($P82="","",IFERROR(VLOOKUP(UPPER(DEVICE_TABLE[[#This Row],[Site]])&amp;"/"&amp;DEVICE_TABLE[[#This Row],[VLAN]],NETWORKS_TABLE[],MATCH(Q$3,NETWORKS_TABLE[#Headers],0),FALSE),""))</f>
        <v>SYSTEM</v>
      </c>
      <c r="R82" s="202" t="str">
        <f>IF($P82="","",IFERROR(VLOOKUP(UPPER(DEVICE_TABLE[[#This Row],[Site]])&amp;"/"&amp;DEVICE_TABLE[[#This Row],[VLAN]],NETWORKS_TABLE[],MATCH(R$3,NETWORKS_TABLE[#Headers],0),FALSE),""))</f>
        <v>10.224.21.0/24</v>
      </c>
      <c r="S82" s="36" t="s">
        <v>1654</v>
      </c>
      <c r="T82" s="36" t="s">
        <v>1655</v>
      </c>
    </row>
    <row r="83" spans="2:20">
      <c r="B83" s="25" t="s">
        <v>1750</v>
      </c>
      <c r="C83" s="25"/>
      <c r="D83" s="25"/>
      <c r="E83" s="17"/>
      <c r="F83" s="17"/>
      <c r="G83" s="25"/>
      <c r="H83" s="25" t="s">
        <v>78</v>
      </c>
      <c r="I83" s="25"/>
      <c r="J83" s="25"/>
      <c r="K83" s="25" t="s">
        <v>78</v>
      </c>
      <c r="L83" s="25"/>
      <c r="M83" s="25"/>
      <c r="N83" s="25"/>
      <c r="O83" s="25"/>
      <c r="P83" s="25"/>
      <c r="Q83" s="25" t="str">
        <f>IF($P83="","",IFERROR(VLOOKUP(UPPER(DEVICE_TABLE[[#This Row],[Site]])&amp;"/"&amp;DEVICE_TABLE[[#This Row],[VLAN]],NETWORKS_TABLE[],MATCH(Q$3,NETWORKS_TABLE[#Headers],0),FALSE),""))</f>
        <v/>
      </c>
      <c r="R83" s="25" t="str">
        <f>IF($P83="","",IFERROR(VLOOKUP(UPPER(DEVICE_TABLE[[#This Row],[Site]])&amp;"/"&amp;DEVICE_TABLE[[#This Row],[VLAN]],NETWORKS_TABLE[],MATCH(R$3,NETWORKS_TABLE[#Headers],0),FALSE),""))</f>
        <v/>
      </c>
      <c r="S83" s="25" t="s">
        <v>78</v>
      </c>
      <c r="T83" s="25"/>
    </row>
    <row r="84" spans="2:20">
      <c r="B84" s="36" t="s">
        <v>1751</v>
      </c>
      <c r="C84" s="36" t="s">
        <v>149</v>
      </c>
      <c r="D84" s="36" t="s">
        <v>1752</v>
      </c>
      <c r="E84" s="122" t="s">
        <v>1575</v>
      </c>
      <c r="F84" s="122" t="s">
        <v>57</v>
      </c>
      <c r="G84" s="36" t="s">
        <v>1576</v>
      </c>
      <c r="H84" s="36" t="s">
        <v>1753</v>
      </c>
      <c r="I84" s="36" t="s">
        <v>1754</v>
      </c>
      <c r="J84" s="36" t="s">
        <v>1755</v>
      </c>
      <c r="K84" s="36" t="s">
        <v>78</v>
      </c>
      <c r="L84" s="36"/>
      <c r="M84" s="36"/>
      <c r="N84" s="36"/>
      <c r="O84" s="36"/>
      <c r="P84" s="36">
        <v>400</v>
      </c>
      <c r="Q84" s="202" t="str">
        <f>IF($P84="","",IFERROR(VLOOKUP(UPPER(DEVICE_TABLE[[#This Row],[Site]])&amp;"/"&amp;DEVICE_TABLE[[#This Row],[VLAN]],NETWORKS_TABLE[],MATCH(Q$3,NETWORKS_TABLE[#Headers],0),FALSE),""))</f>
        <v>VDIMGNT</v>
      </c>
      <c r="R84" s="202" t="str">
        <f>IF($P84="","",IFERROR(VLOOKUP(UPPER(DEVICE_TABLE[[#This Row],[Site]])&amp;"/"&amp;DEVICE_TABLE[[#This Row],[VLAN]],NETWORKS_TABLE[],MATCH(R$3,NETWORKS_TABLE[#Headers],0),FALSE),""))</f>
        <v>10.224.200.0/24</v>
      </c>
      <c r="S84" s="36" t="s">
        <v>78</v>
      </c>
      <c r="T84" s="36"/>
    </row>
    <row r="85" spans="2:20">
      <c r="B85" s="36" t="s">
        <v>1756</v>
      </c>
      <c r="C85" s="36" t="s">
        <v>149</v>
      </c>
      <c r="D85" s="36" t="s">
        <v>1752</v>
      </c>
      <c r="E85" s="122" t="s">
        <v>1575</v>
      </c>
      <c r="F85" s="122" t="s">
        <v>57</v>
      </c>
      <c r="G85" s="36" t="s">
        <v>1576</v>
      </c>
      <c r="H85" s="36" t="s">
        <v>1753</v>
      </c>
      <c r="I85" s="36" t="s">
        <v>1754</v>
      </c>
      <c r="J85" s="36" t="s">
        <v>1755</v>
      </c>
      <c r="K85" s="36" t="s">
        <v>78</v>
      </c>
      <c r="L85" s="36"/>
      <c r="M85" s="36"/>
      <c r="N85" s="36"/>
      <c r="O85" s="36"/>
      <c r="P85" s="36">
        <v>400</v>
      </c>
      <c r="Q85" s="202" t="str">
        <f>IF($P85="","",IFERROR(VLOOKUP(UPPER(DEVICE_TABLE[[#This Row],[Site]])&amp;"/"&amp;DEVICE_TABLE[[#This Row],[VLAN]],NETWORKS_TABLE[],MATCH(Q$3,NETWORKS_TABLE[#Headers],0),FALSE),""))</f>
        <v>VDIMGNT</v>
      </c>
      <c r="R85" s="202" t="str">
        <f>IF($P85="","",IFERROR(VLOOKUP(UPPER(DEVICE_TABLE[[#This Row],[Site]])&amp;"/"&amp;DEVICE_TABLE[[#This Row],[VLAN]],NETWORKS_TABLE[],MATCH(R$3,NETWORKS_TABLE[#Headers],0),FALSE),""))</f>
        <v>10.224.200.0/24</v>
      </c>
      <c r="S85" s="36" t="s">
        <v>78</v>
      </c>
      <c r="T85" s="36"/>
    </row>
    <row r="86" spans="2:20">
      <c r="B86" s="36" t="s">
        <v>1757</v>
      </c>
      <c r="C86" s="36" t="s">
        <v>149</v>
      </c>
      <c r="D86" s="36" t="s">
        <v>1752</v>
      </c>
      <c r="E86" s="122" t="s">
        <v>1575</v>
      </c>
      <c r="F86" s="122" t="s">
        <v>57</v>
      </c>
      <c r="G86" s="36" t="s">
        <v>1576</v>
      </c>
      <c r="H86" s="36" t="s">
        <v>1753</v>
      </c>
      <c r="I86" s="36" t="s">
        <v>1754</v>
      </c>
      <c r="J86" s="36"/>
      <c r="K86" s="36" t="s">
        <v>78</v>
      </c>
      <c r="L86" s="36"/>
      <c r="M86" s="36"/>
      <c r="N86" s="36"/>
      <c r="O86" s="36"/>
      <c r="P86" s="36">
        <v>400</v>
      </c>
      <c r="Q86" s="202" t="str">
        <f>IF($P86="","",IFERROR(VLOOKUP(UPPER(DEVICE_TABLE[[#This Row],[Site]])&amp;"/"&amp;DEVICE_TABLE[[#This Row],[VLAN]],NETWORKS_TABLE[],MATCH(Q$3,NETWORKS_TABLE[#Headers],0),FALSE),""))</f>
        <v>VDIMGNT</v>
      </c>
      <c r="R86" s="202" t="str">
        <f>IF($P86="","",IFERROR(VLOOKUP(UPPER(DEVICE_TABLE[[#This Row],[Site]])&amp;"/"&amp;DEVICE_TABLE[[#This Row],[VLAN]],NETWORKS_TABLE[],MATCH(R$3,NETWORKS_TABLE[#Headers],0),FALSE),""))</f>
        <v>10.224.200.0/24</v>
      </c>
      <c r="S86" s="36" t="s">
        <v>78</v>
      </c>
      <c r="T86" s="36"/>
    </row>
    <row r="87" spans="2:20">
      <c r="B87" s="36" t="s">
        <v>1767</v>
      </c>
      <c r="C87" s="36" t="s">
        <v>149</v>
      </c>
      <c r="D87" s="36" t="s">
        <v>1752</v>
      </c>
      <c r="E87" s="122" t="s">
        <v>1575</v>
      </c>
      <c r="F87" s="122" t="s">
        <v>57</v>
      </c>
      <c r="G87" s="36" t="s">
        <v>1578</v>
      </c>
      <c r="H87" s="36" t="s">
        <v>1768</v>
      </c>
      <c r="I87" s="36" t="s">
        <v>1754</v>
      </c>
      <c r="J87" s="36"/>
      <c r="K87" s="36" t="s">
        <v>78</v>
      </c>
      <c r="L87" s="36"/>
      <c r="M87" s="36"/>
      <c r="N87" s="36"/>
      <c r="O87" s="36"/>
      <c r="P87" s="36">
        <v>400</v>
      </c>
      <c r="Q87" s="202" t="str">
        <f>IF($P87="","",IFERROR(VLOOKUP(UPPER(DEVICE_TABLE[[#This Row],[Site]])&amp;"/"&amp;DEVICE_TABLE[[#This Row],[VLAN]],NETWORKS_TABLE[],MATCH(Q$3,NETWORKS_TABLE[#Headers],0),FALSE),""))</f>
        <v>VDIMGNT</v>
      </c>
      <c r="R87" s="202" t="str">
        <f>IF($P87="","",IFERROR(VLOOKUP(UPPER(DEVICE_TABLE[[#This Row],[Site]])&amp;"/"&amp;DEVICE_TABLE[[#This Row],[VLAN]],NETWORKS_TABLE[],MATCH(R$3,NETWORKS_TABLE[#Headers],0),FALSE),""))</f>
        <v>10.224.200.0/24</v>
      </c>
      <c r="S87" s="36" t="s">
        <v>78</v>
      </c>
      <c r="T87" s="36"/>
    </row>
    <row r="88" spans="2:20">
      <c r="B88" s="36" t="s">
        <v>1769</v>
      </c>
      <c r="C88" s="36" t="s">
        <v>149</v>
      </c>
      <c r="D88" s="36" t="s">
        <v>1752</v>
      </c>
      <c r="E88" s="122" t="s">
        <v>1575</v>
      </c>
      <c r="F88" s="122" t="s">
        <v>57</v>
      </c>
      <c r="G88" s="36" t="s">
        <v>1578</v>
      </c>
      <c r="H88" s="36" t="s">
        <v>1768</v>
      </c>
      <c r="I88" s="36" t="s">
        <v>1754</v>
      </c>
      <c r="J88" s="36"/>
      <c r="K88" s="36" t="s">
        <v>78</v>
      </c>
      <c r="L88" s="36"/>
      <c r="M88" s="36"/>
      <c r="N88" s="36"/>
      <c r="O88" s="36"/>
      <c r="P88" s="36">
        <v>400</v>
      </c>
      <c r="Q88" s="202" t="str">
        <f>IF($P88="","",IFERROR(VLOOKUP(UPPER(DEVICE_TABLE[[#This Row],[Site]])&amp;"/"&amp;DEVICE_TABLE[[#This Row],[VLAN]],NETWORKS_TABLE[],MATCH(Q$3,NETWORKS_TABLE[#Headers],0),FALSE),""))</f>
        <v>VDIMGNT</v>
      </c>
      <c r="R88" s="202" t="str">
        <f>IF($P88="","",IFERROR(VLOOKUP(UPPER(DEVICE_TABLE[[#This Row],[Site]])&amp;"/"&amp;DEVICE_TABLE[[#This Row],[VLAN]],NETWORKS_TABLE[],MATCH(R$3,NETWORKS_TABLE[#Headers],0),FALSE),""))</f>
        <v>10.224.200.0/24</v>
      </c>
      <c r="S88" s="36" t="s">
        <v>78</v>
      </c>
      <c r="T88" s="36"/>
    </row>
    <row r="89" spans="2:20">
      <c r="B89" s="36" t="s">
        <v>1770</v>
      </c>
      <c r="C89" s="36" t="s">
        <v>149</v>
      </c>
      <c r="D89" s="36" t="s">
        <v>1752</v>
      </c>
      <c r="E89" s="122" t="s">
        <v>1575</v>
      </c>
      <c r="F89" s="122" t="s">
        <v>57</v>
      </c>
      <c r="G89" s="36" t="s">
        <v>1578</v>
      </c>
      <c r="H89" s="36" t="s">
        <v>1768</v>
      </c>
      <c r="I89" s="36" t="s">
        <v>1754</v>
      </c>
      <c r="J89" s="36"/>
      <c r="K89" s="36" t="s">
        <v>78</v>
      </c>
      <c r="L89" s="36"/>
      <c r="M89" s="36"/>
      <c r="N89" s="36"/>
      <c r="O89" s="36"/>
      <c r="P89" s="36">
        <v>400</v>
      </c>
      <c r="Q89" s="202" t="str">
        <f>IF($P89="","",IFERROR(VLOOKUP(UPPER(DEVICE_TABLE[[#This Row],[Site]])&amp;"/"&amp;DEVICE_TABLE[[#This Row],[VLAN]],NETWORKS_TABLE[],MATCH(Q$3,NETWORKS_TABLE[#Headers],0),FALSE),""))</f>
        <v>VDIMGNT</v>
      </c>
      <c r="R89" s="202" t="str">
        <f>IF($P89="","",IFERROR(VLOOKUP(UPPER(DEVICE_TABLE[[#This Row],[Site]])&amp;"/"&amp;DEVICE_TABLE[[#This Row],[VLAN]],NETWORKS_TABLE[],MATCH(R$3,NETWORKS_TABLE[#Headers],0),FALSE),""))</f>
        <v>10.224.200.0/24</v>
      </c>
      <c r="S89" s="36" t="s">
        <v>78</v>
      </c>
      <c r="T89" s="36"/>
    </row>
    <row r="90" spans="2:20">
      <c r="B90" s="36" t="s">
        <v>1771</v>
      </c>
      <c r="C90" s="36" t="s">
        <v>149</v>
      </c>
      <c r="D90" s="36" t="s">
        <v>1752</v>
      </c>
      <c r="E90" s="122" t="s">
        <v>1575</v>
      </c>
      <c r="F90" s="122" t="s">
        <v>57</v>
      </c>
      <c r="G90" s="36" t="s">
        <v>1578</v>
      </c>
      <c r="H90" s="36" t="s">
        <v>1768</v>
      </c>
      <c r="I90" s="36" t="s">
        <v>1754</v>
      </c>
      <c r="J90" s="36"/>
      <c r="K90" s="36" t="s">
        <v>78</v>
      </c>
      <c r="L90" s="36"/>
      <c r="M90" s="36"/>
      <c r="N90" s="36"/>
      <c r="O90" s="36"/>
      <c r="P90" s="36">
        <v>400</v>
      </c>
      <c r="Q90" s="202" t="str">
        <f>IF($P90="","",IFERROR(VLOOKUP(UPPER(DEVICE_TABLE[[#This Row],[Site]])&amp;"/"&amp;DEVICE_TABLE[[#This Row],[VLAN]],NETWORKS_TABLE[],MATCH(Q$3,NETWORKS_TABLE[#Headers],0),FALSE),""))</f>
        <v>VDIMGNT</v>
      </c>
      <c r="R90" s="202" t="str">
        <f>IF($P90="","",IFERROR(VLOOKUP(UPPER(DEVICE_TABLE[[#This Row],[Site]])&amp;"/"&amp;DEVICE_TABLE[[#This Row],[VLAN]],NETWORKS_TABLE[],MATCH(R$3,NETWORKS_TABLE[#Headers],0),FALSE),""))</f>
        <v>10.224.200.0/24</v>
      </c>
      <c r="S90" s="36" t="s">
        <v>78</v>
      </c>
      <c r="T90" s="36"/>
    </row>
    <row r="91" spans="2:20">
      <c r="B91" s="36" t="s">
        <v>1758</v>
      </c>
      <c r="C91" s="36" t="s">
        <v>149</v>
      </c>
      <c r="D91" s="36" t="s">
        <v>1752</v>
      </c>
      <c r="E91" s="122" t="s">
        <v>1575</v>
      </c>
      <c r="F91" s="122" t="s">
        <v>57</v>
      </c>
      <c r="G91" s="36" t="s">
        <v>1576</v>
      </c>
      <c r="H91" s="36" t="s">
        <v>1753</v>
      </c>
      <c r="I91" s="36" t="s">
        <v>1754</v>
      </c>
      <c r="J91" s="36" t="s">
        <v>1759</v>
      </c>
      <c r="K91" s="36" t="s">
        <v>78</v>
      </c>
      <c r="L91" s="36" t="s">
        <v>1760</v>
      </c>
      <c r="M91" s="36" t="s">
        <v>1761</v>
      </c>
      <c r="N91" s="36"/>
      <c r="O91" s="36"/>
      <c r="P91" s="36">
        <v>400</v>
      </c>
      <c r="Q91" s="202" t="str">
        <f>IF($P91="","",IFERROR(VLOOKUP(UPPER(DEVICE_TABLE[[#This Row],[Site]])&amp;"/"&amp;DEVICE_TABLE[[#This Row],[VLAN]],NETWORKS_TABLE[],MATCH(Q$3,NETWORKS_TABLE[#Headers],0),FALSE),""))</f>
        <v>VDIMGNT</v>
      </c>
      <c r="R91" s="202" t="str">
        <f>IF($P91="","",IFERROR(VLOOKUP(UPPER(DEVICE_TABLE[[#This Row],[Site]])&amp;"/"&amp;DEVICE_TABLE[[#This Row],[VLAN]],NETWORKS_TABLE[],MATCH(R$3,NETWORKS_TABLE[#Headers],0),FALSE),""))</f>
        <v>10.224.200.0/24</v>
      </c>
      <c r="S91" s="36" t="s">
        <v>1762</v>
      </c>
      <c r="T91" s="36"/>
    </row>
    <row r="92" spans="2:20">
      <c r="B92" s="36" t="s">
        <v>1772</v>
      </c>
      <c r="C92" s="36" t="s">
        <v>149</v>
      </c>
      <c r="D92" s="36" t="s">
        <v>1752</v>
      </c>
      <c r="E92" s="122" t="s">
        <v>1575</v>
      </c>
      <c r="F92" s="122" t="s">
        <v>57</v>
      </c>
      <c r="G92" s="36" t="s">
        <v>1578</v>
      </c>
      <c r="H92" s="36" t="s">
        <v>1768</v>
      </c>
      <c r="I92" s="36" t="s">
        <v>1754</v>
      </c>
      <c r="J92" s="36" t="s">
        <v>1759</v>
      </c>
      <c r="K92" s="36" t="s">
        <v>78</v>
      </c>
      <c r="L92" s="36" t="s">
        <v>1760</v>
      </c>
      <c r="M92" s="36" t="s">
        <v>1773</v>
      </c>
      <c r="N92" s="36" t="s">
        <v>1774</v>
      </c>
      <c r="O92" s="36"/>
      <c r="P92" s="36">
        <v>400</v>
      </c>
      <c r="Q92" s="202" t="str">
        <f>IF($P92="","",IFERROR(VLOOKUP(UPPER(DEVICE_TABLE[[#This Row],[Site]])&amp;"/"&amp;DEVICE_TABLE[[#This Row],[VLAN]],NETWORKS_TABLE[],MATCH(Q$3,NETWORKS_TABLE[#Headers],0),FALSE),""))</f>
        <v>VDIMGNT</v>
      </c>
      <c r="R92" s="202" t="str">
        <f>IF($P92="","",IFERROR(VLOOKUP(UPPER(DEVICE_TABLE[[#This Row],[Site]])&amp;"/"&amp;DEVICE_TABLE[[#This Row],[VLAN]],NETWORKS_TABLE[],MATCH(R$3,NETWORKS_TABLE[#Headers],0),FALSE),""))</f>
        <v>10.224.200.0/24</v>
      </c>
      <c r="S92" s="36" t="s">
        <v>1776</v>
      </c>
      <c r="T92" s="36"/>
    </row>
    <row r="93" spans="2:20">
      <c r="B93" s="36" t="s">
        <v>227</v>
      </c>
      <c r="C93" s="36" t="s">
        <v>149</v>
      </c>
      <c r="D93" s="36" t="s">
        <v>1752</v>
      </c>
      <c r="E93" s="122" t="s">
        <v>1575</v>
      </c>
      <c r="F93" s="122" t="s">
        <v>57</v>
      </c>
      <c r="G93" s="36" t="s">
        <v>1576</v>
      </c>
      <c r="H93" s="36" t="s">
        <v>1753</v>
      </c>
      <c r="I93" s="36" t="s">
        <v>1754</v>
      </c>
      <c r="J93" s="36" t="s">
        <v>1759</v>
      </c>
      <c r="K93" s="36" t="s">
        <v>78</v>
      </c>
      <c r="L93" s="36" t="s">
        <v>1760</v>
      </c>
      <c r="M93" s="36" t="s">
        <v>1763</v>
      </c>
      <c r="N93" s="36"/>
      <c r="O93" s="36"/>
      <c r="P93" s="36">
        <v>400</v>
      </c>
      <c r="Q93" s="202" t="str">
        <f>IF($P93="","",IFERROR(VLOOKUP(UPPER(DEVICE_TABLE[[#This Row],[Site]])&amp;"/"&amp;DEVICE_TABLE[[#This Row],[VLAN]],NETWORKS_TABLE[],MATCH(Q$3,NETWORKS_TABLE[#Headers],0),FALSE),""))</f>
        <v>VDIMGNT</v>
      </c>
      <c r="R93" s="202" t="str">
        <f>IF($P93="","",IFERROR(VLOOKUP(UPPER(DEVICE_TABLE[[#This Row],[Site]])&amp;"/"&amp;DEVICE_TABLE[[#This Row],[VLAN]],NETWORKS_TABLE[],MATCH(R$3,NETWORKS_TABLE[#Headers],0),FALSE),""))</f>
        <v>10.224.200.0/24</v>
      </c>
      <c r="S93" s="36" t="s">
        <v>1764</v>
      </c>
      <c r="T93" s="36"/>
    </row>
    <row r="94" spans="2:20">
      <c r="B94" s="36" t="s">
        <v>233</v>
      </c>
      <c r="C94" s="36" t="s">
        <v>149</v>
      </c>
      <c r="D94" s="36" t="s">
        <v>1752</v>
      </c>
      <c r="E94" s="122" t="s">
        <v>1575</v>
      </c>
      <c r="F94" s="122" t="s">
        <v>57</v>
      </c>
      <c r="G94" s="36" t="s">
        <v>1576</v>
      </c>
      <c r="H94" s="36" t="s">
        <v>1753</v>
      </c>
      <c r="I94" s="36" t="s">
        <v>1754</v>
      </c>
      <c r="J94" s="36"/>
      <c r="K94" s="36" t="s">
        <v>78</v>
      </c>
      <c r="L94" s="36"/>
      <c r="M94" s="36"/>
      <c r="N94" s="36"/>
      <c r="O94" s="36"/>
      <c r="P94" s="36">
        <v>400</v>
      </c>
      <c r="Q94" s="202" t="str">
        <f>IF($P94="","",IFERROR(VLOOKUP(UPPER(DEVICE_TABLE[[#This Row],[Site]])&amp;"/"&amp;DEVICE_TABLE[[#This Row],[VLAN]],NETWORKS_TABLE[],MATCH(Q$3,NETWORKS_TABLE[#Headers],0),FALSE),""))</f>
        <v>VDIMGNT</v>
      </c>
      <c r="R94" s="202" t="str">
        <f>IF($P94="","",IFERROR(VLOOKUP(UPPER(DEVICE_TABLE[[#This Row],[Site]])&amp;"/"&amp;DEVICE_TABLE[[#This Row],[VLAN]],NETWORKS_TABLE[],MATCH(R$3,NETWORKS_TABLE[#Headers],0),FALSE),""))</f>
        <v>10.224.200.0/24</v>
      </c>
      <c r="S94" s="36" t="s">
        <v>78</v>
      </c>
      <c r="T94" s="36"/>
    </row>
    <row r="95" spans="2:20">
      <c r="B95" s="36" t="s">
        <v>239</v>
      </c>
      <c r="C95" s="36" t="s">
        <v>149</v>
      </c>
      <c r="D95" s="36" t="s">
        <v>1752</v>
      </c>
      <c r="E95" s="122" t="s">
        <v>1575</v>
      </c>
      <c r="F95" s="122" t="s">
        <v>57</v>
      </c>
      <c r="G95" s="36" t="s">
        <v>1578</v>
      </c>
      <c r="H95" s="36" t="s">
        <v>1768</v>
      </c>
      <c r="I95" s="36" t="s">
        <v>1754</v>
      </c>
      <c r="J95" s="36" t="s">
        <v>1777</v>
      </c>
      <c r="K95" s="36" t="s">
        <v>78</v>
      </c>
      <c r="L95" s="36"/>
      <c r="M95" s="36" t="s">
        <v>1778</v>
      </c>
      <c r="N95" s="36" t="s">
        <v>1779</v>
      </c>
      <c r="O95" s="36"/>
      <c r="P95" s="36">
        <v>400</v>
      </c>
      <c r="Q95" s="202" t="str">
        <f>IF($P95="","",IFERROR(VLOOKUP(UPPER(DEVICE_TABLE[[#This Row],[Site]])&amp;"/"&amp;DEVICE_TABLE[[#This Row],[VLAN]],NETWORKS_TABLE[],MATCH(Q$3,NETWORKS_TABLE[#Headers],0),FALSE),""))</f>
        <v>VDIMGNT</v>
      </c>
      <c r="R95" s="202" t="str">
        <f>IF($P95="","",IFERROR(VLOOKUP(UPPER(DEVICE_TABLE[[#This Row],[Site]])&amp;"/"&amp;DEVICE_TABLE[[#This Row],[VLAN]],NETWORKS_TABLE[],MATCH(R$3,NETWORKS_TABLE[#Headers],0),FALSE),""))</f>
        <v>10.224.200.0/24</v>
      </c>
      <c r="S95" s="36" t="s">
        <v>1781</v>
      </c>
      <c r="T95" s="36"/>
    </row>
    <row r="96" spans="2:20">
      <c r="B96" s="36" t="s">
        <v>245</v>
      </c>
      <c r="C96" s="36" t="s">
        <v>149</v>
      </c>
      <c r="D96" s="36" t="s">
        <v>1752</v>
      </c>
      <c r="E96" s="122" t="s">
        <v>1575</v>
      </c>
      <c r="F96" s="122" t="s">
        <v>57</v>
      </c>
      <c r="G96" s="36" t="s">
        <v>1576</v>
      </c>
      <c r="H96" s="36" t="s">
        <v>1753</v>
      </c>
      <c r="I96" s="36" t="s">
        <v>1754</v>
      </c>
      <c r="J96" s="36" t="s">
        <v>1765</v>
      </c>
      <c r="K96" s="36" t="s">
        <v>78</v>
      </c>
      <c r="L96" s="36"/>
      <c r="M96" s="36"/>
      <c r="N96" s="36"/>
      <c r="O96" s="36"/>
      <c r="P96" s="36">
        <v>400</v>
      </c>
      <c r="Q96" s="202" t="str">
        <f>IF($P96="","",IFERROR(VLOOKUP(UPPER(DEVICE_TABLE[[#This Row],[Site]])&amp;"/"&amp;DEVICE_TABLE[[#This Row],[VLAN]],NETWORKS_TABLE[],MATCH(Q$3,NETWORKS_TABLE[#Headers],0),FALSE),""))</f>
        <v>VDIMGNT</v>
      </c>
      <c r="R96" s="202" t="str">
        <f>IF($P96="","",IFERROR(VLOOKUP(UPPER(DEVICE_TABLE[[#This Row],[Site]])&amp;"/"&amp;DEVICE_TABLE[[#This Row],[VLAN]],NETWORKS_TABLE[],MATCH(R$3,NETWORKS_TABLE[#Headers],0),FALSE),""))</f>
        <v>10.224.200.0/24</v>
      </c>
      <c r="S96" s="36" t="s">
        <v>1766</v>
      </c>
      <c r="T96" s="36"/>
    </row>
    <row r="97" spans="2:20">
      <c r="B97" s="36" t="s">
        <v>1782</v>
      </c>
      <c r="C97" s="36" t="s">
        <v>149</v>
      </c>
      <c r="D97" s="36" t="s">
        <v>1752</v>
      </c>
      <c r="E97" s="122" t="s">
        <v>1575</v>
      </c>
      <c r="F97" s="122" t="s">
        <v>57</v>
      </c>
      <c r="G97" s="36" t="s">
        <v>1578</v>
      </c>
      <c r="H97" s="36"/>
      <c r="I97" s="36" t="s">
        <v>1754</v>
      </c>
      <c r="J97" s="36" t="s">
        <v>1777</v>
      </c>
      <c r="K97" s="36" t="s">
        <v>78</v>
      </c>
      <c r="L97" s="36"/>
      <c r="M97" s="36" t="s">
        <v>1783</v>
      </c>
      <c r="N97" s="36" t="s">
        <v>1784</v>
      </c>
      <c r="O97" s="36"/>
      <c r="P97" s="36">
        <v>400</v>
      </c>
      <c r="Q97" s="202" t="str">
        <f>IF($P97="","",IFERROR(VLOOKUP(UPPER(DEVICE_TABLE[[#This Row],[Site]])&amp;"/"&amp;DEVICE_TABLE[[#This Row],[VLAN]],NETWORKS_TABLE[],MATCH(Q$3,NETWORKS_TABLE[#Headers],0),FALSE),""))</f>
        <v>VDIMGNT</v>
      </c>
      <c r="R97" s="202" t="str">
        <f>IF($P97="","",IFERROR(VLOOKUP(UPPER(DEVICE_TABLE[[#This Row],[Site]])&amp;"/"&amp;DEVICE_TABLE[[#This Row],[VLAN]],NETWORKS_TABLE[],MATCH(R$3,NETWORKS_TABLE[#Headers],0),FALSE),""))</f>
        <v>10.224.200.0/24</v>
      </c>
      <c r="S97" s="36" t="s">
        <v>1785</v>
      </c>
      <c r="T97" s="36"/>
    </row>
    <row r="98" spans="2:20">
      <c r="B98" s="36" t="s">
        <v>2875</v>
      </c>
      <c r="C98" s="36" t="s">
        <v>149</v>
      </c>
      <c r="D98" s="36" t="s">
        <v>1752</v>
      </c>
      <c r="E98" s="122" t="s">
        <v>2082</v>
      </c>
      <c r="F98" s="122" t="s">
        <v>57</v>
      </c>
      <c r="G98" s="36" t="s">
        <v>1576</v>
      </c>
      <c r="H98" s="36" t="s">
        <v>1753</v>
      </c>
      <c r="I98" s="36" t="s">
        <v>1754</v>
      </c>
      <c r="J98" s="36"/>
      <c r="K98" s="36"/>
      <c r="L98" s="36"/>
      <c r="M98" s="36"/>
      <c r="N98" s="36"/>
      <c r="O98" s="36"/>
      <c r="P98" s="36">
        <v>400</v>
      </c>
      <c r="Q98" s="202" t="str">
        <f>IF($P98="","",IFERROR(VLOOKUP(UPPER(DEVICE_TABLE[[#This Row],[Site]])&amp;"/"&amp;DEVICE_TABLE[[#This Row],[VLAN]],NETWORKS_TABLE[],MATCH(Q$3,NETWORKS_TABLE[#Headers],0),FALSE),""))</f>
        <v>VDIMGNT</v>
      </c>
      <c r="R98" s="202" t="str">
        <f>IF($P98="","",IFERROR(VLOOKUP(UPPER(DEVICE_TABLE[[#This Row],[Site]])&amp;"/"&amp;DEVICE_TABLE[[#This Row],[VLAN]],NETWORKS_TABLE[],MATCH(R$3,NETWORKS_TABLE[#Headers],0),FALSE),""))</f>
        <v>10.224.200.0/24</v>
      </c>
      <c r="S98" s="36" t="s">
        <v>2876</v>
      </c>
      <c r="T98" s="36"/>
    </row>
    <row r="99" spans="2:20">
      <c r="B99" s="25" t="s">
        <v>1656</v>
      </c>
      <c r="C99" s="25"/>
      <c r="D99" s="25"/>
      <c r="E99" s="127"/>
      <c r="F99" s="127"/>
      <c r="G99" s="25"/>
      <c r="H99" s="25" t="s">
        <v>78</v>
      </c>
      <c r="I99" s="25"/>
      <c r="J99" s="25"/>
      <c r="K99" s="25" t="s">
        <v>78</v>
      </c>
      <c r="L99" s="25"/>
      <c r="M99" s="25"/>
      <c r="N99" s="25"/>
      <c r="O99" s="25"/>
      <c r="P99" s="25"/>
      <c r="Q99" s="25" t="str">
        <f>IF($P99="","",IFERROR(VLOOKUP(UPPER(DEVICE_TABLE[[#This Row],[Site]])&amp;"/"&amp;DEVICE_TABLE[[#This Row],[VLAN]],NETWORKS_TABLE[],MATCH(Q$3,NETWORKS_TABLE[#Headers],0),FALSE),""))</f>
        <v/>
      </c>
      <c r="R99" s="25" t="str">
        <f>IF($P99="","",IFERROR(VLOOKUP(UPPER(DEVICE_TABLE[[#This Row],[Site]])&amp;"/"&amp;DEVICE_TABLE[[#This Row],[VLAN]],NETWORKS_TABLE[],MATCH(R$3,NETWORKS_TABLE[#Headers],0),FALSE),""))</f>
        <v/>
      </c>
      <c r="S99" s="25" t="s">
        <v>78</v>
      </c>
      <c r="T99" s="25"/>
    </row>
    <row r="100" spans="2:20">
      <c r="B100" s="36" t="s">
        <v>1657</v>
      </c>
      <c r="C100" s="36" t="s">
        <v>1644</v>
      </c>
      <c r="D100" s="36" t="s">
        <v>1658</v>
      </c>
      <c r="E100" s="122" t="s">
        <v>1575</v>
      </c>
      <c r="F100" s="122" t="s">
        <v>57</v>
      </c>
      <c r="G100" s="36" t="s">
        <v>1576</v>
      </c>
      <c r="H100" s="36" t="s">
        <v>78</v>
      </c>
      <c r="I100" s="36" t="s">
        <v>1659</v>
      </c>
      <c r="J100" s="36"/>
      <c r="K100" s="36" t="s">
        <v>78</v>
      </c>
      <c r="L100" s="36"/>
      <c r="M100" s="36"/>
      <c r="N100" s="36"/>
      <c r="O100" s="36"/>
      <c r="P100" s="36">
        <v>300</v>
      </c>
      <c r="Q100" s="202" t="str">
        <f>IF($P100="","",IFERROR(VLOOKUP(UPPER(DEVICE_TABLE[[#This Row],[Site]])&amp;"/"&amp;DEVICE_TABLE[[#This Row],[VLAN]],NETWORKS_TABLE[],MATCH(Q$3,NETWORKS_TABLE[#Headers],0),FALSE),""))</f>
        <v>SERVER</v>
      </c>
      <c r="R100" s="202" t="str">
        <f>IF($P100="","",IFERROR(VLOOKUP(UPPER(DEVICE_TABLE[[#This Row],[Site]])&amp;"/"&amp;DEVICE_TABLE[[#This Row],[VLAN]],NETWORKS_TABLE[],MATCH(R$3,NETWORKS_TABLE[#Headers],0),FALSE),""))</f>
        <v>10.224.100.0/24</v>
      </c>
      <c r="S100" s="36" t="s">
        <v>1660</v>
      </c>
      <c r="T100" s="36" t="s">
        <v>1661</v>
      </c>
    </row>
    <row r="101" spans="2:20">
      <c r="B101" s="36" t="s">
        <v>1662</v>
      </c>
      <c r="C101" s="36" t="s">
        <v>1644</v>
      </c>
      <c r="D101" s="36" t="s">
        <v>1658</v>
      </c>
      <c r="E101" s="122" t="s">
        <v>1575</v>
      </c>
      <c r="F101" s="122" t="s">
        <v>57</v>
      </c>
      <c r="G101" s="36" t="s">
        <v>1576</v>
      </c>
      <c r="H101" s="36" t="s">
        <v>78</v>
      </c>
      <c r="I101" s="36" t="s">
        <v>1659</v>
      </c>
      <c r="J101" s="36"/>
      <c r="K101" s="36" t="s">
        <v>78</v>
      </c>
      <c r="L101" s="36"/>
      <c r="M101" s="36"/>
      <c r="N101" s="36"/>
      <c r="O101" s="36"/>
      <c r="P101" s="36">
        <v>300</v>
      </c>
      <c r="Q101" s="202" t="str">
        <f>IF($P101="","",IFERROR(VLOOKUP(UPPER(DEVICE_TABLE[[#This Row],[Site]])&amp;"/"&amp;DEVICE_TABLE[[#This Row],[VLAN]],NETWORKS_TABLE[],MATCH(Q$3,NETWORKS_TABLE[#Headers],0),FALSE),""))</f>
        <v>SERVER</v>
      </c>
      <c r="R101" s="202" t="str">
        <f>IF($P101="","",IFERROR(VLOOKUP(UPPER(DEVICE_TABLE[[#This Row],[Site]])&amp;"/"&amp;DEVICE_TABLE[[#This Row],[VLAN]],NETWORKS_TABLE[],MATCH(R$3,NETWORKS_TABLE[#Headers],0),FALSE),""))</f>
        <v>10.224.100.0/24</v>
      </c>
      <c r="S101" s="36" t="s">
        <v>1663</v>
      </c>
      <c r="T101" s="36" t="s">
        <v>1661</v>
      </c>
    </row>
    <row r="102" spans="2:20">
      <c r="B102" s="36" t="s">
        <v>1664</v>
      </c>
      <c r="C102" s="36" t="s">
        <v>1644</v>
      </c>
      <c r="D102" s="36" t="s">
        <v>1665</v>
      </c>
      <c r="E102" s="122" t="s">
        <v>1575</v>
      </c>
      <c r="F102" s="122" t="s">
        <v>57</v>
      </c>
      <c r="G102" s="36" t="s">
        <v>1576</v>
      </c>
      <c r="H102" s="36" t="s">
        <v>78</v>
      </c>
      <c r="I102" s="36" t="s">
        <v>1659</v>
      </c>
      <c r="J102" s="36"/>
      <c r="K102" s="36" t="s">
        <v>78</v>
      </c>
      <c r="L102" s="36"/>
      <c r="M102" s="36"/>
      <c r="N102" s="36"/>
      <c r="O102" s="36"/>
      <c r="P102" s="36">
        <v>300</v>
      </c>
      <c r="Q102" s="202" t="str">
        <f>IF($P102="","",IFERROR(VLOOKUP(UPPER(DEVICE_TABLE[[#This Row],[Site]])&amp;"/"&amp;DEVICE_TABLE[[#This Row],[VLAN]],NETWORKS_TABLE[],MATCH(Q$3,NETWORKS_TABLE[#Headers],0),FALSE),""))</f>
        <v>SERVER</v>
      </c>
      <c r="R102" s="202" t="str">
        <f>IF($P102="","",IFERROR(VLOOKUP(UPPER(DEVICE_TABLE[[#This Row],[Site]])&amp;"/"&amp;DEVICE_TABLE[[#This Row],[VLAN]],NETWORKS_TABLE[],MATCH(R$3,NETWORKS_TABLE[#Headers],0),FALSE),""))</f>
        <v>10.224.100.0/24</v>
      </c>
      <c r="S102" s="36" t="s">
        <v>1666</v>
      </c>
      <c r="T102" s="36" t="s">
        <v>1667</v>
      </c>
    </row>
    <row r="103" spans="2:20">
      <c r="B103" s="36" t="s">
        <v>1668</v>
      </c>
      <c r="C103" s="36" t="s">
        <v>1644</v>
      </c>
      <c r="D103" s="36" t="s">
        <v>1665</v>
      </c>
      <c r="E103" s="122" t="s">
        <v>1575</v>
      </c>
      <c r="F103" s="122" t="s">
        <v>57</v>
      </c>
      <c r="G103" s="36" t="s">
        <v>1576</v>
      </c>
      <c r="H103" s="36" t="s">
        <v>78</v>
      </c>
      <c r="I103" s="36" t="s">
        <v>1659</v>
      </c>
      <c r="J103" s="36"/>
      <c r="K103" s="36" t="s">
        <v>78</v>
      </c>
      <c r="L103" s="36"/>
      <c r="M103" s="36"/>
      <c r="N103" s="36"/>
      <c r="O103" s="36"/>
      <c r="P103" s="36">
        <v>300</v>
      </c>
      <c r="Q103" s="202" t="str">
        <f>IF($P103="","",IFERROR(VLOOKUP(UPPER(DEVICE_TABLE[[#This Row],[Site]])&amp;"/"&amp;DEVICE_TABLE[[#This Row],[VLAN]],NETWORKS_TABLE[],MATCH(Q$3,NETWORKS_TABLE[#Headers],0),FALSE),""))</f>
        <v>SERVER</v>
      </c>
      <c r="R103" s="202" t="str">
        <f>IF($P103="","",IFERROR(VLOOKUP(UPPER(DEVICE_TABLE[[#This Row],[Site]])&amp;"/"&amp;DEVICE_TABLE[[#This Row],[VLAN]],NETWORKS_TABLE[],MATCH(R$3,NETWORKS_TABLE[#Headers],0),FALSE),""))</f>
        <v>10.224.100.0/24</v>
      </c>
      <c r="S103" s="36" t="s">
        <v>1669</v>
      </c>
      <c r="T103" s="36" t="s">
        <v>1667</v>
      </c>
    </row>
    <row r="104" spans="2:20">
      <c r="B104" s="36" t="s">
        <v>1670</v>
      </c>
      <c r="C104" s="36" t="s">
        <v>1644</v>
      </c>
      <c r="D104" s="36" t="s">
        <v>1665</v>
      </c>
      <c r="E104" s="122" t="s">
        <v>1575</v>
      </c>
      <c r="F104" s="122" t="s">
        <v>57</v>
      </c>
      <c r="G104" s="36" t="s">
        <v>1578</v>
      </c>
      <c r="H104" s="36" t="s">
        <v>78</v>
      </c>
      <c r="I104" s="36" t="s">
        <v>1659</v>
      </c>
      <c r="J104" s="36"/>
      <c r="K104" s="36" t="s">
        <v>78</v>
      </c>
      <c r="L104" s="36"/>
      <c r="M104" s="36"/>
      <c r="N104" s="36"/>
      <c r="O104" s="36"/>
      <c r="P104" s="36">
        <v>300</v>
      </c>
      <c r="Q104" s="202" t="str">
        <f>IF($P104="","",IFERROR(VLOOKUP(UPPER(DEVICE_TABLE[[#This Row],[Site]])&amp;"/"&amp;DEVICE_TABLE[[#This Row],[VLAN]],NETWORKS_TABLE[],MATCH(Q$3,NETWORKS_TABLE[#Headers],0),FALSE),""))</f>
        <v>SERVER</v>
      </c>
      <c r="R104" s="202" t="str">
        <f>IF($P104="","",IFERROR(VLOOKUP(UPPER(DEVICE_TABLE[[#This Row],[Site]])&amp;"/"&amp;DEVICE_TABLE[[#This Row],[VLAN]],NETWORKS_TABLE[],MATCH(R$3,NETWORKS_TABLE[#Headers],0),FALSE),""))</f>
        <v>10.224.100.0/24</v>
      </c>
      <c r="S104" s="36" t="s">
        <v>1671</v>
      </c>
      <c r="T104" s="36" t="s">
        <v>1667</v>
      </c>
    </row>
    <row r="105" spans="2:20">
      <c r="B105" s="36" t="s">
        <v>1672</v>
      </c>
      <c r="C105" s="36" t="s">
        <v>1644</v>
      </c>
      <c r="D105" s="36" t="s">
        <v>1665</v>
      </c>
      <c r="E105" s="122" t="s">
        <v>1575</v>
      </c>
      <c r="F105" s="122" t="s">
        <v>57</v>
      </c>
      <c r="G105" s="36" t="s">
        <v>1578</v>
      </c>
      <c r="H105" s="36" t="s">
        <v>78</v>
      </c>
      <c r="I105" s="36" t="s">
        <v>1659</v>
      </c>
      <c r="J105" s="36"/>
      <c r="K105" s="36" t="s">
        <v>78</v>
      </c>
      <c r="L105" s="36"/>
      <c r="M105" s="36"/>
      <c r="N105" s="36"/>
      <c r="O105" s="36"/>
      <c r="P105" s="36">
        <v>300</v>
      </c>
      <c r="Q105" s="202" t="str">
        <f>IF($P105="","",IFERROR(VLOOKUP(UPPER(DEVICE_TABLE[[#This Row],[Site]])&amp;"/"&amp;DEVICE_TABLE[[#This Row],[VLAN]],NETWORKS_TABLE[],MATCH(Q$3,NETWORKS_TABLE[#Headers],0),FALSE),""))</f>
        <v>SERVER</v>
      </c>
      <c r="R105" s="202" t="str">
        <f>IF($P105="","",IFERROR(VLOOKUP(UPPER(DEVICE_TABLE[[#This Row],[Site]])&amp;"/"&amp;DEVICE_TABLE[[#This Row],[VLAN]],NETWORKS_TABLE[],MATCH(R$3,NETWORKS_TABLE[#Headers],0),FALSE),""))</f>
        <v>10.224.100.0/24</v>
      </c>
      <c r="S105" s="36" t="s">
        <v>1673</v>
      </c>
      <c r="T105" s="36" t="s">
        <v>1667</v>
      </c>
    </row>
    <row r="106" spans="2:20">
      <c r="B106" s="25" t="s">
        <v>1674</v>
      </c>
      <c r="C106" s="25"/>
      <c r="D106" s="25"/>
      <c r="E106" s="17"/>
      <c r="F106" s="17"/>
      <c r="G106" s="25"/>
      <c r="H106" s="25" t="s">
        <v>78</v>
      </c>
      <c r="I106" s="25"/>
      <c r="J106" s="25"/>
      <c r="K106" s="25" t="s">
        <v>78</v>
      </c>
      <c r="L106" s="25"/>
      <c r="M106" s="25"/>
      <c r="N106" s="25"/>
      <c r="O106" s="25"/>
      <c r="P106" s="25"/>
      <c r="Q106" s="25" t="str">
        <f>IF($P106="","",IFERROR(VLOOKUP(UPPER(DEVICE_TABLE[[#This Row],[Site]])&amp;"/"&amp;DEVICE_TABLE[[#This Row],[VLAN]],NETWORKS_TABLE[],MATCH(Q$3,NETWORKS_TABLE[#Headers],0),FALSE),""))</f>
        <v/>
      </c>
      <c r="R106" s="25" t="str">
        <f>IF($P106="","",IFERROR(VLOOKUP(UPPER(DEVICE_TABLE[[#This Row],[Site]])&amp;"/"&amp;DEVICE_TABLE[[#This Row],[VLAN]],NETWORKS_TABLE[],MATCH(R$3,NETWORKS_TABLE[#Headers],0),FALSE),""))</f>
        <v/>
      </c>
      <c r="S106" s="25" t="s">
        <v>78</v>
      </c>
      <c r="T106" s="25"/>
    </row>
    <row r="107" spans="2:20">
      <c r="B107" s="36" t="s">
        <v>1675</v>
      </c>
      <c r="C107" s="36" t="s">
        <v>149</v>
      </c>
      <c r="D107" s="36" t="s">
        <v>1676</v>
      </c>
      <c r="E107" s="122" t="s">
        <v>1575</v>
      </c>
      <c r="F107" s="122" t="s">
        <v>57</v>
      </c>
      <c r="G107" s="36" t="s">
        <v>1578</v>
      </c>
      <c r="H107" s="36" t="s">
        <v>78</v>
      </c>
      <c r="I107" s="36" t="s">
        <v>1677</v>
      </c>
      <c r="J107" s="36"/>
      <c r="K107" s="36" t="s">
        <v>78</v>
      </c>
      <c r="L107" s="36"/>
      <c r="M107" s="36"/>
      <c r="N107" s="36"/>
      <c r="O107" s="36"/>
      <c r="P107" s="36">
        <v>220</v>
      </c>
      <c r="Q107" s="202" t="str">
        <f>IF($P107="","",IFERROR(VLOOKUP(UPPER(DEVICE_TABLE[[#This Row],[Site]])&amp;"/"&amp;DEVICE_TABLE[[#This Row],[VLAN]],NETWORKS_TABLE[],MATCH(Q$3,NETWORKS_TABLE[#Headers],0),FALSE),""))</f>
        <v>VIRTUALMGNT</v>
      </c>
      <c r="R107" s="202" t="str">
        <f>IF($P107="","",IFERROR(VLOOKUP(UPPER(DEVICE_TABLE[[#This Row],[Site]])&amp;"/"&amp;DEVICE_TABLE[[#This Row],[VLAN]],NETWORKS_TABLE[],MATCH(R$3,NETWORKS_TABLE[#Headers],0),FALSE),""))</f>
        <v>10.224.20.0/24</v>
      </c>
      <c r="S107" s="36" t="s">
        <v>1678</v>
      </c>
      <c r="T107" s="36" t="s">
        <v>1679</v>
      </c>
    </row>
    <row r="108" spans="2:20">
      <c r="B108" s="36" t="s">
        <v>1680</v>
      </c>
      <c r="C108" s="36" t="s">
        <v>149</v>
      </c>
      <c r="D108" s="36" t="s">
        <v>1676</v>
      </c>
      <c r="E108" s="122" t="s">
        <v>1575</v>
      </c>
      <c r="F108" s="122" t="s">
        <v>57</v>
      </c>
      <c r="G108" s="36" t="s">
        <v>1578</v>
      </c>
      <c r="H108" s="36" t="s">
        <v>78</v>
      </c>
      <c r="I108" s="36" t="s">
        <v>1677</v>
      </c>
      <c r="J108" s="36"/>
      <c r="K108" s="36" t="s">
        <v>78</v>
      </c>
      <c r="L108" s="36"/>
      <c r="M108" s="36"/>
      <c r="N108" s="36"/>
      <c r="O108" s="36"/>
      <c r="P108" s="36">
        <v>220</v>
      </c>
      <c r="Q108" s="202" t="str">
        <f>IF($P108="","",IFERROR(VLOOKUP(UPPER(DEVICE_TABLE[[#This Row],[Site]])&amp;"/"&amp;DEVICE_TABLE[[#This Row],[VLAN]],NETWORKS_TABLE[],MATCH(Q$3,NETWORKS_TABLE[#Headers],0),FALSE),""))</f>
        <v>VIRTUALMGNT</v>
      </c>
      <c r="R108" s="202" t="str">
        <f>IF($P108="","",IFERROR(VLOOKUP(UPPER(DEVICE_TABLE[[#This Row],[Site]])&amp;"/"&amp;DEVICE_TABLE[[#This Row],[VLAN]],NETWORKS_TABLE[],MATCH(R$3,NETWORKS_TABLE[#Headers],0),FALSE),""))</f>
        <v>10.224.20.0/24</v>
      </c>
      <c r="S108" s="36" t="s">
        <v>1681</v>
      </c>
      <c r="T108" s="36"/>
    </row>
    <row r="109" spans="2:20">
      <c r="B109" s="36" t="s">
        <v>1682</v>
      </c>
      <c r="C109" s="36" t="s">
        <v>149</v>
      </c>
      <c r="D109" s="36" t="s">
        <v>1676</v>
      </c>
      <c r="E109" s="122" t="s">
        <v>1575</v>
      </c>
      <c r="F109" s="122" t="s">
        <v>57</v>
      </c>
      <c r="G109" s="36" t="s">
        <v>1576</v>
      </c>
      <c r="H109" s="36" t="s">
        <v>78</v>
      </c>
      <c r="I109" s="36" t="s">
        <v>1677</v>
      </c>
      <c r="J109" s="36"/>
      <c r="K109" s="36" t="s">
        <v>78</v>
      </c>
      <c r="L109" s="36"/>
      <c r="M109" s="36"/>
      <c r="N109" s="36"/>
      <c r="O109" s="36"/>
      <c r="P109" s="36">
        <v>220</v>
      </c>
      <c r="Q109" s="202" t="str">
        <f>IF($P109="","",IFERROR(VLOOKUP(UPPER(DEVICE_TABLE[[#This Row],[Site]])&amp;"/"&amp;DEVICE_TABLE[[#This Row],[VLAN]],NETWORKS_TABLE[],MATCH(Q$3,NETWORKS_TABLE[#Headers],0),FALSE),""))</f>
        <v>VIRTUALMGNT</v>
      </c>
      <c r="R109" s="202" t="str">
        <f>IF($P109="","",IFERROR(VLOOKUP(UPPER(DEVICE_TABLE[[#This Row],[Site]])&amp;"/"&amp;DEVICE_TABLE[[#This Row],[VLAN]],NETWORKS_TABLE[],MATCH(R$3,NETWORKS_TABLE[#Headers],0),FALSE),""))</f>
        <v>10.224.20.0/24</v>
      </c>
      <c r="S109" s="36" t="s">
        <v>1684</v>
      </c>
      <c r="T109" s="36"/>
    </row>
    <row r="110" spans="2:20">
      <c r="B110" s="36" t="s">
        <v>1685</v>
      </c>
      <c r="C110" s="36" t="s">
        <v>149</v>
      </c>
      <c r="D110" s="36" t="s">
        <v>1676</v>
      </c>
      <c r="E110" s="122" t="s">
        <v>1575</v>
      </c>
      <c r="F110" s="122" t="s">
        <v>57</v>
      </c>
      <c r="G110" s="36" t="s">
        <v>1576</v>
      </c>
      <c r="H110" s="36" t="s">
        <v>78</v>
      </c>
      <c r="I110" s="36" t="s">
        <v>1677</v>
      </c>
      <c r="J110" s="36"/>
      <c r="K110" s="36" t="s">
        <v>78</v>
      </c>
      <c r="L110" s="36"/>
      <c r="M110" s="36"/>
      <c r="N110" s="36"/>
      <c r="O110" s="36"/>
      <c r="P110" s="36">
        <v>220</v>
      </c>
      <c r="Q110" s="202" t="str">
        <f>IF($P110="","",IFERROR(VLOOKUP(UPPER(DEVICE_TABLE[[#This Row],[Site]])&amp;"/"&amp;DEVICE_TABLE[[#This Row],[VLAN]],NETWORKS_TABLE[],MATCH(Q$3,NETWORKS_TABLE[#Headers],0),FALSE),""))</f>
        <v>VIRTUALMGNT</v>
      </c>
      <c r="R110" s="202" t="str">
        <f>IF($P110="","",IFERROR(VLOOKUP(UPPER(DEVICE_TABLE[[#This Row],[Site]])&amp;"/"&amp;DEVICE_TABLE[[#This Row],[VLAN]],NETWORKS_TABLE[],MATCH(R$3,NETWORKS_TABLE[#Headers],0),FALSE),""))</f>
        <v>10.224.20.0/24</v>
      </c>
      <c r="S110" s="36" t="s">
        <v>1687</v>
      </c>
      <c r="T110" s="36"/>
    </row>
    <row r="111" spans="2:20">
      <c r="B111" s="36" t="s">
        <v>1688</v>
      </c>
      <c r="C111" s="36" t="s">
        <v>1689</v>
      </c>
      <c r="D111" s="36" t="s">
        <v>1689</v>
      </c>
      <c r="E111" s="122" t="s">
        <v>1575</v>
      </c>
      <c r="F111" s="122" t="s">
        <v>57</v>
      </c>
      <c r="G111" s="36" t="s">
        <v>1576</v>
      </c>
      <c r="H111" s="36" t="s">
        <v>78</v>
      </c>
      <c r="I111" s="36" t="s">
        <v>1677</v>
      </c>
      <c r="J111" s="36" t="s">
        <v>1690</v>
      </c>
      <c r="K111" s="36" t="s">
        <v>78</v>
      </c>
      <c r="L111" s="36"/>
      <c r="M111" s="36"/>
      <c r="N111" s="36"/>
      <c r="O111" s="36"/>
      <c r="P111" s="36">
        <v>220</v>
      </c>
      <c r="Q111" s="202" t="str">
        <f>IF($P111="","",IFERROR(VLOOKUP(UPPER(DEVICE_TABLE[[#This Row],[Site]])&amp;"/"&amp;DEVICE_TABLE[[#This Row],[VLAN]],NETWORKS_TABLE[],MATCH(Q$3,NETWORKS_TABLE[#Headers],0),FALSE),""))</f>
        <v>VIRTUALMGNT</v>
      </c>
      <c r="R111" s="202" t="str">
        <f>IF($P111="","",IFERROR(VLOOKUP(UPPER(DEVICE_TABLE[[#This Row],[Site]])&amp;"/"&amp;DEVICE_TABLE[[#This Row],[VLAN]],NETWORKS_TABLE[],MATCH(R$3,NETWORKS_TABLE[#Headers],0),FALSE),""))</f>
        <v>10.224.20.0/24</v>
      </c>
      <c r="S111" s="36" t="s">
        <v>1692</v>
      </c>
      <c r="T111" s="36" t="s">
        <v>1693</v>
      </c>
    </row>
    <row r="112" spans="2:20">
      <c r="B112" s="36" t="s">
        <v>1694</v>
      </c>
      <c r="C112" s="36" t="s">
        <v>980</v>
      </c>
      <c r="D112" s="36" t="s">
        <v>1695</v>
      </c>
      <c r="E112" s="122" t="s">
        <v>1575</v>
      </c>
      <c r="F112" s="122" t="s">
        <v>57</v>
      </c>
      <c r="G112" s="36" t="s">
        <v>1576</v>
      </c>
      <c r="H112" s="36" t="s">
        <v>78</v>
      </c>
      <c r="I112" s="36" t="s">
        <v>892</v>
      </c>
      <c r="J112" s="36">
        <v>6509</v>
      </c>
      <c r="K112" s="36" t="s">
        <v>78</v>
      </c>
      <c r="L112" s="36"/>
      <c r="M112" s="36"/>
      <c r="N112" s="36"/>
      <c r="O112" s="36"/>
      <c r="P112" s="36">
        <v>32</v>
      </c>
      <c r="Q112" s="202" t="str">
        <f>IF($P112="","",IFERROR(VLOOKUP(UPPER(DEVICE_TABLE[[#This Row],[Site]])&amp;"/"&amp;DEVICE_TABLE[[#This Row],[VLAN]],NETWORKS_TABLE[],MATCH(Q$3,NETWORKS_TABLE[#Headers],0),FALSE),""))</f>
        <v>LEGACYSERVER32</v>
      </c>
      <c r="R112" s="202" t="str">
        <f>IF($P112="","",IFERROR(VLOOKUP(UPPER(DEVICE_TABLE[[#This Row],[Site]])&amp;"/"&amp;DEVICE_TABLE[[#This Row],[VLAN]],NETWORKS_TABLE[],MATCH(R$3,NETWORKS_TABLE[#Headers],0),FALSE),""))</f>
        <v>172.16.32.0/22</v>
      </c>
      <c r="S112" s="36" t="s">
        <v>1697</v>
      </c>
      <c r="T112" s="36"/>
    </row>
    <row r="113" spans="2:20">
      <c r="B113" s="36" t="s">
        <v>1698</v>
      </c>
      <c r="C113" s="36" t="s">
        <v>980</v>
      </c>
      <c r="D113" s="36" t="s">
        <v>1695</v>
      </c>
      <c r="E113" s="122" t="s">
        <v>1575</v>
      </c>
      <c r="F113" s="122" t="s">
        <v>57</v>
      </c>
      <c r="G113" s="36" t="s">
        <v>1578</v>
      </c>
      <c r="H113" s="36" t="s">
        <v>78</v>
      </c>
      <c r="I113" s="36" t="s">
        <v>892</v>
      </c>
      <c r="J113" s="36">
        <v>6509</v>
      </c>
      <c r="K113" s="36" t="s">
        <v>78</v>
      </c>
      <c r="L113" s="36"/>
      <c r="M113" s="36"/>
      <c r="N113" s="36"/>
      <c r="O113" s="36"/>
      <c r="P113" s="36">
        <v>32</v>
      </c>
      <c r="Q113" s="202" t="str">
        <f>IF($P113="","",IFERROR(VLOOKUP(UPPER(DEVICE_TABLE[[#This Row],[Site]])&amp;"/"&amp;DEVICE_TABLE[[#This Row],[VLAN]],NETWORKS_TABLE[],MATCH(Q$3,NETWORKS_TABLE[#Headers],0),FALSE),""))</f>
        <v>LEGACYSERVER32</v>
      </c>
      <c r="R113" s="202" t="str">
        <f>IF($P113="","",IFERROR(VLOOKUP(UPPER(DEVICE_TABLE[[#This Row],[Site]])&amp;"/"&amp;DEVICE_TABLE[[#This Row],[VLAN]],NETWORKS_TABLE[],MATCH(R$3,NETWORKS_TABLE[#Headers],0),FALSE),""))</f>
        <v>172.16.32.0/22</v>
      </c>
      <c r="S113" s="36" t="s">
        <v>1700</v>
      </c>
      <c r="T113" s="36"/>
    </row>
    <row r="114" spans="2:20">
      <c r="B114" s="36" t="s">
        <v>1701</v>
      </c>
      <c r="C114" s="36" t="s">
        <v>1651</v>
      </c>
      <c r="D114" s="36" t="s">
        <v>1689</v>
      </c>
      <c r="E114" s="122" t="s">
        <v>1575</v>
      </c>
      <c r="F114" s="122" t="s">
        <v>57</v>
      </c>
      <c r="G114" s="36" t="s">
        <v>1576</v>
      </c>
      <c r="H114" s="36"/>
      <c r="I114" s="36" t="s">
        <v>281</v>
      </c>
      <c r="J114" s="36"/>
      <c r="K114" s="36" t="s">
        <v>78</v>
      </c>
      <c r="L114" s="36" t="s">
        <v>1702</v>
      </c>
      <c r="M114" s="36"/>
      <c r="N114" s="36"/>
      <c r="O114" s="36"/>
      <c r="P114" s="36">
        <v>300</v>
      </c>
      <c r="Q114" s="202" t="str">
        <f>IF($P114="","",IFERROR(VLOOKUP(UPPER(DEVICE_TABLE[[#This Row],[Site]])&amp;"/"&amp;DEVICE_TABLE[[#This Row],[VLAN]],NETWORKS_TABLE[],MATCH(Q$3,NETWORKS_TABLE[#Headers],0),FALSE),""))</f>
        <v>SERVER</v>
      </c>
      <c r="R114" s="202" t="str">
        <f>IF($P114="","",IFERROR(VLOOKUP(UPPER(DEVICE_TABLE[[#This Row],[Site]])&amp;"/"&amp;DEVICE_TABLE[[#This Row],[VLAN]],NETWORKS_TABLE[],MATCH(R$3,NETWORKS_TABLE[#Headers],0),FALSE),""))</f>
        <v>10.224.100.0/24</v>
      </c>
      <c r="S114" s="36" t="s">
        <v>1703</v>
      </c>
      <c r="T114" s="36"/>
    </row>
    <row r="115" spans="2:20">
      <c r="B115" s="36" t="s">
        <v>1704</v>
      </c>
      <c r="C115" s="36" t="s">
        <v>1651</v>
      </c>
      <c r="D115" s="36" t="s">
        <v>1689</v>
      </c>
      <c r="E115" s="122" t="s">
        <v>1575</v>
      </c>
      <c r="F115" s="122" t="s">
        <v>57</v>
      </c>
      <c r="G115" s="36" t="s">
        <v>1578</v>
      </c>
      <c r="H115" s="36" t="s">
        <v>78</v>
      </c>
      <c r="I115" s="36" t="s">
        <v>281</v>
      </c>
      <c r="J115" s="36"/>
      <c r="K115" s="36" t="s">
        <v>78</v>
      </c>
      <c r="L115" s="36" t="s">
        <v>1702</v>
      </c>
      <c r="M115" s="36"/>
      <c r="N115" s="36"/>
      <c r="O115" s="36"/>
      <c r="P115" s="36">
        <v>300</v>
      </c>
      <c r="Q115" s="202" t="str">
        <f>IF($P115="","",IFERROR(VLOOKUP(UPPER(DEVICE_TABLE[[#This Row],[Site]])&amp;"/"&amp;DEVICE_TABLE[[#This Row],[VLAN]],NETWORKS_TABLE[],MATCH(Q$3,NETWORKS_TABLE[#Headers],0),FALSE),""))</f>
        <v>SERVER</v>
      </c>
      <c r="R115" s="202" t="str">
        <f>IF($P115="","",IFERROR(VLOOKUP(UPPER(DEVICE_TABLE[[#This Row],[Site]])&amp;"/"&amp;DEVICE_TABLE[[#This Row],[VLAN]],NETWORKS_TABLE[],MATCH(R$3,NETWORKS_TABLE[#Headers],0),FALSE),""))</f>
        <v>10.224.100.0/24</v>
      </c>
      <c r="S115" s="36" t="s">
        <v>1706</v>
      </c>
      <c r="T115" s="36"/>
    </row>
    <row r="116" spans="2:20">
      <c r="B116" s="36" t="s">
        <v>1707</v>
      </c>
      <c r="C116" s="36" t="s">
        <v>1651</v>
      </c>
      <c r="D116" s="36" t="s">
        <v>1689</v>
      </c>
      <c r="E116" s="122" t="s">
        <v>1575</v>
      </c>
      <c r="F116" s="122" t="s">
        <v>57</v>
      </c>
      <c r="G116" s="36" t="s">
        <v>1576</v>
      </c>
      <c r="H116" s="36"/>
      <c r="I116" s="36" t="s">
        <v>281</v>
      </c>
      <c r="J116" s="36" t="s">
        <v>1708</v>
      </c>
      <c r="K116" s="36" t="s">
        <v>78</v>
      </c>
      <c r="L116" s="36"/>
      <c r="M116" s="36"/>
      <c r="N116" s="36"/>
      <c r="O116" s="36"/>
      <c r="P116" s="36">
        <v>220</v>
      </c>
      <c r="Q116" s="202" t="str">
        <f>IF($P116="","",IFERROR(VLOOKUP(UPPER(DEVICE_TABLE[[#This Row],[Site]])&amp;"/"&amp;DEVICE_TABLE[[#This Row],[VLAN]],NETWORKS_TABLE[],MATCH(Q$3,NETWORKS_TABLE[#Headers],0),FALSE),""))</f>
        <v>VIRTUALMGNT</v>
      </c>
      <c r="R116" s="202" t="str">
        <f>IF($P116="","",IFERROR(VLOOKUP(UPPER(DEVICE_TABLE[[#This Row],[Site]])&amp;"/"&amp;DEVICE_TABLE[[#This Row],[VLAN]],NETWORKS_TABLE[],MATCH(R$3,NETWORKS_TABLE[#Headers],0),FALSE),""))</f>
        <v>10.224.20.0/24</v>
      </c>
      <c r="S116" s="36" t="s">
        <v>1710</v>
      </c>
      <c r="T116" s="36"/>
    </row>
    <row r="117" spans="2:20">
      <c r="B117" s="36" t="s">
        <v>1711</v>
      </c>
      <c r="C117" s="36" t="s">
        <v>1651</v>
      </c>
      <c r="D117" s="36" t="s">
        <v>1689</v>
      </c>
      <c r="E117" s="122" t="s">
        <v>1575</v>
      </c>
      <c r="F117" s="122" t="s">
        <v>57</v>
      </c>
      <c r="G117" s="36" t="s">
        <v>1578</v>
      </c>
      <c r="H117" s="36"/>
      <c r="I117" s="36" t="s">
        <v>281</v>
      </c>
      <c r="J117" s="36" t="s">
        <v>1708</v>
      </c>
      <c r="K117" s="36" t="s">
        <v>78</v>
      </c>
      <c r="L117" s="36"/>
      <c r="M117" s="36"/>
      <c r="N117" s="36"/>
      <c r="O117" s="36"/>
      <c r="P117" s="36">
        <v>220</v>
      </c>
      <c r="Q117" s="202" t="str">
        <f>IF($P117="","",IFERROR(VLOOKUP(UPPER(DEVICE_TABLE[[#This Row],[Site]])&amp;"/"&amp;DEVICE_TABLE[[#This Row],[VLAN]],NETWORKS_TABLE[],MATCH(Q$3,NETWORKS_TABLE[#Headers],0),FALSE),""))</f>
        <v>VIRTUALMGNT</v>
      </c>
      <c r="R117" s="202" t="str">
        <f>IF($P117="","",IFERROR(VLOOKUP(UPPER(DEVICE_TABLE[[#This Row],[Site]])&amp;"/"&amp;DEVICE_TABLE[[#This Row],[VLAN]],NETWORKS_TABLE[],MATCH(R$3,NETWORKS_TABLE[#Headers],0),FALSE),""))</f>
        <v>10.224.20.0/24</v>
      </c>
      <c r="S117" s="36" t="s">
        <v>1713</v>
      </c>
      <c r="T117" s="36"/>
    </row>
    <row r="118" spans="2:20">
      <c r="B118" s="36" t="s">
        <v>1714</v>
      </c>
      <c r="C118" s="36" t="s">
        <v>1651</v>
      </c>
      <c r="D118" s="36" t="s">
        <v>1715</v>
      </c>
      <c r="E118" s="122" t="s">
        <v>1575</v>
      </c>
      <c r="F118" s="122" t="s">
        <v>57</v>
      </c>
      <c r="G118" s="36" t="s">
        <v>1576</v>
      </c>
      <c r="H118" s="36" t="s">
        <v>1716</v>
      </c>
      <c r="I118" s="36" t="s">
        <v>1717</v>
      </c>
      <c r="J118" s="36">
        <v>4000</v>
      </c>
      <c r="K118" s="36" t="s">
        <v>78</v>
      </c>
      <c r="L118" s="36"/>
      <c r="M118" s="36"/>
      <c r="N118" s="36"/>
      <c r="O118" s="36"/>
      <c r="P118" s="36">
        <v>32</v>
      </c>
      <c r="Q118" s="202" t="str">
        <f>IF($P118="","",IFERROR(VLOOKUP(UPPER(DEVICE_TABLE[[#This Row],[Site]])&amp;"/"&amp;DEVICE_TABLE[[#This Row],[VLAN]],NETWORKS_TABLE[],MATCH(Q$3,NETWORKS_TABLE[#Headers],0),FALSE),""))</f>
        <v>LEGACYSERVER32</v>
      </c>
      <c r="R118" s="202" t="str">
        <f>IF($P118="","",IFERROR(VLOOKUP(UPPER(DEVICE_TABLE[[#This Row],[Site]])&amp;"/"&amp;DEVICE_TABLE[[#This Row],[VLAN]],NETWORKS_TABLE[],MATCH(R$3,NETWORKS_TABLE[#Headers],0),FALSE),""))</f>
        <v>172.16.32.0/22</v>
      </c>
      <c r="S118" s="36" t="s">
        <v>1718</v>
      </c>
      <c r="T118" s="36"/>
    </row>
    <row r="119" spans="2:20">
      <c r="B119" s="36" t="s">
        <v>1719</v>
      </c>
      <c r="C119" s="36" t="s">
        <v>1651</v>
      </c>
      <c r="D119" s="36" t="s">
        <v>1715</v>
      </c>
      <c r="E119" s="122" t="s">
        <v>1575</v>
      </c>
      <c r="F119" s="122" t="s">
        <v>57</v>
      </c>
      <c r="G119" s="36" t="s">
        <v>1578</v>
      </c>
      <c r="H119" s="36" t="s">
        <v>1716</v>
      </c>
      <c r="I119" s="36" t="s">
        <v>1717</v>
      </c>
      <c r="J119" s="36">
        <v>4000</v>
      </c>
      <c r="K119" s="36" t="s">
        <v>78</v>
      </c>
      <c r="L119" s="36"/>
      <c r="M119" s="36"/>
      <c r="N119" s="36"/>
      <c r="O119" s="36"/>
      <c r="P119" s="36">
        <v>32</v>
      </c>
      <c r="Q119" s="202" t="str">
        <f>IF($P119="","",IFERROR(VLOOKUP(UPPER(DEVICE_TABLE[[#This Row],[Site]])&amp;"/"&amp;DEVICE_TABLE[[#This Row],[VLAN]],NETWORKS_TABLE[],MATCH(Q$3,NETWORKS_TABLE[#Headers],0),FALSE),""))</f>
        <v>LEGACYSERVER32</v>
      </c>
      <c r="R119" s="202" t="str">
        <f>IF($P119="","",IFERROR(VLOOKUP(UPPER(DEVICE_TABLE[[#This Row],[Site]])&amp;"/"&amp;DEVICE_TABLE[[#This Row],[VLAN]],NETWORKS_TABLE[],MATCH(R$3,NETWORKS_TABLE[#Headers],0),FALSE),""))</f>
        <v>172.16.32.0/22</v>
      </c>
      <c r="S119" s="36" t="s">
        <v>1720</v>
      </c>
      <c r="T119" s="36"/>
    </row>
    <row r="120" spans="2:20">
      <c r="B120" s="36" t="s">
        <v>1721</v>
      </c>
      <c r="C120" s="36" t="s">
        <v>1722</v>
      </c>
      <c r="D120" s="36" t="s">
        <v>1689</v>
      </c>
      <c r="E120" s="122" t="s">
        <v>1575</v>
      </c>
      <c r="F120" s="122" t="s">
        <v>57</v>
      </c>
      <c r="G120" s="36" t="s">
        <v>1576</v>
      </c>
      <c r="H120" s="36"/>
      <c r="I120" s="36" t="s">
        <v>1723</v>
      </c>
      <c r="J120" s="36" t="s">
        <v>1724</v>
      </c>
      <c r="K120" s="36" t="s">
        <v>78</v>
      </c>
      <c r="L120" s="36" t="s">
        <v>1725</v>
      </c>
      <c r="M120" s="36"/>
      <c r="N120" s="36"/>
      <c r="O120" s="36"/>
      <c r="P120" s="36">
        <v>300</v>
      </c>
      <c r="Q120" s="202" t="str">
        <f>IF($P120="","",IFERROR(VLOOKUP(UPPER(DEVICE_TABLE[[#This Row],[Site]])&amp;"/"&amp;DEVICE_TABLE[[#This Row],[VLAN]],NETWORKS_TABLE[],MATCH(Q$3,NETWORKS_TABLE[#Headers],0),FALSE),""))</f>
        <v>SERVER</v>
      </c>
      <c r="R120" s="202" t="str">
        <f>IF($P120="","",IFERROR(VLOOKUP(UPPER(DEVICE_TABLE[[#This Row],[Site]])&amp;"/"&amp;DEVICE_TABLE[[#This Row],[VLAN]],NETWORKS_TABLE[],MATCH(R$3,NETWORKS_TABLE[#Headers],0),FALSE),""))</f>
        <v>10.224.100.0/24</v>
      </c>
      <c r="S120" s="36" t="s">
        <v>1727</v>
      </c>
      <c r="T120" s="36" t="s">
        <v>1728</v>
      </c>
    </row>
    <row r="121" spans="2:20">
      <c r="B121" s="36" t="s">
        <v>1729</v>
      </c>
      <c r="C121" s="36" t="s">
        <v>980</v>
      </c>
      <c r="D121" s="36" t="s">
        <v>338</v>
      </c>
      <c r="E121" s="122" t="s">
        <v>1575</v>
      </c>
      <c r="F121" s="122" t="s">
        <v>57</v>
      </c>
      <c r="G121" s="36" t="s">
        <v>1576</v>
      </c>
      <c r="H121" s="36" t="s">
        <v>1716</v>
      </c>
      <c r="I121" s="36" t="s">
        <v>892</v>
      </c>
      <c r="J121" s="36" t="s">
        <v>1730</v>
      </c>
      <c r="K121" s="36" t="s">
        <v>1731</v>
      </c>
      <c r="L121" s="36"/>
      <c r="M121" s="36"/>
      <c r="N121" s="36"/>
      <c r="O121" s="36"/>
      <c r="P121" s="36">
        <v>2000</v>
      </c>
      <c r="Q121" s="202" t="str">
        <f>IF($P121="","",IFERROR(VLOOKUP(UPPER(DEVICE_TABLE[[#This Row],[Site]])&amp;"/"&amp;DEVICE_TABLE[[#This Row],[VLAN]],NETWORKS_TABLE[],MATCH(Q$3,NETWORKS_TABLE[#Headers],0),FALSE),""))</f>
        <v>PCI</v>
      </c>
      <c r="R121" s="202" t="str">
        <f>IF($P121="","",IFERROR(VLOOKUP(UPPER(DEVICE_TABLE[[#This Row],[Site]])&amp;"/"&amp;DEVICE_TABLE[[#This Row],[VLAN]],NETWORKS_TABLE[],MATCH(R$3,NETWORKS_TABLE[#Headers],0),FALSE),""))</f>
        <v>10.224.11.0/24</v>
      </c>
      <c r="S121" s="36" t="s">
        <v>1733</v>
      </c>
      <c r="T121" s="36" t="s">
        <v>1734</v>
      </c>
    </row>
    <row r="122" spans="2:20">
      <c r="B122" s="36" t="s">
        <v>1735</v>
      </c>
      <c r="C122" s="36" t="s">
        <v>980</v>
      </c>
      <c r="D122" s="36" t="s">
        <v>1594</v>
      </c>
      <c r="E122" s="122" t="s">
        <v>1575</v>
      </c>
      <c r="F122" s="122" t="s">
        <v>57</v>
      </c>
      <c r="G122" s="36" t="s">
        <v>1576</v>
      </c>
      <c r="H122" s="36" t="s">
        <v>1716</v>
      </c>
      <c r="I122" s="36" t="s">
        <v>892</v>
      </c>
      <c r="J122" s="36" t="s">
        <v>1730</v>
      </c>
      <c r="K122" s="36" t="s">
        <v>1736</v>
      </c>
      <c r="L122" s="36"/>
      <c r="M122" s="36"/>
      <c r="N122" s="36"/>
      <c r="O122" s="36"/>
      <c r="P122" s="36">
        <v>4093</v>
      </c>
      <c r="Q122" s="202" t="str">
        <f>IF($P122="","",IFERROR(VLOOKUP(UPPER(DEVICE_TABLE[[#This Row],[Site]])&amp;"/"&amp;DEVICE_TABLE[[#This Row],[VLAN]],NETWORKS_TABLE[],MATCH(Q$3,NETWORKS_TABLE[#Headers],0),FALSE),""))</f>
        <v>DMZ1</v>
      </c>
      <c r="R122" s="202" t="str">
        <f>IF($P122="","",IFERROR(VLOOKUP(UPPER(DEVICE_TABLE[[#This Row],[Site]])&amp;"/"&amp;DEVICE_TABLE[[#This Row],[VLAN]],NETWORKS_TABLE[],MATCH(R$3,NETWORKS_TABLE[#Headers],0),FALSE),""))</f>
        <v>172.31.0.0/19</v>
      </c>
      <c r="S122" s="36" t="s">
        <v>1737</v>
      </c>
      <c r="T122" s="36" t="s">
        <v>1738</v>
      </c>
    </row>
    <row r="123" spans="2:20">
      <c r="B123" s="36" t="s">
        <v>1739</v>
      </c>
      <c r="C123" s="36" t="s">
        <v>1740</v>
      </c>
      <c r="D123" s="36" t="s">
        <v>1741</v>
      </c>
      <c r="E123" s="122" t="s">
        <v>1575</v>
      </c>
      <c r="F123" s="122" t="s">
        <v>57</v>
      </c>
      <c r="G123" s="36" t="s">
        <v>1576</v>
      </c>
      <c r="H123" s="36" t="s">
        <v>78</v>
      </c>
      <c r="I123" s="36" t="s">
        <v>1742</v>
      </c>
      <c r="J123" s="36" t="s">
        <v>1743</v>
      </c>
      <c r="K123" s="36" t="s">
        <v>78</v>
      </c>
      <c r="L123" s="36"/>
      <c r="M123" s="36"/>
      <c r="N123" s="36"/>
      <c r="O123" s="36"/>
      <c r="P123" s="36">
        <v>300</v>
      </c>
      <c r="Q123" s="202" t="str">
        <f>IF($P123="","",IFERROR(VLOOKUP(UPPER(DEVICE_TABLE[[#This Row],[Site]])&amp;"/"&amp;DEVICE_TABLE[[#This Row],[VLAN]],NETWORKS_TABLE[],MATCH(Q$3,NETWORKS_TABLE[#Headers],0),FALSE),""))</f>
        <v>SERVER</v>
      </c>
      <c r="R123" s="202" t="str">
        <f>IF($P123="","",IFERROR(VLOOKUP(UPPER(DEVICE_TABLE[[#This Row],[Site]])&amp;"/"&amp;DEVICE_TABLE[[#This Row],[VLAN]],NETWORKS_TABLE[],MATCH(R$3,NETWORKS_TABLE[#Headers],0),FALSE),""))</f>
        <v>10.224.100.0/24</v>
      </c>
      <c r="S123" s="36" t="s">
        <v>1745</v>
      </c>
      <c r="T123" s="36"/>
    </row>
    <row r="124" spans="2:20">
      <c r="B124" s="36" t="s">
        <v>1746</v>
      </c>
      <c r="C124" s="36" t="s">
        <v>1747</v>
      </c>
      <c r="D124" s="36" t="s">
        <v>1741</v>
      </c>
      <c r="E124" s="122" t="s">
        <v>1575</v>
      </c>
      <c r="F124" s="122" t="s">
        <v>57</v>
      </c>
      <c r="G124" s="36" t="s">
        <v>1576</v>
      </c>
      <c r="H124" s="36"/>
      <c r="I124" s="36" t="s">
        <v>1742</v>
      </c>
      <c r="J124" s="36" t="s">
        <v>1743</v>
      </c>
      <c r="K124" s="36" t="s">
        <v>78</v>
      </c>
      <c r="L124" s="36"/>
      <c r="M124" s="36"/>
      <c r="N124" s="36"/>
      <c r="O124" s="36"/>
      <c r="P124" s="36">
        <v>300</v>
      </c>
      <c r="Q124" s="202" t="str">
        <f>IF($P124="","",IFERROR(VLOOKUP(UPPER(DEVICE_TABLE[[#This Row],[Site]])&amp;"/"&amp;DEVICE_TABLE[[#This Row],[VLAN]],NETWORKS_TABLE[],MATCH(Q$3,NETWORKS_TABLE[#Headers],0),FALSE),""))</f>
        <v>SERVER</v>
      </c>
      <c r="R124" s="202" t="str">
        <f>IF($P124="","",IFERROR(VLOOKUP(UPPER(DEVICE_TABLE[[#This Row],[Site]])&amp;"/"&amp;DEVICE_TABLE[[#This Row],[VLAN]],NETWORKS_TABLE[],MATCH(R$3,NETWORKS_TABLE[#Headers],0),FALSE),""))</f>
        <v>10.224.100.0/24</v>
      </c>
      <c r="S124" s="36" t="s">
        <v>1749</v>
      </c>
      <c r="T124" s="36"/>
    </row>
    <row r="125" spans="2:20">
      <c r="B125" s="36" t="s">
        <v>2771</v>
      </c>
      <c r="C125" s="36" t="s">
        <v>1689</v>
      </c>
      <c r="D125" s="36" t="s">
        <v>2773</v>
      </c>
      <c r="E125" s="122" t="s">
        <v>1575</v>
      </c>
      <c r="F125" s="122" t="s">
        <v>57</v>
      </c>
      <c r="G125" s="36" t="s">
        <v>1576</v>
      </c>
      <c r="H125" s="36" t="s">
        <v>78</v>
      </c>
      <c r="I125" s="36" t="s">
        <v>2783</v>
      </c>
      <c r="J125" s="36"/>
      <c r="K125" s="36" t="s">
        <v>78</v>
      </c>
      <c r="L125" s="36"/>
      <c r="M125" s="36"/>
      <c r="N125" s="36"/>
      <c r="O125" s="36"/>
      <c r="P125" s="36">
        <v>220</v>
      </c>
      <c r="Q125" s="202" t="str">
        <f>IF($P125="","",IFERROR(VLOOKUP(UPPER(DEVICE_TABLE[[#This Row],[Site]])&amp;"/"&amp;DEVICE_TABLE[[#This Row],[VLAN]],NETWORKS_TABLE[],MATCH(Q$3,NETWORKS_TABLE[#Headers],0),FALSE),""))</f>
        <v>VIRTUALMGNT</v>
      </c>
      <c r="R125" s="202" t="str">
        <f>IF($P125="","",IFERROR(VLOOKUP(UPPER(DEVICE_TABLE[[#This Row],[Site]])&amp;"/"&amp;DEVICE_TABLE[[#This Row],[VLAN]],NETWORKS_TABLE[],MATCH(R$3,NETWORKS_TABLE[#Headers],0),FALSE),""))</f>
        <v>10.224.20.0/24</v>
      </c>
      <c r="S125" s="36" t="s">
        <v>2776</v>
      </c>
      <c r="T125" s="36"/>
    </row>
    <row r="126" spans="2:20">
      <c r="B126" s="36" t="s">
        <v>2893</v>
      </c>
      <c r="C126" s="36" t="s">
        <v>2894</v>
      </c>
      <c r="D126" s="36" t="s">
        <v>2894</v>
      </c>
      <c r="E126" s="122" t="s">
        <v>1575</v>
      </c>
      <c r="F126" s="122" t="s">
        <v>57</v>
      </c>
      <c r="G126" s="36" t="s">
        <v>1576</v>
      </c>
      <c r="H126" s="36" t="s">
        <v>78</v>
      </c>
      <c r="I126" s="36" t="s">
        <v>2895</v>
      </c>
      <c r="J126" s="36"/>
      <c r="K126" s="36" t="s">
        <v>78</v>
      </c>
      <c r="L126" s="36"/>
      <c r="M126" s="36"/>
      <c r="N126" s="36"/>
      <c r="O126" s="36"/>
      <c r="P126" s="36">
        <v>3257</v>
      </c>
      <c r="Q126" s="202" t="s">
        <v>2500</v>
      </c>
      <c r="R126" s="202" t="s">
        <v>2897</v>
      </c>
      <c r="S126" s="36" t="s">
        <v>2896</v>
      </c>
      <c r="T126" s="36" t="s">
        <v>2898</v>
      </c>
    </row>
    <row r="127" spans="2:20">
      <c r="B127" s="209" t="s">
        <v>2901</v>
      </c>
      <c r="C127" s="36" t="s">
        <v>149</v>
      </c>
      <c r="D127" s="36" t="s">
        <v>1741</v>
      </c>
      <c r="E127" s="122" t="s">
        <v>1575</v>
      </c>
      <c r="F127" s="122" t="s">
        <v>57</v>
      </c>
      <c r="G127" s="36" t="s">
        <v>1576</v>
      </c>
      <c r="H127" s="36" t="s">
        <v>78</v>
      </c>
      <c r="I127" s="209" t="s">
        <v>2674</v>
      </c>
      <c r="J127" s="36"/>
      <c r="K127" s="36" t="s">
        <v>78</v>
      </c>
      <c r="L127" s="36"/>
      <c r="M127" s="36"/>
      <c r="N127" s="36"/>
      <c r="O127" s="36"/>
      <c r="P127" s="36">
        <v>201</v>
      </c>
      <c r="Q127" s="202" t="str">
        <f>IF($P127="","",IFERROR(VLOOKUP(UPPER(DEVICE_TABLE[[#This Row],[Site]])&amp;"/"&amp;DEVICE_TABLE[[#This Row],[VLAN]],NETWORKS_TABLE[],MATCH(Q$3,NETWORKS_TABLE[#Headers],0),FALSE),""))</f>
        <v>VOICE201</v>
      </c>
      <c r="R127" s="202" t="str">
        <f>IF($P127="","",IFERROR(VLOOKUP(UPPER(DEVICE_TABLE[[#This Row],[Site]])&amp;"/"&amp;DEVICE_TABLE[[#This Row],[VLAN]],NETWORKS_TABLE[],MATCH(R$3,NETWORKS_TABLE[#Headers],0),FALSE),""))</f>
        <v>10.224.1.0/25</v>
      </c>
      <c r="S127" s="36" t="s">
        <v>78</v>
      </c>
      <c r="T127" s="209" t="s">
        <v>2903</v>
      </c>
    </row>
    <row r="128" spans="2:20">
      <c r="B128" s="209" t="s">
        <v>2902</v>
      </c>
      <c r="C128" s="36" t="s">
        <v>149</v>
      </c>
      <c r="D128" s="36" t="s">
        <v>1741</v>
      </c>
      <c r="E128" s="122" t="s">
        <v>1575</v>
      </c>
      <c r="F128" s="122" t="s">
        <v>57</v>
      </c>
      <c r="G128" s="36" t="s">
        <v>1576</v>
      </c>
      <c r="H128" s="36" t="s">
        <v>78</v>
      </c>
      <c r="I128" s="209" t="s">
        <v>2674</v>
      </c>
      <c r="J128" s="36"/>
      <c r="K128" s="36" t="s">
        <v>78</v>
      </c>
      <c r="L128" s="36"/>
      <c r="M128" s="36"/>
      <c r="N128" s="36"/>
      <c r="O128" s="36"/>
      <c r="P128" s="36">
        <v>201</v>
      </c>
      <c r="Q128" s="202" t="str">
        <f>IF($P128="","",IFERROR(VLOOKUP(UPPER(DEVICE_TABLE[[#This Row],[Site]])&amp;"/"&amp;DEVICE_TABLE[[#This Row],[VLAN]],NETWORKS_TABLE[],MATCH(Q$3,NETWORKS_TABLE[#Headers],0),FALSE),""))</f>
        <v>VOICE201</v>
      </c>
      <c r="R128" s="202" t="str">
        <f>IF($P128="","",IFERROR(VLOOKUP(UPPER(DEVICE_TABLE[[#This Row],[Site]])&amp;"/"&amp;DEVICE_TABLE[[#This Row],[VLAN]],NETWORKS_TABLE[],MATCH(R$3,NETWORKS_TABLE[#Headers],0),FALSE),""))</f>
        <v>10.224.1.0/25</v>
      </c>
      <c r="S128" s="36" t="s">
        <v>78</v>
      </c>
      <c r="T128" s="209" t="s">
        <v>2903</v>
      </c>
    </row>
    <row r="129" spans="2:20">
      <c r="B129" s="209" t="s">
        <v>2908</v>
      </c>
      <c r="C129" s="209" t="s">
        <v>149</v>
      </c>
      <c r="D129" s="209" t="s">
        <v>1741</v>
      </c>
      <c r="E129" s="122" t="s">
        <v>1575</v>
      </c>
      <c r="F129" s="122" t="s">
        <v>57</v>
      </c>
      <c r="G129" s="209" t="s">
        <v>1576</v>
      </c>
      <c r="H129" s="36" t="s">
        <v>78</v>
      </c>
      <c r="I129" s="209" t="s">
        <v>2674</v>
      </c>
      <c r="J129" s="36"/>
      <c r="K129" s="36" t="s">
        <v>78</v>
      </c>
      <c r="L129" s="36"/>
      <c r="M129" s="36"/>
      <c r="N129" s="36"/>
      <c r="O129" s="36"/>
      <c r="P129" s="36">
        <v>220</v>
      </c>
      <c r="Q129" s="202" t="str">
        <f>IF($P129="","",IFERROR(VLOOKUP(UPPER(DEVICE_TABLE[[#This Row],[Site]])&amp;"/"&amp;DEVICE_TABLE[[#This Row],[VLAN]],NETWORKS_TABLE[],MATCH(Q$3,NETWORKS_TABLE[#Headers],0),FALSE),""))</f>
        <v>VIRTUALMGNT</v>
      </c>
      <c r="R129" s="202" t="str">
        <f>IF($P129="","",IFERROR(VLOOKUP(UPPER(DEVICE_TABLE[[#This Row],[Site]])&amp;"/"&amp;DEVICE_TABLE[[#This Row],[VLAN]],NETWORKS_TABLE[],MATCH(R$3,NETWORKS_TABLE[#Headers],0),FALSE),""))</f>
        <v>10.224.20.0/24</v>
      </c>
      <c r="S129" s="36" t="s">
        <v>78</v>
      </c>
      <c r="T129" s="209" t="s">
        <v>2907</v>
      </c>
    </row>
    <row r="130" spans="2:20">
      <c r="B130" s="209" t="s">
        <v>2908</v>
      </c>
      <c r="C130" s="209" t="s">
        <v>149</v>
      </c>
      <c r="D130" s="209" t="s">
        <v>1741</v>
      </c>
      <c r="E130" s="122" t="s">
        <v>1575</v>
      </c>
      <c r="F130" s="122" t="s">
        <v>57</v>
      </c>
      <c r="G130" s="209" t="s">
        <v>1576</v>
      </c>
      <c r="H130" s="36" t="s">
        <v>78</v>
      </c>
      <c r="I130" s="209" t="s">
        <v>2674</v>
      </c>
      <c r="J130" s="36"/>
      <c r="K130" s="36" t="s">
        <v>78</v>
      </c>
      <c r="L130" s="36"/>
      <c r="M130" s="36"/>
      <c r="N130" s="36"/>
      <c r="O130" s="36"/>
      <c r="P130" s="36">
        <v>220</v>
      </c>
      <c r="Q130" s="202" t="str">
        <f>IF($P130="","",IFERROR(VLOOKUP(UPPER(DEVICE_TABLE[[#This Row],[Site]])&amp;"/"&amp;DEVICE_TABLE[[#This Row],[VLAN]],NETWORKS_TABLE[],MATCH(Q$3,NETWORKS_TABLE[#Headers],0),FALSE),""))</f>
        <v>VIRTUALMGNT</v>
      </c>
      <c r="R130" s="202" t="str">
        <f>IF($P130="","",IFERROR(VLOOKUP(UPPER(DEVICE_TABLE[[#This Row],[Site]])&amp;"/"&amp;DEVICE_TABLE[[#This Row],[VLAN]],NETWORKS_TABLE[],MATCH(R$3,NETWORKS_TABLE[#Headers],0),FALSE),""))</f>
        <v>10.224.20.0/24</v>
      </c>
      <c r="S130" s="36" t="s">
        <v>78</v>
      </c>
      <c r="T130" s="209" t="s">
        <v>2907</v>
      </c>
    </row>
    <row r="131" spans="2:20">
      <c r="B131" s="209" t="s">
        <v>2909</v>
      </c>
      <c r="C131" s="209" t="s">
        <v>149</v>
      </c>
      <c r="D131" s="209" t="s">
        <v>1741</v>
      </c>
      <c r="E131" s="122" t="s">
        <v>1575</v>
      </c>
      <c r="F131" s="122" t="s">
        <v>57</v>
      </c>
      <c r="G131" s="209" t="s">
        <v>1576</v>
      </c>
      <c r="H131" s="36" t="s">
        <v>78</v>
      </c>
      <c r="I131" s="209" t="s">
        <v>2674</v>
      </c>
      <c r="J131" s="36"/>
      <c r="K131" s="36" t="s">
        <v>78</v>
      </c>
      <c r="L131" s="36"/>
      <c r="M131" s="36"/>
      <c r="N131" s="36"/>
      <c r="O131" s="36"/>
      <c r="P131" s="36">
        <v>201</v>
      </c>
      <c r="Q131" s="202" t="str">
        <f>IF($P131="","",IFERROR(VLOOKUP(UPPER(DEVICE_TABLE[[#This Row],[Site]])&amp;"/"&amp;DEVICE_TABLE[[#This Row],[VLAN]],NETWORKS_TABLE[],MATCH(Q$3,NETWORKS_TABLE[#Headers],0),FALSE),""))</f>
        <v>VOICE201</v>
      </c>
      <c r="R131" s="202" t="str">
        <f>IF($P131="","",IFERROR(VLOOKUP(UPPER(DEVICE_TABLE[[#This Row],[Site]])&amp;"/"&amp;DEVICE_TABLE[[#This Row],[VLAN]],NETWORKS_TABLE[],MATCH(R$3,NETWORKS_TABLE[#Headers],0),FALSE),""))</f>
        <v>10.224.1.0/25</v>
      </c>
      <c r="S131" s="36" t="s">
        <v>78</v>
      </c>
      <c r="T131" s="209" t="s">
        <v>2910</v>
      </c>
    </row>
    <row r="132" spans="2:20">
      <c r="B132" s="209" t="s">
        <v>2909</v>
      </c>
      <c r="C132" s="209" t="s">
        <v>149</v>
      </c>
      <c r="D132" s="209" t="s">
        <v>1741</v>
      </c>
      <c r="E132" s="122" t="s">
        <v>1575</v>
      </c>
      <c r="F132" s="122" t="s">
        <v>57</v>
      </c>
      <c r="G132" s="209" t="s">
        <v>1576</v>
      </c>
      <c r="H132" s="36" t="s">
        <v>78</v>
      </c>
      <c r="I132" s="209" t="s">
        <v>2674</v>
      </c>
      <c r="J132" s="36"/>
      <c r="K132" s="36" t="s">
        <v>78</v>
      </c>
      <c r="L132" s="36"/>
      <c r="M132" s="36"/>
      <c r="N132" s="36"/>
      <c r="O132" s="36"/>
      <c r="P132" s="36">
        <v>201</v>
      </c>
      <c r="Q132" s="202" t="str">
        <f>IF($P132="","",IFERROR(VLOOKUP(UPPER(DEVICE_TABLE[[#This Row],[Site]])&amp;"/"&amp;DEVICE_TABLE[[#This Row],[VLAN]],NETWORKS_TABLE[],MATCH(Q$3,NETWORKS_TABLE[#Headers],0),FALSE),""))</f>
        <v>VOICE201</v>
      </c>
      <c r="R132" s="202" t="str">
        <f>IF($P132="","",IFERROR(VLOOKUP(UPPER(DEVICE_TABLE[[#This Row],[Site]])&amp;"/"&amp;DEVICE_TABLE[[#This Row],[VLAN]],NETWORKS_TABLE[],MATCH(R$3,NETWORKS_TABLE[#Headers],0),FALSE),""))</f>
        <v>10.224.1.0/25</v>
      </c>
      <c r="S132" s="36" t="s">
        <v>78</v>
      </c>
      <c r="T132" s="209" t="s">
        <v>2910</v>
      </c>
    </row>
    <row r="133" spans="2:20">
      <c r="B133" s="209" t="s">
        <v>2909</v>
      </c>
      <c r="C133" s="209" t="s">
        <v>149</v>
      </c>
      <c r="D133" s="209" t="s">
        <v>1741</v>
      </c>
      <c r="E133" s="122" t="s">
        <v>1575</v>
      </c>
      <c r="F133" s="122" t="s">
        <v>57</v>
      </c>
      <c r="G133" s="209" t="s">
        <v>1576</v>
      </c>
      <c r="H133" s="36" t="s">
        <v>78</v>
      </c>
      <c r="I133" s="209" t="s">
        <v>2674</v>
      </c>
      <c r="J133" s="36"/>
      <c r="K133" s="36" t="s">
        <v>78</v>
      </c>
      <c r="L133" s="36"/>
      <c r="M133" s="36"/>
      <c r="N133" s="36"/>
      <c r="O133" s="36"/>
      <c r="P133" s="36">
        <v>201</v>
      </c>
      <c r="Q133" s="202" t="str">
        <f>IF($P133="","",IFERROR(VLOOKUP(UPPER(DEVICE_TABLE[[#This Row],[Site]])&amp;"/"&amp;DEVICE_TABLE[[#This Row],[VLAN]],NETWORKS_TABLE[],MATCH(Q$3,NETWORKS_TABLE[#Headers],0),FALSE),""))</f>
        <v>VOICE201</v>
      </c>
      <c r="R133" s="202" t="str">
        <f>IF($P133="","",IFERROR(VLOOKUP(UPPER(DEVICE_TABLE[[#This Row],[Site]])&amp;"/"&amp;DEVICE_TABLE[[#This Row],[VLAN]],NETWORKS_TABLE[],MATCH(R$3,NETWORKS_TABLE[#Headers],0),FALSE),""))</f>
        <v>10.224.1.0/25</v>
      </c>
      <c r="S133" s="36" t="s">
        <v>78</v>
      </c>
      <c r="T133" s="209" t="s">
        <v>2910</v>
      </c>
    </row>
    <row r="134" spans="2:20">
      <c r="B134" s="209" t="s">
        <v>2909</v>
      </c>
      <c r="C134" s="209" t="s">
        <v>149</v>
      </c>
      <c r="D134" s="209" t="s">
        <v>1741</v>
      </c>
      <c r="E134" s="122" t="s">
        <v>1575</v>
      </c>
      <c r="F134" s="122" t="s">
        <v>57</v>
      </c>
      <c r="G134" s="209" t="s">
        <v>1576</v>
      </c>
      <c r="H134" s="36" t="s">
        <v>78</v>
      </c>
      <c r="I134" s="209" t="s">
        <v>2674</v>
      </c>
      <c r="J134" s="36"/>
      <c r="K134" s="36" t="s">
        <v>78</v>
      </c>
      <c r="L134" s="36"/>
      <c r="M134" s="36"/>
      <c r="N134" s="36"/>
      <c r="O134" s="36"/>
      <c r="P134" s="36">
        <v>201</v>
      </c>
      <c r="Q134" s="202" t="str">
        <f>IF($P134="","",IFERROR(VLOOKUP(UPPER(DEVICE_TABLE[[#This Row],[Site]])&amp;"/"&amp;DEVICE_TABLE[[#This Row],[VLAN]],NETWORKS_TABLE[],MATCH(Q$3,NETWORKS_TABLE[#Headers],0),FALSE),""))</f>
        <v>VOICE201</v>
      </c>
      <c r="R134" s="202" t="str">
        <f>IF($P134="","",IFERROR(VLOOKUP(UPPER(DEVICE_TABLE[[#This Row],[Site]])&amp;"/"&amp;DEVICE_TABLE[[#This Row],[VLAN]],NETWORKS_TABLE[],MATCH(R$3,NETWORKS_TABLE[#Headers],0),FALSE),""))</f>
        <v>10.224.1.0/25</v>
      </c>
      <c r="S134" s="36" t="s">
        <v>78</v>
      </c>
      <c r="T134" s="209" t="s">
        <v>2910</v>
      </c>
    </row>
    <row r="135" spans="2:20">
      <c r="B135" s="209" t="s">
        <v>2926</v>
      </c>
      <c r="C135" s="209" t="s">
        <v>149</v>
      </c>
      <c r="D135" s="209" t="s">
        <v>1741</v>
      </c>
      <c r="E135" s="122" t="s">
        <v>1575</v>
      </c>
      <c r="F135" s="122" t="s">
        <v>57</v>
      </c>
      <c r="G135" s="209" t="s">
        <v>1578</v>
      </c>
      <c r="H135" s="36" t="s">
        <v>78</v>
      </c>
      <c r="I135" s="209" t="s">
        <v>2674</v>
      </c>
      <c r="J135" s="36"/>
      <c r="K135" s="36" t="s">
        <v>78</v>
      </c>
      <c r="L135" s="36"/>
      <c r="M135" s="36"/>
      <c r="N135" s="36"/>
      <c r="O135" s="36"/>
      <c r="P135" s="36">
        <v>220</v>
      </c>
      <c r="Q135" s="202" t="str">
        <f>IF($P135="","",IFERROR(VLOOKUP(UPPER(DEVICE_TABLE[[#This Row],[Site]])&amp;"/"&amp;DEVICE_TABLE[[#This Row],[VLAN]],NETWORKS_TABLE[],MATCH(Q$3,NETWORKS_TABLE[#Headers],0),FALSE),""))</f>
        <v>VIRTUALMGNT</v>
      </c>
      <c r="R135" s="202" t="str">
        <f>IF($P135="","",IFERROR(VLOOKUP(UPPER(DEVICE_TABLE[[#This Row],[Site]])&amp;"/"&amp;DEVICE_TABLE[[#This Row],[VLAN]],NETWORKS_TABLE[],MATCH(R$3,NETWORKS_TABLE[#Headers],0),FALSE),""))</f>
        <v>10.224.20.0/24</v>
      </c>
      <c r="S135" s="36" t="s">
        <v>78</v>
      </c>
      <c r="T135" s="36"/>
    </row>
    <row r="136" spans="2:20">
      <c r="B136" s="209" t="s">
        <v>2926</v>
      </c>
      <c r="C136" s="209" t="s">
        <v>149</v>
      </c>
      <c r="D136" s="209" t="s">
        <v>1741</v>
      </c>
      <c r="E136" s="122" t="s">
        <v>1575</v>
      </c>
      <c r="F136" s="122" t="s">
        <v>57</v>
      </c>
      <c r="G136" s="209" t="s">
        <v>1578</v>
      </c>
      <c r="H136" s="36" t="s">
        <v>78</v>
      </c>
      <c r="I136" s="209" t="s">
        <v>2674</v>
      </c>
      <c r="J136" s="36"/>
      <c r="K136" s="36" t="s">
        <v>78</v>
      </c>
      <c r="L136" s="36"/>
      <c r="M136" s="36"/>
      <c r="N136" s="36"/>
      <c r="O136" s="36"/>
      <c r="P136" s="36">
        <v>220</v>
      </c>
      <c r="Q136" s="202" t="str">
        <f>IF($P136="","",IFERROR(VLOOKUP(UPPER(DEVICE_TABLE[[#This Row],[Site]])&amp;"/"&amp;DEVICE_TABLE[[#This Row],[VLAN]],NETWORKS_TABLE[],MATCH(Q$3,NETWORKS_TABLE[#Headers],0),FALSE),""))</f>
        <v>VIRTUALMGNT</v>
      </c>
      <c r="R136" s="202" t="str">
        <f>IF($P136="","",IFERROR(VLOOKUP(UPPER(DEVICE_TABLE[[#This Row],[Site]])&amp;"/"&amp;DEVICE_TABLE[[#This Row],[VLAN]],NETWORKS_TABLE[],MATCH(R$3,NETWORKS_TABLE[#Headers],0),FALSE),""))</f>
        <v>10.224.20.0/24</v>
      </c>
      <c r="S136" s="36" t="s">
        <v>78</v>
      </c>
      <c r="T136" s="36"/>
    </row>
    <row r="137" spans="2:20">
      <c r="B137" s="209" t="s">
        <v>2927</v>
      </c>
      <c r="C137" s="209" t="s">
        <v>149</v>
      </c>
      <c r="D137" s="209" t="s">
        <v>1741</v>
      </c>
      <c r="E137" s="122" t="s">
        <v>1575</v>
      </c>
      <c r="F137" s="122" t="s">
        <v>57</v>
      </c>
      <c r="G137" s="209" t="s">
        <v>1578</v>
      </c>
      <c r="H137" s="36" t="s">
        <v>78</v>
      </c>
      <c r="I137" s="209" t="s">
        <v>2674</v>
      </c>
      <c r="J137" s="36"/>
      <c r="K137" s="36" t="s">
        <v>78</v>
      </c>
      <c r="L137" s="36"/>
      <c r="M137" s="36"/>
      <c r="N137" s="36"/>
      <c r="O137" s="36"/>
      <c r="P137" s="36">
        <v>201</v>
      </c>
      <c r="Q137" s="202" t="str">
        <f>IF($P137="","",IFERROR(VLOOKUP(UPPER(DEVICE_TABLE[[#This Row],[Site]])&amp;"/"&amp;DEVICE_TABLE[[#This Row],[VLAN]],NETWORKS_TABLE[],MATCH(Q$3,NETWORKS_TABLE[#Headers],0),FALSE),""))</f>
        <v>VOICE201</v>
      </c>
      <c r="R137" s="202" t="str">
        <f>IF($P137="","",IFERROR(VLOOKUP(UPPER(DEVICE_TABLE[[#This Row],[Site]])&amp;"/"&amp;DEVICE_TABLE[[#This Row],[VLAN]],NETWORKS_TABLE[],MATCH(R$3,NETWORKS_TABLE[#Headers],0),FALSE),""))</f>
        <v>10.224.1.0/25</v>
      </c>
      <c r="S137" s="36" t="s">
        <v>78</v>
      </c>
      <c r="T137" s="36"/>
    </row>
    <row r="138" spans="2:20">
      <c r="B138" s="209" t="s">
        <v>2927</v>
      </c>
      <c r="C138" s="209" t="s">
        <v>149</v>
      </c>
      <c r="D138" s="209" t="s">
        <v>1741</v>
      </c>
      <c r="E138" s="122" t="s">
        <v>1575</v>
      </c>
      <c r="F138" s="122" t="s">
        <v>57</v>
      </c>
      <c r="G138" s="209" t="s">
        <v>1578</v>
      </c>
      <c r="H138" s="36" t="s">
        <v>78</v>
      </c>
      <c r="I138" s="209" t="s">
        <v>2674</v>
      </c>
      <c r="J138" s="36"/>
      <c r="K138" s="36" t="s">
        <v>78</v>
      </c>
      <c r="L138" s="36"/>
      <c r="M138" s="36"/>
      <c r="N138" s="36"/>
      <c r="O138" s="36"/>
      <c r="P138" s="36">
        <v>201</v>
      </c>
      <c r="Q138" s="202" t="str">
        <f>IF($P138="","",IFERROR(VLOOKUP(UPPER(DEVICE_TABLE[[#This Row],[Site]])&amp;"/"&amp;DEVICE_TABLE[[#This Row],[VLAN]],NETWORKS_TABLE[],MATCH(Q$3,NETWORKS_TABLE[#Headers],0),FALSE),""))</f>
        <v>VOICE201</v>
      </c>
      <c r="R138" s="202" t="str">
        <f>IF($P138="","",IFERROR(VLOOKUP(UPPER(DEVICE_TABLE[[#This Row],[Site]])&amp;"/"&amp;DEVICE_TABLE[[#This Row],[VLAN]],NETWORKS_TABLE[],MATCH(R$3,NETWORKS_TABLE[#Headers],0),FALSE),""))</f>
        <v>10.224.1.0/25</v>
      </c>
      <c r="S138" s="36" t="s">
        <v>78</v>
      </c>
      <c r="T138" s="36"/>
    </row>
    <row r="139" spans="2:20">
      <c r="B139" s="209" t="s">
        <v>2927</v>
      </c>
      <c r="C139" s="209" t="s">
        <v>149</v>
      </c>
      <c r="D139" s="209" t="s">
        <v>1741</v>
      </c>
      <c r="E139" s="122" t="s">
        <v>1575</v>
      </c>
      <c r="F139" s="122" t="s">
        <v>57</v>
      </c>
      <c r="G139" s="209" t="s">
        <v>1578</v>
      </c>
      <c r="H139" s="36" t="s">
        <v>78</v>
      </c>
      <c r="I139" s="209" t="s">
        <v>2674</v>
      </c>
      <c r="J139" s="36"/>
      <c r="K139" s="36" t="s">
        <v>78</v>
      </c>
      <c r="L139" s="36"/>
      <c r="M139" s="36"/>
      <c r="N139" s="36"/>
      <c r="O139" s="36"/>
      <c r="P139" s="36">
        <v>201</v>
      </c>
      <c r="Q139" s="202" t="str">
        <f>IF($P139="","",IFERROR(VLOOKUP(UPPER(DEVICE_TABLE[[#This Row],[Site]])&amp;"/"&amp;DEVICE_TABLE[[#This Row],[VLAN]],NETWORKS_TABLE[],MATCH(Q$3,NETWORKS_TABLE[#Headers],0),FALSE),""))</f>
        <v>VOICE201</v>
      </c>
      <c r="R139" s="202" t="str">
        <f>IF($P139="","",IFERROR(VLOOKUP(UPPER(DEVICE_TABLE[[#This Row],[Site]])&amp;"/"&amp;DEVICE_TABLE[[#This Row],[VLAN]],NETWORKS_TABLE[],MATCH(R$3,NETWORKS_TABLE[#Headers],0),FALSE),""))</f>
        <v>10.224.1.0/25</v>
      </c>
      <c r="S139" s="36" t="s">
        <v>78</v>
      </c>
      <c r="T139" s="36"/>
    </row>
    <row r="140" spans="2:20">
      <c r="B140" s="209" t="s">
        <v>2927</v>
      </c>
      <c r="C140" s="209" t="s">
        <v>149</v>
      </c>
      <c r="D140" s="209" t="s">
        <v>1741</v>
      </c>
      <c r="E140" s="122" t="s">
        <v>1575</v>
      </c>
      <c r="F140" s="122" t="s">
        <v>57</v>
      </c>
      <c r="G140" s="209" t="s">
        <v>1578</v>
      </c>
      <c r="H140" s="36" t="s">
        <v>78</v>
      </c>
      <c r="I140" s="209" t="s">
        <v>2674</v>
      </c>
      <c r="J140" s="36"/>
      <c r="K140" s="36" t="s">
        <v>78</v>
      </c>
      <c r="L140" s="36"/>
      <c r="M140" s="36"/>
      <c r="N140" s="36"/>
      <c r="O140" s="36"/>
      <c r="P140" s="36">
        <v>201</v>
      </c>
      <c r="Q140" s="202" t="str">
        <f>IF($P140="","",IFERROR(VLOOKUP(UPPER(DEVICE_TABLE[[#This Row],[Site]])&amp;"/"&amp;DEVICE_TABLE[[#This Row],[VLAN]],NETWORKS_TABLE[],MATCH(Q$3,NETWORKS_TABLE[#Headers],0),FALSE),""))</f>
        <v>VOICE201</v>
      </c>
      <c r="R140" s="202" t="str">
        <f>IF($P140="","",IFERROR(VLOOKUP(UPPER(DEVICE_TABLE[[#This Row],[Site]])&amp;"/"&amp;DEVICE_TABLE[[#This Row],[VLAN]],NETWORKS_TABLE[],MATCH(R$3,NETWORKS_TABLE[#Headers],0),FALSE),""))</f>
        <v>10.224.1.0/25</v>
      </c>
      <c r="S140" s="36" t="s">
        <v>78</v>
      </c>
      <c r="T140" s="36"/>
    </row>
    <row r="141" spans="2:20">
      <c r="B141" s="36" t="s">
        <v>2938</v>
      </c>
      <c r="C141" s="36" t="s">
        <v>149</v>
      </c>
      <c r="D141" s="36" t="s">
        <v>1741</v>
      </c>
      <c r="E141" s="122" t="s">
        <v>1575</v>
      </c>
      <c r="F141" s="122" t="s">
        <v>57</v>
      </c>
      <c r="G141" s="36" t="s">
        <v>1576</v>
      </c>
      <c r="H141" s="36" t="s">
        <v>78</v>
      </c>
      <c r="I141" s="36" t="s">
        <v>2674</v>
      </c>
      <c r="J141" s="36"/>
      <c r="K141" s="36" t="s">
        <v>78</v>
      </c>
      <c r="L141" s="36"/>
      <c r="M141" s="36"/>
      <c r="N141" s="36"/>
      <c r="O141" s="36"/>
      <c r="P141" s="36">
        <v>220</v>
      </c>
      <c r="Q141" s="202" t="str">
        <f>IF($P141="","",IFERROR(VLOOKUP(UPPER(DEVICE_TABLE[[#This Row],[Site]])&amp;"/"&amp;DEVICE_TABLE[[#This Row],[VLAN]],NETWORKS_TABLE[],MATCH(Q$3,NETWORKS_TABLE[#Headers],0),FALSE),""))</f>
        <v>VIRTUALMGNT</v>
      </c>
      <c r="R141" s="202" t="str">
        <f>IF($P141="","",IFERROR(VLOOKUP(UPPER(DEVICE_TABLE[[#This Row],[Site]])&amp;"/"&amp;DEVICE_TABLE[[#This Row],[VLAN]],NETWORKS_TABLE[],MATCH(R$3,NETWORKS_TABLE[#Headers],0),FALSE),""))</f>
        <v>10.224.20.0/24</v>
      </c>
      <c r="S141" s="36" t="s">
        <v>78</v>
      </c>
      <c r="T141" s="36" t="s">
        <v>2939</v>
      </c>
    </row>
    <row r="142" spans="2:20">
      <c r="B142" s="36" t="s">
        <v>2945</v>
      </c>
      <c r="C142" s="36" t="s">
        <v>149</v>
      </c>
      <c r="D142" s="36" t="s">
        <v>1741</v>
      </c>
      <c r="E142" s="122" t="s">
        <v>1575</v>
      </c>
      <c r="F142" s="122" t="s">
        <v>57</v>
      </c>
      <c r="G142" s="36" t="s">
        <v>1576</v>
      </c>
      <c r="H142" s="36" t="s">
        <v>78</v>
      </c>
      <c r="I142" s="36"/>
      <c r="J142" s="36"/>
      <c r="K142" s="36" t="s">
        <v>78</v>
      </c>
      <c r="L142" s="36"/>
      <c r="M142" s="36"/>
      <c r="N142" s="36"/>
      <c r="O142" s="36"/>
      <c r="P142" s="36">
        <v>8</v>
      </c>
      <c r="Q142" s="202" t="str">
        <f>IF($P142="","",IFERROR(VLOOKUP(UPPER(DEVICE_TABLE[[#This Row],[Site]])&amp;"/"&amp;DEVICE_TABLE[[#This Row],[VLAN]],NETWORKS_TABLE[],MATCH(Q$3,NETWORKS_TABLE[#Headers],0),FALSE),""))</f>
        <v>LEGACY08</v>
      </c>
      <c r="R142" s="202" t="str">
        <f>IF($P142="","",IFERROR(VLOOKUP(UPPER(DEVICE_TABLE[[#This Row],[Site]])&amp;"/"&amp;DEVICE_TABLE[[#This Row],[VLAN]],NETWORKS_TABLE[],MATCH(R$3,NETWORKS_TABLE[#Headers],0),FALSE),""))</f>
        <v>172.16.8.0/22</v>
      </c>
      <c r="S142" s="36" t="s">
        <v>78</v>
      </c>
      <c r="T142" s="36" t="s">
        <v>2943</v>
      </c>
    </row>
    <row r="143" spans="2:20">
      <c r="B143" s="36" t="s">
        <v>2946</v>
      </c>
      <c r="C143" s="36" t="s">
        <v>149</v>
      </c>
      <c r="D143" s="36" t="s">
        <v>1741</v>
      </c>
      <c r="E143" s="122" t="s">
        <v>1575</v>
      </c>
      <c r="F143" s="122" t="s">
        <v>57</v>
      </c>
      <c r="G143" s="36" t="s">
        <v>1576</v>
      </c>
      <c r="H143" s="36" t="s">
        <v>78</v>
      </c>
      <c r="I143" s="36"/>
      <c r="J143" s="36"/>
      <c r="K143" s="36" t="s">
        <v>78</v>
      </c>
      <c r="L143" s="36"/>
      <c r="M143" s="36"/>
      <c r="N143" s="36"/>
      <c r="O143" s="36"/>
      <c r="P143" s="36">
        <v>8</v>
      </c>
      <c r="Q143" s="202" t="str">
        <f>IF($P143="","",IFERROR(VLOOKUP(UPPER(DEVICE_TABLE[[#This Row],[Site]])&amp;"/"&amp;DEVICE_TABLE[[#This Row],[VLAN]],NETWORKS_TABLE[],MATCH(Q$3,NETWORKS_TABLE[#Headers],0),FALSE),""))</f>
        <v>LEGACY08</v>
      </c>
      <c r="R143" s="202" t="str">
        <f>IF($P143="","",IFERROR(VLOOKUP(UPPER(DEVICE_TABLE[[#This Row],[Site]])&amp;"/"&amp;DEVICE_TABLE[[#This Row],[VLAN]],NETWORKS_TABLE[],MATCH(R$3,NETWORKS_TABLE[#Headers],0),FALSE),""))</f>
        <v>172.16.8.0/22</v>
      </c>
      <c r="S143" s="36" t="s">
        <v>78</v>
      </c>
      <c r="T143" s="36" t="s">
        <v>2944</v>
      </c>
    </row>
    <row r="144" spans="2:20">
      <c r="B144" s="36" t="s">
        <v>2719</v>
      </c>
      <c r="C144" s="36" t="s">
        <v>149</v>
      </c>
      <c r="D144" s="36" t="s">
        <v>1741</v>
      </c>
      <c r="E144" s="122" t="s">
        <v>1575</v>
      </c>
      <c r="F144" s="122" t="s">
        <v>57</v>
      </c>
      <c r="G144" s="36" t="s">
        <v>1576</v>
      </c>
      <c r="H144" s="36" t="s">
        <v>78</v>
      </c>
      <c r="I144" s="36"/>
      <c r="J144" s="36"/>
      <c r="K144" s="36" t="s">
        <v>78</v>
      </c>
      <c r="L144" s="36"/>
      <c r="M144" s="36"/>
      <c r="N144" s="36"/>
      <c r="O144" s="36"/>
      <c r="P144" s="36">
        <v>32</v>
      </c>
      <c r="Q144" s="202" t="str">
        <f>IF($P144="","",IFERROR(VLOOKUP(UPPER(DEVICE_TABLE[[#This Row],[Site]])&amp;"/"&amp;DEVICE_TABLE[[#This Row],[VLAN]],NETWORKS_TABLE[],MATCH(Q$3,NETWORKS_TABLE[#Headers],0),FALSE),""))</f>
        <v>LEGACYSERVER32</v>
      </c>
      <c r="R144" s="202" t="str">
        <f>IF($P144="","",IFERROR(VLOOKUP(UPPER(DEVICE_TABLE[[#This Row],[Site]])&amp;"/"&amp;DEVICE_TABLE[[#This Row],[VLAN]],NETWORKS_TABLE[],MATCH(R$3,NETWORKS_TABLE[#Headers],0),FALSE),""))</f>
        <v>172.16.32.0/22</v>
      </c>
      <c r="S144" s="36"/>
      <c r="T144" s="36"/>
    </row>
    <row r="145" spans="2:20">
      <c r="B145" s="36" t="s">
        <v>1688</v>
      </c>
      <c r="C145" s="36" t="s">
        <v>149</v>
      </c>
      <c r="D145" s="36" t="s">
        <v>1741</v>
      </c>
      <c r="E145" s="122" t="s">
        <v>1575</v>
      </c>
      <c r="F145" s="122" t="s">
        <v>57</v>
      </c>
      <c r="G145" s="36" t="s">
        <v>1576</v>
      </c>
      <c r="H145" s="36" t="s">
        <v>78</v>
      </c>
      <c r="I145" s="36"/>
      <c r="J145" s="36"/>
      <c r="K145" s="36" t="s">
        <v>78</v>
      </c>
      <c r="L145" s="36"/>
      <c r="M145" s="36"/>
      <c r="N145" s="36"/>
      <c r="O145" s="36"/>
      <c r="P145" s="36">
        <v>220</v>
      </c>
      <c r="Q145" s="202" t="str">
        <f>IF($P145="","",IFERROR(VLOOKUP(UPPER(DEVICE_TABLE[[#This Row],[Site]])&amp;"/"&amp;DEVICE_TABLE[[#This Row],[VLAN]],NETWORKS_TABLE[],MATCH(Q$3,NETWORKS_TABLE[#Headers],0),FALSE),""))</f>
        <v>VIRTUALMGNT</v>
      </c>
      <c r="R145" s="202" t="str">
        <f>IF($P145="","",IFERROR(VLOOKUP(UPPER(DEVICE_TABLE[[#This Row],[Site]])&amp;"/"&amp;DEVICE_TABLE[[#This Row],[VLAN]],NETWORKS_TABLE[],MATCH(R$3,NETWORKS_TABLE[#Headers],0),FALSE),""))</f>
        <v>10.224.20.0/24</v>
      </c>
      <c r="S145" s="36" t="s">
        <v>1692</v>
      </c>
      <c r="T145" s="36"/>
    </row>
    <row r="146" spans="2:20">
      <c r="B146" s="36" t="s">
        <v>2955</v>
      </c>
      <c r="C146" s="36" t="s">
        <v>149</v>
      </c>
      <c r="D146" s="36" t="s">
        <v>1741</v>
      </c>
      <c r="E146" s="122" t="s">
        <v>1575</v>
      </c>
      <c r="F146" s="122" t="s">
        <v>57</v>
      </c>
      <c r="G146" s="36" t="s">
        <v>1576</v>
      </c>
      <c r="H146" s="36" t="s">
        <v>78</v>
      </c>
      <c r="I146" s="36"/>
      <c r="J146" s="36"/>
      <c r="K146" s="36" t="s">
        <v>78</v>
      </c>
      <c r="L146" s="36"/>
      <c r="M146" s="36"/>
      <c r="N146" s="36"/>
      <c r="O146" s="36"/>
      <c r="P146" s="36">
        <v>92</v>
      </c>
      <c r="Q146" s="202" t="str">
        <f>IF($P146="","",IFERROR(VLOOKUP(UPPER(DEVICE_TABLE[[#This Row],[Site]])&amp;"/"&amp;DEVICE_TABLE[[#This Row],[VLAN]],NETWORKS_TABLE[],MATCH(Q$3,NETWORKS_TABLE[#Headers],0),FALSE),""))</f>
        <v>HERMES</v>
      </c>
      <c r="R146" s="202" t="str">
        <f>IF($P146="","",IFERROR(VLOOKUP(UPPER(DEVICE_TABLE[[#This Row],[Site]])&amp;"/"&amp;DEVICE_TABLE[[#This Row],[VLAN]],NETWORKS_TABLE[],MATCH(R$3,NETWORKS_TABLE[#Headers],0),FALSE),""))</f>
        <v>172.16.92.0/22</v>
      </c>
      <c r="S146" s="36" t="s">
        <v>78</v>
      </c>
      <c r="T146" s="36"/>
    </row>
    <row r="147" spans="2:20">
      <c r="B147" s="36" t="s">
        <v>2957</v>
      </c>
      <c r="C147" s="36" t="s">
        <v>2980</v>
      </c>
      <c r="D147" s="36" t="s">
        <v>2980</v>
      </c>
      <c r="E147" s="122" t="s">
        <v>1575</v>
      </c>
      <c r="F147" s="122" t="s">
        <v>57</v>
      </c>
      <c r="G147" s="36" t="s">
        <v>1576</v>
      </c>
      <c r="H147" s="36" t="s">
        <v>78</v>
      </c>
      <c r="I147" s="36"/>
      <c r="J147" s="36"/>
      <c r="K147" s="36" t="s">
        <v>78</v>
      </c>
      <c r="L147" s="36"/>
      <c r="M147" s="36"/>
      <c r="N147" s="36"/>
      <c r="O147" s="36"/>
      <c r="P147" s="36">
        <v>300</v>
      </c>
      <c r="Q147" s="202" t="str">
        <f>IF($P147="","",IFERROR(VLOOKUP(UPPER(DEVICE_TABLE[[#This Row],[Site]])&amp;"/"&amp;DEVICE_TABLE[[#This Row],[VLAN]],NETWORKS_TABLE[],MATCH(Q$3,NETWORKS_TABLE[#Headers],0),FALSE),""))</f>
        <v>SERVER</v>
      </c>
      <c r="R147" s="202" t="str">
        <f>IF($P147="","",IFERROR(VLOOKUP(UPPER(DEVICE_TABLE[[#This Row],[Site]])&amp;"/"&amp;DEVICE_TABLE[[#This Row],[VLAN]],NETWORKS_TABLE[],MATCH(R$3,NETWORKS_TABLE[#Headers],0),FALSE),""))</f>
        <v>10.224.100.0/24</v>
      </c>
      <c r="S147" s="36" t="s">
        <v>78</v>
      </c>
      <c r="T147" s="36"/>
    </row>
    <row r="148" spans="2:20">
      <c r="B148" s="36" t="s">
        <v>2959</v>
      </c>
      <c r="C148" s="36" t="s">
        <v>1689</v>
      </c>
      <c r="D148" s="36" t="s">
        <v>1741</v>
      </c>
      <c r="E148" s="122" t="s">
        <v>1575</v>
      </c>
      <c r="F148" s="122" t="s">
        <v>57</v>
      </c>
      <c r="G148" s="36" t="s">
        <v>1576</v>
      </c>
      <c r="H148" s="36" t="s">
        <v>78</v>
      </c>
      <c r="I148" s="36"/>
      <c r="J148" s="36"/>
      <c r="K148" s="36" t="s">
        <v>78</v>
      </c>
      <c r="L148" s="36"/>
      <c r="M148" s="36"/>
      <c r="N148" s="36"/>
      <c r="O148" s="36"/>
      <c r="P148" s="36">
        <v>230</v>
      </c>
      <c r="Q148" s="202" t="str">
        <f>IF($P148="","",IFERROR(VLOOKUP(UPPER(DEVICE_TABLE[[#This Row],[Site]])&amp;"/"&amp;DEVICE_TABLE[[#This Row],[VLAN]],NETWORKS_TABLE[],MATCH(Q$3,NETWORKS_TABLE[#Headers],0),FALSE),""))</f>
        <v>HPISCSI</v>
      </c>
      <c r="R148" s="202" t="str">
        <f>IF($P148="","",IFERROR(VLOOKUP(UPPER(DEVICE_TABLE[[#This Row],[Site]])&amp;"/"&amp;DEVICE_TABLE[[#This Row],[VLAN]],NETWORKS_TABLE[],MATCH(R$3,NETWORKS_TABLE[#Headers],0),FALSE),""))</f>
        <v>10.224.30.0/24</v>
      </c>
      <c r="S148" s="36" t="s">
        <v>78</v>
      </c>
      <c r="T148" s="36"/>
    </row>
    <row r="149" spans="2:20">
      <c r="B149" s="36" t="s">
        <v>2962</v>
      </c>
      <c r="C149" s="36" t="s">
        <v>2980</v>
      </c>
      <c r="D149" s="36" t="s">
        <v>2980</v>
      </c>
      <c r="E149" s="122" t="s">
        <v>1575</v>
      </c>
      <c r="F149" s="122" t="s">
        <v>57</v>
      </c>
      <c r="G149" s="36" t="s">
        <v>1576</v>
      </c>
      <c r="H149" s="36" t="s">
        <v>78</v>
      </c>
      <c r="I149" s="36"/>
      <c r="J149" s="36"/>
      <c r="K149" s="36" t="s">
        <v>78</v>
      </c>
      <c r="L149" s="36"/>
      <c r="M149" s="36"/>
      <c r="N149" s="36"/>
      <c r="O149" s="36"/>
      <c r="P149" s="36">
        <v>300</v>
      </c>
      <c r="Q149" s="202" t="str">
        <f>IF($P149="","",IFERROR(VLOOKUP(UPPER(DEVICE_TABLE[[#This Row],[Site]])&amp;"/"&amp;DEVICE_TABLE[[#This Row],[VLAN]],NETWORKS_TABLE[],MATCH(Q$3,NETWORKS_TABLE[#Headers],0),FALSE),""))</f>
        <v>SERVER</v>
      </c>
      <c r="R149" s="202" t="str">
        <f>IF($P149="","",IFERROR(VLOOKUP(UPPER(DEVICE_TABLE[[#This Row],[Site]])&amp;"/"&amp;DEVICE_TABLE[[#This Row],[VLAN]],NETWORKS_TABLE[],MATCH(R$3,NETWORKS_TABLE[#Headers],0),FALSE),""))</f>
        <v>10.224.100.0/24</v>
      </c>
      <c r="S149" s="36" t="s">
        <v>78</v>
      </c>
      <c r="T149" s="36"/>
    </row>
    <row r="150" spans="2:20">
      <c r="B150" s="36" t="s">
        <v>2965</v>
      </c>
      <c r="C150" s="36" t="s">
        <v>1689</v>
      </c>
      <c r="D150" s="36" t="s">
        <v>1741</v>
      </c>
      <c r="E150" s="122" t="s">
        <v>1575</v>
      </c>
      <c r="F150" s="122" t="s">
        <v>57</v>
      </c>
      <c r="G150" s="36" t="s">
        <v>1576</v>
      </c>
      <c r="H150" s="36" t="s">
        <v>78</v>
      </c>
      <c r="I150" s="36"/>
      <c r="J150" s="36"/>
      <c r="K150" s="36" t="s">
        <v>78</v>
      </c>
      <c r="L150" s="36"/>
      <c r="M150" s="36"/>
      <c r="N150" s="36"/>
      <c r="O150" s="36"/>
      <c r="P150" s="36">
        <v>230</v>
      </c>
      <c r="Q150" s="202" t="str">
        <f>IF($P150="","",IFERROR(VLOOKUP(UPPER(DEVICE_TABLE[[#This Row],[Site]])&amp;"/"&amp;DEVICE_TABLE[[#This Row],[VLAN]],NETWORKS_TABLE[],MATCH(Q$3,NETWORKS_TABLE[#Headers],0),FALSE),""))</f>
        <v>HPISCSI</v>
      </c>
      <c r="R150" s="202" t="str">
        <f>IF($P150="","",IFERROR(VLOOKUP(UPPER(DEVICE_TABLE[[#This Row],[Site]])&amp;"/"&amp;DEVICE_TABLE[[#This Row],[VLAN]],NETWORKS_TABLE[],MATCH(R$3,NETWORKS_TABLE[#Headers],0),FALSE),""))</f>
        <v>10.224.30.0/24</v>
      </c>
      <c r="S150" s="36" t="s">
        <v>78</v>
      </c>
      <c r="T150" s="36"/>
    </row>
    <row r="151" spans="2:20">
      <c r="B151" s="36" t="s">
        <v>2965</v>
      </c>
      <c r="C151" s="36" t="s">
        <v>1689</v>
      </c>
      <c r="D151" s="36" t="s">
        <v>1741</v>
      </c>
      <c r="E151" s="122" t="s">
        <v>1575</v>
      </c>
      <c r="F151" s="122" t="s">
        <v>57</v>
      </c>
      <c r="G151" s="36" t="s">
        <v>1576</v>
      </c>
      <c r="H151" s="36" t="s">
        <v>78</v>
      </c>
      <c r="I151" s="36"/>
      <c r="J151" s="36"/>
      <c r="K151" s="36" t="s">
        <v>78</v>
      </c>
      <c r="L151" s="36"/>
      <c r="M151" s="36"/>
      <c r="N151" s="36"/>
      <c r="O151" s="36"/>
      <c r="P151" s="36">
        <v>230</v>
      </c>
      <c r="Q151" s="202" t="str">
        <f>IF($P151="","",IFERROR(VLOOKUP(UPPER(DEVICE_TABLE[[#This Row],[Site]])&amp;"/"&amp;DEVICE_TABLE[[#This Row],[VLAN]],NETWORKS_TABLE[],MATCH(Q$3,NETWORKS_TABLE[#Headers],0),FALSE),""))</f>
        <v>HPISCSI</v>
      </c>
      <c r="R151" s="202" t="str">
        <f>IF($P151="","",IFERROR(VLOOKUP(UPPER(DEVICE_TABLE[[#This Row],[Site]])&amp;"/"&amp;DEVICE_TABLE[[#This Row],[VLAN]],NETWORKS_TABLE[],MATCH(R$3,NETWORKS_TABLE[#Headers],0),FALSE),""))</f>
        <v>10.224.30.0/24</v>
      </c>
      <c r="S151" s="36" t="s">
        <v>78</v>
      </c>
      <c r="T151" s="36"/>
    </row>
    <row r="152" spans="2:20">
      <c r="B152" s="36" t="s">
        <v>2981</v>
      </c>
      <c r="C152" s="36" t="s">
        <v>1689</v>
      </c>
      <c r="D152" s="36" t="s">
        <v>1741</v>
      </c>
      <c r="E152" s="122" t="s">
        <v>1575</v>
      </c>
      <c r="F152" s="122" t="s">
        <v>57</v>
      </c>
      <c r="G152" s="36" t="s">
        <v>1576</v>
      </c>
      <c r="H152" s="36" t="s">
        <v>78</v>
      </c>
      <c r="I152" s="36"/>
      <c r="J152" s="36"/>
      <c r="K152" s="36" t="s">
        <v>78</v>
      </c>
      <c r="L152" s="36"/>
      <c r="M152" s="36"/>
      <c r="N152" s="36"/>
      <c r="O152" s="36"/>
      <c r="P152" s="36">
        <v>230</v>
      </c>
      <c r="Q152" s="202" t="str">
        <f>IF($P152="","",IFERROR(VLOOKUP(UPPER(DEVICE_TABLE[[#This Row],[Site]])&amp;"/"&amp;DEVICE_TABLE[[#This Row],[VLAN]],NETWORKS_TABLE[],MATCH(Q$3,NETWORKS_TABLE[#Headers],0),FALSE),""))</f>
        <v>HPISCSI</v>
      </c>
      <c r="R152" s="202" t="str">
        <f>IF($P152="","",IFERROR(VLOOKUP(UPPER(DEVICE_TABLE[[#This Row],[Site]])&amp;"/"&amp;DEVICE_TABLE[[#This Row],[VLAN]],NETWORKS_TABLE[],MATCH(R$3,NETWORKS_TABLE[#Headers],0),FALSE),""))</f>
        <v>10.224.30.0/24</v>
      </c>
      <c r="S152" s="36" t="s">
        <v>78</v>
      </c>
      <c r="T152" s="36"/>
    </row>
    <row r="153" spans="2:20">
      <c r="B153" s="36" t="s">
        <v>2981</v>
      </c>
      <c r="C153" s="36" t="s">
        <v>1689</v>
      </c>
      <c r="D153" s="36" t="s">
        <v>1741</v>
      </c>
      <c r="E153" s="122" t="s">
        <v>1575</v>
      </c>
      <c r="F153" s="122" t="s">
        <v>57</v>
      </c>
      <c r="G153" s="36" t="s">
        <v>1576</v>
      </c>
      <c r="H153" s="36" t="s">
        <v>78</v>
      </c>
      <c r="I153" s="36"/>
      <c r="J153" s="36"/>
      <c r="K153" s="36" t="s">
        <v>78</v>
      </c>
      <c r="L153" s="36"/>
      <c r="M153" s="36"/>
      <c r="N153" s="36"/>
      <c r="O153" s="36"/>
      <c r="P153" s="36">
        <v>230</v>
      </c>
      <c r="Q153" s="202" t="str">
        <f>IF($P153="","",IFERROR(VLOOKUP(UPPER(DEVICE_TABLE[[#This Row],[Site]])&amp;"/"&amp;DEVICE_TABLE[[#This Row],[VLAN]],NETWORKS_TABLE[],MATCH(Q$3,NETWORKS_TABLE[#Headers],0),FALSE),""))</f>
        <v>HPISCSI</v>
      </c>
      <c r="R153" s="202" t="str">
        <f>IF($P153="","",IFERROR(VLOOKUP(UPPER(DEVICE_TABLE[[#This Row],[Site]])&amp;"/"&amp;DEVICE_TABLE[[#This Row],[VLAN]],NETWORKS_TABLE[],MATCH(R$3,NETWORKS_TABLE[#Headers],0),FALSE),""))</f>
        <v>10.224.30.0/24</v>
      </c>
      <c r="S153" s="36" t="s">
        <v>78</v>
      </c>
      <c r="T153" s="36"/>
    </row>
    <row r="154" spans="2:20">
      <c r="B154" s="36" t="s">
        <v>2882</v>
      </c>
      <c r="C154" s="36" t="s">
        <v>149</v>
      </c>
      <c r="D154" s="36" t="s">
        <v>1741</v>
      </c>
      <c r="E154" s="122" t="s">
        <v>1575</v>
      </c>
      <c r="F154" s="122" t="s">
        <v>57</v>
      </c>
      <c r="G154" s="36" t="s">
        <v>1576</v>
      </c>
      <c r="H154" s="36" t="s">
        <v>78</v>
      </c>
      <c r="I154" s="36" t="s">
        <v>1754</v>
      </c>
      <c r="J154" s="36"/>
      <c r="K154" s="36" t="s">
        <v>78</v>
      </c>
      <c r="L154" s="36"/>
      <c r="M154" s="36"/>
      <c r="N154" s="36"/>
      <c r="O154" s="36"/>
      <c r="P154" s="36">
        <v>32</v>
      </c>
      <c r="Q154" s="202" t="str">
        <f>IF($P154="","",IFERROR(VLOOKUP(UPPER(DEVICE_TABLE[[#This Row],[Site]])&amp;"/"&amp;DEVICE_TABLE[[#This Row],[VLAN]],NETWORKS_TABLE[],MATCH(Q$3,NETWORKS_TABLE[#Headers],0),FALSE),""))</f>
        <v>LEGACYSERVER32</v>
      </c>
      <c r="R154" s="202" t="str">
        <f>IF($P154="","",IFERROR(VLOOKUP(UPPER(DEVICE_TABLE[[#This Row],[Site]])&amp;"/"&amp;DEVICE_TABLE[[#This Row],[VLAN]],NETWORKS_TABLE[],MATCH(R$3,NETWORKS_TABLE[#Headers],0),FALSE),""))</f>
        <v>172.16.32.0/22</v>
      </c>
      <c r="S154" s="36" t="s">
        <v>2979</v>
      </c>
      <c r="T154" s="36"/>
    </row>
    <row r="155" spans="2:20">
      <c r="B155" s="36" t="s">
        <v>2989</v>
      </c>
      <c r="C155" s="36" t="s">
        <v>1689</v>
      </c>
      <c r="D155" s="36" t="s">
        <v>1741</v>
      </c>
      <c r="E155" s="122" t="s">
        <v>1575</v>
      </c>
      <c r="F155" s="122" t="s">
        <v>57</v>
      </c>
      <c r="G155" s="36" t="s">
        <v>1578</v>
      </c>
      <c r="H155" s="36" t="s">
        <v>3000</v>
      </c>
      <c r="I155" s="36" t="s">
        <v>1677</v>
      </c>
      <c r="J155" s="36" t="s">
        <v>3001</v>
      </c>
      <c r="K155" s="36" t="s">
        <v>78</v>
      </c>
      <c r="L155" s="36"/>
      <c r="M155" s="36"/>
      <c r="N155" s="36"/>
      <c r="O155" s="36"/>
      <c r="P155" s="36">
        <v>220</v>
      </c>
      <c r="Q155" s="202" t="str">
        <f>IF($P155="","",IFERROR(VLOOKUP(UPPER(DEVICE_TABLE[[#This Row],[Site]])&amp;"/"&amp;DEVICE_TABLE[[#This Row],[VLAN]],NETWORKS_TABLE[],MATCH(Q$3,NETWORKS_TABLE[#Headers],0),FALSE),""))</f>
        <v>VIRTUALMGNT</v>
      </c>
      <c r="R155" s="202" t="str">
        <f>IF($P155="","",IFERROR(VLOOKUP(UPPER(DEVICE_TABLE[[#This Row],[Site]])&amp;"/"&amp;DEVICE_TABLE[[#This Row],[VLAN]],NETWORKS_TABLE[],MATCH(R$3,NETWORKS_TABLE[#Headers],0),FALSE),""))</f>
        <v>10.224.20.0/24</v>
      </c>
      <c r="S155" s="36" t="s">
        <v>3002</v>
      </c>
      <c r="T155" s="36"/>
    </row>
    <row r="156" spans="2:20">
      <c r="B156" s="36" t="s">
        <v>2990</v>
      </c>
      <c r="C156" s="36" t="s">
        <v>1689</v>
      </c>
      <c r="D156" s="36" t="s">
        <v>1741</v>
      </c>
      <c r="E156" s="122" t="s">
        <v>1575</v>
      </c>
      <c r="F156" s="122" t="s">
        <v>57</v>
      </c>
      <c r="G156" s="36" t="s">
        <v>1576</v>
      </c>
      <c r="H156" s="36" t="s">
        <v>3000</v>
      </c>
      <c r="I156" s="36" t="s">
        <v>1677</v>
      </c>
      <c r="J156" s="36" t="s">
        <v>3001</v>
      </c>
      <c r="K156" s="36" t="s">
        <v>78</v>
      </c>
      <c r="L156" s="36"/>
      <c r="M156" s="36"/>
      <c r="N156" s="36"/>
      <c r="O156" s="36"/>
      <c r="P156" s="36">
        <v>220</v>
      </c>
      <c r="Q156" s="202" t="str">
        <f>IF($P156="","",IFERROR(VLOOKUP(UPPER(DEVICE_TABLE[[#This Row],[Site]])&amp;"/"&amp;DEVICE_TABLE[[#This Row],[VLAN]],NETWORKS_TABLE[],MATCH(Q$3,NETWORKS_TABLE[#Headers],0),FALSE),""))</f>
        <v>VIRTUALMGNT</v>
      </c>
      <c r="R156" s="202" t="str">
        <f>IF($P156="","",IFERROR(VLOOKUP(UPPER(DEVICE_TABLE[[#This Row],[Site]])&amp;"/"&amp;DEVICE_TABLE[[#This Row],[VLAN]],NETWORKS_TABLE[],MATCH(R$3,NETWORKS_TABLE[#Headers],0),FALSE),""))</f>
        <v>10.224.20.0/24</v>
      </c>
      <c r="S156" s="36" t="s">
        <v>3003</v>
      </c>
      <c r="T156" s="36"/>
    </row>
    <row r="157" spans="2:20">
      <c r="B157" s="36" t="s">
        <v>2991</v>
      </c>
      <c r="C157" s="36" t="s">
        <v>1689</v>
      </c>
      <c r="D157" s="36" t="s">
        <v>1741</v>
      </c>
      <c r="E157" s="122" t="s">
        <v>1575</v>
      </c>
      <c r="F157" s="122" t="s">
        <v>57</v>
      </c>
      <c r="G157" s="36" t="s">
        <v>1578</v>
      </c>
      <c r="H157" s="36" t="s">
        <v>3000</v>
      </c>
      <c r="I157" s="36" t="s">
        <v>1677</v>
      </c>
      <c r="J157" s="36" t="s">
        <v>3001</v>
      </c>
      <c r="K157" s="36" t="s">
        <v>78</v>
      </c>
      <c r="L157" s="36"/>
      <c r="M157" s="36"/>
      <c r="N157" s="36"/>
      <c r="O157" s="36"/>
      <c r="P157" s="36">
        <v>220</v>
      </c>
      <c r="Q157" s="202" t="str">
        <f>IF($P157="","",IFERROR(VLOOKUP(UPPER(DEVICE_TABLE[[#This Row],[Site]])&amp;"/"&amp;DEVICE_TABLE[[#This Row],[VLAN]],NETWORKS_TABLE[],MATCH(Q$3,NETWORKS_TABLE[#Headers],0),FALSE),""))</f>
        <v>VIRTUALMGNT</v>
      </c>
      <c r="R157" s="202" t="str">
        <f>IF($P157="","",IFERROR(VLOOKUP(UPPER(DEVICE_TABLE[[#This Row],[Site]])&amp;"/"&amp;DEVICE_TABLE[[#This Row],[VLAN]],NETWORKS_TABLE[],MATCH(R$3,NETWORKS_TABLE[#Headers],0),FALSE),""))</f>
        <v>10.224.20.0/24</v>
      </c>
      <c r="S157" s="36" t="s">
        <v>3004</v>
      </c>
      <c r="T157" s="36"/>
    </row>
    <row r="158" spans="2:20">
      <c r="B158" s="36" t="s">
        <v>2992</v>
      </c>
      <c r="C158" s="36" t="s">
        <v>1689</v>
      </c>
      <c r="D158" s="36" t="s">
        <v>1741</v>
      </c>
      <c r="E158" s="122" t="s">
        <v>1575</v>
      </c>
      <c r="F158" s="122" t="s">
        <v>57</v>
      </c>
      <c r="G158" s="36" t="s">
        <v>1576</v>
      </c>
      <c r="H158" s="36" t="s">
        <v>3000</v>
      </c>
      <c r="I158" s="36" t="s">
        <v>1677</v>
      </c>
      <c r="J158" s="36" t="s">
        <v>3001</v>
      </c>
      <c r="K158" s="36" t="s">
        <v>78</v>
      </c>
      <c r="L158" s="36"/>
      <c r="M158" s="36"/>
      <c r="N158" s="36"/>
      <c r="O158" s="36"/>
      <c r="P158" s="36">
        <v>220</v>
      </c>
      <c r="Q158" s="202" t="str">
        <f>IF($P158="","",IFERROR(VLOOKUP(UPPER(DEVICE_TABLE[[#This Row],[Site]])&amp;"/"&amp;DEVICE_TABLE[[#This Row],[VLAN]],NETWORKS_TABLE[],MATCH(Q$3,NETWORKS_TABLE[#Headers],0),FALSE),""))</f>
        <v>VIRTUALMGNT</v>
      </c>
      <c r="R158" s="202" t="str">
        <f>IF($P158="","",IFERROR(VLOOKUP(UPPER(DEVICE_TABLE[[#This Row],[Site]])&amp;"/"&amp;DEVICE_TABLE[[#This Row],[VLAN]],NETWORKS_TABLE[],MATCH(R$3,NETWORKS_TABLE[#Headers],0),FALSE),""))</f>
        <v>10.224.20.0/24</v>
      </c>
      <c r="S158" s="36" t="s">
        <v>3005</v>
      </c>
      <c r="T158" s="36"/>
    </row>
    <row r="159" spans="2:20">
      <c r="B159" s="36" t="s">
        <v>2993</v>
      </c>
      <c r="C159" s="36" t="s">
        <v>1689</v>
      </c>
      <c r="D159" s="36" t="s">
        <v>1741</v>
      </c>
      <c r="E159" s="122" t="s">
        <v>1575</v>
      </c>
      <c r="F159" s="122" t="s">
        <v>57</v>
      </c>
      <c r="G159" s="36" t="s">
        <v>1578</v>
      </c>
      <c r="H159" s="36" t="s">
        <v>3000</v>
      </c>
      <c r="I159" s="36" t="s">
        <v>1677</v>
      </c>
      <c r="J159" s="36" t="s">
        <v>3001</v>
      </c>
      <c r="K159" s="36" t="s">
        <v>78</v>
      </c>
      <c r="L159" s="36"/>
      <c r="M159" s="36"/>
      <c r="N159" s="36"/>
      <c r="O159" s="36"/>
      <c r="P159" s="36">
        <v>220</v>
      </c>
      <c r="Q159" s="202" t="str">
        <f>IF($P159="","",IFERROR(VLOOKUP(UPPER(DEVICE_TABLE[[#This Row],[Site]])&amp;"/"&amp;DEVICE_TABLE[[#This Row],[VLAN]],NETWORKS_TABLE[],MATCH(Q$3,NETWORKS_TABLE[#Headers],0),FALSE),""))</f>
        <v>VIRTUALMGNT</v>
      </c>
      <c r="R159" s="202" t="str">
        <f>IF($P159="","",IFERROR(VLOOKUP(UPPER(DEVICE_TABLE[[#This Row],[Site]])&amp;"/"&amp;DEVICE_TABLE[[#This Row],[VLAN]],NETWORKS_TABLE[],MATCH(R$3,NETWORKS_TABLE[#Headers],0),FALSE),""))</f>
        <v>10.224.20.0/24</v>
      </c>
      <c r="S159" s="36" t="s">
        <v>3006</v>
      </c>
      <c r="T159" s="36"/>
    </row>
    <row r="160" spans="2:20">
      <c r="B160" s="36" t="s">
        <v>2994</v>
      </c>
      <c r="C160" s="36" t="s">
        <v>1689</v>
      </c>
      <c r="D160" s="36" t="s">
        <v>1741</v>
      </c>
      <c r="E160" s="122" t="s">
        <v>1575</v>
      </c>
      <c r="F160" s="122" t="s">
        <v>57</v>
      </c>
      <c r="G160" s="36" t="s">
        <v>1576</v>
      </c>
      <c r="H160" s="36" t="s">
        <v>3000</v>
      </c>
      <c r="I160" s="36" t="s">
        <v>1677</v>
      </c>
      <c r="J160" s="36" t="s">
        <v>3001</v>
      </c>
      <c r="K160" s="36" t="s">
        <v>78</v>
      </c>
      <c r="L160" s="36"/>
      <c r="M160" s="36"/>
      <c r="N160" s="36"/>
      <c r="O160" s="36"/>
      <c r="P160" s="36">
        <v>220</v>
      </c>
      <c r="Q160" s="202" t="str">
        <f>IF($P160="","",IFERROR(VLOOKUP(UPPER(DEVICE_TABLE[[#This Row],[Site]])&amp;"/"&amp;DEVICE_TABLE[[#This Row],[VLAN]],NETWORKS_TABLE[],MATCH(Q$3,NETWORKS_TABLE[#Headers],0),FALSE),""))</f>
        <v>VIRTUALMGNT</v>
      </c>
      <c r="R160" s="202" t="str">
        <f>IF($P160="","",IFERROR(VLOOKUP(UPPER(DEVICE_TABLE[[#This Row],[Site]])&amp;"/"&amp;DEVICE_TABLE[[#This Row],[VLAN]],NETWORKS_TABLE[],MATCH(R$3,NETWORKS_TABLE[#Headers],0),FALSE),""))</f>
        <v>10.224.20.0/24</v>
      </c>
      <c r="S160" s="36" t="s">
        <v>3007</v>
      </c>
      <c r="T160" s="36"/>
    </row>
    <row r="161" spans="2:20">
      <c r="B161" s="36" t="s">
        <v>2995</v>
      </c>
      <c r="C161" s="36" t="s">
        <v>1689</v>
      </c>
      <c r="D161" s="36" t="s">
        <v>1741</v>
      </c>
      <c r="E161" s="122" t="s">
        <v>1575</v>
      </c>
      <c r="F161" s="122" t="s">
        <v>57</v>
      </c>
      <c r="G161" s="36" t="s">
        <v>1578</v>
      </c>
      <c r="H161" s="36" t="s">
        <v>3000</v>
      </c>
      <c r="I161" s="36" t="s">
        <v>1677</v>
      </c>
      <c r="J161" s="36" t="s">
        <v>3001</v>
      </c>
      <c r="K161" s="36" t="s">
        <v>78</v>
      </c>
      <c r="L161" s="36"/>
      <c r="M161" s="36"/>
      <c r="N161" s="36"/>
      <c r="O161" s="36"/>
      <c r="P161" s="36">
        <v>220</v>
      </c>
      <c r="Q161" s="202" t="str">
        <f>IF($P161="","",IFERROR(VLOOKUP(UPPER(DEVICE_TABLE[[#This Row],[Site]])&amp;"/"&amp;DEVICE_TABLE[[#This Row],[VLAN]],NETWORKS_TABLE[],MATCH(Q$3,NETWORKS_TABLE[#Headers],0),FALSE),""))</f>
        <v>VIRTUALMGNT</v>
      </c>
      <c r="R161" s="202" t="str">
        <f>IF($P161="","",IFERROR(VLOOKUP(UPPER(DEVICE_TABLE[[#This Row],[Site]])&amp;"/"&amp;DEVICE_TABLE[[#This Row],[VLAN]],NETWORKS_TABLE[],MATCH(R$3,NETWORKS_TABLE[#Headers],0),FALSE),""))</f>
        <v>10.224.20.0/24</v>
      </c>
      <c r="S161" s="36" t="s">
        <v>3008</v>
      </c>
      <c r="T161" s="36"/>
    </row>
    <row r="162" spans="2:20">
      <c r="B162" s="36" t="s">
        <v>2996</v>
      </c>
      <c r="C162" s="36" t="s">
        <v>1689</v>
      </c>
      <c r="D162" s="36" t="s">
        <v>1741</v>
      </c>
      <c r="E162" s="122" t="s">
        <v>1575</v>
      </c>
      <c r="F162" s="122" t="s">
        <v>57</v>
      </c>
      <c r="G162" s="36" t="s">
        <v>1578</v>
      </c>
      <c r="H162" s="36" t="s">
        <v>3000</v>
      </c>
      <c r="I162" s="36" t="s">
        <v>1677</v>
      </c>
      <c r="J162" s="36" t="s">
        <v>3001</v>
      </c>
      <c r="K162" s="36" t="s">
        <v>78</v>
      </c>
      <c r="L162" s="36"/>
      <c r="M162" s="36"/>
      <c r="N162" s="36"/>
      <c r="O162" s="36"/>
      <c r="P162" s="36">
        <v>220</v>
      </c>
      <c r="Q162" s="202" t="str">
        <f>IF($P162="","",IFERROR(VLOOKUP(UPPER(DEVICE_TABLE[[#This Row],[Site]])&amp;"/"&amp;DEVICE_TABLE[[#This Row],[VLAN]],NETWORKS_TABLE[],MATCH(Q$3,NETWORKS_TABLE[#Headers],0),FALSE),""))</f>
        <v>VIRTUALMGNT</v>
      </c>
      <c r="R162" s="202" t="str">
        <f>IF($P162="","",IFERROR(VLOOKUP(UPPER(DEVICE_TABLE[[#This Row],[Site]])&amp;"/"&amp;DEVICE_TABLE[[#This Row],[VLAN]],NETWORKS_TABLE[],MATCH(R$3,NETWORKS_TABLE[#Headers],0),FALSE),""))</f>
        <v>10.224.20.0/24</v>
      </c>
      <c r="S162" s="36" t="s">
        <v>3009</v>
      </c>
      <c r="T162" s="36"/>
    </row>
    <row r="163" spans="2:20">
      <c r="B163" s="36" t="s">
        <v>2997</v>
      </c>
      <c r="C163" s="36" t="s">
        <v>1689</v>
      </c>
      <c r="D163" s="36" t="s">
        <v>1741</v>
      </c>
      <c r="E163" s="122" t="s">
        <v>1575</v>
      </c>
      <c r="F163" s="122" t="s">
        <v>57</v>
      </c>
      <c r="G163" s="36" t="s">
        <v>1576</v>
      </c>
      <c r="H163" s="36" t="s">
        <v>3000</v>
      </c>
      <c r="I163" s="36" t="s">
        <v>1677</v>
      </c>
      <c r="J163" s="36" t="s">
        <v>3001</v>
      </c>
      <c r="K163" s="36" t="s">
        <v>78</v>
      </c>
      <c r="L163" s="36"/>
      <c r="M163" s="36"/>
      <c r="N163" s="36"/>
      <c r="O163" s="36"/>
      <c r="P163" s="36">
        <v>220</v>
      </c>
      <c r="Q163" s="202" t="str">
        <f>IF($P163="","",IFERROR(VLOOKUP(UPPER(DEVICE_TABLE[[#This Row],[Site]])&amp;"/"&amp;DEVICE_TABLE[[#This Row],[VLAN]],NETWORKS_TABLE[],MATCH(Q$3,NETWORKS_TABLE[#Headers],0),FALSE),""))</f>
        <v>VIRTUALMGNT</v>
      </c>
      <c r="R163" s="202" t="str">
        <f>IF($P163="","",IFERROR(VLOOKUP(UPPER(DEVICE_TABLE[[#This Row],[Site]])&amp;"/"&amp;DEVICE_TABLE[[#This Row],[VLAN]],NETWORKS_TABLE[],MATCH(R$3,NETWORKS_TABLE[#Headers],0),FALSE),""))</f>
        <v>10.224.20.0/24</v>
      </c>
      <c r="S163" s="36" t="s">
        <v>3010</v>
      </c>
      <c r="T163" s="36"/>
    </row>
    <row r="164" spans="2:20">
      <c r="B164" s="36" t="s">
        <v>2998</v>
      </c>
      <c r="C164" s="36" t="s">
        <v>1689</v>
      </c>
      <c r="D164" s="36" t="s">
        <v>1741</v>
      </c>
      <c r="E164" s="122" t="s">
        <v>1575</v>
      </c>
      <c r="F164" s="122" t="s">
        <v>57</v>
      </c>
      <c r="G164" s="36" t="s">
        <v>1578</v>
      </c>
      <c r="H164" s="36" t="s">
        <v>3000</v>
      </c>
      <c r="I164" s="36" t="s">
        <v>1677</v>
      </c>
      <c r="J164" s="36" t="s">
        <v>3001</v>
      </c>
      <c r="K164" s="36" t="s">
        <v>78</v>
      </c>
      <c r="L164" s="36"/>
      <c r="M164" s="36"/>
      <c r="N164" s="36"/>
      <c r="O164" s="36"/>
      <c r="P164" s="36">
        <v>220</v>
      </c>
      <c r="Q164" s="202" t="str">
        <f>IF($P164="","",IFERROR(VLOOKUP(UPPER(DEVICE_TABLE[[#This Row],[Site]])&amp;"/"&amp;DEVICE_TABLE[[#This Row],[VLAN]],NETWORKS_TABLE[],MATCH(Q$3,NETWORKS_TABLE[#Headers],0),FALSE),""))</f>
        <v>VIRTUALMGNT</v>
      </c>
      <c r="R164" s="202" t="str">
        <f>IF($P164="","",IFERROR(VLOOKUP(UPPER(DEVICE_TABLE[[#This Row],[Site]])&amp;"/"&amp;DEVICE_TABLE[[#This Row],[VLAN]],NETWORKS_TABLE[],MATCH(R$3,NETWORKS_TABLE[#Headers],0),FALSE),""))</f>
        <v>10.224.20.0/24</v>
      </c>
      <c r="S164" s="36" t="s">
        <v>3011</v>
      </c>
      <c r="T164" s="36"/>
    </row>
    <row r="165" spans="2:20">
      <c r="B165" s="36" t="s">
        <v>2999</v>
      </c>
      <c r="C165" s="36" t="s">
        <v>1689</v>
      </c>
      <c r="D165" s="36" t="s">
        <v>1741</v>
      </c>
      <c r="E165" s="122" t="s">
        <v>1575</v>
      </c>
      <c r="F165" s="122" t="s">
        <v>57</v>
      </c>
      <c r="G165" s="36" t="s">
        <v>1576</v>
      </c>
      <c r="H165" s="36" t="s">
        <v>3000</v>
      </c>
      <c r="I165" s="36" t="s">
        <v>1677</v>
      </c>
      <c r="J165" s="36" t="s">
        <v>3001</v>
      </c>
      <c r="K165" s="36" t="s">
        <v>78</v>
      </c>
      <c r="L165" s="36"/>
      <c r="M165" s="36"/>
      <c r="N165" s="36"/>
      <c r="O165" s="36"/>
      <c r="P165" s="36">
        <v>220</v>
      </c>
      <c r="Q165" s="202" t="str">
        <f>IF($P165="","",IFERROR(VLOOKUP(UPPER(DEVICE_TABLE[[#This Row],[Site]])&amp;"/"&amp;DEVICE_TABLE[[#This Row],[VLAN]],NETWORKS_TABLE[],MATCH(Q$3,NETWORKS_TABLE[#Headers],0),FALSE),""))</f>
        <v>VIRTUALMGNT</v>
      </c>
      <c r="R165" s="202" t="str">
        <f>IF($P165="","",IFERROR(VLOOKUP(UPPER(DEVICE_TABLE[[#This Row],[Site]])&amp;"/"&amp;DEVICE_TABLE[[#This Row],[VLAN]],NETWORKS_TABLE[],MATCH(R$3,NETWORKS_TABLE[#Headers],0),FALSE),""))</f>
        <v>10.224.20.0/24</v>
      </c>
      <c r="S165" s="36" t="s">
        <v>3012</v>
      </c>
      <c r="T165" s="36"/>
    </row>
    <row r="166" spans="2:20">
      <c r="B166" s="36" t="s">
        <v>3020</v>
      </c>
      <c r="C166" s="36" t="s">
        <v>149</v>
      </c>
      <c r="D166" s="36" t="s">
        <v>1741</v>
      </c>
      <c r="E166" s="122" t="s">
        <v>1575</v>
      </c>
      <c r="F166" s="122" t="s">
        <v>57</v>
      </c>
      <c r="G166" s="36" t="s">
        <v>1576</v>
      </c>
      <c r="H166" s="36" t="s">
        <v>78</v>
      </c>
      <c r="I166" s="36" t="s">
        <v>2783</v>
      </c>
      <c r="J166" s="36"/>
      <c r="K166" s="36" t="s">
        <v>78</v>
      </c>
      <c r="L166" s="36"/>
      <c r="M166" s="36"/>
      <c r="N166" s="36"/>
      <c r="O166" s="36"/>
      <c r="P166" s="36">
        <v>4</v>
      </c>
      <c r="Q166" s="202" t="str">
        <f>IF($P166="","",IFERROR(VLOOKUP(UPPER(DEVICE_TABLE[[#This Row],[Site]])&amp;"/"&amp;DEVICE_TABLE[[#This Row],[VLAN]],NETWORKS_TABLE[],MATCH(Q$3,NETWORKS_TABLE[#Headers],0),FALSE),""))</f>
        <v>BACKUP</v>
      </c>
      <c r="R166" s="202" t="str">
        <f>IF($P166="","",IFERROR(VLOOKUP(UPPER(DEVICE_TABLE[[#This Row],[Site]])&amp;"/"&amp;DEVICE_TABLE[[#This Row],[VLAN]],NETWORKS_TABLE[],MATCH(R$3,NETWORKS_TABLE[#Headers],0),FALSE),""))</f>
        <v>0/0</v>
      </c>
      <c r="S166" s="36" t="s">
        <v>78</v>
      </c>
      <c r="T166" s="36"/>
    </row>
    <row r="167" spans="2:20">
      <c r="B167" s="36" t="s">
        <v>3020</v>
      </c>
      <c r="C167" s="36" t="s">
        <v>149</v>
      </c>
      <c r="D167" s="36" t="s">
        <v>1741</v>
      </c>
      <c r="E167" s="122" t="s">
        <v>1575</v>
      </c>
      <c r="F167" s="122" t="s">
        <v>57</v>
      </c>
      <c r="G167" s="36" t="s">
        <v>1576</v>
      </c>
      <c r="H167" s="36" t="s">
        <v>78</v>
      </c>
      <c r="I167" s="36" t="s">
        <v>2783</v>
      </c>
      <c r="J167" s="36"/>
      <c r="K167" s="36" t="s">
        <v>78</v>
      </c>
      <c r="L167" s="36"/>
      <c r="M167" s="36"/>
      <c r="N167" s="36"/>
      <c r="O167" s="36"/>
      <c r="P167" s="36">
        <v>32</v>
      </c>
      <c r="Q167" s="202" t="str">
        <f>IF($P167="","",IFERROR(VLOOKUP(UPPER(DEVICE_TABLE[[#This Row],[Site]])&amp;"/"&amp;DEVICE_TABLE[[#This Row],[VLAN]],NETWORKS_TABLE[],MATCH(Q$3,NETWORKS_TABLE[#Headers],0),FALSE),""))</f>
        <v>LEGACYSERVER32</v>
      </c>
      <c r="R167" s="202" t="str">
        <f>IF($P167="","",IFERROR(VLOOKUP(UPPER(DEVICE_TABLE[[#This Row],[Site]])&amp;"/"&amp;DEVICE_TABLE[[#This Row],[VLAN]],NETWORKS_TABLE[],MATCH(R$3,NETWORKS_TABLE[#Headers],0),FALSE),""))</f>
        <v>172.16.32.0/22</v>
      </c>
      <c r="S167" s="36" t="s">
        <v>3021</v>
      </c>
      <c r="T167" s="36"/>
    </row>
    <row r="168" spans="2:20">
      <c r="B168" s="36" t="s">
        <v>3022</v>
      </c>
      <c r="C168" s="36" t="s">
        <v>149</v>
      </c>
      <c r="D168" s="36" t="s">
        <v>1741</v>
      </c>
      <c r="E168" s="122" t="s">
        <v>2003</v>
      </c>
      <c r="F168" s="122" t="s">
        <v>57</v>
      </c>
      <c r="G168" s="36" t="s">
        <v>1576</v>
      </c>
      <c r="H168" s="36" t="s">
        <v>78</v>
      </c>
      <c r="I168" s="36"/>
      <c r="J168" s="36"/>
      <c r="K168" s="36" t="s">
        <v>78</v>
      </c>
      <c r="L168" s="36"/>
      <c r="M168" s="36"/>
      <c r="N168" s="36"/>
      <c r="O168" s="36"/>
      <c r="P168" s="36">
        <v>8</v>
      </c>
      <c r="Q168" s="202" t="str">
        <f>IF($P168="","",IFERROR(VLOOKUP(UPPER(DEVICE_TABLE[[#This Row],[Site]])&amp;"/"&amp;DEVICE_TABLE[[#This Row],[VLAN]],NETWORKS_TABLE[],MATCH(Q$3,NETWORKS_TABLE[#Headers],0),FALSE),""))</f>
        <v>LEGACY08</v>
      </c>
      <c r="R168" s="202" t="str">
        <f>IF($P168="","",IFERROR(VLOOKUP(UPPER(DEVICE_TABLE[[#This Row],[Site]])&amp;"/"&amp;DEVICE_TABLE[[#This Row],[VLAN]],NETWORKS_TABLE[],MATCH(R$3,NETWORKS_TABLE[#Headers],0),FALSE),""))</f>
        <v>172.16.8.0/22</v>
      </c>
      <c r="S168" s="36" t="s">
        <v>3023</v>
      </c>
      <c r="T168" s="36"/>
    </row>
    <row r="169" spans="2:20">
      <c r="B169" s="36" t="s">
        <v>3024</v>
      </c>
      <c r="C169" s="36" t="s">
        <v>149</v>
      </c>
      <c r="D169" s="36" t="s">
        <v>1741</v>
      </c>
      <c r="E169" s="122" t="s">
        <v>1575</v>
      </c>
      <c r="F169" s="122" t="s">
        <v>57</v>
      </c>
      <c r="G169" s="36" t="s">
        <v>1576</v>
      </c>
      <c r="H169" s="36" t="s">
        <v>1716</v>
      </c>
      <c r="I169" s="36" t="s">
        <v>1717</v>
      </c>
      <c r="J169" s="36"/>
      <c r="K169" s="36" t="s">
        <v>78</v>
      </c>
      <c r="L169" s="36"/>
      <c r="M169" s="36"/>
      <c r="N169" s="36"/>
      <c r="O169" s="36"/>
      <c r="P169" s="36">
        <v>32</v>
      </c>
      <c r="Q169" s="202" t="str">
        <f>IF($P169="","",IFERROR(VLOOKUP(UPPER(DEVICE_TABLE[[#This Row],[Site]])&amp;"/"&amp;DEVICE_TABLE[[#This Row],[VLAN]],NETWORKS_TABLE[],MATCH(Q$3,NETWORKS_TABLE[#Headers],0),FALSE),""))</f>
        <v>LEGACYSERVER32</v>
      </c>
      <c r="R169" s="202" t="str">
        <f>IF($P169="","",IFERROR(VLOOKUP(UPPER(DEVICE_TABLE[[#This Row],[Site]])&amp;"/"&amp;DEVICE_TABLE[[#This Row],[VLAN]],NETWORKS_TABLE[],MATCH(R$3,NETWORKS_TABLE[#Headers],0),FALSE),""))</f>
        <v>172.16.32.0/22</v>
      </c>
      <c r="S169" s="36" t="s">
        <v>3025</v>
      </c>
      <c r="T169" s="36"/>
    </row>
    <row r="170" spans="2:20">
      <c r="B170" s="36" t="s">
        <v>3029</v>
      </c>
      <c r="C170" s="36" t="s">
        <v>149</v>
      </c>
      <c r="D170" s="36" t="s">
        <v>1741</v>
      </c>
      <c r="E170" s="122" t="s">
        <v>1575</v>
      </c>
      <c r="F170" s="122" t="s">
        <v>57</v>
      </c>
      <c r="G170" s="36" t="s">
        <v>1578</v>
      </c>
      <c r="H170" s="36" t="s">
        <v>78</v>
      </c>
      <c r="I170" s="36" t="s">
        <v>3030</v>
      </c>
      <c r="J170" s="36"/>
      <c r="K170" s="36" t="s">
        <v>78</v>
      </c>
      <c r="L170" s="36"/>
      <c r="M170" s="36"/>
      <c r="N170" s="36"/>
      <c r="O170" s="36"/>
      <c r="P170" s="36">
        <v>132</v>
      </c>
      <c r="Q170" s="202" t="str">
        <f>IF($P170="","",IFERROR(VLOOKUP(UPPER(DEVICE_TABLE[[#This Row],[Site]])&amp;"/"&amp;DEVICE_TABLE[[#This Row],[VLAN]],NETWORKS_TABLE[],MATCH(Q$3,NETWORKS_TABLE[#Headers],0),FALSE),""))</f>
        <v>LEGACY132</v>
      </c>
      <c r="R170" s="202" t="str">
        <f>IF($P170="","",IFERROR(VLOOKUP(UPPER(DEVICE_TABLE[[#This Row],[Site]])&amp;"/"&amp;DEVICE_TABLE[[#This Row],[VLAN]],NETWORKS_TABLE[],MATCH(R$3,NETWORKS_TABLE[#Headers],0),FALSE),""))</f>
        <v>172.16.132.0/22</v>
      </c>
      <c r="S170" s="36" t="s">
        <v>3031</v>
      </c>
      <c r="T170" s="36"/>
    </row>
    <row r="171" spans="2:20">
      <c r="B171" s="36" t="s">
        <v>3032</v>
      </c>
      <c r="C171" s="36" t="s">
        <v>149</v>
      </c>
      <c r="D171" s="36" t="s">
        <v>1741</v>
      </c>
      <c r="E171" s="122" t="s">
        <v>1575</v>
      </c>
      <c r="F171" s="122" t="s">
        <v>57</v>
      </c>
      <c r="G171" s="36" t="s">
        <v>1578</v>
      </c>
      <c r="H171" s="36" t="s">
        <v>78</v>
      </c>
      <c r="I171" s="36" t="s">
        <v>3030</v>
      </c>
      <c r="J171" s="36"/>
      <c r="K171" s="36" t="s">
        <v>78</v>
      </c>
      <c r="L171" s="36"/>
      <c r="M171" s="36"/>
      <c r="N171" s="36"/>
      <c r="O171" s="36"/>
      <c r="P171" s="36">
        <v>132</v>
      </c>
      <c r="Q171" s="202" t="str">
        <f>IF($P171="","",IFERROR(VLOOKUP(UPPER(DEVICE_TABLE[[#This Row],[Site]])&amp;"/"&amp;DEVICE_TABLE[[#This Row],[VLAN]],NETWORKS_TABLE[],MATCH(Q$3,NETWORKS_TABLE[#Headers],0),FALSE),""))</f>
        <v>LEGACY132</v>
      </c>
      <c r="R171" s="202" t="str">
        <f>IF($P171="","",IFERROR(VLOOKUP(UPPER(DEVICE_TABLE[[#This Row],[Site]])&amp;"/"&amp;DEVICE_TABLE[[#This Row],[VLAN]],NETWORKS_TABLE[],MATCH(R$3,NETWORKS_TABLE[#Headers],0),FALSE),""))</f>
        <v>172.16.132.0/22</v>
      </c>
      <c r="S171" s="36" t="s">
        <v>78</v>
      </c>
      <c r="T171" s="36"/>
    </row>
    <row r="172" spans="2:20">
      <c r="B172" s="36" t="s">
        <v>3033</v>
      </c>
      <c r="C172" s="36" t="s">
        <v>2980</v>
      </c>
      <c r="D172" s="36" t="s">
        <v>2980</v>
      </c>
      <c r="E172" s="122" t="s">
        <v>1575</v>
      </c>
      <c r="F172" s="122" t="s">
        <v>57</v>
      </c>
      <c r="G172" s="36" t="s">
        <v>1578</v>
      </c>
      <c r="H172" s="36" t="s">
        <v>78</v>
      </c>
      <c r="I172" s="36"/>
      <c r="J172" s="36"/>
      <c r="K172" s="36" t="s">
        <v>78</v>
      </c>
      <c r="L172" s="36"/>
      <c r="M172" s="36"/>
      <c r="N172" s="36"/>
      <c r="O172" s="36"/>
      <c r="P172" s="36">
        <v>8</v>
      </c>
      <c r="Q172" s="202" t="str">
        <f>IF($P172="","",IFERROR(VLOOKUP(UPPER(DEVICE_TABLE[[#This Row],[Site]])&amp;"/"&amp;DEVICE_TABLE[[#This Row],[VLAN]],NETWORKS_TABLE[],MATCH(Q$3,NETWORKS_TABLE[#Headers],0),FALSE),""))</f>
        <v>LEGACY08</v>
      </c>
      <c r="R172" s="202" t="str">
        <f>IF($P172="","",IFERROR(VLOOKUP(UPPER(DEVICE_TABLE[[#This Row],[Site]])&amp;"/"&amp;DEVICE_TABLE[[#This Row],[VLAN]],NETWORKS_TABLE[],MATCH(R$3,NETWORKS_TABLE[#Headers],0),FALSE),""))</f>
        <v>172.16.8.0/22</v>
      </c>
      <c r="S172" s="36" t="s">
        <v>78</v>
      </c>
      <c r="T172" s="36"/>
    </row>
    <row r="173" spans="2:20">
      <c r="B173" s="36" t="s">
        <v>3034</v>
      </c>
      <c r="C173" s="36" t="s">
        <v>149</v>
      </c>
      <c r="D173" s="36" t="s">
        <v>1741</v>
      </c>
      <c r="E173" s="122" t="s">
        <v>1575</v>
      </c>
      <c r="F173" s="122" t="s">
        <v>57</v>
      </c>
      <c r="G173" s="36" t="s">
        <v>1578</v>
      </c>
      <c r="H173" s="36" t="s">
        <v>78</v>
      </c>
      <c r="I173" s="36" t="s">
        <v>3035</v>
      </c>
      <c r="J173" s="36"/>
      <c r="K173" s="36" t="s">
        <v>78</v>
      </c>
      <c r="L173" s="36"/>
      <c r="M173" s="36"/>
      <c r="N173" s="36"/>
      <c r="O173" s="36"/>
      <c r="P173" s="36">
        <v>8</v>
      </c>
      <c r="Q173" s="202" t="str">
        <f>IF($P173="","",IFERROR(VLOOKUP(UPPER(DEVICE_TABLE[[#This Row],[Site]])&amp;"/"&amp;DEVICE_TABLE[[#This Row],[VLAN]],NETWORKS_TABLE[],MATCH(Q$3,NETWORKS_TABLE[#Headers],0),FALSE),""))</f>
        <v>LEGACY08</v>
      </c>
      <c r="R173" s="202" t="str">
        <f>IF($P173="","",IFERROR(VLOOKUP(UPPER(DEVICE_TABLE[[#This Row],[Site]])&amp;"/"&amp;DEVICE_TABLE[[#This Row],[VLAN]],NETWORKS_TABLE[],MATCH(R$3,NETWORKS_TABLE[#Headers],0),FALSE),""))</f>
        <v>172.16.8.0/22</v>
      </c>
      <c r="S173" s="36" t="s">
        <v>3036</v>
      </c>
      <c r="T173" s="36"/>
    </row>
    <row r="174" spans="2:20">
      <c r="B174" s="36" t="s">
        <v>3037</v>
      </c>
      <c r="C174" s="36" t="s">
        <v>149</v>
      </c>
      <c r="D174" s="36" t="s">
        <v>1741</v>
      </c>
      <c r="E174" s="122" t="s">
        <v>1575</v>
      </c>
      <c r="F174" s="122" t="s">
        <v>57</v>
      </c>
      <c r="G174" s="36" t="s">
        <v>1578</v>
      </c>
      <c r="H174" s="36" t="s">
        <v>78</v>
      </c>
      <c r="I174" s="36" t="s">
        <v>3037</v>
      </c>
      <c r="J174" s="36"/>
      <c r="K174" s="36" t="s">
        <v>78</v>
      </c>
      <c r="L174" s="36"/>
      <c r="M174" s="36"/>
      <c r="N174" s="36"/>
      <c r="O174" s="36"/>
      <c r="P174" s="36">
        <v>8</v>
      </c>
      <c r="Q174" s="202" t="str">
        <f>IF($P174="","",IFERROR(VLOOKUP(UPPER(DEVICE_TABLE[[#This Row],[Site]])&amp;"/"&amp;DEVICE_TABLE[[#This Row],[VLAN]],NETWORKS_TABLE[],MATCH(Q$3,NETWORKS_TABLE[#Headers],0),FALSE),""))</f>
        <v>LEGACY08</v>
      </c>
      <c r="R174" s="202" t="str">
        <f>IF($P174="","",IFERROR(VLOOKUP(UPPER(DEVICE_TABLE[[#This Row],[Site]])&amp;"/"&amp;DEVICE_TABLE[[#This Row],[VLAN]],NETWORKS_TABLE[],MATCH(R$3,NETWORKS_TABLE[#Headers],0),FALSE),""))</f>
        <v>172.16.8.0/22</v>
      </c>
      <c r="S174" s="36" t="s">
        <v>78</v>
      </c>
      <c r="T174" s="36"/>
    </row>
    <row r="175" spans="2:20">
      <c r="B175" s="36" t="s">
        <v>3038</v>
      </c>
      <c r="C175" s="36" t="s">
        <v>149</v>
      </c>
      <c r="D175" s="36" t="s">
        <v>1741</v>
      </c>
      <c r="E175" s="122" t="s">
        <v>1575</v>
      </c>
      <c r="F175" s="122" t="s">
        <v>57</v>
      </c>
      <c r="G175" s="36" t="s">
        <v>1578</v>
      </c>
      <c r="H175" s="36" t="s">
        <v>78</v>
      </c>
      <c r="I175" s="36" t="s">
        <v>1677</v>
      </c>
      <c r="J175" s="36"/>
      <c r="K175" s="36" t="s">
        <v>78</v>
      </c>
      <c r="L175" s="36"/>
      <c r="M175" s="36"/>
      <c r="N175" s="36"/>
      <c r="O175" s="36"/>
      <c r="P175" s="36">
        <v>220</v>
      </c>
      <c r="Q175" s="202" t="str">
        <f>IF($P175="","",IFERROR(VLOOKUP(UPPER(DEVICE_TABLE[[#This Row],[Site]])&amp;"/"&amp;DEVICE_TABLE[[#This Row],[VLAN]],NETWORKS_TABLE[],MATCH(Q$3,NETWORKS_TABLE[#Headers],0),FALSE),""))</f>
        <v>VIRTUALMGNT</v>
      </c>
      <c r="R175" s="202" t="str">
        <f>IF($P175="","",IFERROR(VLOOKUP(UPPER(DEVICE_TABLE[[#This Row],[Site]])&amp;"/"&amp;DEVICE_TABLE[[#This Row],[VLAN]],NETWORKS_TABLE[],MATCH(R$3,NETWORKS_TABLE[#Headers],0),FALSE),""))</f>
        <v>10.224.20.0/24</v>
      </c>
      <c r="S175" s="36" t="s">
        <v>78</v>
      </c>
      <c r="T175" s="36"/>
    </row>
    <row r="176" spans="2:20">
      <c r="B176" s="36" t="s">
        <v>3039</v>
      </c>
      <c r="C176" s="36" t="s">
        <v>149</v>
      </c>
      <c r="D176" s="36" t="s">
        <v>1741</v>
      </c>
      <c r="E176" s="122" t="s">
        <v>1575</v>
      </c>
      <c r="F176" s="122" t="s">
        <v>57</v>
      </c>
      <c r="G176" s="36" t="s">
        <v>1578</v>
      </c>
      <c r="H176" s="36" t="s">
        <v>78</v>
      </c>
      <c r="I176" s="36" t="s">
        <v>1677</v>
      </c>
      <c r="J176" s="36"/>
      <c r="K176" s="36" t="s">
        <v>78</v>
      </c>
      <c r="L176" s="36"/>
      <c r="M176" s="36"/>
      <c r="N176" s="36"/>
      <c r="O176" s="36"/>
      <c r="P176" s="36">
        <v>220</v>
      </c>
      <c r="Q176" s="202" t="str">
        <f>IF($P176="","",IFERROR(VLOOKUP(UPPER(DEVICE_TABLE[[#This Row],[Site]])&amp;"/"&amp;DEVICE_TABLE[[#This Row],[VLAN]],NETWORKS_TABLE[],MATCH(Q$3,NETWORKS_TABLE[#Headers],0),FALSE),""))</f>
        <v>VIRTUALMGNT</v>
      </c>
      <c r="R176" s="202" t="str">
        <f>IF($P176="","",IFERROR(VLOOKUP(UPPER(DEVICE_TABLE[[#This Row],[Site]])&amp;"/"&amp;DEVICE_TABLE[[#This Row],[VLAN]],NETWORKS_TABLE[],MATCH(R$3,NETWORKS_TABLE[#Headers],0),FALSE),""))</f>
        <v>10.224.20.0/24</v>
      </c>
      <c r="S176" s="36" t="s">
        <v>78</v>
      </c>
      <c r="T176" s="36"/>
    </row>
    <row r="177" spans="2:20">
      <c r="B177" s="36" t="s">
        <v>3040</v>
      </c>
      <c r="C177" s="36" t="s">
        <v>2980</v>
      </c>
      <c r="D177" s="36" t="s">
        <v>2980</v>
      </c>
      <c r="E177" s="122" t="s">
        <v>1575</v>
      </c>
      <c r="F177" s="122" t="s">
        <v>57</v>
      </c>
      <c r="G177" s="36" t="s">
        <v>1578</v>
      </c>
      <c r="H177" s="36" t="s">
        <v>78</v>
      </c>
      <c r="I177" s="36"/>
      <c r="J177" s="36"/>
      <c r="K177" s="36" t="s">
        <v>78</v>
      </c>
      <c r="L177" s="36"/>
      <c r="M177" s="36"/>
      <c r="N177" s="36"/>
      <c r="O177" s="36"/>
      <c r="P177" s="36">
        <v>300</v>
      </c>
      <c r="Q177" s="202" t="str">
        <f>IF($P177="","",IFERROR(VLOOKUP(UPPER(DEVICE_TABLE[[#This Row],[Site]])&amp;"/"&amp;DEVICE_TABLE[[#This Row],[VLAN]],NETWORKS_TABLE[],MATCH(Q$3,NETWORKS_TABLE[#Headers],0),FALSE),""))</f>
        <v>SERVER</v>
      </c>
      <c r="R177" s="202" t="str">
        <f>IF($P177="","",IFERROR(VLOOKUP(UPPER(DEVICE_TABLE[[#This Row],[Site]])&amp;"/"&amp;DEVICE_TABLE[[#This Row],[VLAN]],NETWORKS_TABLE[],MATCH(R$3,NETWORKS_TABLE[#Headers],0),FALSE),""))</f>
        <v>10.224.100.0/24</v>
      </c>
      <c r="S177" s="36" t="s">
        <v>78</v>
      </c>
      <c r="T177" s="36"/>
    </row>
    <row r="178" spans="2:20">
      <c r="B178" s="36" t="s">
        <v>3050</v>
      </c>
      <c r="C178" s="36" t="s">
        <v>149</v>
      </c>
      <c r="D178" s="36" t="s">
        <v>1741</v>
      </c>
      <c r="E178" s="122" t="s">
        <v>1575</v>
      </c>
      <c r="F178" s="122" t="s">
        <v>57</v>
      </c>
      <c r="G178" s="36" t="s">
        <v>1578</v>
      </c>
      <c r="H178" s="36" t="s">
        <v>78</v>
      </c>
      <c r="I178" s="36" t="s">
        <v>3041</v>
      </c>
      <c r="J178" s="36"/>
      <c r="K178" s="36" t="s">
        <v>78</v>
      </c>
      <c r="L178" s="36"/>
      <c r="M178" s="36"/>
      <c r="N178" s="36"/>
      <c r="O178" s="36"/>
      <c r="P178" s="36">
        <v>8</v>
      </c>
      <c r="Q178" s="202" t="str">
        <f>IF($P178="","",IFERROR(VLOOKUP(UPPER(DEVICE_TABLE[[#This Row],[Site]])&amp;"/"&amp;DEVICE_TABLE[[#This Row],[VLAN]],NETWORKS_TABLE[],MATCH(Q$3,NETWORKS_TABLE[#Headers],0),FALSE),""))</f>
        <v>LEGACY08</v>
      </c>
      <c r="R178" s="202" t="str">
        <f>IF($P178="","",IFERROR(VLOOKUP(UPPER(DEVICE_TABLE[[#This Row],[Site]])&amp;"/"&amp;DEVICE_TABLE[[#This Row],[VLAN]],NETWORKS_TABLE[],MATCH(R$3,NETWORKS_TABLE[#Headers],0),FALSE),""))</f>
        <v>172.16.8.0/22</v>
      </c>
      <c r="S178" s="36" t="s">
        <v>78</v>
      </c>
      <c r="T178" s="36"/>
    </row>
    <row r="179" spans="2:20">
      <c r="B179" s="36" t="s">
        <v>3042</v>
      </c>
      <c r="C179" s="36" t="s">
        <v>3043</v>
      </c>
      <c r="D179" s="36" t="s">
        <v>3043</v>
      </c>
      <c r="E179" s="122" t="s">
        <v>1575</v>
      </c>
      <c r="F179" s="122" t="s">
        <v>57</v>
      </c>
      <c r="G179" s="36" t="s">
        <v>1578</v>
      </c>
      <c r="H179" s="36" t="s">
        <v>78</v>
      </c>
      <c r="I179" s="36" t="s">
        <v>1717</v>
      </c>
      <c r="J179" s="36"/>
      <c r="K179" s="36" t="s">
        <v>78</v>
      </c>
      <c r="L179" s="36"/>
      <c r="M179" s="36"/>
      <c r="N179" s="36"/>
      <c r="O179" s="36"/>
      <c r="P179" s="36">
        <v>92</v>
      </c>
      <c r="Q179" s="202" t="str">
        <f>IF($P179="","",IFERROR(VLOOKUP(UPPER(DEVICE_TABLE[[#This Row],[Site]])&amp;"/"&amp;DEVICE_TABLE[[#This Row],[VLAN]],NETWORKS_TABLE[],MATCH(Q$3,NETWORKS_TABLE[#Headers],0),FALSE),""))</f>
        <v>HERMES</v>
      </c>
      <c r="R179" s="202" t="str">
        <f>IF($P179="","",IFERROR(VLOOKUP(UPPER(DEVICE_TABLE[[#This Row],[Site]])&amp;"/"&amp;DEVICE_TABLE[[#This Row],[VLAN]],NETWORKS_TABLE[],MATCH(R$3,NETWORKS_TABLE[#Headers],0),FALSE),""))</f>
        <v>172.16.92.0/22</v>
      </c>
      <c r="S179" s="36" t="s">
        <v>78</v>
      </c>
      <c r="T179" s="36"/>
    </row>
    <row r="180" spans="2:20">
      <c r="B180" s="36" t="s">
        <v>1719</v>
      </c>
      <c r="C180" s="36" t="s">
        <v>3043</v>
      </c>
      <c r="D180" s="36" t="s">
        <v>3043</v>
      </c>
      <c r="E180" s="122" t="s">
        <v>1575</v>
      </c>
      <c r="F180" s="122" t="s">
        <v>57</v>
      </c>
      <c r="G180" s="36" t="s">
        <v>1578</v>
      </c>
      <c r="H180" s="36" t="s">
        <v>78</v>
      </c>
      <c r="I180" s="36" t="s">
        <v>1717</v>
      </c>
      <c r="J180" s="36"/>
      <c r="K180" s="36" t="s">
        <v>78</v>
      </c>
      <c r="L180" s="36"/>
      <c r="M180" s="36"/>
      <c r="N180" s="36"/>
      <c r="O180" s="36"/>
      <c r="P180" s="36">
        <v>32</v>
      </c>
      <c r="Q180" s="202" t="str">
        <f>IF($P180="","",IFERROR(VLOOKUP(UPPER(DEVICE_TABLE[[#This Row],[Site]])&amp;"/"&amp;DEVICE_TABLE[[#This Row],[VLAN]],NETWORKS_TABLE[],MATCH(Q$3,NETWORKS_TABLE[#Headers],0),FALSE),""))</f>
        <v>LEGACYSERVER32</v>
      </c>
      <c r="R180" s="202" t="str">
        <f>IF($P180="","",IFERROR(VLOOKUP(UPPER(DEVICE_TABLE[[#This Row],[Site]])&amp;"/"&amp;DEVICE_TABLE[[#This Row],[VLAN]],NETWORKS_TABLE[],MATCH(R$3,NETWORKS_TABLE[#Headers],0),FALSE),""))</f>
        <v>172.16.32.0/22</v>
      </c>
      <c r="S180" s="36" t="s">
        <v>78</v>
      </c>
      <c r="T180" s="36"/>
    </row>
    <row r="181" spans="2:20">
      <c r="B181" s="36" t="s">
        <v>3044</v>
      </c>
      <c r="C181" s="36" t="s">
        <v>3043</v>
      </c>
      <c r="D181" s="36" t="s">
        <v>3043</v>
      </c>
      <c r="E181" s="122" t="s">
        <v>1575</v>
      </c>
      <c r="F181" s="122" t="s">
        <v>57</v>
      </c>
      <c r="G181" s="36" t="s">
        <v>1578</v>
      </c>
      <c r="H181" s="36" t="s">
        <v>78</v>
      </c>
      <c r="I181" s="36" t="s">
        <v>1717</v>
      </c>
      <c r="J181" s="36"/>
      <c r="K181" s="36" t="s">
        <v>78</v>
      </c>
      <c r="L181" s="36"/>
      <c r="M181" s="36"/>
      <c r="N181" s="36"/>
      <c r="O181" s="36"/>
      <c r="P181" s="36">
        <v>32</v>
      </c>
      <c r="Q181" s="202" t="str">
        <f>IF($P181="","",IFERROR(VLOOKUP(UPPER(DEVICE_TABLE[[#This Row],[Site]])&amp;"/"&amp;DEVICE_TABLE[[#This Row],[VLAN]],NETWORKS_TABLE[],MATCH(Q$3,NETWORKS_TABLE[#Headers],0),FALSE),""))</f>
        <v>LEGACYSERVER32</v>
      </c>
      <c r="R181" s="202" t="str">
        <f>IF($P181="","",IFERROR(VLOOKUP(UPPER(DEVICE_TABLE[[#This Row],[Site]])&amp;"/"&amp;DEVICE_TABLE[[#This Row],[VLAN]],NETWORKS_TABLE[],MATCH(R$3,NETWORKS_TABLE[#Headers],0),FALSE),""))</f>
        <v>172.16.32.0/22</v>
      </c>
      <c r="S181" s="36" t="s">
        <v>78</v>
      </c>
      <c r="T181" s="36"/>
    </row>
    <row r="182" spans="2:20">
      <c r="B182" s="36" t="s">
        <v>3042</v>
      </c>
      <c r="C182" s="36" t="s">
        <v>3043</v>
      </c>
      <c r="D182" s="36" t="s">
        <v>3043</v>
      </c>
      <c r="E182" s="122" t="s">
        <v>1575</v>
      </c>
      <c r="F182" s="122" t="s">
        <v>57</v>
      </c>
      <c r="G182" s="36" t="s">
        <v>1578</v>
      </c>
      <c r="H182" s="36" t="s">
        <v>78</v>
      </c>
      <c r="I182" s="36" t="s">
        <v>1717</v>
      </c>
      <c r="J182" s="36"/>
      <c r="K182" s="36" t="s">
        <v>78</v>
      </c>
      <c r="L182" s="36"/>
      <c r="M182" s="36"/>
      <c r="N182" s="36"/>
      <c r="O182" s="36"/>
      <c r="P182" s="36">
        <v>32</v>
      </c>
      <c r="Q182" s="202" t="str">
        <f>IF($P182="","",IFERROR(VLOOKUP(UPPER(DEVICE_TABLE[[#This Row],[Site]])&amp;"/"&amp;DEVICE_TABLE[[#This Row],[VLAN]],NETWORKS_TABLE[],MATCH(Q$3,NETWORKS_TABLE[#Headers],0),FALSE),""))</f>
        <v>LEGACYSERVER32</v>
      </c>
      <c r="R182" s="202" t="str">
        <f>IF($P182="","",IFERROR(VLOOKUP(UPPER(DEVICE_TABLE[[#This Row],[Site]])&amp;"/"&amp;DEVICE_TABLE[[#This Row],[VLAN]],NETWORKS_TABLE[],MATCH(R$3,NETWORKS_TABLE[#Headers],0),FALSE),""))</f>
        <v>172.16.32.0/22</v>
      </c>
      <c r="S182" s="36" t="s">
        <v>78</v>
      </c>
      <c r="T182" s="36"/>
    </row>
    <row r="183" spans="2:20">
      <c r="B183" s="36" t="s">
        <v>3045</v>
      </c>
      <c r="C183" s="36" t="s">
        <v>149</v>
      </c>
      <c r="D183" s="36" t="s">
        <v>1741</v>
      </c>
      <c r="E183" s="122" t="s">
        <v>1575</v>
      </c>
      <c r="F183" s="122" t="s">
        <v>57</v>
      </c>
      <c r="G183" s="36" t="s">
        <v>1578</v>
      </c>
      <c r="H183" s="36" t="s">
        <v>78</v>
      </c>
      <c r="I183" s="36" t="s">
        <v>1754</v>
      </c>
      <c r="J183" s="36"/>
      <c r="K183" s="36" t="s">
        <v>78</v>
      </c>
      <c r="L183" s="36"/>
      <c r="M183" s="36"/>
      <c r="N183" s="36"/>
      <c r="O183" s="36"/>
      <c r="P183" s="36">
        <v>300</v>
      </c>
      <c r="Q183" s="202" t="str">
        <f>IF($P183="","",IFERROR(VLOOKUP(UPPER(DEVICE_TABLE[[#This Row],[Site]])&amp;"/"&amp;DEVICE_TABLE[[#This Row],[VLAN]],NETWORKS_TABLE[],MATCH(Q$3,NETWORKS_TABLE[#Headers],0),FALSE),""))</f>
        <v>SERVER</v>
      </c>
      <c r="R183" s="202" t="str">
        <f>IF($P183="","",IFERROR(VLOOKUP(UPPER(DEVICE_TABLE[[#This Row],[Site]])&amp;"/"&amp;DEVICE_TABLE[[#This Row],[VLAN]],NETWORKS_TABLE[],MATCH(R$3,NETWORKS_TABLE[#Headers],0),FALSE),""))</f>
        <v>10.224.100.0/24</v>
      </c>
      <c r="S183" s="36" t="s">
        <v>78</v>
      </c>
      <c r="T183" s="36"/>
    </row>
    <row r="184" spans="2:20">
      <c r="B184" s="36" t="s">
        <v>3046</v>
      </c>
      <c r="C184" s="36" t="s">
        <v>3047</v>
      </c>
      <c r="D184" s="36" t="s">
        <v>1741</v>
      </c>
      <c r="E184" s="122" t="s">
        <v>1575</v>
      </c>
      <c r="F184" s="122" t="s">
        <v>57</v>
      </c>
      <c r="G184" s="36" t="s">
        <v>1578</v>
      </c>
      <c r="H184" s="36" t="s">
        <v>78</v>
      </c>
      <c r="I184" s="36" t="s">
        <v>1754</v>
      </c>
      <c r="J184" s="36"/>
      <c r="K184" s="36" t="s">
        <v>78</v>
      </c>
      <c r="L184" s="36"/>
      <c r="M184" s="36"/>
      <c r="N184" s="36"/>
      <c r="O184" s="36"/>
      <c r="P184" s="36">
        <v>8</v>
      </c>
      <c r="Q184" s="202" t="str">
        <f>IF($P184="","",IFERROR(VLOOKUP(UPPER(DEVICE_TABLE[[#This Row],[Site]])&amp;"/"&amp;DEVICE_TABLE[[#This Row],[VLAN]],NETWORKS_TABLE[],MATCH(Q$3,NETWORKS_TABLE[#Headers],0),FALSE),""))</f>
        <v>LEGACY08</v>
      </c>
      <c r="R184" s="202" t="str">
        <f>IF($P184="","",IFERROR(VLOOKUP(UPPER(DEVICE_TABLE[[#This Row],[Site]])&amp;"/"&amp;DEVICE_TABLE[[#This Row],[VLAN]],NETWORKS_TABLE[],MATCH(R$3,NETWORKS_TABLE[#Headers],0),FALSE),""))</f>
        <v>172.16.8.0/22</v>
      </c>
      <c r="S184" s="36" t="s">
        <v>78</v>
      </c>
      <c r="T184" s="36"/>
    </row>
    <row r="185" spans="2:20">
      <c r="B185" s="36" t="s">
        <v>3048</v>
      </c>
      <c r="C185" s="36" t="s">
        <v>3043</v>
      </c>
      <c r="D185" s="36" t="s">
        <v>1715</v>
      </c>
      <c r="E185" s="122" t="s">
        <v>1575</v>
      </c>
      <c r="F185" s="122" t="s">
        <v>57</v>
      </c>
      <c r="G185" s="36" t="s">
        <v>1576</v>
      </c>
      <c r="H185" s="36" t="s">
        <v>78</v>
      </c>
      <c r="I185" s="36" t="s">
        <v>1717</v>
      </c>
      <c r="J185" s="36"/>
      <c r="K185" s="36" t="s">
        <v>78</v>
      </c>
      <c r="L185" s="36"/>
      <c r="M185" s="36"/>
      <c r="N185" s="36"/>
      <c r="O185" s="36"/>
      <c r="P185" s="36">
        <v>92</v>
      </c>
      <c r="Q185" s="202" t="str">
        <f>IF($P185="","",IFERROR(VLOOKUP(UPPER(DEVICE_TABLE[[#This Row],[Site]])&amp;"/"&amp;DEVICE_TABLE[[#This Row],[VLAN]],NETWORKS_TABLE[],MATCH(Q$3,NETWORKS_TABLE[#Headers],0),FALSE),""))</f>
        <v>HERMES</v>
      </c>
      <c r="R185" s="202" t="str">
        <f>IF($P185="","",IFERROR(VLOOKUP(UPPER(DEVICE_TABLE[[#This Row],[Site]])&amp;"/"&amp;DEVICE_TABLE[[#This Row],[VLAN]],NETWORKS_TABLE[],MATCH(R$3,NETWORKS_TABLE[#Headers],0),FALSE),""))</f>
        <v>172.16.92.0/22</v>
      </c>
      <c r="S185" s="36" t="s">
        <v>78</v>
      </c>
      <c r="T185" s="36"/>
    </row>
    <row r="186" spans="2:20">
      <c r="B186" s="36" t="s">
        <v>1714</v>
      </c>
      <c r="C186" s="36" t="s">
        <v>3043</v>
      </c>
      <c r="D186" s="36" t="s">
        <v>1715</v>
      </c>
      <c r="E186" s="122" t="s">
        <v>1575</v>
      </c>
      <c r="F186" s="122" t="s">
        <v>57</v>
      </c>
      <c r="G186" s="36" t="s">
        <v>1576</v>
      </c>
      <c r="H186" s="36" t="s">
        <v>78</v>
      </c>
      <c r="I186" s="36" t="s">
        <v>1717</v>
      </c>
      <c r="J186" s="36"/>
      <c r="K186" s="36" t="s">
        <v>78</v>
      </c>
      <c r="L186" s="36"/>
      <c r="M186" s="36"/>
      <c r="N186" s="36"/>
      <c r="O186" s="36"/>
      <c r="P186" s="36">
        <v>32</v>
      </c>
      <c r="Q186" s="202" t="str">
        <f>IF($P186="","",IFERROR(VLOOKUP(UPPER(DEVICE_TABLE[[#This Row],[Site]])&amp;"/"&amp;DEVICE_TABLE[[#This Row],[VLAN]],NETWORKS_TABLE[],MATCH(Q$3,NETWORKS_TABLE[#Headers],0),FALSE),""))</f>
        <v>LEGACYSERVER32</v>
      </c>
      <c r="R186" s="202" t="str">
        <f>IF($P186="","",IFERROR(VLOOKUP(UPPER(DEVICE_TABLE[[#This Row],[Site]])&amp;"/"&amp;DEVICE_TABLE[[#This Row],[VLAN]],NETWORKS_TABLE[],MATCH(R$3,NETWORKS_TABLE[#Headers],0),FALSE),""))</f>
        <v>172.16.32.0/22</v>
      </c>
      <c r="S186" s="36" t="s">
        <v>78</v>
      </c>
      <c r="T186" s="36"/>
    </row>
    <row r="187" spans="2:20">
      <c r="B187" s="36" t="s">
        <v>3049</v>
      </c>
      <c r="C187" s="36" t="s">
        <v>3043</v>
      </c>
      <c r="D187" s="36" t="s">
        <v>1715</v>
      </c>
      <c r="E187" s="122" t="s">
        <v>1575</v>
      </c>
      <c r="F187" s="122" t="s">
        <v>57</v>
      </c>
      <c r="G187" s="36" t="s">
        <v>1576</v>
      </c>
      <c r="H187" s="36" t="s">
        <v>78</v>
      </c>
      <c r="I187" s="36" t="s">
        <v>1717</v>
      </c>
      <c r="J187" s="36"/>
      <c r="K187" s="36" t="s">
        <v>78</v>
      </c>
      <c r="L187" s="36"/>
      <c r="M187" s="36"/>
      <c r="N187" s="36"/>
      <c r="O187" s="36"/>
      <c r="P187" s="36">
        <v>32</v>
      </c>
      <c r="Q187" s="202" t="str">
        <f>IF($P187="","",IFERROR(VLOOKUP(UPPER(DEVICE_TABLE[[#This Row],[Site]])&amp;"/"&amp;DEVICE_TABLE[[#This Row],[VLAN]],NETWORKS_TABLE[],MATCH(Q$3,NETWORKS_TABLE[#Headers],0),FALSE),""))</f>
        <v>LEGACYSERVER32</v>
      </c>
      <c r="R187" s="202" t="str">
        <f>IF($P187="","",IFERROR(VLOOKUP(UPPER(DEVICE_TABLE[[#This Row],[Site]])&amp;"/"&amp;DEVICE_TABLE[[#This Row],[VLAN]],NETWORKS_TABLE[],MATCH(R$3,NETWORKS_TABLE[#Headers],0),FALSE),""))</f>
        <v>172.16.32.0/22</v>
      </c>
      <c r="S187" s="36" t="s">
        <v>78</v>
      </c>
      <c r="T187" s="36"/>
    </row>
    <row r="188" spans="2:20">
      <c r="B188" s="36" t="s">
        <v>3048</v>
      </c>
      <c r="C188" s="36" t="s">
        <v>3043</v>
      </c>
      <c r="D188" s="36" t="s">
        <v>1715</v>
      </c>
      <c r="E188" s="122" t="s">
        <v>1575</v>
      </c>
      <c r="F188" s="122" t="s">
        <v>57</v>
      </c>
      <c r="G188" s="36" t="s">
        <v>1576</v>
      </c>
      <c r="H188" s="36" t="s">
        <v>78</v>
      </c>
      <c r="I188" s="36" t="s">
        <v>1717</v>
      </c>
      <c r="J188" s="36"/>
      <c r="K188" s="36" t="s">
        <v>78</v>
      </c>
      <c r="L188" s="36"/>
      <c r="M188" s="36"/>
      <c r="N188" s="36"/>
      <c r="O188" s="36"/>
      <c r="P188" s="36">
        <v>32</v>
      </c>
      <c r="Q188" s="202" t="str">
        <f>IF($P188="","",IFERROR(VLOOKUP(UPPER(DEVICE_TABLE[[#This Row],[Site]])&amp;"/"&amp;DEVICE_TABLE[[#This Row],[VLAN]],NETWORKS_TABLE[],MATCH(Q$3,NETWORKS_TABLE[#Headers],0),FALSE),""))</f>
        <v>LEGACYSERVER32</v>
      </c>
      <c r="R188" s="202" t="str">
        <f>IF($P188="","",IFERROR(VLOOKUP(UPPER(DEVICE_TABLE[[#This Row],[Site]])&amp;"/"&amp;DEVICE_TABLE[[#This Row],[VLAN]],NETWORKS_TABLE[],MATCH(R$3,NETWORKS_TABLE[#Headers],0),FALSE),""))</f>
        <v>172.16.32.0/22</v>
      </c>
      <c r="S188" s="36" t="s">
        <v>78</v>
      </c>
      <c r="T188" s="36"/>
    </row>
    <row r="189" spans="2:20">
      <c r="B189" s="36" t="s">
        <v>3050</v>
      </c>
      <c r="C189" s="36" t="s">
        <v>149</v>
      </c>
      <c r="D189" s="36" t="s">
        <v>1741</v>
      </c>
      <c r="E189" s="122" t="s">
        <v>1575</v>
      </c>
      <c r="F189" s="122" t="s">
        <v>57</v>
      </c>
      <c r="G189" s="36" t="s">
        <v>1576</v>
      </c>
      <c r="H189" s="36" t="s">
        <v>78</v>
      </c>
      <c r="I189" s="36" t="s">
        <v>3041</v>
      </c>
      <c r="J189" s="36"/>
      <c r="K189" s="36" t="s">
        <v>78</v>
      </c>
      <c r="L189" s="36"/>
      <c r="M189" s="36"/>
      <c r="N189" s="36"/>
      <c r="O189" s="36"/>
      <c r="P189" s="36">
        <v>8</v>
      </c>
      <c r="Q189" s="202" t="str">
        <f>IF($P189="","",IFERROR(VLOOKUP(UPPER(DEVICE_TABLE[[#This Row],[Site]])&amp;"/"&amp;DEVICE_TABLE[[#This Row],[VLAN]],NETWORKS_TABLE[],MATCH(Q$3,NETWORKS_TABLE[#Headers],0),FALSE),""))</f>
        <v>LEGACY08</v>
      </c>
      <c r="R189" s="202" t="str">
        <f>IF($P189="","",IFERROR(VLOOKUP(UPPER(DEVICE_TABLE[[#This Row],[Site]])&amp;"/"&amp;DEVICE_TABLE[[#This Row],[VLAN]],NETWORKS_TABLE[],MATCH(R$3,NETWORKS_TABLE[#Headers],0),FALSE),""))</f>
        <v>172.16.8.0/22</v>
      </c>
      <c r="S189" s="36" t="s">
        <v>78</v>
      </c>
      <c r="T189" s="36"/>
    </row>
    <row r="190" spans="2:20">
      <c r="B190" s="36" t="s">
        <v>3051</v>
      </c>
      <c r="C190" s="36" t="s">
        <v>149</v>
      </c>
      <c r="D190" s="36" t="s">
        <v>1741</v>
      </c>
      <c r="E190" s="122" t="s">
        <v>1575</v>
      </c>
      <c r="F190" s="122" t="s">
        <v>57</v>
      </c>
      <c r="G190" s="36" t="s">
        <v>1576</v>
      </c>
      <c r="H190" s="36" t="s">
        <v>78</v>
      </c>
      <c r="I190" s="36" t="s">
        <v>3035</v>
      </c>
      <c r="J190" s="36"/>
      <c r="K190" s="36" t="s">
        <v>78</v>
      </c>
      <c r="L190" s="36"/>
      <c r="M190" s="36"/>
      <c r="N190" s="36"/>
      <c r="O190" s="36"/>
      <c r="P190" s="36">
        <v>8</v>
      </c>
      <c r="Q190" s="202" t="str">
        <f>IF($P190="","",IFERROR(VLOOKUP(UPPER(DEVICE_TABLE[[#This Row],[Site]])&amp;"/"&amp;DEVICE_TABLE[[#This Row],[VLAN]],NETWORKS_TABLE[],MATCH(Q$3,NETWORKS_TABLE[#Headers],0),FALSE),""))</f>
        <v>LEGACY08</v>
      </c>
      <c r="R190" s="202" t="str">
        <f>IF($P190="","",IFERROR(VLOOKUP(UPPER(DEVICE_TABLE[[#This Row],[Site]])&amp;"/"&amp;DEVICE_TABLE[[#This Row],[VLAN]],NETWORKS_TABLE[],MATCH(R$3,NETWORKS_TABLE[#Headers],0),FALSE),""))</f>
        <v>172.16.8.0/22</v>
      </c>
      <c r="S190" s="36" t="s">
        <v>78</v>
      </c>
      <c r="T190" s="36"/>
    </row>
    <row r="191" spans="2:20">
      <c r="B191" s="36" t="s">
        <v>3038</v>
      </c>
      <c r="C191" s="36" t="s">
        <v>149</v>
      </c>
      <c r="D191" s="36" t="s">
        <v>1741</v>
      </c>
      <c r="E191" s="122" t="s">
        <v>1575</v>
      </c>
      <c r="F191" s="122" t="s">
        <v>57</v>
      </c>
      <c r="G191" s="36" t="s">
        <v>1576</v>
      </c>
      <c r="H191" s="36" t="s">
        <v>78</v>
      </c>
      <c r="I191" s="36" t="s">
        <v>1677</v>
      </c>
      <c r="J191" s="36"/>
      <c r="K191" s="36" t="s">
        <v>78</v>
      </c>
      <c r="L191" s="36"/>
      <c r="M191" s="36"/>
      <c r="N191" s="36"/>
      <c r="O191" s="36"/>
      <c r="P191" s="36">
        <v>220</v>
      </c>
      <c r="Q191" s="202" t="str">
        <f>IF($P191="","",IFERROR(VLOOKUP(UPPER(DEVICE_TABLE[[#This Row],[Site]])&amp;"/"&amp;DEVICE_TABLE[[#This Row],[VLAN]],NETWORKS_TABLE[],MATCH(Q$3,NETWORKS_TABLE[#Headers],0),FALSE),""))</f>
        <v>VIRTUALMGNT</v>
      </c>
      <c r="R191" s="202" t="str">
        <f>IF($P191="","",IFERROR(VLOOKUP(UPPER(DEVICE_TABLE[[#This Row],[Site]])&amp;"/"&amp;DEVICE_TABLE[[#This Row],[VLAN]],NETWORKS_TABLE[],MATCH(R$3,NETWORKS_TABLE[#Headers],0),FALSE),""))</f>
        <v>10.224.20.0/24</v>
      </c>
      <c r="S191" s="36" t="s">
        <v>78</v>
      </c>
      <c r="T191" s="36"/>
    </row>
    <row r="192" spans="2:20">
      <c r="B192" s="36" t="s">
        <v>3039</v>
      </c>
      <c r="C192" s="36" t="s">
        <v>149</v>
      </c>
      <c r="D192" s="36" t="s">
        <v>1741</v>
      </c>
      <c r="E192" s="122" t="s">
        <v>1575</v>
      </c>
      <c r="F192" s="122" t="s">
        <v>57</v>
      </c>
      <c r="G192" s="36" t="s">
        <v>1576</v>
      </c>
      <c r="H192" s="36" t="s">
        <v>78</v>
      </c>
      <c r="I192" s="36" t="s">
        <v>1677</v>
      </c>
      <c r="J192" s="36"/>
      <c r="K192" s="36" t="s">
        <v>78</v>
      </c>
      <c r="L192" s="36"/>
      <c r="M192" s="36"/>
      <c r="N192" s="36"/>
      <c r="O192" s="36"/>
      <c r="P192" s="36">
        <v>220</v>
      </c>
      <c r="Q192" s="202" t="str">
        <f>IF($P192="","",IFERROR(VLOOKUP(UPPER(DEVICE_TABLE[[#This Row],[Site]])&amp;"/"&amp;DEVICE_TABLE[[#This Row],[VLAN]],NETWORKS_TABLE[],MATCH(Q$3,NETWORKS_TABLE[#Headers],0),FALSE),""))</f>
        <v>VIRTUALMGNT</v>
      </c>
      <c r="R192" s="202" t="str">
        <f>IF($P192="","",IFERROR(VLOOKUP(UPPER(DEVICE_TABLE[[#This Row],[Site]])&amp;"/"&amp;DEVICE_TABLE[[#This Row],[VLAN]],NETWORKS_TABLE[],MATCH(R$3,NETWORKS_TABLE[#Headers],0),FALSE),""))</f>
        <v>10.224.20.0/24</v>
      </c>
      <c r="S192" s="36" t="s">
        <v>78</v>
      </c>
      <c r="T192" s="36"/>
    </row>
    <row r="193" spans="2:20">
      <c r="B193" s="36" t="s">
        <v>3069</v>
      </c>
      <c r="C193" s="36" t="s">
        <v>149</v>
      </c>
      <c r="D193" s="36" t="s">
        <v>1741</v>
      </c>
      <c r="E193" s="122" t="s">
        <v>1575</v>
      </c>
      <c r="F193" s="122" t="s">
        <v>57</v>
      </c>
      <c r="G193" s="36" t="s">
        <v>1578</v>
      </c>
      <c r="H193" s="36" t="s">
        <v>78</v>
      </c>
      <c r="I193" s="36" t="s">
        <v>1754</v>
      </c>
      <c r="J193" s="36"/>
      <c r="K193" s="36" t="s">
        <v>78</v>
      </c>
      <c r="L193" s="36"/>
      <c r="M193" s="36"/>
      <c r="N193" s="36"/>
      <c r="O193" s="36"/>
      <c r="P193" s="36">
        <v>220</v>
      </c>
      <c r="Q193" s="202" t="str">
        <f>IF($P193="","",IFERROR(VLOOKUP(UPPER(DEVICE_TABLE[[#This Row],[Site]])&amp;"/"&amp;DEVICE_TABLE[[#This Row],[VLAN]],NETWORKS_TABLE[],MATCH(Q$3,NETWORKS_TABLE[#Headers],0),FALSE),""))</f>
        <v>VIRTUALMGNT</v>
      </c>
      <c r="R193" s="202" t="str">
        <f>IF($P193="","",IFERROR(VLOOKUP(UPPER(DEVICE_TABLE[[#This Row],[Site]])&amp;"/"&amp;DEVICE_TABLE[[#This Row],[VLAN]],NETWORKS_TABLE[],MATCH(R$3,NETWORKS_TABLE[#Headers],0),FALSE),""))</f>
        <v>10.224.20.0/24</v>
      </c>
      <c r="S193" s="36" t="s">
        <v>3070</v>
      </c>
      <c r="T193" s="36"/>
    </row>
    <row r="194" spans="2:20">
      <c r="B194" s="36" t="s">
        <v>3069</v>
      </c>
      <c r="C194" s="36" t="s">
        <v>149</v>
      </c>
      <c r="D194" s="36" t="s">
        <v>1741</v>
      </c>
      <c r="E194" s="122" t="s">
        <v>1575</v>
      </c>
      <c r="F194" s="122" t="s">
        <v>57</v>
      </c>
      <c r="G194" s="36" t="s">
        <v>1578</v>
      </c>
      <c r="H194" s="36" t="s">
        <v>78</v>
      </c>
      <c r="I194" s="36" t="s">
        <v>1754</v>
      </c>
      <c r="J194" s="36"/>
      <c r="K194" s="36" t="s">
        <v>78</v>
      </c>
      <c r="L194" s="36"/>
      <c r="M194" s="36"/>
      <c r="N194" s="36"/>
      <c r="O194" s="36"/>
      <c r="P194" s="36">
        <v>300</v>
      </c>
      <c r="Q194" s="202" t="str">
        <f>IF($P194="","",IFERROR(VLOOKUP(UPPER(DEVICE_TABLE[[#This Row],[Site]])&amp;"/"&amp;DEVICE_TABLE[[#This Row],[VLAN]],NETWORKS_TABLE[],MATCH(Q$3,NETWORKS_TABLE[#Headers],0),FALSE),""))</f>
        <v>SERVER</v>
      </c>
      <c r="R194" s="202" t="str">
        <f>IF($P194="","",IFERROR(VLOOKUP(UPPER(DEVICE_TABLE[[#This Row],[Site]])&amp;"/"&amp;DEVICE_TABLE[[#This Row],[VLAN]],NETWORKS_TABLE[],MATCH(R$3,NETWORKS_TABLE[#Headers],0),FALSE),""))</f>
        <v>10.224.100.0/24</v>
      </c>
      <c r="S194" s="36" t="s">
        <v>78</v>
      </c>
      <c r="T194" s="36"/>
    </row>
    <row r="195" spans="2:20">
      <c r="B195" s="36" t="s">
        <v>3069</v>
      </c>
      <c r="C195" s="36" t="s">
        <v>149</v>
      </c>
      <c r="D195" s="36" t="s">
        <v>1741</v>
      </c>
      <c r="E195" s="122" t="s">
        <v>1575</v>
      </c>
      <c r="F195" s="122" t="s">
        <v>57</v>
      </c>
      <c r="G195" s="36" t="s">
        <v>1578</v>
      </c>
      <c r="H195" s="36" t="s">
        <v>78</v>
      </c>
      <c r="I195" s="36" t="s">
        <v>1754</v>
      </c>
      <c r="J195" s="36"/>
      <c r="K195" s="36" t="s">
        <v>78</v>
      </c>
      <c r="L195" s="36"/>
      <c r="M195" s="36"/>
      <c r="N195" s="36"/>
      <c r="O195" s="36"/>
      <c r="P195" s="36">
        <v>32</v>
      </c>
      <c r="Q195" s="202" t="str">
        <f>IF($P195="","",IFERROR(VLOOKUP(UPPER(DEVICE_TABLE[[#This Row],[Site]])&amp;"/"&amp;DEVICE_TABLE[[#This Row],[VLAN]],NETWORKS_TABLE[],MATCH(Q$3,NETWORKS_TABLE[#Headers],0),FALSE),""))</f>
        <v>LEGACYSERVER32</v>
      </c>
      <c r="R195" s="202" t="str">
        <f>IF($P195="","",IFERROR(VLOOKUP(UPPER(DEVICE_TABLE[[#This Row],[Site]])&amp;"/"&amp;DEVICE_TABLE[[#This Row],[VLAN]],NETWORKS_TABLE[],MATCH(R$3,NETWORKS_TABLE[#Headers],0),FALSE),""))</f>
        <v>172.16.32.0/22</v>
      </c>
      <c r="S195" s="36" t="s">
        <v>78</v>
      </c>
      <c r="T195" s="36"/>
    </row>
    <row r="196" spans="2:20">
      <c r="B196" s="36" t="s">
        <v>3071</v>
      </c>
      <c r="C196" s="36" t="s">
        <v>1689</v>
      </c>
      <c r="D196" s="36" t="s">
        <v>1741</v>
      </c>
      <c r="E196" s="122" t="s">
        <v>1575</v>
      </c>
      <c r="F196" s="122" t="s">
        <v>57</v>
      </c>
      <c r="G196" s="36" t="s">
        <v>1578</v>
      </c>
      <c r="H196" s="36" t="s">
        <v>78</v>
      </c>
      <c r="I196" s="36" t="s">
        <v>3072</v>
      </c>
      <c r="J196" s="36"/>
      <c r="K196" s="36" t="s">
        <v>78</v>
      </c>
      <c r="L196" s="36"/>
      <c r="M196" s="36"/>
      <c r="N196" s="36"/>
      <c r="O196" s="36"/>
      <c r="P196" s="36">
        <v>230</v>
      </c>
      <c r="Q196" s="202" t="str">
        <f>IF($P196="","",IFERROR(VLOOKUP(UPPER(DEVICE_TABLE[[#This Row],[Site]])&amp;"/"&amp;DEVICE_TABLE[[#This Row],[VLAN]],NETWORKS_TABLE[],MATCH(Q$3,NETWORKS_TABLE[#Headers],0),FALSE),""))</f>
        <v>HPISCSI</v>
      </c>
      <c r="R196" s="202" t="str">
        <f>IF($P196="","",IFERROR(VLOOKUP(UPPER(DEVICE_TABLE[[#This Row],[Site]])&amp;"/"&amp;DEVICE_TABLE[[#This Row],[VLAN]],NETWORKS_TABLE[],MATCH(R$3,NETWORKS_TABLE[#Headers],0),FALSE),""))</f>
        <v>10.224.30.0/24</v>
      </c>
      <c r="S196" s="36" t="s">
        <v>78</v>
      </c>
      <c r="T196" s="36"/>
    </row>
    <row r="197" spans="2:20">
      <c r="B197" s="36" t="s">
        <v>3071</v>
      </c>
      <c r="C197" s="36" t="s">
        <v>1689</v>
      </c>
      <c r="D197" s="36" t="s">
        <v>1741</v>
      </c>
      <c r="E197" s="122" t="s">
        <v>1575</v>
      </c>
      <c r="F197" s="122" t="s">
        <v>57</v>
      </c>
      <c r="G197" s="36" t="s">
        <v>1578</v>
      </c>
      <c r="H197" s="36" t="s">
        <v>78</v>
      </c>
      <c r="I197" s="36" t="s">
        <v>3072</v>
      </c>
      <c r="J197" s="36"/>
      <c r="K197" s="36" t="s">
        <v>78</v>
      </c>
      <c r="L197" s="36"/>
      <c r="M197" s="36"/>
      <c r="N197" s="36"/>
      <c r="O197" s="36"/>
      <c r="P197" s="36">
        <v>230</v>
      </c>
      <c r="Q197" s="202" t="str">
        <f>IF($P197="","",IFERROR(VLOOKUP(UPPER(DEVICE_TABLE[[#This Row],[Site]])&amp;"/"&amp;DEVICE_TABLE[[#This Row],[VLAN]],NETWORKS_TABLE[],MATCH(Q$3,NETWORKS_TABLE[#Headers],0),FALSE),""))</f>
        <v>HPISCSI</v>
      </c>
      <c r="R197" s="202" t="str">
        <f>IF($P197="","",IFERROR(VLOOKUP(UPPER(DEVICE_TABLE[[#This Row],[Site]])&amp;"/"&amp;DEVICE_TABLE[[#This Row],[VLAN]],NETWORKS_TABLE[],MATCH(R$3,NETWORKS_TABLE[#Headers],0),FALSE),""))</f>
        <v>10.224.30.0/24</v>
      </c>
      <c r="S197" s="36" t="s">
        <v>78</v>
      </c>
      <c r="T197" s="36"/>
    </row>
    <row r="198" spans="2:20">
      <c r="B198" s="36" t="s">
        <v>3073</v>
      </c>
      <c r="C198" s="36" t="s">
        <v>1689</v>
      </c>
      <c r="D198" s="36" t="s">
        <v>1741</v>
      </c>
      <c r="E198" s="122" t="s">
        <v>1575</v>
      </c>
      <c r="F198" s="122" t="s">
        <v>57</v>
      </c>
      <c r="G198" s="36" t="s">
        <v>1578</v>
      </c>
      <c r="H198" s="36" t="s">
        <v>78</v>
      </c>
      <c r="I198" s="36" t="s">
        <v>1723</v>
      </c>
      <c r="J198" s="36"/>
      <c r="K198" s="36" t="s">
        <v>78</v>
      </c>
      <c r="L198" s="36"/>
      <c r="M198" s="36"/>
      <c r="N198" s="36"/>
      <c r="O198" s="36"/>
      <c r="P198" s="36">
        <v>230</v>
      </c>
      <c r="Q198" s="202" t="str">
        <f>IF($P198="","",IFERROR(VLOOKUP(UPPER(DEVICE_TABLE[[#This Row],[Site]])&amp;"/"&amp;DEVICE_TABLE[[#This Row],[VLAN]],NETWORKS_TABLE[],MATCH(Q$3,NETWORKS_TABLE[#Headers],0),FALSE),""))</f>
        <v>HPISCSI</v>
      </c>
      <c r="R198" s="202" t="str">
        <f>IF($P198="","",IFERROR(VLOOKUP(UPPER(DEVICE_TABLE[[#This Row],[Site]])&amp;"/"&amp;DEVICE_TABLE[[#This Row],[VLAN]],NETWORKS_TABLE[],MATCH(R$3,NETWORKS_TABLE[#Headers],0),FALSE),""))</f>
        <v>10.224.30.0/24</v>
      </c>
      <c r="S198" s="36" t="s">
        <v>78</v>
      </c>
      <c r="T198" s="36"/>
    </row>
    <row r="199" spans="2:20">
      <c r="B199" s="36" t="s">
        <v>3073</v>
      </c>
      <c r="C199" s="36" t="s">
        <v>1689</v>
      </c>
      <c r="D199" s="36" t="s">
        <v>1741</v>
      </c>
      <c r="E199" s="122" t="s">
        <v>1575</v>
      </c>
      <c r="F199" s="122" t="s">
        <v>57</v>
      </c>
      <c r="G199" s="36" t="s">
        <v>1578</v>
      </c>
      <c r="H199" s="36" t="s">
        <v>78</v>
      </c>
      <c r="I199" s="36" t="s">
        <v>1723</v>
      </c>
      <c r="J199" s="36"/>
      <c r="K199" s="36" t="s">
        <v>78</v>
      </c>
      <c r="L199" s="36"/>
      <c r="M199" s="36"/>
      <c r="N199" s="36"/>
      <c r="O199" s="36"/>
      <c r="P199" s="36">
        <v>300</v>
      </c>
      <c r="Q199" s="202" t="str">
        <f>IF($P199="","",IFERROR(VLOOKUP(UPPER(DEVICE_TABLE[[#This Row],[Site]])&amp;"/"&amp;DEVICE_TABLE[[#This Row],[VLAN]],NETWORKS_TABLE[],MATCH(Q$3,NETWORKS_TABLE[#Headers],0),FALSE),""))</f>
        <v>SERVER</v>
      </c>
      <c r="R199" s="202" t="str">
        <f>IF($P199="","",IFERROR(VLOOKUP(UPPER(DEVICE_TABLE[[#This Row],[Site]])&amp;"/"&amp;DEVICE_TABLE[[#This Row],[VLAN]],NETWORKS_TABLE[],MATCH(R$3,NETWORKS_TABLE[#Headers],0),FALSE),""))</f>
        <v>10.224.100.0/24</v>
      </c>
      <c r="S199" s="36" t="s">
        <v>78</v>
      </c>
      <c r="T199" s="36"/>
    </row>
    <row r="200" spans="2:20">
      <c r="B200" s="36" t="s">
        <v>3074</v>
      </c>
      <c r="C200" s="36" t="s">
        <v>1689</v>
      </c>
      <c r="D200" s="36" t="s">
        <v>1741</v>
      </c>
      <c r="E200" s="122" t="s">
        <v>1575</v>
      </c>
      <c r="F200" s="122" t="s">
        <v>57</v>
      </c>
      <c r="G200" s="36" t="s">
        <v>1578</v>
      </c>
      <c r="H200" s="36" t="s">
        <v>78</v>
      </c>
      <c r="I200" s="36" t="s">
        <v>3074</v>
      </c>
      <c r="J200" s="36"/>
      <c r="K200" s="36" t="s">
        <v>78</v>
      </c>
      <c r="L200" s="36"/>
      <c r="M200" s="36"/>
      <c r="N200" s="36"/>
      <c r="O200" s="36"/>
      <c r="P200" s="36">
        <v>230</v>
      </c>
      <c r="Q200" s="202" t="str">
        <f>IF($P200="","",IFERROR(VLOOKUP(UPPER(DEVICE_TABLE[[#This Row],[Site]])&amp;"/"&amp;DEVICE_TABLE[[#This Row],[VLAN]],NETWORKS_TABLE[],MATCH(Q$3,NETWORKS_TABLE[#Headers],0),FALSE),""))</f>
        <v>HPISCSI</v>
      </c>
      <c r="R200" s="202" t="str">
        <f>IF($P200="","",IFERROR(VLOOKUP(UPPER(DEVICE_TABLE[[#This Row],[Site]])&amp;"/"&amp;DEVICE_TABLE[[#This Row],[VLAN]],NETWORKS_TABLE[],MATCH(R$3,NETWORKS_TABLE[#Headers],0),FALSE),""))</f>
        <v>10.224.30.0/24</v>
      </c>
      <c r="S200" s="36" t="s">
        <v>78</v>
      </c>
      <c r="T200" s="36"/>
    </row>
    <row r="201" spans="2:20">
      <c r="B201" s="36" t="s">
        <v>3075</v>
      </c>
      <c r="C201" s="36" t="s">
        <v>1689</v>
      </c>
      <c r="D201" s="36" t="s">
        <v>1741</v>
      </c>
      <c r="E201" s="122" t="s">
        <v>1575</v>
      </c>
      <c r="F201" s="122" t="s">
        <v>57</v>
      </c>
      <c r="G201" s="36" t="s">
        <v>1578</v>
      </c>
      <c r="H201" s="36" t="s">
        <v>78</v>
      </c>
      <c r="I201" s="36" t="s">
        <v>3072</v>
      </c>
      <c r="J201" s="36"/>
      <c r="K201" s="36" t="s">
        <v>78</v>
      </c>
      <c r="L201" s="36"/>
      <c r="M201" s="36"/>
      <c r="N201" s="36"/>
      <c r="O201" s="36"/>
      <c r="P201" s="36">
        <v>230</v>
      </c>
      <c r="Q201" s="202" t="str">
        <f>IF($P201="","",IFERROR(VLOOKUP(UPPER(DEVICE_TABLE[[#This Row],[Site]])&amp;"/"&amp;DEVICE_TABLE[[#This Row],[VLAN]],NETWORKS_TABLE[],MATCH(Q$3,NETWORKS_TABLE[#Headers],0),FALSE),""))</f>
        <v>HPISCSI</v>
      </c>
      <c r="R201" s="202" t="str">
        <f>IF($P201="","",IFERROR(VLOOKUP(UPPER(DEVICE_TABLE[[#This Row],[Site]])&amp;"/"&amp;DEVICE_TABLE[[#This Row],[VLAN]],NETWORKS_TABLE[],MATCH(R$3,NETWORKS_TABLE[#Headers],0),FALSE),""))</f>
        <v>10.224.30.0/24</v>
      </c>
      <c r="S201" s="36" t="s">
        <v>78</v>
      </c>
      <c r="T201" s="36"/>
    </row>
    <row r="202" spans="2:20">
      <c r="B202" s="209" t="s">
        <v>3085</v>
      </c>
      <c r="C202" s="209" t="s">
        <v>3084</v>
      </c>
      <c r="D202" s="209" t="s">
        <v>3086</v>
      </c>
      <c r="E202" s="122" t="s">
        <v>1575</v>
      </c>
      <c r="F202" s="122" t="s">
        <v>57</v>
      </c>
      <c r="G202" s="209" t="s">
        <v>3087</v>
      </c>
      <c r="H202" s="209" t="s">
        <v>3088</v>
      </c>
      <c r="I202" s="209" t="s">
        <v>3089</v>
      </c>
      <c r="J202" s="36"/>
      <c r="K202" s="36" t="s">
        <v>78</v>
      </c>
      <c r="L202" s="36"/>
      <c r="M202" s="36"/>
      <c r="N202" s="36"/>
      <c r="O202" s="36"/>
      <c r="P202" s="209"/>
      <c r="Q202" s="202" t="str">
        <f>IF($P202="","",IFERROR(VLOOKUP(UPPER(DEVICE_TABLE[[#This Row],[Site]])&amp;"/"&amp;DEVICE_TABLE[[#This Row],[VLAN]],NETWORKS_TABLE[],MATCH(Q$3,NETWORKS_TABLE[#Headers],0),FALSE),""))</f>
        <v/>
      </c>
      <c r="R202" s="202" t="str">
        <f>IF($P202="","",IFERROR(VLOOKUP(UPPER(DEVICE_TABLE[[#This Row],[Site]])&amp;"/"&amp;DEVICE_TABLE[[#This Row],[VLAN]],NETWORKS_TABLE[],MATCH(R$3,NETWORKS_TABLE[#Headers],0),FALSE),""))</f>
        <v/>
      </c>
      <c r="S202" s="36" t="s">
        <v>78</v>
      </c>
      <c r="T202" s="36"/>
    </row>
    <row r="203" spans="2:20">
      <c r="B203" s="209" t="s">
        <v>3085</v>
      </c>
      <c r="C203" s="209" t="s">
        <v>3084</v>
      </c>
      <c r="D203" s="209" t="s">
        <v>3086</v>
      </c>
      <c r="E203" s="122" t="s">
        <v>1575</v>
      </c>
      <c r="F203" s="122" t="s">
        <v>57</v>
      </c>
      <c r="G203" s="209" t="s">
        <v>3087</v>
      </c>
      <c r="H203" s="209" t="s">
        <v>3091</v>
      </c>
      <c r="I203" s="209" t="s">
        <v>3089</v>
      </c>
      <c r="J203" s="36"/>
      <c r="K203" s="36" t="s">
        <v>78</v>
      </c>
      <c r="L203" s="36"/>
      <c r="M203" s="36"/>
      <c r="N203" s="36"/>
      <c r="O203" s="36"/>
      <c r="P203" s="36"/>
      <c r="Q203" s="202" t="str">
        <f>IF($P203="","",IFERROR(VLOOKUP(UPPER(DEVICE_TABLE[[#This Row],[Site]])&amp;"/"&amp;DEVICE_TABLE[[#This Row],[VLAN]],NETWORKS_TABLE[],MATCH(Q$3,NETWORKS_TABLE[#Headers],0),FALSE),""))</f>
        <v/>
      </c>
      <c r="R203" s="202" t="str">
        <f>IF($P203="","",IFERROR(VLOOKUP(UPPER(DEVICE_TABLE[[#This Row],[Site]])&amp;"/"&amp;DEVICE_TABLE[[#This Row],[VLAN]],NETWORKS_TABLE[],MATCH(R$3,NETWORKS_TABLE[#Headers],0),FALSE),""))</f>
        <v/>
      </c>
      <c r="S203" s="36" t="s">
        <v>78</v>
      </c>
      <c r="T203" s="36"/>
    </row>
    <row r="204" spans="2:20">
      <c r="B204" s="36"/>
      <c r="C204" s="36"/>
      <c r="D204" s="36"/>
      <c r="E204" s="122"/>
      <c r="F204" s="122"/>
      <c r="G204" s="36"/>
      <c r="H204" s="36" t="s">
        <v>78</v>
      </c>
      <c r="I204" s="36"/>
      <c r="J204" s="36"/>
      <c r="K204" s="36" t="s">
        <v>78</v>
      </c>
      <c r="L204" s="36"/>
      <c r="M204" s="36"/>
      <c r="N204" s="36"/>
      <c r="O204" s="36"/>
      <c r="P204" s="36"/>
      <c r="Q204" s="202" t="str">
        <f>IF($P204="","",IFERROR(VLOOKUP(UPPER(DEVICE_TABLE[[#This Row],[Site]])&amp;"/"&amp;DEVICE_TABLE[[#This Row],[VLAN]],NETWORKS_TABLE[],MATCH(Q$3,NETWORKS_TABLE[#Headers],0),FALSE),""))</f>
        <v/>
      </c>
      <c r="R204" s="202" t="str">
        <f>IF($P204="","",IFERROR(VLOOKUP(UPPER(DEVICE_TABLE[[#This Row],[Site]])&amp;"/"&amp;DEVICE_TABLE[[#This Row],[VLAN]],NETWORKS_TABLE[],MATCH(R$3,NETWORKS_TABLE[#Headers],0),FALSE),""))</f>
        <v/>
      </c>
      <c r="S204" s="36" t="s">
        <v>78</v>
      </c>
      <c r="T204" s="36"/>
    </row>
  </sheetData>
  <phoneticPr fontId="20" type="noConversion"/>
  <conditionalFormatting sqref="E37 E143:E144 E107:E125 E84:E97 E147:E149 E154:E166 E168:E169 E171:E173 E175 E177:E179 E183:E191 E198:E204">
    <cfRule type="containsText" dxfId="1786" priority="115" stopIfTrue="1" operator="containsText" text="Planned">
      <formula>NOT(ISERROR(SEARCH("Planned",E37)))</formula>
    </cfRule>
    <cfRule type="containsText" dxfId="1785" priority="116" stopIfTrue="1" operator="containsText" text="Configured">
      <formula>NOT(ISERROR(SEARCH("Configured",E37)))</formula>
    </cfRule>
    <cfRule type="containsText" dxfId="1784" priority="117" stopIfTrue="1" operator="containsText" text="Live">
      <formula>NOT(ISERROR(SEARCH("Live",E37)))</formula>
    </cfRule>
  </conditionalFormatting>
  <conditionalFormatting sqref="E38:E52">
    <cfRule type="containsText" dxfId="1783" priority="112" stopIfTrue="1" operator="containsText" text="Planned">
      <formula>NOT(ISERROR(SEARCH("Planned",E38)))</formula>
    </cfRule>
    <cfRule type="containsText" dxfId="1782" priority="113" stopIfTrue="1" operator="containsText" text="Configured">
      <formula>NOT(ISERROR(SEARCH("Configured",E38)))</formula>
    </cfRule>
    <cfRule type="containsText" dxfId="1781" priority="114" stopIfTrue="1" operator="containsText" text="Live">
      <formula>NOT(ISERROR(SEARCH("Live",E38)))</formula>
    </cfRule>
  </conditionalFormatting>
  <conditionalFormatting sqref="E54:E97">
    <cfRule type="containsText" dxfId="1780" priority="109" stopIfTrue="1" operator="containsText" text="Planned">
      <formula>NOT(ISERROR(SEARCH("Planned",E54)))</formula>
    </cfRule>
    <cfRule type="containsText" dxfId="1779" priority="110" stopIfTrue="1" operator="containsText" text="Configured">
      <formula>NOT(ISERROR(SEARCH("Configured",E54)))</formula>
    </cfRule>
    <cfRule type="containsText" dxfId="1778" priority="111" stopIfTrue="1" operator="containsText" text="Live">
      <formula>NOT(ISERROR(SEARCH("Live",E54)))</formula>
    </cfRule>
  </conditionalFormatting>
  <conditionalFormatting sqref="E100:E105">
    <cfRule type="containsText" dxfId="1777" priority="106" stopIfTrue="1" operator="containsText" text="Planned">
      <formula>NOT(ISERROR(SEARCH("Planned",E100)))</formula>
    </cfRule>
    <cfRule type="containsText" dxfId="1776" priority="107" stopIfTrue="1" operator="containsText" text="Configured">
      <formula>NOT(ISERROR(SEARCH("Configured",E100)))</formula>
    </cfRule>
    <cfRule type="containsText" dxfId="1775" priority="108" stopIfTrue="1" operator="containsText" text="Live">
      <formula>NOT(ISERROR(SEARCH("Live",E100)))</formula>
    </cfRule>
  </conditionalFormatting>
  <conditionalFormatting sqref="E5:E26">
    <cfRule type="containsText" dxfId="1774" priority="97" stopIfTrue="1" operator="containsText" text="Planned">
      <formula>NOT(ISERROR(SEARCH("Planned",E5)))</formula>
    </cfRule>
    <cfRule type="containsText" dxfId="1773" priority="98" stopIfTrue="1" operator="containsText" text="Configured">
      <formula>NOT(ISERROR(SEARCH("Configured",E5)))</formula>
    </cfRule>
    <cfRule type="containsText" dxfId="1772" priority="99" stopIfTrue="1" operator="containsText" text="Live">
      <formula>NOT(ISERROR(SEARCH("Live",E5)))</formula>
    </cfRule>
  </conditionalFormatting>
  <conditionalFormatting sqref="E30:E32">
    <cfRule type="containsText" dxfId="1771" priority="94" stopIfTrue="1" operator="containsText" text="Planned">
      <formula>NOT(ISERROR(SEARCH("Planned",E30)))</formula>
    </cfRule>
    <cfRule type="containsText" dxfId="1770" priority="95" stopIfTrue="1" operator="containsText" text="Configured">
      <formula>NOT(ISERROR(SEARCH("Configured",E30)))</formula>
    </cfRule>
    <cfRule type="containsText" dxfId="1769" priority="96" stopIfTrue="1" operator="containsText" text="Live">
      <formula>NOT(ISERROR(SEARCH("Live",E30)))</formula>
    </cfRule>
  </conditionalFormatting>
  <conditionalFormatting sqref="E28:E29">
    <cfRule type="containsText" dxfId="1768" priority="91" stopIfTrue="1" operator="containsText" text="Planned">
      <formula>NOT(ISERROR(SEARCH("Planned",E28)))</formula>
    </cfRule>
    <cfRule type="containsText" dxfId="1767" priority="92" stopIfTrue="1" operator="containsText" text="Configured">
      <formula>NOT(ISERROR(SEARCH("Configured",E28)))</formula>
    </cfRule>
    <cfRule type="containsText" dxfId="1766" priority="93" stopIfTrue="1" operator="containsText" text="Live">
      <formula>NOT(ISERROR(SEARCH("Live",E28)))</formula>
    </cfRule>
  </conditionalFormatting>
  <conditionalFormatting sqref="E34:E35">
    <cfRule type="containsText" dxfId="1765" priority="88" stopIfTrue="1" operator="containsText" text="Planned">
      <formula>NOT(ISERROR(SEARCH("Planned",E34)))</formula>
    </cfRule>
    <cfRule type="containsText" dxfId="1764" priority="89" stopIfTrue="1" operator="containsText" text="Configured">
      <formula>NOT(ISERROR(SEARCH("Configured",E34)))</formula>
    </cfRule>
    <cfRule type="containsText" dxfId="1763" priority="90" stopIfTrue="1" operator="containsText" text="Live">
      <formula>NOT(ISERROR(SEARCH("Live",E34)))</formula>
    </cfRule>
  </conditionalFormatting>
  <conditionalFormatting sqref="E141:E142">
    <cfRule type="containsText" dxfId="1762" priority="85" stopIfTrue="1" operator="containsText" text="Planned">
      <formula>NOT(ISERROR(SEARCH("Planned",E141)))</formula>
    </cfRule>
    <cfRule type="containsText" dxfId="1761" priority="86" stopIfTrue="1" operator="containsText" text="Configured">
      <formula>NOT(ISERROR(SEARCH("Configured",E141)))</formula>
    </cfRule>
    <cfRule type="containsText" dxfId="1760" priority="87" stopIfTrue="1" operator="containsText" text="Live">
      <formula>NOT(ISERROR(SEARCH("Live",E141)))</formula>
    </cfRule>
  </conditionalFormatting>
  <conditionalFormatting sqref="E126:E127 E129 E135">
    <cfRule type="containsText" dxfId="1759" priority="82" stopIfTrue="1" operator="containsText" text="Planned">
      <formula>NOT(ISERROR(SEARCH("Planned",E126)))</formula>
    </cfRule>
    <cfRule type="containsText" dxfId="1758" priority="83" stopIfTrue="1" operator="containsText" text="Configured">
      <formula>NOT(ISERROR(SEARCH("Configured",E126)))</formula>
    </cfRule>
    <cfRule type="containsText" dxfId="1757" priority="84" stopIfTrue="1" operator="containsText" text="Live">
      <formula>NOT(ISERROR(SEARCH("Live",E126)))</formula>
    </cfRule>
  </conditionalFormatting>
  <conditionalFormatting sqref="E98">
    <cfRule type="containsText" dxfId="1756" priority="79" stopIfTrue="1" operator="containsText" text="Planned">
      <formula>NOT(ISERROR(SEARCH("Planned",E98)))</formula>
    </cfRule>
    <cfRule type="containsText" dxfId="1755" priority="80" stopIfTrue="1" operator="containsText" text="Configured">
      <formula>NOT(ISERROR(SEARCH("Configured",E98)))</formula>
    </cfRule>
    <cfRule type="containsText" dxfId="1754" priority="81" stopIfTrue="1" operator="containsText" text="Live">
      <formula>NOT(ISERROR(SEARCH("Live",E98)))</formula>
    </cfRule>
  </conditionalFormatting>
  <conditionalFormatting sqref="E98">
    <cfRule type="containsText" dxfId="1753" priority="76" stopIfTrue="1" operator="containsText" text="Planned">
      <formula>NOT(ISERROR(SEARCH("Planned",E98)))</formula>
    </cfRule>
    <cfRule type="containsText" dxfId="1752" priority="77" stopIfTrue="1" operator="containsText" text="Configured">
      <formula>NOT(ISERROR(SEARCH("Configured",E98)))</formula>
    </cfRule>
    <cfRule type="containsText" dxfId="1751" priority="78" stopIfTrue="1" operator="containsText" text="Live">
      <formula>NOT(ISERROR(SEARCH("Live",E98)))</formula>
    </cfRule>
  </conditionalFormatting>
  <conditionalFormatting sqref="E128">
    <cfRule type="containsText" dxfId="1750" priority="73" stopIfTrue="1" operator="containsText" text="Planned">
      <formula>NOT(ISERROR(SEARCH("Planned",E128)))</formula>
    </cfRule>
    <cfRule type="containsText" dxfId="1749" priority="74" stopIfTrue="1" operator="containsText" text="Configured">
      <formula>NOT(ISERROR(SEARCH("Configured",E128)))</formula>
    </cfRule>
    <cfRule type="containsText" dxfId="1748" priority="75" stopIfTrue="1" operator="containsText" text="Live">
      <formula>NOT(ISERROR(SEARCH("Live",E128)))</formula>
    </cfRule>
  </conditionalFormatting>
  <conditionalFormatting sqref="E130">
    <cfRule type="containsText" dxfId="1747" priority="70" stopIfTrue="1" operator="containsText" text="Planned">
      <formula>NOT(ISERROR(SEARCH("Planned",E130)))</formula>
    </cfRule>
    <cfRule type="containsText" dxfId="1746" priority="71" stopIfTrue="1" operator="containsText" text="Configured">
      <formula>NOT(ISERROR(SEARCH("Configured",E130)))</formula>
    </cfRule>
    <cfRule type="containsText" dxfId="1745" priority="72" stopIfTrue="1" operator="containsText" text="Live">
      <formula>NOT(ISERROR(SEARCH("Live",E130)))</formula>
    </cfRule>
  </conditionalFormatting>
  <conditionalFormatting sqref="E131">
    <cfRule type="containsText" dxfId="1744" priority="67" stopIfTrue="1" operator="containsText" text="Planned">
      <formula>NOT(ISERROR(SEARCH("Planned",E131)))</formula>
    </cfRule>
    <cfRule type="containsText" dxfId="1743" priority="68" stopIfTrue="1" operator="containsText" text="Configured">
      <formula>NOT(ISERROR(SEARCH("Configured",E131)))</formula>
    </cfRule>
    <cfRule type="containsText" dxfId="1742" priority="69" stopIfTrue="1" operator="containsText" text="Live">
      <formula>NOT(ISERROR(SEARCH("Live",E131)))</formula>
    </cfRule>
  </conditionalFormatting>
  <conditionalFormatting sqref="E132">
    <cfRule type="containsText" dxfId="1741" priority="64" stopIfTrue="1" operator="containsText" text="Planned">
      <formula>NOT(ISERROR(SEARCH("Planned",E132)))</formula>
    </cfRule>
    <cfRule type="containsText" dxfId="1740" priority="65" stopIfTrue="1" operator="containsText" text="Configured">
      <formula>NOT(ISERROR(SEARCH("Configured",E132)))</formula>
    </cfRule>
    <cfRule type="containsText" dxfId="1739" priority="66" stopIfTrue="1" operator="containsText" text="Live">
      <formula>NOT(ISERROR(SEARCH("Live",E132)))</formula>
    </cfRule>
  </conditionalFormatting>
  <conditionalFormatting sqref="E133">
    <cfRule type="containsText" dxfId="1738" priority="61" stopIfTrue="1" operator="containsText" text="Planned">
      <formula>NOT(ISERROR(SEARCH("Planned",E133)))</formula>
    </cfRule>
    <cfRule type="containsText" dxfId="1737" priority="62" stopIfTrue="1" operator="containsText" text="Configured">
      <formula>NOT(ISERROR(SEARCH("Configured",E133)))</formula>
    </cfRule>
    <cfRule type="containsText" dxfId="1736" priority="63" stopIfTrue="1" operator="containsText" text="Live">
      <formula>NOT(ISERROR(SEARCH("Live",E133)))</formula>
    </cfRule>
  </conditionalFormatting>
  <conditionalFormatting sqref="E134">
    <cfRule type="containsText" dxfId="1735" priority="58" stopIfTrue="1" operator="containsText" text="Planned">
      <formula>NOT(ISERROR(SEARCH("Planned",E134)))</formula>
    </cfRule>
    <cfRule type="containsText" dxfId="1734" priority="59" stopIfTrue="1" operator="containsText" text="Configured">
      <formula>NOT(ISERROR(SEARCH("Configured",E134)))</formula>
    </cfRule>
    <cfRule type="containsText" dxfId="1733" priority="60" stopIfTrue="1" operator="containsText" text="Live">
      <formula>NOT(ISERROR(SEARCH("Live",E134)))</formula>
    </cfRule>
  </conditionalFormatting>
  <conditionalFormatting sqref="E136">
    <cfRule type="containsText" dxfId="1732" priority="55" stopIfTrue="1" operator="containsText" text="Planned">
      <formula>NOT(ISERROR(SEARCH("Planned",E136)))</formula>
    </cfRule>
    <cfRule type="containsText" dxfId="1731" priority="56" stopIfTrue="1" operator="containsText" text="Configured">
      <formula>NOT(ISERROR(SEARCH("Configured",E136)))</formula>
    </cfRule>
    <cfRule type="containsText" dxfId="1730" priority="57" stopIfTrue="1" operator="containsText" text="Live">
      <formula>NOT(ISERROR(SEARCH("Live",E136)))</formula>
    </cfRule>
  </conditionalFormatting>
  <conditionalFormatting sqref="E137">
    <cfRule type="containsText" dxfId="1729" priority="52" stopIfTrue="1" operator="containsText" text="Planned">
      <formula>NOT(ISERROR(SEARCH("Planned",E137)))</formula>
    </cfRule>
    <cfRule type="containsText" dxfId="1728" priority="53" stopIfTrue="1" operator="containsText" text="Configured">
      <formula>NOT(ISERROR(SEARCH("Configured",E137)))</formula>
    </cfRule>
    <cfRule type="containsText" dxfId="1727" priority="54" stopIfTrue="1" operator="containsText" text="Live">
      <formula>NOT(ISERROR(SEARCH("Live",E137)))</formula>
    </cfRule>
  </conditionalFormatting>
  <conditionalFormatting sqref="E138">
    <cfRule type="containsText" dxfId="1726" priority="49" stopIfTrue="1" operator="containsText" text="Planned">
      <formula>NOT(ISERROR(SEARCH("Planned",E138)))</formula>
    </cfRule>
    <cfRule type="containsText" dxfId="1725" priority="50" stopIfTrue="1" operator="containsText" text="Configured">
      <formula>NOT(ISERROR(SEARCH("Configured",E138)))</formula>
    </cfRule>
    <cfRule type="containsText" dxfId="1724" priority="51" stopIfTrue="1" operator="containsText" text="Live">
      <formula>NOT(ISERROR(SEARCH("Live",E138)))</formula>
    </cfRule>
  </conditionalFormatting>
  <conditionalFormatting sqref="E139">
    <cfRule type="containsText" dxfId="1723" priority="46" stopIfTrue="1" operator="containsText" text="Planned">
      <formula>NOT(ISERROR(SEARCH("Planned",E139)))</formula>
    </cfRule>
    <cfRule type="containsText" dxfId="1722" priority="47" stopIfTrue="1" operator="containsText" text="Configured">
      <formula>NOT(ISERROR(SEARCH("Configured",E139)))</formula>
    </cfRule>
    <cfRule type="containsText" dxfId="1721" priority="48" stopIfTrue="1" operator="containsText" text="Live">
      <formula>NOT(ISERROR(SEARCH("Live",E139)))</formula>
    </cfRule>
  </conditionalFormatting>
  <conditionalFormatting sqref="E140">
    <cfRule type="containsText" dxfId="1720" priority="43" stopIfTrue="1" operator="containsText" text="Planned">
      <formula>NOT(ISERROR(SEARCH("Planned",E140)))</formula>
    </cfRule>
    <cfRule type="containsText" dxfId="1719" priority="44" stopIfTrue="1" operator="containsText" text="Configured">
      <formula>NOT(ISERROR(SEARCH("Configured",E140)))</formula>
    </cfRule>
    <cfRule type="containsText" dxfId="1718" priority="45" stopIfTrue="1" operator="containsText" text="Live">
      <formula>NOT(ISERROR(SEARCH("Live",E140)))</formula>
    </cfRule>
  </conditionalFormatting>
  <conditionalFormatting sqref="E145">
    <cfRule type="containsText" dxfId="1717" priority="40" stopIfTrue="1" operator="containsText" text="Planned">
      <formula>NOT(ISERROR(SEARCH("Planned",E145)))</formula>
    </cfRule>
    <cfRule type="containsText" dxfId="1716" priority="41" stopIfTrue="1" operator="containsText" text="Configured">
      <formula>NOT(ISERROR(SEARCH("Configured",E145)))</formula>
    </cfRule>
    <cfRule type="containsText" dxfId="1715" priority="42" stopIfTrue="1" operator="containsText" text="Live">
      <formula>NOT(ISERROR(SEARCH("Live",E145)))</formula>
    </cfRule>
  </conditionalFormatting>
  <conditionalFormatting sqref="E146">
    <cfRule type="containsText" dxfId="1714" priority="37" stopIfTrue="1" operator="containsText" text="Planned">
      <formula>NOT(ISERROR(SEARCH("Planned",E146)))</formula>
    </cfRule>
    <cfRule type="containsText" dxfId="1713" priority="38" stopIfTrue="1" operator="containsText" text="Configured">
      <formula>NOT(ISERROR(SEARCH("Configured",E146)))</formula>
    </cfRule>
    <cfRule type="containsText" dxfId="1712" priority="39" stopIfTrue="1" operator="containsText" text="Live">
      <formula>NOT(ISERROR(SEARCH("Live",E146)))</formula>
    </cfRule>
  </conditionalFormatting>
  <conditionalFormatting sqref="E150:E152">
    <cfRule type="containsText" dxfId="1711" priority="34" stopIfTrue="1" operator="containsText" text="Planned">
      <formula>NOT(ISERROR(SEARCH("Planned",E150)))</formula>
    </cfRule>
    <cfRule type="containsText" dxfId="1710" priority="35" stopIfTrue="1" operator="containsText" text="Configured">
      <formula>NOT(ISERROR(SEARCH("Configured",E150)))</formula>
    </cfRule>
    <cfRule type="containsText" dxfId="1709" priority="36" stopIfTrue="1" operator="containsText" text="Live">
      <formula>NOT(ISERROR(SEARCH("Live",E150)))</formula>
    </cfRule>
  </conditionalFormatting>
  <conditionalFormatting sqref="E153">
    <cfRule type="containsText" dxfId="1708" priority="25" stopIfTrue="1" operator="containsText" text="Planned">
      <formula>NOT(ISERROR(SEARCH("Planned",E153)))</formula>
    </cfRule>
    <cfRule type="containsText" dxfId="1707" priority="26" stopIfTrue="1" operator="containsText" text="Configured">
      <formula>NOT(ISERROR(SEARCH("Configured",E153)))</formula>
    </cfRule>
    <cfRule type="containsText" dxfId="1706" priority="27" stopIfTrue="1" operator="containsText" text="Live">
      <formula>NOT(ISERROR(SEARCH("Live",E153)))</formula>
    </cfRule>
  </conditionalFormatting>
  <conditionalFormatting sqref="E167">
    <cfRule type="containsText" dxfId="1705" priority="22" stopIfTrue="1" operator="containsText" text="Planned">
      <formula>NOT(ISERROR(SEARCH("Planned",E167)))</formula>
    </cfRule>
    <cfRule type="containsText" dxfId="1704" priority="23" stopIfTrue="1" operator="containsText" text="Configured">
      <formula>NOT(ISERROR(SEARCH("Configured",E167)))</formula>
    </cfRule>
    <cfRule type="containsText" dxfId="1703" priority="24" stopIfTrue="1" operator="containsText" text="Live">
      <formula>NOT(ISERROR(SEARCH("Live",E167)))</formula>
    </cfRule>
  </conditionalFormatting>
  <conditionalFormatting sqref="E170">
    <cfRule type="containsText" dxfId="1702" priority="19" stopIfTrue="1" operator="containsText" text="Planned">
      <formula>NOT(ISERROR(SEARCH("Planned",E170)))</formula>
    </cfRule>
    <cfRule type="containsText" dxfId="1701" priority="20" stopIfTrue="1" operator="containsText" text="Configured">
      <formula>NOT(ISERROR(SEARCH("Configured",E170)))</formula>
    </cfRule>
    <cfRule type="containsText" dxfId="1700" priority="21" stopIfTrue="1" operator="containsText" text="Live">
      <formula>NOT(ISERROR(SEARCH("Live",E170)))</formula>
    </cfRule>
  </conditionalFormatting>
  <conditionalFormatting sqref="E174">
    <cfRule type="containsText" dxfId="1699" priority="16" stopIfTrue="1" operator="containsText" text="Planned">
      <formula>NOT(ISERROR(SEARCH("Planned",E174)))</formula>
    </cfRule>
    <cfRule type="containsText" dxfId="1698" priority="17" stopIfTrue="1" operator="containsText" text="Configured">
      <formula>NOT(ISERROR(SEARCH("Configured",E174)))</formula>
    </cfRule>
    <cfRule type="containsText" dxfId="1697" priority="18" stopIfTrue="1" operator="containsText" text="Live">
      <formula>NOT(ISERROR(SEARCH("Live",E174)))</formula>
    </cfRule>
  </conditionalFormatting>
  <conditionalFormatting sqref="E176">
    <cfRule type="containsText" dxfId="1696" priority="13" stopIfTrue="1" operator="containsText" text="Planned">
      <formula>NOT(ISERROR(SEARCH("Planned",E176)))</formula>
    </cfRule>
    <cfRule type="containsText" dxfId="1695" priority="14" stopIfTrue="1" operator="containsText" text="Configured">
      <formula>NOT(ISERROR(SEARCH("Configured",E176)))</formula>
    </cfRule>
    <cfRule type="containsText" dxfId="1694" priority="15" stopIfTrue="1" operator="containsText" text="Live">
      <formula>NOT(ISERROR(SEARCH("Live",E176)))</formula>
    </cfRule>
  </conditionalFormatting>
  <conditionalFormatting sqref="E180">
    <cfRule type="containsText" dxfId="1693" priority="10" stopIfTrue="1" operator="containsText" text="Planned">
      <formula>NOT(ISERROR(SEARCH("Planned",E180)))</formula>
    </cfRule>
    <cfRule type="containsText" dxfId="1692" priority="11" stopIfTrue="1" operator="containsText" text="Configured">
      <formula>NOT(ISERROR(SEARCH("Configured",E180)))</formula>
    </cfRule>
    <cfRule type="containsText" dxfId="1691" priority="12" stopIfTrue="1" operator="containsText" text="Live">
      <formula>NOT(ISERROR(SEARCH("Live",E180)))</formula>
    </cfRule>
  </conditionalFormatting>
  <conditionalFormatting sqref="E181">
    <cfRule type="containsText" dxfId="1690" priority="7" stopIfTrue="1" operator="containsText" text="Planned">
      <formula>NOT(ISERROR(SEARCH("Planned",E181)))</formula>
    </cfRule>
    <cfRule type="containsText" dxfId="1689" priority="8" stopIfTrue="1" operator="containsText" text="Configured">
      <formula>NOT(ISERROR(SEARCH("Configured",E181)))</formula>
    </cfRule>
    <cfRule type="containsText" dxfId="1688" priority="9" stopIfTrue="1" operator="containsText" text="Live">
      <formula>NOT(ISERROR(SEARCH("Live",E181)))</formula>
    </cfRule>
  </conditionalFormatting>
  <conditionalFormatting sqref="E182">
    <cfRule type="containsText" dxfId="1687" priority="4" stopIfTrue="1" operator="containsText" text="Planned">
      <formula>NOT(ISERROR(SEARCH("Planned",E182)))</formula>
    </cfRule>
    <cfRule type="containsText" dxfId="1686" priority="5" stopIfTrue="1" operator="containsText" text="Configured">
      <formula>NOT(ISERROR(SEARCH("Configured",E182)))</formula>
    </cfRule>
    <cfRule type="containsText" dxfId="1685" priority="6" stopIfTrue="1" operator="containsText" text="Live">
      <formula>NOT(ISERROR(SEARCH("Live",E182)))</formula>
    </cfRule>
  </conditionalFormatting>
  <conditionalFormatting sqref="E192:E197">
    <cfRule type="containsText" dxfId="1684" priority="1" stopIfTrue="1" operator="containsText" text="Planned">
      <formula>NOT(ISERROR(SEARCH("Planned",E192)))</formula>
    </cfRule>
    <cfRule type="containsText" dxfId="1683" priority="2" stopIfTrue="1" operator="containsText" text="Configured">
      <formula>NOT(ISERROR(SEARCH("Configured",E192)))</formula>
    </cfRule>
    <cfRule type="containsText" dxfId="1682" priority="3" stopIfTrue="1" operator="containsText" text="Live">
      <formula>NOT(ISERROR(SEARCH("Live",E192)))</formula>
    </cfRule>
  </conditionalFormatting>
  <dataValidations count="2">
    <dataValidation type="list" allowBlank="1" showInputMessage="1" showErrorMessage="1" sqref="E4:E35 E37:E204" xr:uid="{F8DCEF4A-B685-4C7D-9257-B7EFB2636F05}">
      <formula1>CONFIG_STATUS_LIST</formula1>
    </dataValidation>
    <dataValidation type="list" allowBlank="1" showInputMessage="1" showErrorMessage="1" sqref="F4:F35 F37:F204" xr:uid="{31FD4EDD-AF60-4DD8-B382-F8E3CD9DF822}">
      <formula1>SITE_LIST</formula1>
    </dataValidation>
  </dataValidations>
  <pageMargins left="0.59055118110236227" right="0.59055118110236227" top="1.1811023622047245" bottom="0.98425196850393704" header="0.39370078740157483" footer="0.39370078740157483"/>
  <pageSetup paperSize="9" scale="57" fitToHeight="0" orientation="landscape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95A1-A45A-4C92-880B-6329349B1E1F}">
  <sheetPr codeName="Sheet15">
    <tabColor rgb="FF0070C0"/>
    <pageSetUpPr fitToPage="1"/>
  </sheetPr>
  <dimension ref="A1:BH81"/>
  <sheetViews>
    <sheetView workbookViewId="0">
      <pane xSplit="4" ySplit="3" topLeftCell="AL4" activePane="bottomRight" state="frozen"/>
      <selection pane="topRight" activeCell="E1" sqref="E1"/>
      <selection pane="bottomLeft" activeCell="A4" sqref="A4"/>
      <selection pane="bottomRight" activeCell="AQ33" sqref="AQ33"/>
    </sheetView>
  </sheetViews>
  <sheetFormatPr defaultRowHeight="10.199999999999999"/>
  <cols>
    <col min="1" max="1" width="2.6640625" customWidth="1"/>
    <col min="2" max="2" width="11.77734375" bestFit="1" customWidth="1"/>
    <col min="3" max="3" width="10.44140625" customWidth="1"/>
    <col min="4" max="4" width="15.21875" bestFit="1" customWidth="1"/>
    <col min="5" max="5" width="11.21875" bestFit="1" customWidth="1"/>
    <col min="6" max="6" width="9.88671875" customWidth="1"/>
    <col min="8" max="8" width="24.109375" bestFit="1" customWidth="1"/>
    <col min="12" max="12" width="10.21875" customWidth="1"/>
    <col min="13" max="13" width="9.109375" customWidth="1"/>
    <col min="14" max="14" width="12.33203125" customWidth="1"/>
    <col min="16" max="16" width="12.44140625" bestFit="1" customWidth="1"/>
    <col min="18" max="18" width="9.88671875" customWidth="1"/>
    <col min="19" max="19" width="13.109375" customWidth="1"/>
    <col min="20" max="20" width="10.109375" customWidth="1"/>
    <col min="21" max="21" width="11.6640625" customWidth="1"/>
    <col min="27" max="27" width="3.88671875" customWidth="1"/>
    <col min="28" max="28" width="10.44140625" customWidth="1"/>
    <col min="30" max="30" width="9.33203125" customWidth="1"/>
    <col min="31" max="31" width="10.88671875" customWidth="1"/>
    <col min="32" max="32" width="4.77734375" customWidth="1"/>
    <col min="33" max="33" width="11.77734375" customWidth="1"/>
    <col min="35" max="35" width="11.21875" customWidth="1"/>
    <col min="36" max="36" width="11.88671875" customWidth="1"/>
    <col min="37" max="37" width="15.109375" customWidth="1"/>
    <col min="39" max="39" width="10.21875" customWidth="1"/>
    <col min="40" max="40" width="10" customWidth="1"/>
    <col min="41" max="41" width="4.77734375" customWidth="1"/>
    <col min="42" max="42" width="11.88671875" customWidth="1"/>
    <col min="43" max="43" width="15.109375" customWidth="1"/>
    <col min="45" max="45" width="10" customWidth="1"/>
    <col min="46" max="46" width="9.77734375" customWidth="1"/>
    <col min="47" max="47" width="4.77734375" customWidth="1"/>
    <col min="48" max="48" width="13.109375" customWidth="1"/>
    <col min="49" max="49" width="12.77734375" customWidth="1"/>
    <col min="50" max="50" width="15.88671875" customWidth="1"/>
    <col min="51" max="51" width="13.6640625" customWidth="1"/>
    <col min="52" max="52" width="4.77734375" customWidth="1"/>
    <col min="53" max="53" width="13.109375" customWidth="1"/>
    <col min="54" max="54" width="12.77734375" customWidth="1"/>
    <col min="55" max="55" width="15.88671875" customWidth="1"/>
    <col min="56" max="56" width="13.6640625" customWidth="1"/>
    <col min="57" max="57" width="10.44140625" customWidth="1"/>
    <col min="58" max="58" width="11" customWidth="1"/>
    <col min="59" max="59" width="4.77734375" customWidth="1"/>
    <col min="60" max="60" width="10.77734375" customWidth="1"/>
  </cols>
  <sheetData>
    <row r="1" spans="1:60" ht="21">
      <c r="A1" s="12" t="s">
        <v>1811</v>
      </c>
      <c r="B1" s="12"/>
      <c r="C1" s="12"/>
      <c r="D1" s="12"/>
      <c r="E1" s="12"/>
      <c r="F1" s="17"/>
      <c r="G1" s="12" t="s">
        <v>1812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37"/>
      <c r="Z1" s="37"/>
      <c r="AA1" s="17"/>
      <c r="AB1" s="12" t="s">
        <v>1813</v>
      </c>
      <c r="AC1" s="12"/>
      <c r="AD1" s="12"/>
      <c r="AE1" s="12"/>
      <c r="AF1" s="17"/>
      <c r="AG1" s="12" t="s">
        <v>1814</v>
      </c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7"/>
      <c r="AV1" s="12" t="s">
        <v>1815</v>
      </c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7"/>
      <c r="BH1" s="12"/>
    </row>
    <row r="2" spans="1:60" ht="13.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9"/>
      <c r="Z2" s="39"/>
      <c r="AA2" s="38"/>
      <c r="AB2" s="38"/>
      <c r="AC2" s="38"/>
      <c r="AD2" s="38"/>
      <c r="AE2" s="38"/>
      <c r="AF2" s="38"/>
      <c r="AG2" s="38"/>
      <c r="AH2" s="38"/>
      <c r="AI2" s="38"/>
      <c r="AJ2" s="40"/>
      <c r="AK2" s="40"/>
      <c r="AL2" s="40"/>
      <c r="AM2" s="40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</row>
    <row r="3" spans="1:60" ht="13.2">
      <c r="A3" s="40"/>
      <c r="B3" s="41" t="s">
        <v>889</v>
      </c>
      <c r="C3" s="41" t="s">
        <v>1817</v>
      </c>
      <c r="D3" s="41" t="s">
        <v>1564</v>
      </c>
      <c r="E3" s="41" t="s">
        <v>53</v>
      </c>
      <c r="F3" s="17" t="s">
        <v>2650</v>
      </c>
      <c r="G3" s="42" t="s">
        <v>44</v>
      </c>
      <c r="H3" s="42" t="s">
        <v>1565</v>
      </c>
      <c r="I3" s="42" t="s">
        <v>886</v>
      </c>
      <c r="J3" s="42" t="s">
        <v>1818</v>
      </c>
      <c r="K3" s="42" t="s">
        <v>1819</v>
      </c>
      <c r="L3" s="42" t="s">
        <v>1820</v>
      </c>
      <c r="M3" s="42" t="s">
        <v>1821</v>
      </c>
      <c r="N3" s="42" t="s">
        <v>1822</v>
      </c>
      <c r="O3" s="42" t="s">
        <v>1823</v>
      </c>
      <c r="P3" s="42" t="s">
        <v>888</v>
      </c>
      <c r="Q3" s="42" t="s">
        <v>891</v>
      </c>
      <c r="R3" s="42" t="s">
        <v>1567</v>
      </c>
      <c r="S3" s="42" t="s">
        <v>1568</v>
      </c>
      <c r="T3" s="42" t="s">
        <v>1570</v>
      </c>
      <c r="U3" s="42" t="s">
        <v>1824</v>
      </c>
      <c r="V3" s="42" t="s">
        <v>1825</v>
      </c>
      <c r="W3" s="42" t="s">
        <v>1826</v>
      </c>
      <c r="X3" s="42" t="s">
        <v>1827</v>
      </c>
      <c r="Y3" s="43" t="s">
        <v>1828</v>
      </c>
      <c r="Z3" s="43" t="s">
        <v>1829</v>
      </c>
      <c r="AA3" s="17" t="s">
        <v>1830</v>
      </c>
      <c r="AB3" s="41" t="s">
        <v>48</v>
      </c>
      <c r="AC3" s="41" t="s">
        <v>46</v>
      </c>
      <c r="AD3" s="41" t="s">
        <v>49</v>
      </c>
      <c r="AE3" s="41" t="s">
        <v>1572</v>
      </c>
      <c r="AF3" s="17" t="s">
        <v>2651</v>
      </c>
      <c r="AG3" s="41" t="s">
        <v>1831</v>
      </c>
      <c r="AH3" s="41" t="s">
        <v>1832</v>
      </c>
      <c r="AI3" s="41" t="s">
        <v>1833</v>
      </c>
      <c r="AJ3" s="41" t="s">
        <v>1834</v>
      </c>
      <c r="AK3" s="41" t="s">
        <v>1835</v>
      </c>
      <c r="AL3" s="41" t="s">
        <v>1836</v>
      </c>
      <c r="AM3" s="41" t="s">
        <v>1837</v>
      </c>
      <c r="AN3" s="41" t="s">
        <v>1838</v>
      </c>
      <c r="AO3" s="44" t="s">
        <v>2652</v>
      </c>
      <c r="AP3" s="41" t="s">
        <v>1839</v>
      </c>
      <c r="AQ3" s="41" t="s">
        <v>1840</v>
      </c>
      <c r="AR3" s="41" t="s">
        <v>1841</v>
      </c>
      <c r="AS3" s="41" t="s">
        <v>1842</v>
      </c>
      <c r="AT3" s="41" t="s">
        <v>1843</v>
      </c>
      <c r="AU3" s="17" t="s">
        <v>2653</v>
      </c>
      <c r="AV3" s="42" t="s">
        <v>1844</v>
      </c>
      <c r="AW3" s="42" t="s">
        <v>1845</v>
      </c>
      <c r="AX3" s="42" t="s">
        <v>1846</v>
      </c>
      <c r="AY3" s="42" t="s">
        <v>1847</v>
      </c>
      <c r="AZ3" s="17" t="s">
        <v>2654</v>
      </c>
      <c r="BA3" s="42" t="s">
        <v>1848</v>
      </c>
      <c r="BB3" s="42" t="s">
        <v>1849</v>
      </c>
      <c r="BC3" s="42" t="s">
        <v>1850</v>
      </c>
      <c r="BD3" s="42" t="s">
        <v>1851</v>
      </c>
      <c r="BE3" s="42" t="s">
        <v>1852</v>
      </c>
      <c r="BF3" s="42" t="s">
        <v>1853</v>
      </c>
      <c r="BG3" s="25" t="s">
        <v>2655</v>
      </c>
      <c r="BH3" s="41" t="s">
        <v>16</v>
      </c>
    </row>
    <row r="4" spans="1:60">
      <c r="A4" s="40"/>
      <c r="B4" s="45" t="s">
        <v>902</v>
      </c>
      <c r="C4" s="46" t="s">
        <v>1932</v>
      </c>
      <c r="D4" s="46" t="s">
        <v>1574</v>
      </c>
      <c r="E4" s="46" t="s">
        <v>1575</v>
      </c>
      <c r="F4" s="17"/>
      <c r="G4" s="46" t="s">
        <v>57</v>
      </c>
      <c r="H4" s="46" t="s">
        <v>1576</v>
      </c>
      <c r="I4" s="46" t="s">
        <v>1577</v>
      </c>
      <c r="J4" s="46" t="s">
        <v>1933</v>
      </c>
      <c r="K4" s="47">
        <v>32</v>
      </c>
      <c r="L4" s="47" t="s">
        <v>1934</v>
      </c>
      <c r="M4" s="47">
        <v>16</v>
      </c>
      <c r="N4" s="47" t="s">
        <v>1934</v>
      </c>
      <c r="O4" s="47" t="s">
        <v>1935</v>
      </c>
      <c r="P4" s="46" t="s">
        <v>1102</v>
      </c>
      <c r="Q4" s="46">
        <v>35</v>
      </c>
      <c r="R4" s="46">
        <v>0</v>
      </c>
      <c r="S4" s="46">
        <v>0</v>
      </c>
      <c r="T4" s="46">
        <v>0</v>
      </c>
      <c r="U4" s="47" t="s">
        <v>1936</v>
      </c>
      <c r="V4" s="47" t="s">
        <v>1937</v>
      </c>
      <c r="W4" s="47" t="s">
        <v>1938</v>
      </c>
      <c r="X4" s="47">
        <v>2</v>
      </c>
      <c r="Y4" s="48">
        <v>1815.6996587030717</v>
      </c>
      <c r="Z4" s="48">
        <v>532</v>
      </c>
      <c r="AA4" s="17"/>
      <c r="AB4" s="46" t="s">
        <v>317</v>
      </c>
      <c r="AC4" s="46">
        <v>1021</v>
      </c>
      <c r="AD4" s="46" t="s">
        <v>318</v>
      </c>
      <c r="AE4" s="46" t="s">
        <v>320</v>
      </c>
      <c r="AF4" s="17"/>
      <c r="AG4" s="46" t="s">
        <v>1932</v>
      </c>
      <c r="AH4" s="46" t="s">
        <v>41</v>
      </c>
      <c r="AI4" s="46">
        <v>2</v>
      </c>
      <c r="AJ4" s="35" t="s">
        <v>1854</v>
      </c>
      <c r="AK4" s="45" t="s">
        <v>1855</v>
      </c>
      <c r="AL4" s="46">
        <v>2</v>
      </c>
      <c r="AM4" s="46" t="s">
        <v>905</v>
      </c>
      <c r="AN4" s="46" t="s">
        <v>1939</v>
      </c>
      <c r="AO4" s="17"/>
      <c r="AP4" s="49" t="s">
        <v>1940</v>
      </c>
      <c r="AQ4" s="46" t="s">
        <v>1855</v>
      </c>
      <c r="AR4" s="46">
        <v>2</v>
      </c>
      <c r="AS4" s="46" t="s">
        <v>905</v>
      </c>
      <c r="AT4" s="46" t="s">
        <v>1856</v>
      </c>
      <c r="AU4" s="17"/>
      <c r="AV4" s="142" t="s">
        <v>896</v>
      </c>
      <c r="AW4" s="122"/>
      <c r="AX4" s="129"/>
      <c r="AY4" s="142"/>
      <c r="AZ4" s="127"/>
      <c r="BA4" s="142" t="s">
        <v>896</v>
      </c>
      <c r="BB4" s="122"/>
      <c r="BC4" s="129"/>
      <c r="BD4" s="142"/>
      <c r="BE4" s="117"/>
      <c r="BF4" s="118"/>
      <c r="BG4" s="127"/>
      <c r="BH4" s="52"/>
    </row>
    <row r="5" spans="1:60">
      <c r="A5" s="40"/>
      <c r="B5" s="45" t="s">
        <v>905</v>
      </c>
      <c r="C5" s="46" t="s">
        <v>1932</v>
      </c>
      <c r="D5" s="46" t="s">
        <v>1574</v>
      </c>
      <c r="E5" s="46" t="s">
        <v>1575</v>
      </c>
      <c r="F5" s="17"/>
      <c r="G5" s="46" t="s">
        <v>57</v>
      </c>
      <c r="H5" s="46" t="s">
        <v>1578</v>
      </c>
      <c r="I5" s="46" t="s">
        <v>1577</v>
      </c>
      <c r="J5" s="46" t="s">
        <v>1933</v>
      </c>
      <c r="K5" s="46">
        <v>32</v>
      </c>
      <c r="L5" s="46" t="s">
        <v>1934</v>
      </c>
      <c r="M5" s="46">
        <v>16</v>
      </c>
      <c r="N5" s="46" t="s">
        <v>1934</v>
      </c>
      <c r="O5" s="46" t="s">
        <v>1935</v>
      </c>
      <c r="P5" s="46" t="s">
        <v>1103</v>
      </c>
      <c r="Q5" s="46">
        <v>36</v>
      </c>
      <c r="R5" s="46">
        <v>0</v>
      </c>
      <c r="S5" s="46">
        <v>0</v>
      </c>
      <c r="T5" s="46">
        <v>0</v>
      </c>
      <c r="U5" s="47" t="s">
        <v>1936</v>
      </c>
      <c r="V5" s="47" t="s">
        <v>1937</v>
      </c>
      <c r="W5" s="47" t="s">
        <v>1938</v>
      </c>
      <c r="X5" s="47">
        <v>2</v>
      </c>
      <c r="Y5" s="48">
        <v>1815.6996587030717</v>
      </c>
      <c r="Z5" s="48">
        <v>532</v>
      </c>
      <c r="AA5" s="17"/>
      <c r="AB5" s="46" t="s">
        <v>317</v>
      </c>
      <c r="AC5" s="46">
        <v>1021</v>
      </c>
      <c r="AD5" s="46" t="s">
        <v>318</v>
      </c>
      <c r="AE5" s="46" t="s">
        <v>320</v>
      </c>
      <c r="AF5" s="17"/>
      <c r="AG5" s="46" t="s">
        <v>1932</v>
      </c>
      <c r="AH5" s="46" t="s">
        <v>1696</v>
      </c>
      <c r="AI5" s="46">
        <v>2</v>
      </c>
      <c r="AJ5" s="35" t="s">
        <v>1856</v>
      </c>
      <c r="AK5" s="45" t="s">
        <v>1855</v>
      </c>
      <c r="AL5" s="46">
        <v>1</v>
      </c>
      <c r="AM5" s="46" t="s">
        <v>902</v>
      </c>
      <c r="AN5" s="46" t="s">
        <v>1940</v>
      </c>
      <c r="AO5" s="17"/>
      <c r="AP5" s="49" t="s">
        <v>1939</v>
      </c>
      <c r="AQ5" s="46" t="s">
        <v>1855</v>
      </c>
      <c r="AR5" s="46">
        <v>1</v>
      </c>
      <c r="AS5" s="46" t="s">
        <v>902</v>
      </c>
      <c r="AT5" s="46" t="s">
        <v>1854</v>
      </c>
      <c r="AU5" s="17"/>
      <c r="AV5" s="142" t="s">
        <v>896</v>
      </c>
      <c r="AW5" s="122"/>
      <c r="AX5" s="129"/>
      <c r="AY5" s="142"/>
      <c r="AZ5" s="127"/>
      <c r="BA5" s="142" t="s">
        <v>896</v>
      </c>
      <c r="BB5" s="122"/>
      <c r="BC5" s="129"/>
      <c r="BD5" s="142"/>
      <c r="BE5" s="117"/>
      <c r="BF5" s="118"/>
      <c r="BG5" s="127"/>
      <c r="BH5" s="52"/>
    </row>
    <row r="6" spans="1:60">
      <c r="A6" s="40"/>
      <c r="B6" s="45" t="s">
        <v>1371</v>
      </c>
      <c r="C6" s="46" t="s">
        <v>1941</v>
      </c>
      <c r="D6" s="46" t="s">
        <v>1579</v>
      </c>
      <c r="E6" s="46" t="s">
        <v>1575</v>
      </c>
      <c r="F6" s="17"/>
      <c r="G6" s="46" t="s">
        <v>57</v>
      </c>
      <c r="H6" s="46" t="s">
        <v>1576</v>
      </c>
      <c r="I6" s="46" t="s">
        <v>1580</v>
      </c>
      <c r="J6" s="46" t="s">
        <v>1933</v>
      </c>
      <c r="K6" s="46">
        <v>48</v>
      </c>
      <c r="L6" s="46" t="s">
        <v>1942</v>
      </c>
      <c r="M6" s="46">
        <v>4</v>
      </c>
      <c r="N6" s="46" t="s">
        <v>1934</v>
      </c>
      <c r="O6" s="46" t="s">
        <v>1935</v>
      </c>
      <c r="P6" s="46" t="s">
        <v>1370</v>
      </c>
      <c r="Q6" s="46">
        <v>56</v>
      </c>
      <c r="R6" s="46">
        <v>0</v>
      </c>
      <c r="S6" s="46">
        <v>0</v>
      </c>
      <c r="T6" s="46">
        <v>0</v>
      </c>
      <c r="U6" s="47" t="s">
        <v>1936</v>
      </c>
      <c r="V6" s="47" t="s">
        <v>1937</v>
      </c>
      <c r="W6" s="47" t="s">
        <v>1943</v>
      </c>
      <c r="X6" s="47">
        <v>2</v>
      </c>
      <c r="Y6" s="48">
        <v>1856.6552901023892</v>
      </c>
      <c r="Z6" s="48">
        <v>544</v>
      </c>
      <c r="AA6" s="17"/>
      <c r="AB6" s="46" t="s">
        <v>317</v>
      </c>
      <c r="AC6" s="46">
        <v>1021</v>
      </c>
      <c r="AD6" s="46" t="s">
        <v>318</v>
      </c>
      <c r="AE6" s="46" t="s">
        <v>1581</v>
      </c>
      <c r="AF6" s="17"/>
      <c r="AG6" s="46" t="s">
        <v>1941</v>
      </c>
      <c r="AH6" s="46" t="s">
        <v>41</v>
      </c>
      <c r="AI6" s="46">
        <v>2</v>
      </c>
      <c r="AJ6" s="53" t="s">
        <v>1857</v>
      </c>
      <c r="AK6" s="45" t="s">
        <v>1858</v>
      </c>
      <c r="AL6" s="46">
        <v>2</v>
      </c>
      <c r="AM6" s="46" t="s">
        <v>1375</v>
      </c>
      <c r="AN6" s="46" t="s">
        <v>1944</v>
      </c>
      <c r="AO6" s="17"/>
      <c r="AP6" s="49" t="s">
        <v>1945</v>
      </c>
      <c r="AQ6" s="46" t="s">
        <v>1858</v>
      </c>
      <c r="AR6" s="46">
        <v>2</v>
      </c>
      <c r="AS6" s="46" t="s">
        <v>1375</v>
      </c>
      <c r="AT6" s="46" t="s">
        <v>1861</v>
      </c>
      <c r="AU6" s="17"/>
      <c r="AV6" s="203" t="s">
        <v>1859</v>
      </c>
      <c r="AW6" s="122" t="s">
        <v>1858</v>
      </c>
      <c r="AX6" s="129" t="s">
        <v>902</v>
      </c>
      <c r="AY6" s="203" t="s">
        <v>1860</v>
      </c>
      <c r="AZ6" s="127"/>
      <c r="BA6" s="142"/>
      <c r="BB6" s="122"/>
      <c r="BC6" s="129"/>
      <c r="BD6" s="142"/>
      <c r="BE6" s="117">
        <v>49</v>
      </c>
      <c r="BF6" s="118">
        <v>44</v>
      </c>
      <c r="BG6" s="127"/>
      <c r="BH6" s="52"/>
    </row>
    <row r="7" spans="1:60">
      <c r="A7" s="40"/>
      <c r="B7" s="45" t="s">
        <v>1375</v>
      </c>
      <c r="C7" s="46" t="s">
        <v>1941</v>
      </c>
      <c r="D7" s="46" t="s">
        <v>1579</v>
      </c>
      <c r="E7" s="46" t="s">
        <v>1575</v>
      </c>
      <c r="F7" s="17"/>
      <c r="G7" s="46" t="s">
        <v>57</v>
      </c>
      <c r="H7" s="46" t="s">
        <v>1576</v>
      </c>
      <c r="I7" s="46" t="s">
        <v>1580</v>
      </c>
      <c r="J7" s="46" t="s">
        <v>1933</v>
      </c>
      <c r="K7" s="46">
        <v>48</v>
      </c>
      <c r="L7" s="46" t="s">
        <v>1942</v>
      </c>
      <c r="M7" s="46">
        <v>4</v>
      </c>
      <c r="N7" s="46" t="s">
        <v>1934</v>
      </c>
      <c r="O7" s="46" t="s">
        <v>1935</v>
      </c>
      <c r="P7" s="46" t="s">
        <v>1374</v>
      </c>
      <c r="Q7" s="46">
        <v>57</v>
      </c>
      <c r="R7" s="46">
        <v>0</v>
      </c>
      <c r="S7" s="46">
        <v>0</v>
      </c>
      <c r="T7" s="46">
        <v>0</v>
      </c>
      <c r="U7" s="47" t="s">
        <v>1936</v>
      </c>
      <c r="V7" s="47" t="s">
        <v>1937</v>
      </c>
      <c r="W7" s="47" t="s">
        <v>1943</v>
      </c>
      <c r="X7" s="47">
        <v>2</v>
      </c>
      <c r="Y7" s="48">
        <v>1856.6552901023892</v>
      </c>
      <c r="Z7" s="48">
        <v>544</v>
      </c>
      <c r="AA7" s="17"/>
      <c r="AB7" s="46" t="s">
        <v>317</v>
      </c>
      <c r="AC7" s="46">
        <v>1021</v>
      </c>
      <c r="AD7" s="46" t="s">
        <v>318</v>
      </c>
      <c r="AE7" s="46" t="s">
        <v>1581</v>
      </c>
      <c r="AF7" s="17"/>
      <c r="AG7" s="46" t="s">
        <v>1941</v>
      </c>
      <c r="AH7" s="46" t="s">
        <v>1696</v>
      </c>
      <c r="AI7" s="46">
        <v>2</v>
      </c>
      <c r="AJ7" s="53" t="s">
        <v>1861</v>
      </c>
      <c r="AK7" s="45" t="s">
        <v>1858</v>
      </c>
      <c r="AL7" s="46">
        <v>1</v>
      </c>
      <c r="AM7" s="46" t="s">
        <v>1371</v>
      </c>
      <c r="AN7" s="46" t="s">
        <v>1945</v>
      </c>
      <c r="AO7" s="17"/>
      <c r="AP7" s="49" t="s">
        <v>1944</v>
      </c>
      <c r="AQ7" s="46" t="s">
        <v>1858</v>
      </c>
      <c r="AR7" s="46">
        <v>1</v>
      </c>
      <c r="AS7" s="46" t="s">
        <v>1371</v>
      </c>
      <c r="AT7" s="46" t="s">
        <v>1857</v>
      </c>
      <c r="AU7" s="17"/>
      <c r="AV7" s="142"/>
      <c r="AW7" s="122"/>
      <c r="AX7" s="129"/>
      <c r="AY7" s="142"/>
      <c r="AZ7" s="127"/>
      <c r="BA7" s="203" t="s">
        <v>1862</v>
      </c>
      <c r="BB7" s="122" t="s">
        <v>1855</v>
      </c>
      <c r="BC7" s="129" t="s">
        <v>905</v>
      </c>
      <c r="BD7" s="203" t="s">
        <v>1863</v>
      </c>
      <c r="BE7" s="117">
        <v>49</v>
      </c>
      <c r="BF7" s="118">
        <v>44</v>
      </c>
      <c r="BG7" s="127"/>
      <c r="BH7" s="52"/>
    </row>
    <row r="8" spans="1:60">
      <c r="A8" s="40"/>
      <c r="B8" s="45" t="s">
        <v>1379</v>
      </c>
      <c r="C8" s="46" t="s">
        <v>1946</v>
      </c>
      <c r="D8" s="46" t="s">
        <v>1579</v>
      </c>
      <c r="E8" s="46" t="s">
        <v>1575</v>
      </c>
      <c r="F8" s="17"/>
      <c r="G8" s="46" t="s">
        <v>57</v>
      </c>
      <c r="H8" s="46" t="s">
        <v>1578</v>
      </c>
      <c r="I8" s="46" t="s">
        <v>1580</v>
      </c>
      <c r="J8" s="46" t="s">
        <v>1933</v>
      </c>
      <c r="K8" s="46">
        <v>48</v>
      </c>
      <c r="L8" s="46" t="s">
        <v>1942</v>
      </c>
      <c r="M8" s="46">
        <v>4</v>
      </c>
      <c r="N8" s="46" t="s">
        <v>1934</v>
      </c>
      <c r="O8" s="46" t="s">
        <v>1935</v>
      </c>
      <c r="P8" s="46" t="s">
        <v>1378</v>
      </c>
      <c r="Q8" s="46">
        <v>58</v>
      </c>
      <c r="R8" s="46">
        <v>0</v>
      </c>
      <c r="S8" s="46">
        <v>0</v>
      </c>
      <c r="T8" s="46">
        <v>0</v>
      </c>
      <c r="U8" s="47" t="s">
        <v>1936</v>
      </c>
      <c r="V8" s="47" t="s">
        <v>1937</v>
      </c>
      <c r="W8" s="47" t="s">
        <v>1943</v>
      </c>
      <c r="X8" s="47">
        <v>2</v>
      </c>
      <c r="Y8" s="48">
        <v>1856.6552901023892</v>
      </c>
      <c r="Z8" s="48">
        <v>544</v>
      </c>
      <c r="AA8" s="17"/>
      <c r="AB8" s="46" t="s">
        <v>317</v>
      </c>
      <c r="AC8" s="46">
        <v>1021</v>
      </c>
      <c r="AD8" s="46" t="s">
        <v>318</v>
      </c>
      <c r="AE8" s="46" t="s">
        <v>1582</v>
      </c>
      <c r="AF8" s="17"/>
      <c r="AG8" s="46" t="s">
        <v>1946</v>
      </c>
      <c r="AH8" s="46" t="s">
        <v>41</v>
      </c>
      <c r="AI8" s="46">
        <v>2</v>
      </c>
      <c r="AJ8" s="53" t="s">
        <v>1857</v>
      </c>
      <c r="AK8" s="45" t="s">
        <v>1858</v>
      </c>
      <c r="AL8" s="46">
        <v>2</v>
      </c>
      <c r="AM8" s="46" t="s">
        <v>1383</v>
      </c>
      <c r="AN8" s="46" t="s">
        <v>1944</v>
      </c>
      <c r="AO8" s="17"/>
      <c r="AP8" s="49" t="s">
        <v>1945</v>
      </c>
      <c r="AQ8" s="46" t="s">
        <v>1858</v>
      </c>
      <c r="AR8" s="46">
        <v>2</v>
      </c>
      <c r="AS8" s="46" t="s">
        <v>1383</v>
      </c>
      <c r="AT8" s="46" t="s">
        <v>1861</v>
      </c>
      <c r="AU8" s="17"/>
      <c r="AV8" s="203" t="s">
        <v>1859</v>
      </c>
      <c r="AW8" s="122" t="s">
        <v>1855</v>
      </c>
      <c r="AX8" s="129" t="s">
        <v>902</v>
      </c>
      <c r="AY8" s="203" t="s">
        <v>1864</v>
      </c>
      <c r="AZ8" s="127"/>
      <c r="BA8" s="142"/>
      <c r="BB8" s="122"/>
      <c r="BC8" s="129"/>
      <c r="BD8" s="142"/>
      <c r="BE8" s="117">
        <v>49</v>
      </c>
      <c r="BF8" s="118">
        <v>43</v>
      </c>
      <c r="BG8" s="127"/>
      <c r="BH8" s="52"/>
    </row>
    <row r="9" spans="1:60">
      <c r="A9" s="40"/>
      <c r="B9" s="45" t="s">
        <v>1383</v>
      </c>
      <c r="C9" s="46" t="s">
        <v>1946</v>
      </c>
      <c r="D9" s="46" t="s">
        <v>1579</v>
      </c>
      <c r="E9" s="46" t="s">
        <v>1575</v>
      </c>
      <c r="F9" s="17"/>
      <c r="G9" s="46" t="s">
        <v>57</v>
      </c>
      <c r="H9" s="46" t="s">
        <v>1578</v>
      </c>
      <c r="I9" s="46" t="s">
        <v>1580</v>
      </c>
      <c r="J9" s="46" t="s">
        <v>1933</v>
      </c>
      <c r="K9" s="46">
        <v>48</v>
      </c>
      <c r="L9" s="46" t="s">
        <v>1942</v>
      </c>
      <c r="M9" s="46">
        <v>4</v>
      </c>
      <c r="N9" s="46" t="s">
        <v>1934</v>
      </c>
      <c r="O9" s="46" t="s">
        <v>1935</v>
      </c>
      <c r="P9" s="46" t="s">
        <v>1382</v>
      </c>
      <c r="Q9" s="46">
        <v>59</v>
      </c>
      <c r="R9" s="46">
        <v>0</v>
      </c>
      <c r="S9" s="46">
        <v>0</v>
      </c>
      <c r="T9" s="46">
        <v>0</v>
      </c>
      <c r="U9" s="47" t="s">
        <v>1936</v>
      </c>
      <c r="V9" s="47" t="s">
        <v>1937</v>
      </c>
      <c r="W9" s="47" t="s">
        <v>1943</v>
      </c>
      <c r="X9" s="47">
        <v>2</v>
      </c>
      <c r="Y9" s="48">
        <v>1856.6552901023892</v>
      </c>
      <c r="Z9" s="48">
        <v>544</v>
      </c>
      <c r="AA9" s="17"/>
      <c r="AB9" s="46" t="s">
        <v>317</v>
      </c>
      <c r="AC9" s="46">
        <v>1021</v>
      </c>
      <c r="AD9" s="46" t="s">
        <v>318</v>
      </c>
      <c r="AE9" s="46" t="s">
        <v>1582</v>
      </c>
      <c r="AF9" s="17"/>
      <c r="AG9" s="46" t="s">
        <v>1946</v>
      </c>
      <c r="AH9" s="46" t="s">
        <v>1696</v>
      </c>
      <c r="AI9" s="46">
        <v>2</v>
      </c>
      <c r="AJ9" s="53" t="s">
        <v>1861</v>
      </c>
      <c r="AK9" s="45" t="s">
        <v>1858</v>
      </c>
      <c r="AL9" s="46">
        <v>1</v>
      </c>
      <c r="AM9" s="46" t="s">
        <v>1379</v>
      </c>
      <c r="AN9" s="46" t="s">
        <v>1945</v>
      </c>
      <c r="AO9" s="17"/>
      <c r="AP9" s="49" t="s">
        <v>1944</v>
      </c>
      <c r="AQ9" s="46" t="s">
        <v>1858</v>
      </c>
      <c r="AR9" s="46">
        <v>1</v>
      </c>
      <c r="AS9" s="46" t="s">
        <v>1379</v>
      </c>
      <c r="AT9" s="46" t="s">
        <v>1857</v>
      </c>
      <c r="AU9" s="17"/>
      <c r="AV9" s="142"/>
      <c r="AW9" s="122"/>
      <c r="AX9" s="129"/>
      <c r="AY9" s="142"/>
      <c r="AZ9" s="127"/>
      <c r="BA9" s="203" t="s">
        <v>1862</v>
      </c>
      <c r="BB9" s="122" t="s">
        <v>1858</v>
      </c>
      <c r="BC9" s="129" t="s">
        <v>905</v>
      </c>
      <c r="BD9" s="203" t="s">
        <v>1865</v>
      </c>
      <c r="BE9" s="117">
        <v>49</v>
      </c>
      <c r="BF9" s="118">
        <v>43</v>
      </c>
      <c r="BG9" s="127"/>
      <c r="BH9" s="52"/>
    </row>
    <row r="10" spans="1:60">
      <c r="A10" s="40"/>
      <c r="B10" s="45" t="s">
        <v>1387</v>
      </c>
      <c r="C10" s="46" t="s">
        <v>1947</v>
      </c>
      <c r="D10" s="46" t="s">
        <v>1583</v>
      </c>
      <c r="E10" s="46" t="s">
        <v>1575</v>
      </c>
      <c r="F10" s="17"/>
      <c r="G10" s="46" t="s">
        <v>57</v>
      </c>
      <c r="H10" s="46" t="s">
        <v>1576</v>
      </c>
      <c r="I10" s="46" t="s">
        <v>1580</v>
      </c>
      <c r="J10" s="46" t="s">
        <v>1933</v>
      </c>
      <c r="K10" s="46">
        <v>48</v>
      </c>
      <c r="L10" s="46" t="s">
        <v>1942</v>
      </c>
      <c r="M10" s="46">
        <v>4</v>
      </c>
      <c r="N10" s="46" t="s">
        <v>1934</v>
      </c>
      <c r="O10" s="46" t="s">
        <v>1935</v>
      </c>
      <c r="P10" s="46" t="s">
        <v>1386</v>
      </c>
      <c r="Q10" s="46">
        <v>60</v>
      </c>
      <c r="R10" s="46">
        <v>0</v>
      </c>
      <c r="S10" s="46">
        <v>0</v>
      </c>
      <c r="T10" s="46">
        <v>0</v>
      </c>
      <c r="U10" s="47" t="s">
        <v>1936</v>
      </c>
      <c r="V10" s="47" t="s">
        <v>1937</v>
      </c>
      <c r="W10" s="47" t="s">
        <v>1943</v>
      </c>
      <c r="X10" s="47">
        <v>2</v>
      </c>
      <c r="Y10" s="48">
        <v>1856.6552901023892</v>
      </c>
      <c r="Z10" s="48">
        <v>544</v>
      </c>
      <c r="AA10" s="17"/>
      <c r="AB10" s="46" t="s">
        <v>317</v>
      </c>
      <c r="AC10" s="46">
        <v>1021</v>
      </c>
      <c r="AD10" s="46" t="s">
        <v>318</v>
      </c>
      <c r="AE10" s="46" t="s">
        <v>1584</v>
      </c>
      <c r="AF10" s="17"/>
      <c r="AG10" s="46" t="s">
        <v>1947</v>
      </c>
      <c r="AH10" s="46" t="s">
        <v>41</v>
      </c>
      <c r="AI10" s="46">
        <v>2</v>
      </c>
      <c r="AJ10" s="53" t="s">
        <v>1857</v>
      </c>
      <c r="AK10" s="45" t="s">
        <v>1858</v>
      </c>
      <c r="AL10" s="46">
        <v>2</v>
      </c>
      <c r="AM10" s="46" t="s">
        <v>1391</v>
      </c>
      <c r="AN10" s="46" t="s">
        <v>1944</v>
      </c>
      <c r="AO10" s="17"/>
      <c r="AP10" s="49" t="s">
        <v>1945</v>
      </c>
      <c r="AQ10" s="46" t="s">
        <v>1858</v>
      </c>
      <c r="AR10" s="46">
        <v>2</v>
      </c>
      <c r="AS10" s="46" t="s">
        <v>1391</v>
      </c>
      <c r="AT10" s="46" t="s">
        <v>1861</v>
      </c>
      <c r="AU10" s="17"/>
      <c r="AV10" s="203" t="s">
        <v>1859</v>
      </c>
      <c r="AW10" s="122" t="s">
        <v>1858</v>
      </c>
      <c r="AX10" s="129" t="s">
        <v>902</v>
      </c>
      <c r="AY10" s="203" t="s">
        <v>1866</v>
      </c>
      <c r="AZ10" s="127"/>
      <c r="BA10" s="142"/>
      <c r="BB10" s="122"/>
      <c r="BC10" s="129"/>
      <c r="BD10" s="142"/>
      <c r="BE10" s="117">
        <v>49</v>
      </c>
      <c r="BF10" s="118">
        <v>42</v>
      </c>
      <c r="BG10" s="127"/>
      <c r="BH10" s="52"/>
    </row>
    <row r="11" spans="1:60">
      <c r="A11" s="40" t="s">
        <v>1867</v>
      </c>
      <c r="B11" s="45" t="s">
        <v>1391</v>
      </c>
      <c r="C11" s="46" t="s">
        <v>1947</v>
      </c>
      <c r="D11" s="46" t="s">
        <v>1583</v>
      </c>
      <c r="E11" s="46" t="s">
        <v>1575</v>
      </c>
      <c r="F11" s="17"/>
      <c r="G11" s="46" t="s">
        <v>57</v>
      </c>
      <c r="H11" s="46" t="s">
        <v>1578</v>
      </c>
      <c r="I11" s="46" t="s">
        <v>1580</v>
      </c>
      <c r="J11" s="46" t="s">
        <v>1933</v>
      </c>
      <c r="K11" s="46">
        <v>48</v>
      </c>
      <c r="L11" s="46" t="s">
        <v>1942</v>
      </c>
      <c r="M11" s="46">
        <v>4</v>
      </c>
      <c r="N11" s="46" t="s">
        <v>1934</v>
      </c>
      <c r="O11" s="46" t="s">
        <v>1935</v>
      </c>
      <c r="P11" s="46" t="s">
        <v>1390</v>
      </c>
      <c r="Q11" s="46">
        <v>61</v>
      </c>
      <c r="R11" s="46">
        <v>0</v>
      </c>
      <c r="S11" s="46">
        <v>0</v>
      </c>
      <c r="T11" s="46">
        <v>0</v>
      </c>
      <c r="U11" s="47" t="s">
        <v>1936</v>
      </c>
      <c r="V11" s="47" t="s">
        <v>1937</v>
      </c>
      <c r="W11" s="47" t="s">
        <v>1943</v>
      </c>
      <c r="X11" s="47">
        <v>2</v>
      </c>
      <c r="Y11" s="48">
        <v>1856.6552901023892</v>
      </c>
      <c r="Z11" s="48">
        <v>544</v>
      </c>
      <c r="AA11" s="17"/>
      <c r="AB11" s="46" t="s">
        <v>317</v>
      </c>
      <c r="AC11" s="46">
        <v>1021</v>
      </c>
      <c r="AD11" s="46" t="s">
        <v>318</v>
      </c>
      <c r="AE11" s="46" t="s">
        <v>1584</v>
      </c>
      <c r="AF11" s="17"/>
      <c r="AG11" s="46" t="s">
        <v>1947</v>
      </c>
      <c r="AH11" s="46" t="s">
        <v>1696</v>
      </c>
      <c r="AI11" s="46">
        <v>2</v>
      </c>
      <c r="AJ11" s="53" t="s">
        <v>1861</v>
      </c>
      <c r="AK11" s="45" t="s">
        <v>1855</v>
      </c>
      <c r="AL11" s="46">
        <v>1</v>
      </c>
      <c r="AM11" s="46" t="s">
        <v>1387</v>
      </c>
      <c r="AN11" s="46" t="s">
        <v>1945</v>
      </c>
      <c r="AO11" s="17"/>
      <c r="AP11" s="49" t="s">
        <v>1944</v>
      </c>
      <c r="AQ11" s="46" t="s">
        <v>1855</v>
      </c>
      <c r="AR11" s="46">
        <v>1</v>
      </c>
      <c r="AS11" s="46" t="s">
        <v>1387</v>
      </c>
      <c r="AT11" s="46" t="s">
        <v>1857</v>
      </c>
      <c r="AU11" s="17"/>
      <c r="AV11" s="142"/>
      <c r="AW11" s="122"/>
      <c r="AX11" s="129"/>
      <c r="AY11" s="142"/>
      <c r="AZ11" s="127"/>
      <c r="BA11" s="203" t="s">
        <v>1862</v>
      </c>
      <c r="BB11" s="122" t="s">
        <v>1855</v>
      </c>
      <c r="BC11" s="129" t="s">
        <v>905</v>
      </c>
      <c r="BD11" s="203" t="s">
        <v>1868</v>
      </c>
      <c r="BE11" s="117">
        <v>49</v>
      </c>
      <c r="BF11" s="118">
        <v>42</v>
      </c>
      <c r="BG11" s="127"/>
      <c r="BH11" s="52"/>
    </row>
    <row r="12" spans="1:60">
      <c r="A12" s="40" t="s">
        <v>1867</v>
      </c>
      <c r="B12" s="45" t="s">
        <v>1073</v>
      </c>
      <c r="C12" s="46" t="s">
        <v>1948</v>
      </c>
      <c r="D12" s="46" t="s">
        <v>1585</v>
      </c>
      <c r="E12" s="46" t="s">
        <v>1575</v>
      </c>
      <c r="F12" s="17"/>
      <c r="G12" s="46" t="s">
        <v>57</v>
      </c>
      <c r="H12" s="46" t="s">
        <v>1576</v>
      </c>
      <c r="I12" s="46" t="s">
        <v>1586</v>
      </c>
      <c r="J12" s="46" t="s">
        <v>1949</v>
      </c>
      <c r="K12" s="46">
        <v>48</v>
      </c>
      <c r="L12" s="46" t="s">
        <v>1950</v>
      </c>
      <c r="M12" s="46">
        <v>8</v>
      </c>
      <c r="N12" s="46" t="s">
        <v>1951</v>
      </c>
      <c r="O12" s="46" t="s">
        <v>1935</v>
      </c>
      <c r="P12" s="46" t="s">
        <v>1072</v>
      </c>
      <c r="Q12" s="46">
        <v>31</v>
      </c>
      <c r="R12" s="46">
        <v>0</v>
      </c>
      <c r="S12" s="46">
        <v>0</v>
      </c>
      <c r="T12" s="46">
        <v>0</v>
      </c>
      <c r="U12" s="47" t="s">
        <v>1952</v>
      </c>
      <c r="V12" s="47" t="s">
        <v>1937</v>
      </c>
      <c r="W12" s="47" t="s">
        <v>1953</v>
      </c>
      <c r="X12" s="47">
        <v>2</v>
      </c>
      <c r="Y12" s="48">
        <v>1194</v>
      </c>
      <c r="Z12" s="48">
        <v>349.84199999999998</v>
      </c>
      <c r="AA12" s="17"/>
      <c r="AB12" s="46" t="s">
        <v>317</v>
      </c>
      <c r="AC12" s="46">
        <v>1021</v>
      </c>
      <c r="AD12" s="46" t="s">
        <v>318</v>
      </c>
      <c r="AE12" s="46" t="s">
        <v>1587</v>
      </c>
      <c r="AF12" s="17"/>
      <c r="AG12" s="46" t="s">
        <v>1948</v>
      </c>
      <c r="AH12" s="46" t="s">
        <v>41</v>
      </c>
      <c r="AI12" s="46">
        <v>2</v>
      </c>
      <c r="AJ12" s="52" t="s">
        <v>1869</v>
      </c>
      <c r="AK12" s="45" t="s">
        <v>1870</v>
      </c>
      <c r="AL12" s="46">
        <v>2</v>
      </c>
      <c r="AM12" s="46" t="s">
        <v>1083</v>
      </c>
      <c r="AN12" s="46" t="s">
        <v>1954</v>
      </c>
      <c r="AO12" s="17"/>
      <c r="AP12" s="49" t="s">
        <v>1955</v>
      </c>
      <c r="AQ12" s="46" t="s">
        <v>1870</v>
      </c>
      <c r="AR12" s="46">
        <v>2</v>
      </c>
      <c r="AS12" s="46" t="s">
        <v>1083</v>
      </c>
      <c r="AT12" s="46" t="s">
        <v>1874</v>
      </c>
      <c r="AU12" s="17"/>
      <c r="AV12" s="142" t="s">
        <v>1871</v>
      </c>
      <c r="AW12" s="122" t="s">
        <v>1872</v>
      </c>
      <c r="AX12" s="129" t="s">
        <v>1371</v>
      </c>
      <c r="AY12" s="203" t="s">
        <v>1873</v>
      </c>
      <c r="AZ12" s="127"/>
      <c r="BA12" s="142"/>
      <c r="BB12" s="122"/>
      <c r="BC12" s="129"/>
      <c r="BD12" s="203"/>
      <c r="BE12" s="117">
        <v>49</v>
      </c>
      <c r="BF12" s="118">
        <v>48</v>
      </c>
      <c r="BG12" s="127"/>
      <c r="BH12" s="52"/>
    </row>
    <row r="13" spans="1:60">
      <c r="A13" s="40"/>
      <c r="B13" s="45" t="s">
        <v>1083</v>
      </c>
      <c r="C13" s="46" t="s">
        <v>1948</v>
      </c>
      <c r="D13" s="46" t="s">
        <v>1585</v>
      </c>
      <c r="E13" s="46" t="s">
        <v>1575</v>
      </c>
      <c r="F13" s="17"/>
      <c r="G13" s="46" t="s">
        <v>57</v>
      </c>
      <c r="H13" s="46" t="s">
        <v>1576</v>
      </c>
      <c r="I13" s="46" t="s">
        <v>1586</v>
      </c>
      <c r="J13" s="46" t="s">
        <v>1949</v>
      </c>
      <c r="K13" s="46">
        <v>48</v>
      </c>
      <c r="L13" s="46" t="s">
        <v>1950</v>
      </c>
      <c r="M13" s="46">
        <v>8</v>
      </c>
      <c r="N13" s="46" t="s">
        <v>1951</v>
      </c>
      <c r="O13" s="46" t="s">
        <v>1935</v>
      </c>
      <c r="P13" s="46" t="s">
        <v>1082</v>
      </c>
      <c r="Q13" s="46">
        <v>32</v>
      </c>
      <c r="R13" s="46">
        <v>0</v>
      </c>
      <c r="S13" s="46">
        <v>0</v>
      </c>
      <c r="T13" s="46">
        <v>0</v>
      </c>
      <c r="U13" s="47" t="s">
        <v>1952</v>
      </c>
      <c r="V13" s="47" t="s">
        <v>1937</v>
      </c>
      <c r="W13" s="47" t="s">
        <v>1953</v>
      </c>
      <c r="X13" s="47">
        <v>2</v>
      </c>
      <c r="Y13" s="48">
        <v>1194</v>
      </c>
      <c r="Z13" s="48">
        <v>349.84199999999998</v>
      </c>
      <c r="AA13" s="17"/>
      <c r="AB13" s="46" t="s">
        <v>317</v>
      </c>
      <c r="AC13" s="46">
        <v>1021</v>
      </c>
      <c r="AD13" s="46" t="s">
        <v>318</v>
      </c>
      <c r="AE13" s="46" t="s">
        <v>1587</v>
      </c>
      <c r="AF13" s="17"/>
      <c r="AG13" s="46" t="s">
        <v>1948</v>
      </c>
      <c r="AH13" s="46" t="s">
        <v>1696</v>
      </c>
      <c r="AI13" s="46">
        <v>2</v>
      </c>
      <c r="AJ13" s="52" t="s">
        <v>1874</v>
      </c>
      <c r="AK13" s="45" t="s">
        <v>1870</v>
      </c>
      <c r="AL13" s="46">
        <v>1</v>
      </c>
      <c r="AM13" s="46" t="s">
        <v>1073</v>
      </c>
      <c r="AN13" s="46" t="s">
        <v>1955</v>
      </c>
      <c r="AO13" s="17"/>
      <c r="AP13" s="49" t="s">
        <v>1954</v>
      </c>
      <c r="AQ13" s="46" t="s">
        <v>1870</v>
      </c>
      <c r="AR13" s="46">
        <v>1</v>
      </c>
      <c r="AS13" s="46" t="s">
        <v>1073</v>
      </c>
      <c r="AT13" s="46" t="s">
        <v>1869</v>
      </c>
      <c r="AU13" s="17"/>
      <c r="AV13" s="142"/>
      <c r="AW13" s="122"/>
      <c r="AX13" s="129"/>
      <c r="AY13" s="142"/>
      <c r="AZ13" s="127"/>
      <c r="BA13" s="142" t="s">
        <v>1875</v>
      </c>
      <c r="BB13" s="122" t="s">
        <v>1872</v>
      </c>
      <c r="BC13" s="129" t="s">
        <v>1375</v>
      </c>
      <c r="BD13" s="142" t="s">
        <v>1876</v>
      </c>
      <c r="BE13" s="203" t="s">
        <v>1877</v>
      </c>
      <c r="BF13" s="118">
        <v>48</v>
      </c>
      <c r="BG13" s="127"/>
      <c r="BH13" s="52"/>
    </row>
    <row r="14" spans="1:60">
      <c r="A14" s="40"/>
      <c r="B14" s="45" t="s">
        <v>1089</v>
      </c>
      <c r="C14" s="46" t="s">
        <v>1956</v>
      </c>
      <c r="D14" s="46" t="s">
        <v>1585</v>
      </c>
      <c r="E14" s="46" t="s">
        <v>1575</v>
      </c>
      <c r="F14" s="17"/>
      <c r="G14" s="46" t="s">
        <v>57</v>
      </c>
      <c r="H14" s="46" t="s">
        <v>1578</v>
      </c>
      <c r="I14" s="46" t="s">
        <v>1586</v>
      </c>
      <c r="J14" s="46" t="s">
        <v>1949</v>
      </c>
      <c r="K14" s="46">
        <v>48</v>
      </c>
      <c r="L14" s="46" t="s">
        <v>1950</v>
      </c>
      <c r="M14" s="46">
        <v>8</v>
      </c>
      <c r="N14" s="46" t="s">
        <v>1951</v>
      </c>
      <c r="O14" s="46" t="s">
        <v>1935</v>
      </c>
      <c r="P14" s="46" t="s">
        <v>1088</v>
      </c>
      <c r="Q14" s="46">
        <v>33</v>
      </c>
      <c r="R14" s="46">
        <v>0</v>
      </c>
      <c r="S14" s="46">
        <v>0</v>
      </c>
      <c r="T14" s="46">
        <v>0</v>
      </c>
      <c r="U14" s="47" t="s">
        <v>1952</v>
      </c>
      <c r="V14" s="47" t="s">
        <v>1937</v>
      </c>
      <c r="W14" s="47" t="s">
        <v>1953</v>
      </c>
      <c r="X14" s="47">
        <v>2</v>
      </c>
      <c r="Y14" s="48">
        <v>1194</v>
      </c>
      <c r="Z14" s="48">
        <v>349.84199999999998</v>
      </c>
      <c r="AA14" s="17"/>
      <c r="AB14" s="46" t="s">
        <v>317</v>
      </c>
      <c r="AC14" s="46">
        <v>1021</v>
      </c>
      <c r="AD14" s="46" t="s">
        <v>318</v>
      </c>
      <c r="AE14" s="46" t="s">
        <v>1588</v>
      </c>
      <c r="AF14" s="17"/>
      <c r="AG14" s="46" t="s">
        <v>1956</v>
      </c>
      <c r="AH14" s="46" t="s">
        <v>41</v>
      </c>
      <c r="AI14" s="46">
        <v>2</v>
      </c>
      <c r="AJ14" s="52" t="s">
        <v>1869</v>
      </c>
      <c r="AK14" s="45" t="s">
        <v>1870</v>
      </c>
      <c r="AL14" s="46">
        <v>2</v>
      </c>
      <c r="AM14" s="46" t="s">
        <v>1095</v>
      </c>
      <c r="AN14" s="46" t="s">
        <v>1954</v>
      </c>
      <c r="AO14" s="17"/>
      <c r="AP14" s="49" t="s">
        <v>1955</v>
      </c>
      <c r="AQ14" s="46" t="s">
        <v>1870</v>
      </c>
      <c r="AR14" s="46">
        <v>2</v>
      </c>
      <c r="AS14" s="46" t="s">
        <v>1095</v>
      </c>
      <c r="AT14" s="46" t="s">
        <v>1874</v>
      </c>
      <c r="AU14" s="17"/>
      <c r="AV14" s="142" t="s">
        <v>1871</v>
      </c>
      <c r="AW14" s="122" t="s">
        <v>1872</v>
      </c>
      <c r="AX14" s="129" t="s">
        <v>1379</v>
      </c>
      <c r="AY14" s="203" t="s">
        <v>1873</v>
      </c>
      <c r="AZ14" s="127"/>
      <c r="BA14" s="142"/>
      <c r="BB14" s="122"/>
      <c r="BC14" s="129"/>
      <c r="BD14" s="142"/>
      <c r="BE14" s="117">
        <v>49</v>
      </c>
      <c r="BF14" s="118">
        <v>48</v>
      </c>
      <c r="BG14" s="127"/>
      <c r="BH14" s="52"/>
    </row>
    <row r="15" spans="1:60" ht="10.8" thickBot="1">
      <c r="A15" s="40"/>
      <c r="B15" s="45" t="s">
        <v>1095</v>
      </c>
      <c r="C15" s="46" t="s">
        <v>1956</v>
      </c>
      <c r="D15" s="46" t="s">
        <v>1585</v>
      </c>
      <c r="E15" s="46" t="s">
        <v>1575</v>
      </c>
      <c r="F15" s="17"/>
      <c r="G15" s="46" t="s">
        <v>57</v>
      </c>
      <c r="H15" s="46" t="s">
        <v>1578</v>
      </c>
      <c r="I15" s="46" t="s">
        <v>1586</v>
      </c>
      <c r="J15" s="46" t="s">
        <v>1949</v>
      </c>
      <c r="K15" s="46">
        <v>48</v>
      </c>
      <c r="L15" s="46" t="s">
        <v>1950</v>
      </c>
      <c r="M15" s="46">
        <v>8</v>
      </c>
      <c r="N15" s="46" t="s">
        <v>1951</v>
      </c>
      <c r="O15" s="46" t="s">
        <v>1935</v>
      </c>
      <c r="P15" s="46" t="s">
        <v>1094</v>
      </c>
      <c r="Q15" s="46">
        <v>34</v>
      </c>
      <c r="R15" s="46">
        <v>0</v>
      </c>
      <c r="S15" s="46">
        <v>0</v>
      </c>
      <c r="T15" s="46">
        <v>0</v>
      </c>
      <c r="U15" s="47" t="s">
        <v>1952</v>
      </c>
      <c r="V15" s="47" t="s">
        <v>1937</v>
      </c>
      <c r="W15" s="47" t="s">
        <v>1953</v>
      </c>
      <c r="X15" s="47">
        <v>2</v>
      </c>
      <c r="Y15" s="48">
        <v>1194</v>
      </c>
      <c r="Z15" s="48">
        <v>349.84199999999998</v>
      </c>
      <c r="AA15" s="17"/>
      <c r="AB15" s="46" t="s">
        <v>317</v>
      </c>
      <c r="AC15" s="46">
        <v>1021</v>
      </c>
      <c r="AD15" s="46" t="s">
        <v>318</v>
      </c>
      <c r="AE15" s="46" t="s">
        <v>1588</v>
      </c>
      <c r="AF15" s="17"/>
      <c r="AG15" s="46" t="s">
        <v>1956</v>
      </c>
      <c r="AH15" s="46" t="s">
        <v>1696</v>
      </c>
      <c r="AI15" s="46">
        <v>2</v>
      </c>
      <c r="AJ15" s="52" t="s">
        <v>1874</v>
      </c>
      <c r="AK15" s="45" t="s">
        <v>1870</v>
      </c>
      <c r="AL15" s="46">
        <v>1</v>
      </c>
      <c r="AM15" s="46" t="s">
        <v>1089</v>
      </c>
      <c r="AN15" s="46" t="s">
        <v>1955</v>
      </c>
      <c r="AO15" s="17"/>
      <c r="AP15" s="49" t="s">
        <v>1954</v>
      </c>
      <c r="AQ15" s="46" t="s">
        <v>1870</v>
      </c>
      <c r="AR15" s="46">
        <v>1</v>
      </c>
      <c r="AS15" s="46" t="s">
        <v>1089</v>
      </c>
      <c r="AT15" s="46" t="s">
        <v>1869</v>
      </c>
      <c r="AU15" s="17"/>
      <c r="AV15" s="142"/>
      <c r="AW15" s="122"/>
      <c r="AX15" s="129"/>
      <c r="AY15" s="142"/>
      <c r="AZ15" s="127"/>
      <c r="BA15" s="142" t="s">
        <v>1875</v>
      </c>
      <c r="BB15" s="122" t="s">
        <v>1872</v>
      </c>
      <c r="BC15" s="129" t="s">
        <v>1383</v>
      </c>
      <c r="BD15" s="142" t="s">
        <v>1876</v>
      </c>
      <c r="BE15" s="203" t="s">
        <v>1877</v>
      </c>
      <c r="BF15" s="118">
        <v>48</v>
      </c>
      <c r="BG15" s="127"/>
      <c r="BH15" s="52"/>
    </row>
    <row r="16" spans="1:60" ht="10.8" thickBot="1">
      <c r="A16" s="40"/>
      <c r="B16" s="45" t="s">
        <v>2888</v>
      </c>
      <c r="C16" s="46" t="s">
        <v>2888</v>
      </c>
      <c r="D16" s="46" t="s">
        <v>1585</v>
      </c>
      <c r="E16" s="46" t="s">
        <v>1590</v>
      </c>
      <c r="F16" s="17"/>
      <c r="G16" s="46" t="s">
        <v>57</v>
      </c>
      <c r="H16" s="46" t="s">
        <v>1578</v>
      </c>
      <c r="I16" s="207" t="s">
        <v>1600</v>
      </c>
      <c r="J16" s="46" t="s">
        <v>1959</v>
      </c>
      <c r="K16" s="46">
        <v>24</v>
      </c>
      <c r="L16" s="46" t="s">
        <v>1950</v>
      </c>
      <c r="M16" s="46">
        <v>4</v>
      </c>
      <c r="N16" s="46" t="s">
        <v>1957</v>
      </c>
      <c r="O16" s="46"/>
      <c r="P16" s="207" t="s">
        <v>1018</v>
      </c>
      <c r="Q16" s="46">
        <v>16</v>
      </c>
      <c r="R16" s="46">
        <v>0</v>
      </c>
      <c r="S16" s="46">
        <v>0</v>
      </c>
      <c r="T16" s="46">
        <v>0</v>
      </c>
      <c r="U16" s="208" t="s">
        <v>1960</v>
      </c>
      <c r="V16" s="47" t="s">
        <v>1937</v>
      </c>
      <c r="W16" s="47" t="s">
        <v>1961</v>
      </c>
      <c r="X16" s="47">
        <v>1</v>
      </c>
      <c r="Y16" s="48">
        <v>2047</v>
      </c>
      <c r="Z16" s="48">
        <v>600</v>
      </c>
      <c r="AA16" s="17"/>
      <c r="AB16" s="46" t="s">
        <v>317</v>
      </c>
      <c r="AC16" s="46">
        <v>1021</v>
      </c>
      <c r="AD16" s="46" t="s">
        <v>318</v>
      </c>
      <c r="AE16" s="46" t="s">
        <v>2890</v>
      </c>
      <c r="AF16" s="17"/>
      <c r="AG16" s="46"/>
      <c r="AH16" s="46">
        <v>1</v>
      </c>
      <c r="AI16" s="46"/>
      <c r="AJ16" s="52"/>
      <c r="AK16" s="45"/>
      <c r="AL16" s="46"/>
      <c r="AM16" s="46"/>
      <c r="AN16" s="46"/>
      <c r="AO16" s="17"/>
      <c r="AP16" s="49"/>
      <c r="AQ16" s="46"/>
      <c r="AR16" s="46"/>
      <c r="AS16" s="46"/>
      <c r="AT16" s="46"/>
      <c r="AU16" s="17"/>
      <c r="AV16" s="142" t="s">
        <v>1878</v>
      </c>
      <c r="AW16" s="205" t="s">
        <v>1991</v>
      </c>
      <c r="AX16" s="129" t="s">
        <v>1379</v>
      </c>
      <c r="AY16" s="203" t="s">
        <v>2891</v>
      </c>
      <c r="AZ16" s="127"/>
      <c r="BA16" s="142" t="s">
        <v>1880</v>
      </c>
      <c r="BB16" s="205" t="s">
        <v>1991</v>
      </c>
      <c r="BC16" s="129" t="s">
        <v>1383</v>
      </c>
      <c r="BD16" s="142" t="s">
        <v>2892</v>
      </c>
      <c r="BE16" s="117">
        <v>25</v>
      </c>
      <c r="BF16" s="206">
        <v>47</v>
      </c>
      <c r="BG16" s="127"/>
      <c r="BH16" s="52"/>
    </row>
    <row r="17" spans="1:60" ht="10.8" thickBot="1">
      <c r="A17" s="40"/>
      <c r="B17" s="45" t="s">
        <v>2887</v>
      </c>
      <c r="C17" s="46" t="s">
        <v>2887</v>
      </c>
      <c r="D17" s="46" t="s">
        <v>1585</v>
      </c>
      <c r="E17" s="46" t="s">
        <v>1590</v>
      </c>
      <c r="F17" s="17"/>
      <c r="G17" s="46" t="s">
        <v>57</v>
      </c>
      <c r="H17" s="46" t="s">
        <v>1576</v>
      </c>
      <c r="I17" s="207" t="s">
        <v>1605</v>
      </c>
      <c r="J17" s="46" t="s">
        <v>1959</v>
      </c>
      <c r="K17" s="46">
        <v>48</v>
      </c>
      <c r="L17" s="46" t="s">
        <v>1950</v>
      </c>
      <c r="M17" s="46">
        <v>4</v>
      </c>
      <c r="N17" s="46" t="s">
        <v>1957</v>
      </c>
      <c r="O17" s="46"/>
      <c r="P17" s="207" t="s">
        <v>1068</v>
      </c>
      <c r="Q17" s="46">
        <v>30</v>
      </c>
      <c r="R17" s="46">
        <v>0</v>
      </c>
      <c r="S17" s="46">
        <v>0</v>
      </c>
      <c r="T17" s="46">
        <v>0</v>
      </c>
      <c r="U17" s="208" t="s">
        <v>1960</v>
      </c>
      <c r="V17" s="47" t="s">
        <v>1937</v>
      </c>
      <c r="W17" s="47" t="s">
        <v>1961</v>
      </c>
      <c r="X17" s="47">
        <v>1</v>
      </c>
      <c r="Y17" s="48">
        <v>3412</v>
      </c>
      <c r="Z17" s="48">
        <v>1000</v>
      </c>
      <c r="AA17" s="17"/>
      <c r="AB17" s="46" t="s">
        <v>317</v>
      </c>
      <c r="AC17" s="46">
        <v>1021</v>
      </c>
      <c r="AD17" s="46" t="s">
        <v>318</v>
      </c>
      <c r="AE17" s="46" t="s">
        <v>2889</v>
      </c>
      <c r="AF17" s="17"/>
      <c r="AG17" s="46"/>
      <c r="AH17" s="46">
        <v>1</v>
      </c>
      <c r="AI17" s="46"/>
      <c r="AJ17" s="52"/>
      <c r="AK17" s="45"/>
      <c r="AL17" s="46"/>
      <c r="AM17" s="46"/>
      <c r="AN17" s="46"/>
      <c r="AO17" s="17"/>
      <c r="AP17" s="49"/>
      <c r="AQ17" s="46"/>
      <c r="AR17" s="46"/>
      <c r="AS17" s="46"/>
      <c r="AT17" s="46"/>
      <c r="AU17" s="17"/>
      <c r="AV17" s="142" t="s">
        <v>1878</v>
      </c>
      <c r="AW17" s="205" t="s">
        <v>1991</v>
      </c>
      <c r="AX17" s="129" t="s">
        <v>1371</v>
      </c>
      <c r="AY17" s="142" t="s">
        <v>2891</v>
      </c>
      <c r="AZ17" s="127"/>
      <c r="BA17" s="142" t="s">
        <v>1880</v>
      </c>
      <c r="BB17" s="205" t="s">
        <v>1991</v>
      </c>
      <c r="BC17" s="129" t="s">
        <v>1375</v>
      </c>
      <c r="BD17" s="142" t="s">
        <v>2892</v>
      </c>
      <c r="BE17" s="117">
        <v>48</v>
      </c>
      <c r="BF17" s="206">
        <v>47</v>
      </c>
      <c r="BG17" s="127"/>
      <c r="BH17" s="52"/>
    </row>
    <row r="18" spans="1:60">
      <c r="A18" s="40"/>
      <c r="B18" s="45" t="s">
        <v>991</v>
      </c>
      <c r="C18" s="46" t="s">
        <v>991</v>
      </c>
      <c r="D18" s="46" t="s">
        <v>1589</v>
      </c>
      <c r="E18" s="46" t="s">
        <v>1590</v>
      </c>
      <c r="F18" s="17"/>
      <c r="G18" s="46" t="s">
        <v>57</v>
      </c>
      <c r="H18" s="46" t="s">
        <v>1576</v>
      </c>
      <c r="I18" s="46" t="s">
        <v>1591</v>
      </c>
      <c r="J18" s="46" t="s">
        <v>1949</v>
      </c>
      <c r="K18" s="46">
        <v>24</v>
      </c>
      <c r="L18" s="46" t="s">
        <v>1950</v>
      </c>
      <c r="M18" s="46">
        <v>4</v>
      </c>
      <c r="N18" s="46" t="s">
        <v>1957</v>
      </c>
      <c r="O18" s="46" t="s">
        <v>78</v>
      </c>
      <c r="P18" s="46" t="s">
        <v>1321</v>
      </c>
      <c r="Q18" s="46">
        <v>51</v>
      </c>
      <c r="R18" s="46">
        <v>0</v>
      </c>
      <c r="S18" s="46">
        <v>0</v>
      </c>
      <c r="T18" s="46">
        <v>0</v>
      </c>
      <c r="U18" s="47" t="s">
        <v>1952</v>
      </c>
      <c r="V18" s="47" t="s">
        <v>1937</v>
      </c>
      <c r="W18" s="47" t="s">
        <v>1958</v>
      </c>
      <c r="X18" s="47">
        <v>2</v>
      </c>
      <c r="Y18" s="48">
        <v>1194</v>
      </c>
      <c r="Z18" s="48">
        <v>349.84199999999998</v>
      </c>
      <c r="AA18" s="17"/>
      <c r="AB18" s="46" t="s">
        <v>631</v>
      </c>
      <c r="AC18" s="46">
        <v>3176</v>
      </c>
      <c r="AD18" s="46" t="s">
        <v>632</v>
      </c>
      <c r="AE18" s="46" t="s">
        <v>1592</v>
      </c>
      <c r="AF18" s="17"/>
      <c r="AG18" s="46" t="s">
        <v>78</v>
      </c>
      <c r="AH18" s="46" t="s">
        <v>41</v>
      </c>
      <c r="AI18" s="46" t="s">
        <v>78</v>
      </c>
      <c r="AJ18" s="52"/>
      <c r="AK18" s="45"/>
      <c r="AL18" s="46" t="s">
        <v>78</v>
      </c>
      <c r="AM18" s="46" t="s">
        <v>78</v>
      </c>
      <c r="AN18" s="46" t="s">
        <v>78</v>
      </c>
      <c r="AO18" s="17"/>
      <c r="AP18" s="49" t="s">
        <v>78</v>
      </c>
      <c r="AQ18" s="46" t="s">
        <v>78</v>
      </c>
      <c r="AR18" s="46" t="s">
        <v>78</v>
      </c>
      <c r="AS18" s="46" t="s">
        <v>78</v>
      </c>
      <c r="AT18" s="46" t="s">
        <v>78</v>
      </c>
      <c r="AU18" s="17"/>
      <c r="AV18" s="142" t="s">
        <v>1878</v>
      </c>
      <c r="AW18" s="129" t="s">
        <v>1879</v>
      </c>
      <c r="AX18" s="129" t="s">
        <v>1004</v>
      </c>
      <c r="AY18" s="142" t="s">
        <v>1878</v>
      </c>
      <c r="AZ18" s="127"/>
      <c r="BA18" s="142" t="s">
        <v>1880</v>
      </c>
      <c r="BB18" s="129" t="s">
        <v>1879</v>
      </c>
      <c r="BC18" s="129" t="s">
        <v>1004</v>
      </c>
      <c r="BD18" s="142" t="s">
        <v>1880</v>
      </c>
      <c r="BE18" s="117">
        <v>25</v>
      </c>
      <c r="BF18" s="118">
        <v>1</v>
      </c>
      <c r="BG18" s="127"/>
      <c r="BH18" s="52"/>
    </row>
    <row r="19" spans="1:60">
      <c r="A19" s="40"/>
      <c r="B19" s="45" t="s">
        <v>1004</v>
      </c>
      <c r="C19" s="46" t="s">
        <v>1004</v>
      </c>
      <c r="D19" s="46" t="s">
        <v>1589</v>
      </c>
      <c r="E19" s="46" t="s">
        <v>1590</v>
      </c>
      <c r="F19" s="17"/>
      <c r="G19" s="46" t="s">
        <v>57</v>
      </c>
      <c r="H19" s="46" t="s">
        <v>1578</v>
      </c>
      <c r="I19" s="46" t="s">
        <v>1591</v>
      </c>
      <c r="J19" s="46" t="s">
        <v>1949</v>
      </c>
      <c r="K19" s="46">
        <v>24</v>
      </c>
      <c r="L19" s="46" t="s">
        <v>1950</v>
      </c>
      <c r="M19" s="46">
        <v>4</v>
      </c>
      <c r="N19" s="46" t="s">
        <v>1957</v>
      </c>
      <c r="O19" s="46" t="s">
        <v>78</v>
      </c>
      <c r="P19" s="46" t="s">
        <v>1328</v>
      </c>
      <c r="Q19" s="46">
        <v>52</v>
      </c>
      <c r="R19" s="46">
        <v>0</v>
      </c>
      <c r="S19" s="46">
        <v>0</v>
      </c>
      <c r="T19" s="46">
        <v>0</v>
      </c>
      <c r="U19" s="47" t="s">
        <v>1952</v>
      </c>
      <c r="V19" s="47" t="s">
        <v>1937</v>
      </c>
      <c r="W19" s="47" t="s">
        <v>1958</v>
      </c>
      <c r="X19" s="47">
        <v>2</v>
      </c>
      <c r="Y19" s="48">
        <v>1194</v>
      </c>
      <c r="Z19" s="48">
        <v>349.84199999999998</v>
      </c>
      <c r="AA19" s="17"/>
      <c r="AB19" s="46" t="s">
        <v>631</v>
      </c>
      <c r="AC19" s="46">
        <v>3176</v>
      </c>
      <c r="AD19" s="46" t="s">
        <v>632</v>
      </c>
      <c r="AE19" s="46" t="s">
        <v>1593</v>
      </c>
      <c r="AF19" s="17"/>
      <c r="AG19" s="46" t="s">
        <v>78</v>
      </c>
      <c r="AH19" s="46" t="s">
        <v>41</v>
      </c>
      <c r="AI19" s="46" t="s">
        <v>78</v>
      </c>
      <c r="AJ19" s="52"/>
      <c r="AK19" s="45"/>
      <c r="AL19" s="46" t="s">
        <v>78</v>
      </c>
      <c r="AM19" s="46" t="s">
        <v>78</v>
      </c>
      <c r="AN19" s="46" t="s">
        <v>78</v>
      </c>
      <c r="AO19" s="17"/>
      <c r="AP19" s="49" t="s">
        <v>78</v>
      </c>
      <c r="AQ19" s="46" t="s">
        <v>78</v>
      </c>
      <c r="AR19" s="46" t="s">
        <v>78</v>
      </c>
      <c r="AS19" s="46" t="s">
        <v>78</v>
      </c>
      <c r="AT19" s="46" t="s">
        <v>78</v>
      </c>
      <c r="AU19" s="17"/>
      <c r="AV19" s="142" t="s">
        <v>1878</v>
      </c>
      <c r="AW19" s="129" t="s">
        <v>1879</v>
      </c>
      <c r="AX19" s="129" t="s">
        <v>991</v>
      </c>
      <c r="AY19" s="142" t="s">
        <v>1878</v>
      </c>
      <c r="AZ19" s="127"/>
      <c r="BA19" s="142" t="s">
        <v>1880</v>
      </c>
      <c r="BB19" s="129" t="s">
        <v>1879</v>
      </c>
      <c r="BC19" s="129" t="s">
        <v>991</v>
      </c>
      <c r="BD19" s="142" t="s">
        <v>1880</v>
      </c>
      <c r="BE19" s="117">
        <v>25</v>
      </c>
      <c r="BF19" s="118">
        <v>1</v>
      </c>
      <c r="BG19" s="127"/>
      <c r="BH19" s="52"/>
    </row>
    <row r="20" spans="1:60">
      <c r="A20" s="40"/>
      <c r="B20" s="45" t="s">
        <v>982</v>
      </c>
      <c r="C20" s="46" t="s">
        <v>982</v>
      </c>
      <c r="D20" s="46" t="s">
        <v>1594</v>
      </c>
      <c r="E20" s="46" t="s">
        <v>1575</v>
      </c>
      <c r="F20" s="17"/>
      <c r="G20" s="46" t="s">
        <v>57</v>
      </c>
      <c r="H20" s="46" t="s">
        <v>1576</v>
      </c>
      <c r="I20" s="46" t="s">
        <v>1586</v>
      </c>
      <c r="J20" s="46" t="s">
        <v>1949</v>
      </c>
      <c r="K20" s="46">
        <v>48</v>
      </c>
      <c r="L20" s="46" t="s">
        <v>1950</v>
      </c>
      <c r="M20" s="46">
        <v>8</v>
      </c>
      <c r="N20" s="46" t="s">
        <v>1951</v>
      </c>
      <c r="O20" s="46" t="s">
        <v>78</v>
      </c>
      <c r="P20" s="46" t="s">
        <v>981</v>
      </c>
      <c r="Q20" s="46">
        <v>11</v>
      </c>
      <c r="R20" s="46">
        <v>0</v>
      </c>
      <c r="S20" s="46">
        <v>0</v>
      </c>
      <c r="T20" s="46">
        <v>0</v>
      </c>
      <c r="U20" s="47" t="s">
        <v>1952</v>
      </c>
      <c r="V20" s="47" t="s">
        <v>1937</v>
      </c>
      <c r="W20" s="47" t="s">
        <v>1953</v>
      </c>
      <c r="X20" s="47">
        <v>2</v>
      </c>
      <c r="Y20" s="48">
        <v>1194</v>
      </c>
      <c r="Z20" s="48">
        <v>349.84199999999998</v>
      </c>
      <c r="AA20" s="17"/>
      <c r="AB20" s="46" t="s">
        <v>317</v>
      </c>
      <c r="AC20" s="46">
        <v>1021</v>
      </c>
      <c r="AD20" s="46" t="s">
        <v>318</v>
      </c>
      <c r="AE20" s="46" t="s">
        <v>1595</v>
      </c>
      <c r="AF20" s="17"/>
      <c r="AG20" s="46" t="s">
        <v>78</v>
      </c>
      <c r="AH20" s="46" t="s">
        <v>41</v>
      </c>
      <c r="AI20" s="46" t="s">
        <v>78</v>
      </c>
      <c r="AJ20" s="52"/>
      <c r="AK20" s="45"/>
      <c r="AL20" s="46" t="s">
        <v>78</v>
      </c>
      <c r="AM20" s="46" t="s">
        <v>78</v>
      </c>
      <c r="AN20" s="46" t="s">
        <v>78</v>
      </c>
      <c r="AO20" s="17"/>
      <c r="AP20" s="49" t="s">
        <v>78</v>
      </c>
      <c r="AQ20" s="46" t="s">
        <v>78</v>
      </c>
      <c r="AR20" s="46" t="s">
        <v>78</v>
      </c>
      <c r="AS20" s="46" t="s">
        <v>78</v>
      </c>
      <c r="AT20" s="46" t="s">
        <v>78</v>
      </c>
      <c r="AU20" s="17"/>
      <c r="AV20" s="142" t="s">
        <v>1871</v>
      </c>
      <c r="AW20" s="122" t="s">
        <v>1872</v>
      </c>
      <c r="AX20" s="129" t="s">
        <v>1371</v>
      </c>
      <c r="AY20" s="142" t="s">
        <v>1881</v>
      </c>
      <c r="AZ20" s="127"/>
      <c r="BA20" s="142" t="s">
        <v>1882</v>
      </c>
      <c r="BB20" s="122" t="s">
        <v>1872</v>
      </c>
      <c r="BC20" s="129" t="s">
        <v>1375</v>
      </c>
      <c r="BD20" s="142" t="s">
        <v>1883</v>
      </c>
      <c r="BE20" s="117">
        <v>49</v>
      </c>
      <c r="BF20" s="118">
        <v>46</v>
      </c>
      <c r="BG20" s="127"/>
      <c r="BH20" s="52"/>
    </row>
    <row r="21" spans="1:60">
      <c r="A21" s="40"/>
      <c r="B21" s="45" t="s">
        <v>1001</v>
      </c>
      <c r="C21" s="46" t="s">
        <v>1001</v>
      </c>
      <c r="D21" s="46" t="s">
        <v>1594</v>
      </c>
      <c r="E21" s="46" t="s">
        <v>1575</v>
      </c>
      <c r="F21" s="17"/>
      <c r="G21" s="46" t="s">
        <v>57</v>
      </c>
      <c r="H21" s="46" t="s">
        <v>1578</v>
      </c>
      <c r="I21" s="46" t="s">
        <v>1586</v>
      </c>
      <c r="J21" s="46" t="s">
        <v>1949</v>
      </c>
      <c r="K21" s="46">
        <v>48</v>
      </c>
      <c r="L21" s="46" t="s">
        <v>1950</v>
      </c>
      <c r="M21" s="46">
        <v>8</v>
      </c>
      <c r="N21" s="46" t="s">
        <v>1951</v>
      </c>
      <c r="O21" s="46" t="s">
        <v>78</v>
      </c>
      <c r="P21" s="46" t="s">
        <v>1000</v>
      </c>
      <c r="Q21" s="46">
        <v>12</v>
      </c>
      <c r="R21" s="46">
        <v>0</v>
      </c>
      <c r="S21" s="46">
        <v>0</v>
      </c>
      <c r="T21" s="46">
        <v>0</v>
      </c>
      <c r="U21" s="47" t="s">
        <v>1952</v>
      </c>
      <c r="V21" s="47" t="s">
        <v>1937</v>
      </c>
      <c r="W21" s="47" t="s">
        <v>1953</v>
      </c>
      <c r="X21" s="47">
        <v>2</v>
      </c>
      <c r="Y21" s="48">
        <v>1194</v>
      </c>
      <c r="Z21" s="48">
        <v>349.84199999999998</v>
      </c>
      <c r="AA21" s="17"/>
      <c r="AB21" s="46" t="s">
        <v>317</v>
      </c>
      <c r="AC21" s="46">
        <v>1021</v>
      </c>
      <c r="AD21" s="46" t="s">
        <v>318</v>
      </c>
      <c r="AE21" s="46" t="s">
        <v>1596</v>
      </c>
      <c r="AF21" s="17"/>
      <c r="AG21" s="46" t="s">
        <v>78</v>
      </c>
      <c r="AH21" s="46" t="s">
        <v>41</v>
      </c>
      <c r="AI21" s="46" t="s">
        <v>78</v>
      </c>
      <c r="AJ21" s="52"/>
      <c r="AK21" s="45"/>
      <c r="AL21" s="46" t="s">
        <v>78</v>
      </c>
      <c r="AM21" s="46" t="s">
        <v>78</v>
      </c>
      <c r="AN21" s="46" t="s">
        <v>78</v>
      </c>
      <c r="AO21" s="17"/>
      <c r="AP21" s="49" t="s">
        <v>78</v>
      </c>
      <c r="AQ21" s="46" t="s">
        <v>78</v>
      </c>
      <c r="AR21" s="46" t="s">
        <v>78</v>
      </c>
      <c r="AS21" s="46" t="s">
        <v>78</v>
      </c>
      <c r="AT21" s="46" t="s">
        <v>78</v>
      </c>
      <c r="AU21" s="17"/>
      <c r="AV21" s="142" t="s">
        <v>1871</v>
      </c>
      <c r="AW21" s="122" t="s">
        <v>1872</v>
      </c>
      <c r="AX21" s="129" t="s">
        <v>1379</v>
      </c>
      <c r="AY21" s="142" t="s">
        <v>1881</v>
      </c>
      <c r="AZ21" s="127"/>
      <c r="BA21" s="142" t="s">
        <v>1882</v>
      </c>
      <c r="BB21" s="122" t="s">
        <v>1872</v>
      </c>
      <c r="BC21" s="129" t="s">
        <v>1383</v>
      </c>
      <c r="BD21" s="142" t="s">
        <v>1883</v>
      </c>
      <c r="BE21" s="117">
        <v>49</v>
      </c>
      <c r="BF21" s="118">
        <v>46</v>
      </c>
      <c r="BG21" s="127"/>
      <c r="BH21" s="52"/>
    </row>
    <row r="22" spans="1:60">
      <c r="A22" s="40"/>
      <c r="B22" s="45" t="s">
        <v>1021</v>
      </c>
      <c r="C22" s="46" t="s">
        <v>1021</v>
      </c>
      <c r="D22" s="46" t="s">
        <v>1598</v>
      </c>
      <c r="E22" s="46" t="s">
        <v>1590</v>
      </c>
      <c r="F22" s="17"/>
      <c r="G22" s="46" t="s">
        <v>57</v>
      </c>
      <c r="H22" s="46" t="s">
        <v>1599</v>
      </c>
      <c r="I22" s="46" t="s">
        <v>1600</v>
      </c>
      <c r="J22" s="46" t="s">
        <v>1959</v>
      </c>
      <c r="K22" s="46">
        <v>24</v>
      </c>
      <c r="L22" s="46" t="s">
        <v>1950</v>
      </c>
      <c r="M22" s="46">
        <v>4</v>
      </c>
      <c r="N22" s="46" t="s">
        <v>1957</v>
      </c>
      <c r="O22" s="46" t="s">
        <v>78</v>
      </c>
      <c r="P22" s="46" t="s">
        <v>1020</v>
      </c>
      <c r="Q22" s="46">
        <v>17</v>
      </c>
      <c r="R22" s="46">
        <v>0</v>
      </c>
      <c r="S22" s="46">
        <v>0</v>
      </c>
      <c r="T22" s="46">
        <v>0</v>
      </c>
      <c r="U22" s="47" t="s">
        <v>1960</v>
      </c>
      <c r="V22" s="47" t="s">
        <v>1937</v>
      </c>
      <c r="W22" s="47" t="s">
        <v>1961</v>
      </c>
      <c r="X22" s="47">
        <v>1</v>
      </c>
      <c r="Y22" s="48">
        <v>2047.3</v>
      </c>
      <c r="Z22" s="48">
        <v>599.85889999999995</v>
      </c>
      <c r="AA22" s="17"/>
      <c r="AB22" s="46" t="s">
        <v>317</v>
      </c>
      <c r="AC22" s="46">
        <v>1021</v>
      </c>
      <c r="AD22" s="46" t="s">
        <v>318</v>
      </c>
      <c r="AE22" s="46" t="s">
        <v>1601</v>
      </c>
      <c r="AF22" s="17"/>
      <c r="AG22" s="46" t="s">
        <v>78</v>
      </c>
      <c r="AH22" s="46" t="s">
        <v>41</v>
      </c>
      <c r="AI22" s="46" t="s">
        <v>78</v>
      </c>
      <c r="AJ22" s="52"/>
      <c r="AK22" s="45"/>
      <c r="AL22" s="46" t="s">
        <v>78</v>
      </c>
      <c r="AM22" s="46" t="s">
        <v>78</v>
      </c>
      <c r="AN22" s="46" t="s">
        <v>78</v>
      </c>
      <c r="AO22" s="17"/>
      <c r="AP22" s="49" t="s">
        <v>78</v>
      </c>
      <c r="AQ22" s="46" t="s">
        <v>78</v>
      </c>
      <c r="AR22" s="46" t="s">
        <v>78</v>
      </c>
      <c r="AS22" s="46" t="s">
        <v>78</v>
      </c>
      <c r="AT22" s="46" t="s">
        <v>78</v>
      </c>
      <c r="AU22" s="17"/>
      <c r="AV22" s="142" t="s">
        <v>1878</v>
      </c>
      <c r="AW22" s="122" t="s">
        <v>1884</v>
      </c>
      <c r="AX22" s="129" t="s">
        <v>1387</v>
      </c>
      <c r="AY22" s="142" t="s">
        <v>1885</v>
      </c>
      <c r="AZ22" s="127"/>
      <c r="BA22" s="142" t="s">
        <v>1880</v>
      </c>
      <c r="BB22" s="122" t="s">
        <v>1884</v>
      </c>
      <c r="BC22" s="129" t="s">
        <v>1391</v>
      </c>
      <c r="BD22" s="142" t="s">
        <v>1886</v>
      </c>
      <c r="BE22" s="117">
        <v>1</v>
      </c>
      <c r="BF22" s="118">
        <v>1</v>
      </c>
      <c r="BG22" s="127"/>
      <c r="BH22" s="52"/>
    </row>
    <row r="23" spans="1:60">
      <c r="A23" s="40"/>
      <c r="B23" s="45" t="s">
        <v>1026</v>
      </c>
      <c r="C23" s="46" t="s">
        <v>1026</v>
      </c>
      <c r="D23" s="46" t="s">
        <v>1598</v>
      </c>
      <c r="E23" s="46" t="s">
        <v>1590</v>
      </c>
      <c r="F23" s="17"/>
      <c r="G23" s="46" t="s">
        <v>57</v>
      </c>
      <c r="H23" s="46" t="s">
        <v>1602</v>
      </c>
      <c r="I23" s="46" t="s">
        <v>1600</v>
      </c>
      <c r="J23" s="46" t="s">
        <v>1959</v>
      </c>
      <c r="K23" s="46">
        <v>24</v>
      </c>
      <c r="L23" s="46" t="s">
        <v>1950</v>
      </c>
      <c r="M23" s="46">
        <v>4</v>
      </c>
      <c r="N23" s="46" t="s">
        <v>1957</v>
      </c>
      <c r="O23" s="46" t="s">
        <v>78</v>
      </c>
      <c r="P23" s="46" t="s">
        <v>1025</v>
      </c>
      <c r="Q23" s="46">
        <v>18</v>
      </c>
      <c r="R23" s="46">
        <v>0</v>
      </c>
      <c r="S23" s="46">
        <v>0</v>
      </c>
      <c r="T23" s="46">
        <v>0</v>
      </c>
      <c r="U23" s="47" t="s">
        <v>1960</v>
      </c>
      <c r="V23" s="47" t="s">
        <v>1937</v>
      </c>
      <c r="W23" s="47" t="s">
        <v>1961</v>
      </c>
      <c r="X23" s="47">
        <v>1</v>
      </c>
      <c r="Y23" s="48">
        <v>2047.3</v>
      </c>
      <c r="Z23" s="48">
        <v>599.85889999999995</v>
      </c>
      <c r="AA23" s="17"/>
      <c r="AB23" s="46" t="s">
        <v>317</v>
      </c>
      <c r="AC23" s="46">
        <v>1021</v>
      </c>
      <c r="AD23" s="46" t="s">
        <v>318</v>
      </c>
      <c r="AE23" s="46" t="s">
        <v>1603</v>
      </c>
      <c r="AF23" s="17"/>
      <c r="AG23" s="46" t="s">
        <v>78</v>
      </c>
      <c r="AH23" s="46" t="s">
        <v>41</v>
      </c>
      <c r="AI23" s="46" t="s">
        <v>78</v>
      </c>
      <c r="AJ23" s="52"/>
      <c r="AK23" s="45"/>
      <c r="AL23" s="46" t="s">
        <v>78</v>
      </c>
      <c r="AM23" s="46" t="s">
        <v>78</v>
      </c>
      <c r="AN23" s="46" t="s">
        <v>78</v>
      </c>
      <c r="AO23" s="17"/>
      <c r="AP23" s="49" t="s">
        <v>78</v>
      </c>
      <c r="AQ23" s="46" t="s">
        <v>78</v>
      </c>
      <c r="AR23" s="46" t="s">
        <v>78</v>
      </c>
      <c r="AS23" s="46" t="s">
        <v>78</v>
      </c>
      <c r="AT23" s="46" t="s">
        <v>78</v>
      </c>
      <c r="AU23" s="17"/>
      <c r="AV23" s="142" t="s">
        <v>1878</v>
      </c>
      <c r="AW23" s="122" t="s">
        <v>1884</v>
      </c>
      <c r="AX23" s="129" t="s">
        <v>1387</v>
      </c>
      <c r="AY23" s="142" t="s">
        <v>1887</v>
      </c>
      <c r="AZ23" s="127"/>
      <c r="BA23" s="142" t="s">
        <v>1880</v>
      </c>
      <c r="BB23" s="122" t="s">
        <v>1884</v>
      </c>
      <c r="BC23" s="129" t="s">
        <v>1391</v>
      </c>
      <c r="BD23" s="142" t="s">
        <v>1888</v>
      </c>
      <c r="BE23" s="117">
        <v>1</v>
      </c>
      <c r="BF23" s="118">
        <v>2</v>
      </c>
      <c r="BG23" s="127"/>
      <c r="BH23" s="52"/>
    </row>
    <row r="24" spans="1:60">
      <c r="A24" s="40"/>
      <c r="B24" s="45" t="s">
        <v>1285</v>
      </c>
      <c r="C24" s="46" t="s">
        <v>1962</v>
      </c>
      <c r="D24" s="46" t="s">
        <v>1598</v>
      </c>
      <c r="E24" s="46" t="s">
        <v>1590</v>
      </c>
      <c r="F24" s="17"/>
      <c r="G24" s="46" t="s">
        <v>57</v>
      </c>
      <c r="H24" s="46" t="s">
        <v>1604</v>
      </c>
      <c r="I24" s="46" t="s">
        <v>1605</v>
      </c>
      <c r="J24" s="46" t="s">
        <v>1959</v>
      </c>
      <c r="K24" s="46">
        <v>48</v>
      </c>
      <c r="L24" s="46" t="s">
        <v>1950</v>
      </c>
      <c r="M24" s="46">
        <v>4</v>
      </c>
      <c r="N24" s="46" t="s">
        <v>1957</v>
      </c>
      <c r="O24" s="46" t="s">
        <v>1935</v>
      </c>
      <c r="P24" s="46" t="s">
        <v>1284</v>
      </c>
      <c r="Q24" s="46">
        <v>47</v>
      </c>
      <c r="R24" s="46">
        <v>0</v>
      </c>
      <c r="S24" s="46">
        <v>0</v>
      </c>
      <c r="T24" s="46">
        <v>0</v>
      </c>
      <c r="U24" s="47" t="s">
        <v>1960</v>
      </c>
      <c r="V24" s="47" t="s">
        <v>1937</v>
      </c>
      <c r="W24" s="47" t="s">
        <v>1961</v>
      </c>
      <c r="X24" s="47">
        <v>1</v>
      </c>
      <c r="Y24" s="48">
        <v>3412</v>
      </c>
      <c r="Z24" s="48">
        <v>999.71600000000001</v>
      </c>
      <c r="AA24" s="17"/>
      <c r="AB24" s="46" t="s">
        <v>317</v>
      </c>
      <c r="AC24" s="46">
        <v>1021</v>
      </c>
      <c r="AD24" s="46" t="s">
        <v>318</v>
      </c>
      <c r="AE24" s="46" t="s">
        <v>1606</v>
      </c>
      <c r="AF24" s="17"/>
      <c r="AG24" s="46" t="s">
        <v>1962</v>
      </c>
      <c r="AH24" s="46" t="s">
        <v>41</v>
      </c>
      <c r="AI24" s="46">
        <v>2</v>
      </c>
      <c r="AJ24" s="52" t="s">
        <v>1869</v>
      </c>
      <c r="AK24" s="45" t="s">
        <v>1870</v>
      </c>
      <c r="AL24" s="46">
        <v>2</v>
      </c>
      <c r="AM24" s="46" t="s">
        <v>1302</v>
      </c>
      <c r="AN24" s="46" t="s">
        <v>1954</v>
      </c>
      <c r="AO24" s="17"/>
      <c r="AP24" s="49" t="s">
        <v>1955</v>
      </c>
      <c r="AQ24" s="46" t="s">
        <v>1870</v>
      </c>
      <c r="AR24" s="46">
        <v>2</v>
      </c>
      <c r="AS24" s="46" t="s">
        <v>1302</v>
      </c>
      <c r="AT24" s="46" t="s">
        <v>1874</v>
      </c>
      <c r="AU24" s="17"/>
      <c r="AV24" s="142" t="s">
        <v>1878</v>
      </c>
      <c r="AW24" s="122" t="s">
        <v>1884</v>
      </c>
      <c r="AX24" s="129" t="s">
        <v>1387</v>
      </c>
      <c r="AY24" s="142" t="s">
        <v>1889</v>
      </c>
      <c r="AZ24" s="127"/>
      <c r="BA24" s="142"/>
      <c r="BB24" s="122"/>
      <c r="BC24" s="129"/>
      <c r="BD24" s="142"/>
      <c r="BE24" s="117">
        <v>1</v>
      </c>
      <c r="BF24" s="118">
        <v>3</v>
      </c>
      <c r="BG24" s="127"/>
      <c r="BH24" s="52"/>
    </row>
    <row r="25" spans="1:60">
      <c r="A25" s="40"/>
      <c r="B25" s="45" t="s">
        <v>1302</v>
      </c>
      <c r="C25" s="46" t="s">
        <v>1962</v>
      </c>
      <c r="D25" s="46" t="s">
        <v>1598</v>
      </c>
      <c r="E25" s="46" t="s">
        <v>1590</v>
      </c>
      <c r="F25" s="17"/>
      <c r="G25" s="46" t="s">
        <v>57</v>
      </c>
      <c r="H25" s="46" t="s">
        <v>1604</v>
      </c>
      <c r="I25" s="46" t="s">
        <v>1605</v>
      </c>
      <c r="J25" s="46" t="s">
        <v>1959</v>
      </c>
      <c r="K25" s="46">
        <v>48</v>
      </c>
      <c r="L25" s="46" t="s">
        <v>1950</v>
      </c>
      <c r="M25" s="46">
        <v>4</v>
      </c>
      <c r="N25" s="46" t="s">
        <v>1957</v>
      </c>
      <c r="O25" s="46" t="s">
        <v>1935</v>
      </c>
      <c r="P25" s="46" t="s">
        <v>1301</v>
      </c>
      <c r="Q25" s="46">
        <v>49</v>
      </c>
      <c r="R25" s="46">
        <v>0</v>
      </c>
      <c r="S25" s="46">
        <v>0</v>
      </c>
      <c r="T25" s="46">
        <v>0</v>
      </c>
      <c r="U25" s="47" t="s">
        <v>1960</v>
      </c>
      <c r="V25" s="47" t="s">
        <v>1937</v>
      </c>
      <c r="W25" s="47" t="s">
        <v>1961</v>
      </c>
      <c r="X25" s="47">
        <v>1</v>
      </c>
      <c r="Y25" s="48">
        <v>3412</v>
      </c>
      <c r="Z25" s="48">
        <v>999.71600000000001</v>
      </c>
      <c r="AA25" s="17"/>
      <c r="AB25" s="46" t="s">
        <v>317</v>
      </c>
      <c r="AC25" s="46">
        <v>1021</v>
      </c>
      <c r="AD25" s="46" t="s">
        <v>318</v>
      </c>
      <c r="AE25" s="46" t="s">
        <v>1606</v>
      </c>
      <c r="AF25" s="17"/>
      <c r="AG25" s="46" t="s">
        <v>1962</v>
      </c>
      <c r="AH25" s="46" t="s">
        <v>1696</v>
      </c>
      <c r="AI25" s="46">
        <v>2</v>
      </c>
      <c r="AJ25" s="52" t="s">
        <v>1874</v>
      </c>
      <c r="AK25" s="45" t="s">
        <v>1870</v>
      </c>
      <c r="AL25" s="46">
        <v>1</v>
      </c>
      <c r="AM25" s="46" t="s">
        <v>1285</v>
      </c>
      <c r="AN25" s="46" t="s">
        <v>1955</v>
      </c>
      <c r="AO25" s="17"/>
      <c r="AP25" s="49" t="s">
        <v>1954</v>
      </c>
      <c r="AQ25" s="46" t="s">
        <v>1870</v>
      </c>
      <c r="AR25" s="46">
        <v>1</v>
      </c>
      <c r="AS25" s="46" t="s">
        <v>1285</v>
      </c>
      <c r="AT25" s="46" t="s">
        <v>1869</v>
      </c>
      <c r="AU25" s="17"/>
      <c r="AV25" s="142"/>
      <c r="AW25" s="122"/>
      <c r="AX25" s="129"/>
      <c r="AY25" s="142"/>
      <c r="AZ25" s="127"/>
      <c r="BA25" s="142" t="s">
        <v>1890</v>
      </c>
      <c r="BB25" s="122" t="s">
        <v>1884</v>
      </c>
      <c r="BC25" s="129" t="s">
        <v>1391</v>
      </c>
      <c r="BD25" s="142" t="s">
        <v>1891</v>
      </c>
      <c r="BE25" s="117">
        <v>1</v>
      </c>
      <c r="BF25" s="118">
        <v>3</v>
      </c>
      <c r="BG25" s="127"/>
      <c r="BH25" s="52"/>
    </row>
    <row r="26" spans="1:60">
      <c r="A26" s="40"/>
      <c r="B26" s="45" t="s">
        <v>1478</v>
      </c>
      <c r="C26" s="46" t="s">
        <v>1478</v>
      </c>
      <c r="D26" s="46" t="s">
        <v>1598</v>
      </c>
      <c r="E26" s="46" t="s">
        <v>1607</v>
      </c>
      <c r="F26" s="17"/>
      <c r="G26" s="46" t="s">
        <v>57</v>
      </c>
      <c r="H26" s="46" t="s">
        <v>1608</v>
      </c>
      <c r="I26" s="46" t="s">
        <v>1605</v>
      </c>
      <c r="J26" s="46" t="s">
        <v>1959</v>
      </c>
      <c r="K26" s="46">
        <v>48</v>
      </c>
      <c r="L26" s="46" t="s">
        <v>1950</v>
      </c>
      <c r="M26" s="46">
        <v>4</v>
      </c>
      <c r="N26" s="46" t="s">
        <v>1957</v>
      </c>
      <c r="O26" s="46" t="s">
        <v>78</v>
      </c>
      <c r="P26" s="46" t="s">
        <v>1477</v>
      </c>
      <c r="Q26" s="46">
        <v>75</v>
      </c>
      <c r="R26" s="46">
        <v>0</v>
      </c>
      <c r="S26" s="46">
        <v>0</v>
      </c>
      <c r="T26" s="46">
        <v>0</v>
      </c>
      <c r="U26" s="47" t="s">
        <v>1960</v>
      </c>
      <c r="V26" s="47" t="s">
        <v>1937</v>
      </c>
      <c r="W26" s="47" t="s">
        <v>1961</v>
      </c>
      <c r="X26" s="47">
        <v>1</v>
      </c>
      <c r="Y26" s="48">
        <v>3412</v>
      </c>
      <c r="Z26" s="48">
        <v>999.71600000000001</v>
      </c>
      <c r="AA26" s="17"/>
      <c r="AB26" s="46" t="s">
        <v>317</v>
      </c>
      <c r="AC26" s="46">
        <v>1021</v>
      </c>
      <c r="AD26" s="46" t="s">
        <v>318</v>
      </c>
      <c r="AE26" s="46" t="s">
        <v>1609</v>
      </c>
      <c r="AF26" s="17"/>
      <c r="AG26" s="46" t="s">
        <v>78</v>
      </c>
      <c r="AH26" s="46" t="s">
        <v>41</v>
      </c>
      <c r="AI26" s="46" t="s">
        <v>78</v>
      </c>
      <c r="AJ26" s="52"/>
      <c r="AK26" s="45"/>
      <c r="AL26" s="46" t="s">
        <v>78</v>
      </c>
      <c r="AM26" s="46" t="s">
        <v>78</v>
      </c>
      <c r="AN26" s="46" t="s">
        <v>78</v>
      </c>
      <c r="AO26" s="17"/>
      <c r="AP26" s="49" t="s">
        <v>78</v>
      </c>
      <c r="AQ26" s="46" t="s">
        <v>78</v>
      </c>
      <c r="AR26" s="46" t="s">
        <v>78</v>
      </c>
      <c r="AS26" s="46" t="s">
        <v>78</v>
      </c>
      <c r="AT26" s="46" t="s">
        <v>78</v>
      </c>
      <c r="AU26" s="17"/>
      <c r="AV26" s="142" t="s">
        <v>1878</v>
      </c>
      <c r="AW26" s="122" t="s">
        <v>1884</v>
      </c>
      <c r="AX26" s="129" t="s">
        <v>1387</v>
      </c>
      <c r="AY26" s="142" t="s">
        <v>1892</v>
      </c>
      <c r="AZ26" s="127"/>
      <c r="BA26" s="142" t="s">
        <v>1880</v>
      </c>
      <c r="BB26" s="122" t="s">
        <v>1884</v>
      </c>
      <c r="BC26" s="129" t="s">
        <v>1391</v>
      </c>
      <c r="BD26" s="142" t="s">
        <v>1893</v>
      </c>
      <c r="BE26" s="117">
        <v>1</v>
      </c>
      <c r="BF26" s="118">
        <v>4</v>
      </c>
      <c r="BG26" s="127"/>
      <c r="BH26" s="52"/>
    </row>
    <row r="27" spans="1:60">
      <c r="A27" s="40"/>
      <c r="B27" s="45" t="s">
        <v>1029</v>
      </c>
      <c r="C27" s="46" t="s">
        <v>1029</v>
      </c>
      <c r="D27" s="46" t="s">
        <v>1598</v>
      </c>
      <c r="E27" s="46" t="s">
        <v>1590</v>
      </c>
      <c r="F27" s="17"/>
      <c r="G27" s="46" t="s">
        <v>57</v>
      </c>
      <c r="H27" s="46" t="s">
        <v>1610</v>
      </c>
      <c r="I27" s="46" t="s">
        <v>1600</v>
      </c>
      <c r="J27" s="46" t="s">
        <v>1959</v>
      </c>
      <c r="K27" s="46">
        <v>24</v>
      </c>
      <c r="L27" s="46" t="s">
        <v>1950</v>
      </c>
      <c r="M27" s="46">
        <v>4</v>
      </c>
      <c r="N27" s="46" t="s">
        <v>1957</v>
      </c>
      <c r="O27" s="46" t="s">
        <v>78</v>
      </c>
      <c r="P27" s="46" t="s">
        <v>1028</v>
      </c>
      <c r="Q27" s="46">
        <v>19</v>
      </c>
      <c r="R27" s="46">
        <v>0</v>
      </c>
      <c r="S27" s="46">
        <v>0</v>
      </c>
      <c r="T27" s="46">
        <v>0</v>
      </c>
      <c r="U27" s="47" t="s">
        <v>1960</v>
      </c>
      <c r="V27" s="47" t="s">
        <v>1937</v>
      </c>
      <c r="W27" s="47" t="s">
        <v>1961</v>
      </c>
      <c r="X27" s="47">
        <v>1</v>
      </c>
      <c r="Y27" s="48">
        <v>2047.3</v>
      </c>
      <c r="Z27" s="48">
        <v>599.85889999999995</v>
      </c>
      <c r="AA27" s="17"/>
      <c r="AB27" s="46" t="s">
        <v>317</v>
      </c>
      <c r="AC27" s="46">
        <v>1021</v>
      </c>
      <c r="AD27" s="46" t="s">
        <v>318</v>
      </c>
      <c r="AE27" s="46" t="s">
        <v>1611</v>
      </c>
      <c r="AF27" s="17"/>
      <c r="AG27" s="46" t="s">
        <v>78</v>
      </c>
      <c r="AH27" s="46" t="s">
        <v>41</v>
      </c>
      <c r="AI27" s="46" t="s">
        <v>78</v>
      </c>
      <c r="AJ27" s="52"/>
      <c r="AK27" s="45"/>
      <c r="AL27" s="46" t="s">
        <v>78</v>
      </c>
      <c r="AM27" s="46" t="s">
        <v>78</v>
      </c>
      <c r="AN27" s="46" t="s">
        <v>78</v>
      </c>
      <c r="AO27" s="17"/>
      <c r="AP27" s="49" t="s">
        <v>78</v>
      </c>
      <c r="AQ27" s="46" t="s">
        <v>78</v>
      </c>
      <c r="AR27" s="46" t="s">
        <v>78</v>
      </c>
      <c r="AS27" s="46" t="s">
        <v>78</v>
      </c>
      <c r="AT27" s="46" t="s">
        <v>78</v>
      </c>
      <c r="AU27" s="17"/>
      <c r="AV27" s="142" t="s">
        <v>1878</v>
      </c>
      <c r="AW27" s="122" t="s">
        <v>1884</v>
      </c>
      <c r="AX27" s="129" t="s">
        <v>1387</v>
      </c>
      <c r="AY27" s="142" t="s">
        <v>1894</v>
      </c>
      <c r="AZ27" s="127"/>
      <c r="BA27" s="142" t="s">
        <v>1880</v>
      </c>
      <c r="BB27" s="122" t="s">
        <v>1884</v>
      </c>
      <c r="BC27" s="129" t="s">
        <v>1391</v>
      </c>
      <c r="BD27" s="142" t="s">
        <v>1895</v>
      </c>
      <c r="BE27" s="117">
        <v>1</v>
      </c>
      <c r="BF27" s="118">
        <v>5</v>
      </c>
      <c r="BG27" s="127"/>
      <c r="BH27" s="52"/>
    </row>
    <row r="28" spans="1:60">
      <c r="A28" s="40"/>
      <c r="B28" s="55" t="s">
        <v>1295</v>
      </c>
      <c r="C28" s="46" t="s">
        <v>1964</v>
      </c>
      <c r="D28" s="46" t="s">
        <v>1598</v>
      </c>
      <c r="E28" s="46" t="s">
        <v>1607</v>
      </c>
      <c r="F28" s="17"/>
      <c r="G28" s="46" t="s">
        <v>57</v>
      </c>
      <c r="H28" s="46" t="s">
        <v>1612</v>
      </c>
      <c r="I28" s="46" t="s">
        <v>1605</v>
      </c>
      <c r="J28" s="46" t="s">
        <v>1959</v>
      </c>
      <c r="K28" s="46">
        <v>48</v>
      </c>
      <c r="L28" s="46" t="s">
        <v>1950</v>
      </c>
      <c r="M28" s="46">
        <v>4</v>
      </c>
      <c r="N28" s="46" t="s">
        <v>1957</v>
      </c>
      <c r="O28" s="46" t="s">
        <v>1935</v>
      </c>
      <c r="P28" s="46" t="s">
        <v>1294</v>
      </c>
      <c r="Q28" s="46">
        <v>48</v>
      </c>
      <c r="R28" s="46">
        <v>0</v>
      </c>
      <c r="S28" s="46">
        <v>0</v>
      </c>
      <c r="T28" s="46">
        <v>0</v>
      </c>
      <c r="U28" s="47" t="s">
        <v>1960</v>
      </c>
      <c r="V28" s="47" t="s">
        <v>1937</v>
      </c>
      <c r="W28" s="47" t="s">
        <v>1961</v>
      </c>
      <c r="X28" s="47">
        <v>1</v>
      </c>
      <c r="Y28" s="48">
        <v>3412</v>
      </c>
      <c r="Z28" s="48">
        <v>999.71600000000001</v>
      </c>
      <c r="AA28" s="17"/>
      <c r="AB28" s="46" t="s">
        <v>317</v>
      </c>
      <c r="AC28" s="46">
        <v>1021</v>
      </c>
      <c r="AD28" s="46" t="s">
        <v>318</v>
      </c>
      <c r="AE28" s="46" t="s">
        <v>1613</v>
      </c>
      <c r="AF28" s="17"/>
      <c r="AG28" s="46" t="s">
        <v>1964</v>
      </c>
      <c r="AH28" s="46" t="s">
        <v>41</v>
      </c>
      <c r="AI28" s="46">
        <v>2</v>
      </c>
      <c r="AJ28" s="52" t="s">
        <v>1869</v>
      </c>
      <c r="AK28" s="45" t="s">
        <v>1870</v>
      </c>
      <c r="AL28" s="46">
        <v>2</v>
      </c>
      <c r="AM28" s="46" t="s">
        <v>1485</v>
      </c>
      <c r="AN28" s="46" t="s">
        <v>1954</v>
      </c>
      <c r="AO28" s="17"/>
      <c r="AP28" s="49" t="s">
        <v>1955</v>
      </c>
      <c r="AQ28" s="46" t="s">
        <v>1870</v>
      </c>
      <c r="AR28" s="46">
        <v>2</v>
      </c>
      <c r="AS28" s="46" t="s">
        <v>1485</v>
      </c>
      <c r="AT28" s="46" t="s">
        <v>1874</v>
      </c>
      <c r="AU28" s="17"/>
      <c r="AV28" s="142" t="s">
        <v>1878</v>
      </c>
      <c r="AW28" s="122" t="s">
        <v>1884</v>
      </c>
      <c r="AX28" s="129" t="s">
        <v>1387</v>
      </c>
      <c r="AY28" s="142" t="s">
        <v>1896</v>
      </c>
      <c r="AZ28" s="127"/>
      <c r="BA28" s="142"/>
      <c r="BB28" s="122"/>
      <c r="BC28" s="129"/>
      <c r="BD28" s="142"/>
      <c r="BE28" s="117">
        <v>1</v>
      </c>
      <c r="BF28" s="118">
        <v>6</v>
      </c>
      <c r="BG28" s="127"/>
      <c r="BH28" s="52"/>
    </row>
    <row r="29" spans="1:60">
      <c r="A29" s="40"/>
      <c r="B29" s="45" t="s">
        <v>1485</v>
      </c>
      <c r="C29" s="46" t="s">
        <v>1964</v>
      </c>
      <c r="D29" s="46" t="s">
        <v>1598</v>
      </c>
      <c r="E29" s="46" t="s">
        <v>1607</v>
      </c>
      <c r="F29" s="17"/>
      <c r="G29" s="46" t="s">
        <v>57</v>
      </c>
      <c r="H29" s="46" t="s">
        <v>1612</v>
      </c>
      <c r="I29" s="46" t="s">
        <v>1605</v>
      </c>
      <c r="J29" s="46" t="s">
        <v>1959</v>
      </c>
      <c r="K29" s="46">
        <v>48</v>
      </c>
      <c r="L29" s="46" t="s">
        <v>1950</v>
      </c>
      <c r="M29" s="46">
        <v>4</v>
      </c>
      <c r="N29" s="46" t="s">
        <v>1957</v>
      </c>
      <c r="O29" s="46" t="s">
        <v>1935</v>
      </c>
      <c r="P29" s="46" t="s">
        <v>1484</v>
      </c>
      <c r="Q29" s="46">
        <v>76</v>
      </c>
      <c r="R29" s="46">
        <v>0</v>
      </c>
      <c r="S29" s="46">
        <v>0</v>
      </c>
      <c r="T29" s="46">
        <v>0</v>
      </c>
      <c r="U29" s="47" t="s">
        <v>1960</v>
      </c>
      <c r="V29" s="47" t="s">
        <v>1937</v>
      </c>
      <c r="W29" s="47" t="s">
        <v>1961</v>
      </c>
      <c r="X29" s="47">
        <v>1</v>
      </c>
      <c r="Y29" s="48">
        <v>3412</v>
      </c>
      <c r="Z29" s="48">
        <v>999.71600000000001</v>
      </c>
      <c r="AA29" s="17"/>
      <c r="AB29" s="46" t="s">
        <v>317</v>
      </c>
      <c r="AC29" s="46">
        <v>1021</v>
      </c>
      <c r="AD29" s="46" t="s">
        <v>318</v>
      </c>
      <c r="AE29" s="46" t="s">
        <v>1613</v>
      </c>
      <c r="AF29" s="17"/>
      <c r="AG29" s="46" t="s">
        <v>1964</v>
      </c>
      <c r="AH29" s="46" t="s">
        <v>1696</v>
      </c>
      <c r="AI29" s="46">
        <v>2</v>
      </c>
      <c r="AJ29" s="52" t="s">
        <v>1874</v>
      </c>
      <c r="AK29" s="45" t="s">
        <v>1870</v>
      </c>
      <c r="AL29" s="46">
        <v>1</v>
      </c>
      <c r="AM29" s="46" t="s">
        <v>1295</v>
      </c>
      <c r="AN29" s="46" t="s">
        <v>1955</v>
      </c>
      <c r="AO29" s="17"/>
      <c r="AP29" s="49" t="s">
        <v>1954</v>
      </c>
      <c r="AQ29" s="46" t="s">
        <v>1870</v>
      </c>
      <c r="AR29" s="46">
        <v>1</v>
      </c>
      <c r="AS29" s="46" t="s">
        <v>1295</v>
      </c>
      <c r="AT29" s="46" t="s">
        <v>1869</v>
      </c>
      <c r="AU29" s="17"/>
      <c r="AV29" s="142"/>
      <c r="AW29" s="122"/>
      <c r="AX29" s="129"/>
      <c r="AY29" s="142"/>
      <c r="AZ29" s="127"/>
      <c r="BA29" s="142" t="s">
        <v>1890</v>
      </c>
      <c r="BB29" s="122" t="s">
        <v>1884</v>
      </c>
      <c r="BC29" s="129" t="s">
        <v>1391</v>
      </c>
      <c r="BD29" s="142" t="s">
        <v>1897</v>
      </c>
      <c r="BE29" s="117">
        <v>1</v>
      </c>
      <c r="BF29" s="118">
        <v>6</v>
      </c>
      <c r="BG29" s="127"/>
      <c r="BH29" s="52"/>
    </row>
    <row r="30" spans="1:60">
      <c r="A30" s="40"/>
      <c r="B30" s="45" t="s">
        <v>1032</v>
      </c>
      <c r="C30" s="46" t="s">
        <v>1032</v>
      </c>
      <c r="D30" s="46" t="s">
        <v>1598</v>
      </c>
      <c r="E30" s="46" t="s">
        <v>1590</v>
      </c>
      <c r="F30" s="17"/>
      <c r="G30" s="46" t="s">
        <v>57</v>
      </c>
      <c r="H30" s="46" t="s">
        <v>1614</v>
      </c>
      <c r="I30" s="46" t="s">
        <v>1600</v>
      </c>
      <c r="J30" s="46" t="s">
        <v>1959</v>
      </c>
      <c r="K30" s="46">
        <v>24</v>
      </c>
      <c r="L30" s="46" t="s">
        <v>1950</v>
      </c>
      <c r="M30" s="46">
        <v>4</v>
      </c>
      <c r="N30" s="46" t="s">
        <v>1957</v>
      </c>
      <c r="O30" s="46" t="s">
        <v>78</v>
      </c>
      <c r="P30" s="46" t="s">
        <v>1031</v>
      </c>
      <c r="Q30" s="46">
        <v>20</v>
      </c>
      <c r="R30" s="46">
        <v>0</v>
      </c>
      <c r="S30" s="46">
        <v>0</v>
      </c>
      <c r="T30" s="46">
        <v>0</v>
      </c>
      <c r="U30" s="47" t="s">
        <v>1960</v>
      </c>
      <c r="V30" s="47" t="s">
        <v>1937</v>
      </c>
      <c r="W30" s="47" t="s">
        <v>1961</v>
      </c>
      <c r="X30" s="47">
        <v>1</v>
      </c>
      <c r="Y30" s="48">
        <v>2047.3</v>
      </c>
      <c r="Z30" s="48">
        <v>599.85889999999995</v>
      </c>
      <c r="AA30" s="17"/>
      <c r="AB30" s="46" t="s">
        <v>317</v>
      </c>
      <c r="AC30" s="46">
        <v>1021</v>
      </c>
      <c r="AD30" s="46" t="s">
        <v>318</v>
      </c>
      <c r="AE30" s="46" t="s">
        <v>1615</v>
      </c>
      <c r="AF30" s="17"/>
      <c r="AG30" s="46" t="s">
        <v>78</v>
      </c>
      <c r="AH30" s="46" t="s">
        <v>41</v>
      </c>
      <c r="AI30" s="46" t="s">
        <v>78</v>
      </c>
      <c r="AJ30" s="52"/>
      <c r="AK30" s="45"/>
      <c r="AL30" s="46" t="s">
        <v>78</v>
      </c>
      <c r="AM30" s="46" t="s">
        <v>78</v>
      </c>
      <c r="AN30" s="46" t="s">
        <v>78</v>
      </c>
      <c r="AO30" s="17"/>
      <c r="AP30" s="49" t="s">
        <v>78</v>
      </c>
      <c r="AQ30" s="46" t="s">
        <v>78</v>
      </c>
      <c r="AR30" s="46" t="s">
        <v>78</v>
      </c>
      <c r="AS30" s="46" t="s">
        <v>78</v>
      </c>
      <c r="AT30" s="46" t="s">
        <v>78</v>
      </c>
      <c r="AU30" s="17"/>
      <c r="AV30" s="142" t="s">
        <v>1878</v>
      </c>
      <c r="AW30" s="122" t="s">
        <v>1884</v>
      </c>
      <c r="AX30" s="129" t="s">
        <v>1387</v>
      </c>
      <c r="AY30" s="142" t="s">
        <v>1898</v>
      </c>
      <c r="AZ30" s="127"/>
      <c r="BA30" s="142" t="s">
        <v>1880</v>
      </c>
      <c r="BB30" s="122" t="s">
        <v>1884</v>
      </c>
      <c r="BC30" s="129" t="s">
        <v>1391</v>
      </c>
      <c r="BD30" s="142" t="s">
        <v>1899</v>
      </c>
      <c r="BE30" s="117">
        <v>1</v>
      </c>
      <c r="BF30" s="118">
        <v>7</v>
      </c>
      <c r="BG30" s="127"/>
      <c r="BH30" s="52"/>
    </row>
    <row r="31" spans="1:60">
      <c r="A31" s="40"/>
      <c r="B31" s="45" t="s">
        <v>1036</v>
      </c>
      <c r="C31" s="46" t="s">
        <v>1036</v>
      </c>
      <c r="D31" s="46" t="s">
        <v>1598</v>
      </c>
      <c r="E31" s="46" t="s">
        <v>1590</v>
      </c>
      <c r="F31" s="17"/>
      <c r="G31" s="46" t="s">
        <v>57</v>
      </c>
      <c r="H31" s="46" t="s">
        <v>1616</v>
      </c>
      <c r="I31" s="46" t="s">
        <v>1600</v>
      </c>
      <c r="J31" s="46" t="s">
        <v>1959</v>
      </c>
      <c r="K31" s="46">
        <v>24</v>
      </c>
      <c r="L31" s="46" t="s">
        <v>1950</v>
      </c>
      <c r="M31" s="46">
        <v>4</v>
      </c>
      <c r="N31" s="46" t="s">
        <v>1957</v>
      </c>
      <c r="O31" s="46" t="s">
        <v>78</v>
      </c>
      <c r="P31" s="46" t="s">
        <v>1035</v>
      </c>
      <c r="Q31" s="46">
        <v>21</v>
      </c>
      <c r="R31" s="46">
        <v>0</v>
      </c>
      <c r="S31" s="46">
        <v>0</v>
      </c>
      <c r="T31" s="46">
        <v>0</v>
      </c>
      <c r="U31" s="47" t="s">
        <v>1960</v>
      </c>
      <c r="V31" s="47" t="s">
        <v>1937</v>
      </c>
      <c r="W31" s="47" t="s">
        <v>1961</v>
      </c>
      <c r="X31" s="47">
        <v>1</v>
      </c>
      <c r="Y31" s="48">
        <v>2047.3</v>
      </c>
      <c r="Z31" s="48">
        <v>599.85889999999995</v>
      </c>
      <c r="AA31" s="17"/>
      <c r="AB31" s="46" t="s">
        <v>317</v>
      </c>
      <c r="AC31" s="46">
        <v>1021</v>
      </c>
      <c r="AD31" s="46" t="s">
        <v>318</v>
      </c>
      <c r="AE31" s="46" t="s">
        <v>1618</v>
      </c>
      <c r="AF31" s="17"/>
      <c r="AG31" s="46" t="s">
        <v>78</v>
      </c>
      <c r="AH31" s="46" t="s">
        <v>41</v>
      </c>
      <c r="AI31" s="46" t="s">
        <v>78</v>
      </c>
      <c r="AJ31" s="52"/>
      <c r="AK31" s="45"/>
      <c r="AL31" s="46" t="s">
        <v>78</v>
      </c>
      <c r="AM31" s="46" t="s">
        <v>78</v>
      </c>
      <c r="AN31" s="46" t="s">
        <v>78</v>
      </c>
      <c r="AO31" s="17"/>
      <c r="AP31" s="49" t="s">
        <v>78</v>
      </c>
      <c r="AQ31" s="46" t="s">
        <v>78</v>
      </c>
      <c r="AR31" s="46" t="s">
        <v>78</v>
      </c>
      <c r="AS31" s="46" t="s">
        <v>78</v>
      </c>
      <c r="AT31" s="46" t="s">
        <v>78</v>
      </c>
      <c r="AU31" s="17"/>
      <c r="AV31" s="142" t="s">
        <v>1878</v>
      </c>
      <c r="AW31" s="122" t="s">
        <v>1884</v>
      </c>
      <c r="AX31" s="129" t="s">
        <v>1387</v>
      </c>
      <c r="AY31" s="142" t="s">
        <v>1900</v>
      </c>
      <c r="AZ31" s="127"/>
      <c r="BA31" s="142" t="s">
        <v>1880</v>
      </c>
      <c r="BB31" s="122" t="s">
        <v>1884</v>
      </c>
      <c r="BC31" s="129" t="s">
        <v>1391</v>
      </c>
      <c r="BD31" s="142" t="s">
        <v>1901</v>
      </c>
      <c r="BE31" s="117">
        <v>1</v>
      </c>
      <c r="BF31" s="118">
        <v>8</v>
      </c>
      <c r="BG31" s="127"/>
      <c r="BH31" s="52"/>
    </row>
    <row r="32" spans="1:60">
      <c r="A32" s="40"/>
      <c r="B32" s="45" t="s">
        <v>1491</v>
      </c>
      <c r="C32" s="46" t="s">
        <v>1491</v>
      </c>
      <c r="D32" s="46" t="s">
        <v>1598</v>
      </c>
      <c r="E32" s="46" t="s">
        <v>1607</v>
      </c>
      <c r="F32" s="17"/>
      <c r="G32" s="46" t="s">
        <v>57</v>
      </c>
      <c r="H32" s="46" t="s">
        <v>1619</v>
      </c>
      <c r="I32" s="46" t="s">
        <v>1605</v>
      </c>
      <c r="J32" s="46" t="s">
        <v>1959</v>
      </c>
      <c r="K32" s="46">
        <v>48</v>
      </c>
      <c r="L32" s="46" t="s">
        <v>1950</v>
      </c>
      <c r="M32" s="46">
        <v>4</v>
      </c>
      <c r="N32" s="46" t="s">
        <v>1957</v>
      </c>
      <c r="O32" s="46" t="s">
        <v>78</v>
      </c>
      <c r="P32" s="46" t="s">
        <v>1490</v>
      </c>
      <c r="Q32" s="46">
        <v>77</v>
      </c>
      <c r="R32" s="46">
        <v>0</v>
      </c>
      <c r="S32" s="46">
        <v>0</v>
      </c>
      <c r="T32" s="46">
        <v>0</v>
      </c>
      <c r="U32" s="47" t="s">
        <v>1960</v>
      </c>
      <c r="V32" s="47" t="s">
        <v>1937</v>
      </c>
      <c r="W32" s="47" t="s">
        <v>1961</v>
      </c>
      <c r="X32" s="47">
        <v>1</v>
      </c>
      <c r="Y32" s="48">
        <v>3412</v>
      </c>
      <c r="Z32" s="48">
        <v>999.71600000000001</v>
      </c>
      <c r="AA32" s="17"/>
      <c r="AB32" s="46" t="s">
        <v>317</v>
      </c>
      <c r="AC32" s="46">
        <v>1021</v>
      </c>
      <c r="AD32" s="46" t="s">
        <v>318</v>
      </c>
      <c r="AE32" s="46" t="s">
        <v>1621</v>
      </c>
      <c r="AF32" s="17"/>
      <c r="AG32" s="46" t="s">
        <v>78</v>
      </c>
      <c r="AH32" s="46" t="s">
        <v>41</v>
      </c>
      <c r="AI32" s="46" t="s">
        <v>78</v>
      </c>
      <c r="AJ32" s="52"/>
      <c r="AK32" s="45"/>
      <c r="AL32" s="46" t="s">
        <v>78</v>
      </c>
      <c r="AM32" s="46" t="s">
        <v>78</v>
      </c>
      <c r="AN32" s="46" t="s">
        <v>78</v>
      </c>
      <c r="AO32" s="17"/>
      <c r="AP32" s="49" t="s">
        <v>78</v>
      </c>
      <c r="AQ32" s="46" t="s">
        <v>78</v>
      </c>
      <c r="AR32" s="46" t="s">
        <v>78</v>
      </c>
      <c r="AS32" s="46" t="s">
        <v>78</v>
      </c>
      <c r="AT32" s="46" t="s">
        <v>78</v>
      </c>
      <c r="AU32" s="17"/>
      <c r="AV32" s="142" t="s">
        <v>1878</v>
      </c>
      <c r="AW32" s="122" t="s">
        <v>1884</v>
      </c>
      <c r="AX32" s="129" t="s">
        <v>1387</v>
      </c>
      <c r="AY32" s="142" t="s">
        <v>1902</v>
      </c>
      <c r="AZ32" s="127"/>
      <c r="BA32" s="142" t="s">
        <v>1880</v>
      </c>
      <c r="BB32" s="122" t="s">
        <v>1884</v>
      </c>
      <c r="BC32" s="129" t="s">
        <v>1391</v>
      </c>
      <c r="BD32" s="142" t="s">
        <v>1903</v>
      </c>
      <c r="BE32" s="117">
        <v>1</v>
      </c>
      <c r="BF32" s="118">
        <v>10</v>
      </c>
      <c r="BG32" s="127"/>
      <c r="BH32" s="52"/>
    </row>
    <row r="33" spans="1:60">
      <c r="A33" s="40"/>
      <c r="B33" s="45" t="s">
        <v>1472</v>
      </c>
      <c r="C33" s="46" t="s">
        <v>1965</v>
      </c>
      <c r="D33" s="46" t="s">
        <v>1598</v>
      </c>
      <c r="E33" s="46" t="s">
        <v>1607</v>
      </c>
      <c r="F33" s="17"/>
      <c r="G33" s="46" t="s">
        <v>57</v>
      </c>
      <c r="H33" s="46" t="s">
        <v>1622</v>
      </c>
      <c r="I33" s="46" t="s">
        <v>1605</v>
      </c>
      <c r="J33" s="46" t="s">
        <v>1959</v>
      </c>
      <c r="K33" s="46">
        <v>48</v>
      </c>
      <c r="L33" s="46" t="s">
        <v>1950</v>
      </c>
      <c r="M33" s="46">
        <v>4</v>
      </c>
      <c r="N33" s="46" t="s">
        <v>1957</v>
      </c>
      <c r="O33" s="46" t="s">
        <v>1935</v>
      </c>
      <c r="P33" s="46" t="s">
        <v>1471</v>
      </c>
      <c r="Q33" s="46">
        <v>74</v>
      </c>
      <c r="R33" s="46">
        <v>0</v>
      </c>
      <c r="S33" s="46">
        <v>0</v>
      </c>
      <c r="T33" s="46">
        <v>0</v>
      </c>
      <c r="U33" s="47" t="s">
        <v>1960</v>
      </c>
      <c r="V33" s="47" t="s">
        <v>1937</v>
      </c>
      <c r="W33" s="47" t="s">
        <v>1961</v>
      </c>
      <c r="X33" s="47">
        <v>1</v>
      </c>
      <c r="Y33" s="48">
        <v>3412</v>
      </c>
      <c r="Z33" s="48">
        <v>999.71600000000001</v>
      </c>
      <c r="AA33" s="17"/>
      <c r="AB33" s="46" t="s">
        <v>317</v>
      </c>
      <c r="AC33" s="46">
        <v>1021</v>
      </c>
      <c r="AD33" s="46" t="s">
        <v>318</v>
      </c>
      <c r="AE33" s="46" t="s">
        <v>1623</v>
      </c>
      <c r="AF33" s="17"/>
      <c r="AG33" s="46" t="s">
        <v>1965</v>
      </c>
      <c r="AH33" s="46" t="s">
        <v>41</v>
      </c>
      <c r="AI33" s="46">
        <v>2</v>
      </c>
      <c r="AJ33" s="52" t="s">
        <v>1869</v>
      </c>
      <c r="AK33" s="45" t="s">
        <v>1870</v>
      </c>
      <c r="AL33" s="46">
        <v>2</v>
      </c>
      <c r="AM33" s="46" t="s">
        <v>1012</v>
      </c>
      <c r="AN33" s="46" t="s">
        <v>1954</v>
      </c>
      <c r="AO33" s="17"/>
      <c r="AP33" s="49" t="s">
        <v>1955</v>
      </c>
      <c r="AQ33" s="46" t="s">
        <v>1870</v>
      </c>
      <c r="AR33" s="46">
        <v>2</v>
      </c>
      <c r="AS33" s="46" t="s">
        <v>1012</v>
      </c>
      <c r="AT33" s="46" t="s">
        <v>1874</v>
      </c>
      <c r="AU33" s="17"/>
      <c r="AV33" s="142" t="s">
        <v>1878</v>
      </c>
      <c r="AW33" s="122" t="s">
        <v>1884</v>
      </c>
      <c r="AX33" s="129" t="s">
        <v>1387</v>
      </c>
      <c r="AY33" s="142" t="s">
        <v>1904</v>
      </c>
      <c r="AZ33" s="127"/>
      <c r="BA33" s="142"/>
      <c r="BB33" s="122"/>
      <c r="BC33" s="129"/>
      <c r="BD33" s="142"/>
      <c r="BE33" s="117">
        <v>1</v>
      </c>
      <c r="BF33" s="118">
        <v>12</v>
      </c>
      <c r="BG33" s="127"/>
      <c r="BH33" s="52"/>
    </row>
    <row r="34" spans="1:60">
      <c r="A34" s="40"/>
      <c r="B34" s="45" t="s">
        <v>1012</v>
      </c>
      <c r="C34" s="46" t="s">
        <v>1965</v>
      </c>
      <c r="D34" s="46" t="s">
        <v>1598</v>
      </c>
      <c r="E34" s="46" t="s">
        <v>1607</v>
      </c>
      <c r="F34" s="17"/>
      <c r="G34" s="46" t="s">
        <v>57</v>
      </c>
      <c r="H34" s="46" t="s">
        <v>1622</v>
      </c>
      <c r="I34" s="46" t="s">
        <v>1600</v>
      </c>
      <c r="J34" s="46" t="s">
        <v>1959</v>
      </c>
      <c r="K34" s="46">
        <v>24</v>
      </c>
      <c r="L34" s="46" t="s">
        <v>1950</v>
      </c>
      <c r="M34" s="46">
        <v>4</v>
      </c>
      <c r="N34" s="46" t="s">
        <v>1957</v>
      </c>
      <c r="O34" s="46" t="s">
        <v>1935</v>
      </c>
      <c r="P34" s="46" t="s">
        <v>1011</v>
      </c>
      <c r="Q34" s="46">
        <v>13</v>
      </c>
      <c r="R34" s="46">
        <v>0</v>
      </c>
      <c r="S34" s="46">
        <v>0</v>
      </c>
      <c r="T34" s="46">
        <v>0</v>
      </c>
      <c r="U34" s="47" t="s">
        <v>1960</v>
      </c>
      <c r="V34" s="47" t="s">
        <v>1937</v>
      </c>
      <c r="W34" s="47" t="s">
        <v>1961</v>
      </c>
      <c r="X34" s="47">
        <v>1</v>
      </c>
      <c r="Y34" s="48">
        <v>2047.3</v>
      </c>
      <c r="Z34" s="48">
        <v>599.85889999999995</v>
      </c>
      <c r="AA34" s="17"/>
      <c r="AB34" s="46" t="s">
        <v>317</v>
      </c>
      <c r="AC34" s="46">
        <v>1021</v>
      </c>
      <c r="AD34" s="46" t="s">
        <v>318</v>
      </c>
      <c r="AE34" s="46" t="s">
        <v>1623</v>
      </c>
      <c r="AF34" s="17"/>
      <c r="AG34" s="46" t="s">
        <v>1965</v>
      </c>
      <c r="AH34" s="46" t="s">
        <v>1696</v>
      </c>
      <c r="AI34" s="46">
        <v>2</v>
      </c>
      <c r="AJ34" s="52" t="s">
        <v>1874</v>
      </c>
      <c r="AK34" s="45" t="s">
        <v>1870</v>
      </c>
      <c r="AL34" s="46">
        <v>1</v>
      </c>
      <c r="AM34" s="46" t="s">
        <v>1472</v>
      </c>
      <c r="AN34" s="46" t="s">
        <v>1955</v>
      </c>
      <c r="AO34" s="17"/>
      <c r="AP34" s="49" t="s">
        <v>1954</v>
      </c>
      <c r="AQ34" s="46" t="s">
        <v>1870</v>
      </c>
      <c r="AR34" s="46">
        <v>1</v>
      </c>
      <c r="AS34" s="46" t="s">
        <v>1472</v>
      </c>
      <c r="AT34" s="46" t="s">
        <v>1869</v>
      </c>
      <c r="AU34" s="17"/>
      <c r="AV34" s="142"/>
      <c r="AW34" s="122"/>
      <c r="AX34" s="129"/>
      <c r="AY34" s="142"/>
      <c r="AZ34" s="127"/>
      <c r="BA34" s="142" t="s">
        <v>1890</v>
      </c>
      <c r="BB34" s="122" t="s">
        <v>1884</v>
      </c>
      <c r="BC34" s="129" t="s">
        <v>1391</v>
      </c>
      <c r="BD34" s="142" t="s">
        <v>1905</v>
      </c>
      <c r="BE34" s="117">
        <v>1</v>
      </c>
      <c r="BF34" s="118">
        <v>12</v>
      </c>
      <c r="BG34" s="127"/>
      <c r="BH34" s="52"/>
    </row>
    <row r="35" spans="1:60">
      <c r="A35" s="40"/>
      <c r="B35" s="45" t="s">
        <v>1039</v>
      </c>
      <c r="C35" s="46" t="s">
        <v>1039</v>
      </c>
      <c r="D35" s="46" t="s">
        <v>1598</v>
      </c>
      <c r="E35" s="46" t="s">
        <v>1590</v>
      </c>
      <c r="F35" s="17"/>
      <c r="G35" s="46" t="s">
        <v>57</v>
      </c>
      <c r="H35" s="46" t="s">
        <v>1624</v>
      </c>
      <c r="I35" s="46" t="s">
        <v>1600</v>
      </c>
      <c r="J35" s="46" t="s">
        <v>1959</v>
      </c>
      <c r="K35" s="46">
        <v>24</v>
      </c>
      <c r="L35" s="46" t="s">
        <v>1950</v>
      </c>
      <c r="M35" s="46">
        <v>4</v>
      </c>
      <c r="N35" s="46" t="s">
        <v>1957</v>
      </c>
      <c r="O35" s="46" t="s">
        <v>78</v>
      </c>
      <c r="P35" s="46" t="s">
        <v>1038</v>
      </c>
      <c r="Q35" s="46">
        <v>22</v>
      </c>
      <c r="R35" s="46">
        <v>0</v>
      </c>
      <c r="S35" s="46">
        <v>0</v>
      </c>
      <c r="T35" s="46">
        <v>0</v>
      </c>
      <c r="U35" s="47" t="s">
        <v>1960</v>
      </c>
      <c r="V35" s="47" t="s">
        <v>1937</v>
      </c>
      <c r="W35" s="47" t="s">
        <v>1961</v>
      </c>
      <c r="X35" s="47">
        <v>1</v>
      </c>
      <c r="Y35" s="48">
        <v>2047.3</v>
      </c>
      <c r="Z35" s="48">
        <v>599.85889999999995</v>
      </c>
      <c r="AA35" s="17"/>
      <c r="AB35" s="46" t="s">
        <v>317</v>
      </c>
      <c r="AC35" s="46">
        <v>1021</v>
      </c>
      <c r="AD35" s="46" t="s">
        <v>318</v>
      </c>
      <c r="AE35" s="46" t="s">
        <v>1625</v>
      </c>
      <c r="AF35" s="17"/>
      <c r="AG35" s="46" t="s">
        <v>78</v>
      </c>
      <c r="AH35" s="46" t="s">
        <v>41</v>
      </c>
      <c r="AI35" s="46" t="s">
        <v>78</v>
      </c>
      <c r="AJ35" s="52"/>
      <c r="AK35" s="45"/>
      <c r="AL35" s="46" t="s">
        <v>78</v>
      </c>
      <c r="AM35" s="46" t="s">
        <v>78</v>
      </c>
      <c r="AN35" s="46" t="s">
        <v>78</v>
      </c>
      <c r="AO35" s="17"/>
      <c r="AP35" s="49" t="s">
        <v>78</v>
      </c>
      <c r="AQ35" s="46" t="s">
        <v>78</v>
      </c>
      <c r="AR35" s="46" t="s">
        <v>78</v>
      </c>
      <c r="AS35" s="46" t="s">
        <v>78</v>
      </c>
      <c r="AT35" s="46" t="s">
        <v>78</v>
      </c>
      <c r="AU35" s="17"/>
      <c r="AV35" s="142" t="s">
        <v>1878</v>
      </c>
      <c r="AW35" s="122" t="s">
        <v>1884</v>
      </c>
      <c r="AX35" s="129" t="s">
        <v>1387</v>
      </c>
      <c r="AY35" s="142" t="s">
        <v>1906</v>
      </c>
      <c r="AZ35" s="127"/>
      <c r="BA35" s="142" t="s">
        <v>1880</v>
      </c>
      <c r="BB35" s="122" t="s">
        <v>1884</v>
      </c>
      <c r="BC35" s="129" t="s">
        <v>1391</v>
      </c>
      <c r="BD35" s="142" t="s">
        <v>1907</v>
      </c>
      <c r="BE35" s="117">
        <v>1</v>
      </c>
      <c r="BF35" s="118">
        <v>13</v>
      </c>
      <c r="BG35" s="127"/>
      <c r="BH35" s="52"/>
    </row>
    <row r="36" spans="1:60">
      <c r="A36" s="40"/>
      <c r="B36" s="45" t="s">
        <v>1042</v>
      </c>
      <c r="C36" s="46" t="s">
        <v>1042</v>
      </c>
      <c r="D36" s="46" t="s">
        <v>1598</v>
      </c>
      <c r="E36" s="46" t="s">
        <v>1590</v>
      </c>
      <c r="F36" s="17"/>
      <c r="G36" s="46" t="s">
        <v>57</v>
      </c>
      <c r="H36" s="46" t="s">
        <v>1626</v>
      </c>
      <c r="I36" s="46" t="s">
        <v>1600</v>
      </c>
      <c r="J36" s="46" t="s">
        <v>1959</v>
      </c>
      <c r="K36" s="46">
        <v>24</v>
      </c>
      <c r="L36" s="46" t="s">
        <v>1950</v>
      </c>
      <c r="M36" s="46">
        <v>4</v>
      </c>
      <c r="N36" s="46" t="s">
        <v>1957</v>
      </c>
      <c r="O36" s="46" t="s">
        <v>78</v>
      </c>
      <c r="P36" s="46" t="s">
        <v>1041</v>
      </c>
      <c r="Q36" s="46">
        <v>23</v>
      </c>
      <c r="R36" s="46">
        <v>0</v>
      </c>
      <c r="S36" s="46">
        <v>0</v>
      </c>
      <c r="T36" s="46">
        <v>0</v>
      </c>
      <c r="U36" s="47" t="s">
        <v>1960</v>
      </c>
      <c r="V36" s="47" t="s">
        <v>1937</v>
      </c>
      <c r="W36" s="47" t="s">
        <v>1961</v>
      </c>
      <c r="X36" s="47">
        <v>1</v>
      </c>
      <c r="Y36" s="48">
        <v>2047.3</v>
      </c>
      <c r="Z36" s="48">
        <v>599.85889999999995</v>
      </c>
      <c r="AA36" s="17"/>
      <c r="AB36" s="46" t="s">
        <v>317</v>
      </c>
      <c r="AC36" s="46">
        <v>1021</v>
      </c>
      <c r="AD36" s="46" t="s">
        <v>318</v>
      </c>
      <c r="AE36" s="46" t="s">
        <v>1627</v>
      </c>
      <c r="AF36" s="17"/>
      <c r="AG36" s="46" t="s">
        <v>78</v>
      </c>
      <c r="AH36" s="46" t="s">
        <v>41</v>
      </c>
      <c r="AI36" s="46" t="s">
        <v>78</v>
      </c>
      <c r="AJ36" s="52"/>
      <c r="AK36" s="45"/>
      <c r="AL36" s="46" t="s">
        <v>78</v>
      </c>
      <c r="AM36" s="46" t="s">
        <v>78</v>
      </c>
      <c r="AN36" s="46" t="s">
        <v>78</v>
      </c>
      <c r="AO36" s="17"/>
      <c r="AP36" s="49" t="s">
        <v>78</v>
      </c>
      <c r="AQ36" s="46" t="s">
        <v>78</v>
      </c>
      <c r="AR36" s="46" t="s">
        <v>78</v>
      </c>
      <c r="AS36" s="46" t="s">
        <v>78</v>
      </c>
      <c r="AT36" s="46" t="s">
        <v>78</v>
      </c>
      <c r="AU36" s="17"/>
      <c r="AV36" s="142" t="s">
        <v>1878</v>
      </c>
      <c r="AW36" s="122" t="s">
        <v>1884</v>
      </c>
      <c r="AX36" s="129" t="s">
        <v>1387</v>
      </c>
      <c r="AY36" s="142" t="s">
        <v>1908</v>
      </c>
      <c r="AZ36" s="127"/>
      <c r="BA36" s="142" t="s">
        <v>1880</v>
      </c>
      <c r="BB36" s="122" t="s">
        <v>1884</v>
      </c>
      <c r="BC36" s="129" t="s">
        <v>1391</v>
      </c>
      <c r="BD36" s="142" t="s">
        <v>1909</v>
      </c>
      <c r="BE36" s="117">
        <v>1</v>
      </c>
      <c r="BF36" s="118">
        <v>14</v>
      </c>
      <c r="BG36" s="127"/>
      <c r="BH36" s="52"/>
    </row>
    <row r="37" spans="1:60">
      <c r="A37" s="40"/>
      <c r="B37" s="45" t="s">
        <v>1045</v>
      </c>
      <c r="C37" s="46" t="s">
        <v>1045</v>
      </c>
      <c r="D37" s="46" t="s">
        <v>1598</v>
      </c>
      <c r="E37" s="46" t="s">
        <v>1590</v>
      </c>
      <c r="F37" s="17"/>
      <c r="G37" s="46" t="s">
        <v>57</v>
      </c>
      <c r="H37" s="46" t="s">
        <v>1628</v>
      </c>
      <c r="I37" s="46" t="s">
        <v>1600</v>
      </c>
      <c r="J37" s="46" t="s">
        <v>1959</v>
      </c>
      <c r="K37" s="46">
        <v>24</v>
      </c>
      <c r="L37" s="46" t="s">
        <v>1950</v>
      </c>
      <c r="M37" s="46">
        <v>4</v>
      </c>
      <c r="N37" s="46" t="s">
        <v>1957</v>
      </c>
      <c r="O37" s="46" t="s">
        <v>78</v>
      </c>
      <c r="P37" s="46" t="s">
        <v>1044</v>
      </c>
      <c r="Q37" s="46">
        <v>24</v>
      </c>
      <c r="R37" s="46">
        <v>0</v>
      </c>
      <c r="S37" s="46">
        <v>0</v>
      </c>
      <c r="T37" s="46">
        <v>0</v>
      </c>
      <c r="U37" s="47" t="s">
        <v>1960</v>
      </c>
      <c r="V37" s="47" t="s">
        <v>1937</v>
      </c>
      <c r="W37" s="47" t="s">
        <v>1961</v>
      </c>
      <c r="X37" s="47">
        <v>1</v>
      </c>
      <c r="Y37" s="48">
        <v>2047.3</v>
      </c>
      <c r="Z37" s="48">
        <v>599.85889999999995</v>
      </c>
      <c r="AA37" s="17"/>
      <c r="AB37" s="46" t="s">
        <v>317</v>
      </c>
      <c r="AC37" s="46">
        <v>1021</v>
      </c>
      <c r="AD37" s="46" t="s">
        <v>318</v>
      </c>
      <c r="AE37" s="46" t="s">
        <v>1629</v>
      </c>
      <c r="AF37" s="17"/>
      <c r="AG37" s="46" t="s">
        <v>78</v>
      </c>
      <c r="AH37" s="46" t="s">
        <v>41</v>
      </c>
      <c r="AI37" s="46" t="s">
        <v>78</v>
      </c>
      <c r="AJ37" s="52"/>
      <c r="AK37" s="45"/>
      <c r="AL37" s="46" t="s">
        <v>78</v>
      </c>
      <c r="AM37" s="46" t="s">
        <v>78</v>
      </c>
      <c r="AN37" s="46" t="s">
        <v>78</v>
      </c>
      <c r="AO37" s="17"/>
      <c r="AP37" s="49" t="s">
        <v>78</v>
      </c>
      <c r="AQ37" s="46" t="s">
        <v>78</v>
      </c>
      <c r="AR37" s="46" t="s">
        <v>78</v>
      </c>
      <c r="AS37" s="46" t="s">
        <v>78</v>
      </c>
      <c r="AT37" s="46" t="s">
        <v>78</v>
      </c>
      <c r="AU37" s="17"/>
      <c r="AV37" s="142" t="s">
        <v>1878</v>
      </c>
      <c r="AW37" s="122" t="s">
        <v>1884</v>
      </c>
      <c r="AX37" s="129" t="s">
        <v>1387</v>
      </c>
      <c r="AY37" s="142" t="s">
        <v>1910</v>
      </c>
      <c r="AZ37" s="127"/>
      <c r="BA37" s="142" t="s">
        <v>1880</v>
      </c>
      <c r="BB37" s="122" t="s">
        <v>1884</v>
      </c>
      <c r="BC37" s="129" t="s">
        <v>1391</v>
      </c>
      <c r="BD37" s="142" t="s">
        <v>1911</v>
      </c>
      <c r="BE37" s="117">
        <v>1</v>
      </c>
      <c r="BF37" s="118">
        <v>15</v>
      </c>
      <c r="BG37" s="127"/>
      <c r="BH37" s="52"/>
    </row>
    <row r="38" spans="1:60">
      <c r="A38" s="40"/>
      <c r="B38" s="45" t="s">
        <v>1498</v>
      </c>
      <c r="C38" s="46" t="s">
        <v>1498</v>
      </c>
      <c r="D38" s="46" t="s">
        <v>1598</v>
      </c>
      <c r="E38" s="46" t="s">
        <v>1590</v>
      </c>
      <c r="F38" s="17"/>
      <c r="G38" s="46" t="s">
        <v>57</v>
      </c>
      <c r="H38" s="46" t="s">
        <v>1630</v>
      </c>
      <c r="I38" s="46" t="s">
        <v>1605</v>
      </c>
      <c r="J38" s="46" t="s">
        <v>1959</v>
      </c>
      <c r="K38" s="46">
        <v>48</v>
      </c>
      <c r="L38" s="46" t="s">
        <v>1950</v>
      </c>
      <c r="M38" s="46">
        <v>4</v>
      </c>
      <c r="N38" s="46" t="s">
        <v>1957</v>
      </c>
      <c r="O38" s="46" t="s">
        <v>78</v>
      </c>
      <c r="P38" s="46" t="s">
        <v>1497</v>
      </c>
      <c r="Q38" s="46">
        <v>78</v>
      </c>
      <c r="R38" s="46">
        <v>0</v>
      </c>
      <c r="S38" s="46">
        <v>0</v>
      </c>
      <c r="T38" s="46">
        <v>0</v>
      </c>
      <c r="U38" s="47" t="s">
        <v>1960</v>
      </c>
      <c r="V38" s="47" t="s">
        <v>1937</v>
      </c>
      <c r="W38" s="47" t="s">
        <v>1961</v>
      </c>
      <c r="X38" s="47">
        <v>1</v>
      </c>
      <c r="Y38" s="48">
        <v>3412</v>
      </c>
      <c r="Z38" s="48">
        <v>999.71600000000001</v>
      </c>
      <c r="AA38" s="17"/>
      <c r="AB38" s="46" t="s">
        <v>317</v>
      </c>
      <c r="AC38" s="46">
        <v>1021</v>
      </c>
      <c r="AD38" s="46" t="s">
        <v>318</v>
      </c>
      <c r="AE38" s="46" t="s">
        <v>1631</v>
      </c>
      <c r="AF38" s="17"/>
      <c r="AG38" s="46" t="s">
        <v>78</v>
      </c>
      <c r="AH38" s="46" t="s">
        <v>41</v>
      </c>
      <c r="AI38" s="46" t="s">
        <v>78</v>
      </c>
      <c r="AJ38" s="52"/>
      <c r="AK38" s="45"/>
      <c r="AL38" s="46" t="s">
        <v>78</v>
      </c>
      <c r="AM38" s="46" t="s">
        <v>78</v>
      </c>
      <c r="AN38" s="46" t="s">
        <v>78</v>
      </c>
      <c r="AO38" s="17"/>
      <c r="AP38" s="49" t="s">
        <v>78</v>
      </c>
      <c r="AQ38" s="46" t="s">
        <v>78</v>
      </c>
      <c r="AR38" s="46" t="s">
        <v>78</v>
      </c>
      <c r="AS38" s="46" t="s">
        <v>78</v>
      </c>
      <c r="AT38" s="46" t="s">
        <v>78</v>
      </c>
      <c r="AU38" s="17"/>
      <c r="AV38" s="142" t="s">
        <v>1878</v>
      </c>
      <c r="AW38" s="122" t="s">
        <v>1884</v>
      </c>
      <c r="AX38" s="129" t="s">
        <v>1387</v>
      </c>
      <c r="AY38" s="142" t="s">
        <v>1912</v>
      </c>
      <c r="AZ38" s="127"/>
      <c r="BA38" s="142" t="s">
        <v>1880</v>
      </c>
      <c r="BB38" s="122" t="s">
        <v>1884</v>
      </c>
      <c r="BC38" s="129" t="s">
        <v>1391</v>
      </c>
      <c r="BD38" s="142" t="s">
        <v>1913</v>
      </c>
      <c r="BE38" s="117">
        <v>1</v>
      </c>
      <c r="BF38" s="118">
        <v>16</v>
      </c>
      <c r="BG38" s="127"/>
      <c r="BH38" s="52"/>
    </row>
    <row r="39" spans="1:60">
      <c r="A39" s="40"/>
      <c r="B39" s="45" t="s">
        <v>1054</v>
      </c>
      <c r="C39" s="46" t="s">
        <v>1054</v>
      </c>
      <c r="D39" s="46" t="s">
        <v>1598</v>
      </c>
      <c r="E39" s="46" t="s">
        <v>1590</v>
      </c>
      <c r="F39" s="17"/>
      <c r="G39" s="46" t="s">
        <v>57</v>
      </c>
      <c r="H39" s="46" t="s">
        <v>1632</v>
      </c>
      <c r="I39" s="46" t="s">
        <v>1600</v>
      </c>
      <c r="J39" s="46" t="s">
        <v>1959</v>
      </c>
      <c r="K39" s="46">
        <v>24</v>
      </c>
      <c r="L39" s="46" t="s">
        <v>1950</v>
      </c>
      <c r="M39" s="46">
        <v>4</v>
      </c>
      <c r="N39" s="46" t="s">
        <v>1957</v>
      </c>
      <c r="O39" s="46" t="s">
        <v>78</v>
      </c>
      <c r="P39" s="46" t="s">
        <v>1053</v>
      </c>
      <c r="Q39" s="46">
        <v>27</v>
      </c>
      <c r="R39" s="46">
        <v>0</v>
      </c>
      <c r="S39" s="46">
        <v>0</v>
      </c>
      <c r="T39" s="46">
        <v>0</v>
      </c>
      <c r="U39" s="47" t="s">
        <v>1960</v>
      </c>
      <c r="V39" s="47" t="s">
        <v>1937</v>
      </c>
      <c r="W39" s="47" t="s">
        <v>1961</v>
      </c>
      <c r="X39" s="47">
        <v>1</v>
      </c>
      <c r="Y39" s="48">
        <v>2047.3</v>
      </c>
      <c r="Z39" s="48">
        <v>599.85889999999995</v>
      </c>
      <c r="AA39" s="17"/>
      <c r="AB39" s="46" t="s">
        <v>317</v>
      </c>
      <c r="AC39" s="46">
        <v>1021</v>
      </c>
      <c r="AD39" s="46" t="s">
        <v>318</v>
      </c>
      <c r="AE39" s="46" t="s">
        <v>1633</v>
      </c>
      <c r="AF39" s="17"/>
      <c r="AG39" s="46" t="s">
        <v>78</v>
      </c>
      <c r="AH39" s="46" t="s">
        <v>41</v>
      </c>
      <c r="AI39" s="46" t="s">
        <v>78</v>
      </c>
      <c r="AJ39" s="52"/>
      <c r="AK39" s="45"/>
      <c r="AL39" s="46" t="s">
        <v>78</v>
      </c>
      <c r="AM39" s="46" t="s">
        <v>78</v>
      </c>
      <c r="AN39" s="46" t="s">
        <v>78</v>
      </c>
      <c r="AO39" s="17"/>
      <c r="AP39" s="49" t="s">
        <v>78</v>
      </c>
      <c r="AQ39" s="46" t="s">
        <v>78</v>
      </c>
      <c r="AR39" s="46" t="s">
        <v>78</v>
      </c>
      <c r="AS39" s="46" t="s">
        <v>78</v>
      </c>
      <c r="AT39" s="46" t="s">
        <v>78</v>
      </c>
      <c r="AU39" s="17"/>
      <c r="AV39" s="142" t="s">
        <v>1878</v>
      </c>
      <c r="AW39" s="122" t="s">
        <v>1884</v>
      </c>
      <c r="AX39" s="129" t="s">
        <v>1387</v>
      </c>
      <c r="AY39" s="142" t="s">
        <v>1914</v>
      </c>
      <c r="AZ39" s="127"/>
      <c r="BA39" s="142" t="s">
        <v>1880</v>
      </c>
      <c r="BB39" s="122" t="s">
        <v>1884</v>
      </c>
      <c r="BC39" s="129" t="s">
        <v>1391</v>
      </c>
      <c r="BD39" s="142" t="s">
        <v>1915</v>
      </c>
      <c r="BE39" s="117">
        <v>1</v>
      </c>
      <c r="BF39" s="118">
        <v>18</v>
      </c>
      <c r="BG39" s="127"/>
      <c r="BH39" s="52"/>
    </row>
    <row r="40" spans="1:60">
      <c r="A40" s="40"/>
      <c r="B40" s="45" t="s">
        <v>1015</v>
      </c>
      <c r="C40" s="46" t="s">
        <v>1015</v>
      </c>
      <c r="D40" s="46" t="s">
        <v>1598</v>
      </c>
      <c r="E40" s="46" t="s">
        <v>1607</v>
      </c>
      <c r="F40" s="17"/>
      <c r="G40" s="46" t="s">
        <v>57</v>
      </c>
      <c r="H40" s="46" t="s">
        <v>1634</v>
      </c>
      <c r="I40" s="46" t="s">
        <v>1600</v>
      </c>
      <c r="J40" s="46" t="s">
        <v>1959</v>
      </c>
      <c r="K40" s="46">
        <v>24</v>
      </c>
      <c r="L40" s="46" t="s">
        <v>1950</v>
      </c>
      <c r="M40" s="46">
        <v>4</v>
      </c>
      <c r="N40" s="46" t="s">
        <v>1957</v>
      </c>
      <c r="O40" s="46" t="s">
        <v>78</v>
      </c>
      <c r="P40" s="46" t="s">
        <v>1014</v>
      </c>
      <c r="Q40" s="46">
        <v>14</v>
      </c>
      <c r="R40" s="46">
        <v>0</v>
      </c>
      <c r="S40" s="46">
        <v>0</v>
      </c>
      <c r="T40" s="46">
        <v>0</v>
      </c>
      <c r="U40" s="47" t="s">
        <v>1960</v>
      </c>
      <c r="V40" s="47" t="s">
        <v>1937</v>
      </c>
      <c r="W40" s="47" t="s">
        <v>1961</v>
      </c>
      <c r="X40" s="47">
        <v>1</v>
      </c>
      <c r="Y40" s="48">
        <v>2047.3</v>
      </c>
      <c r="Z40" s="48">
        <v>599.85889999999995</v>
      </c>
      <c r="AA40" s="17"/>
      <c r="AB40" s="46" t="s">
        <v>317</v>
      </c>
      <c r="AC40" s="46">
        <v>1021</v>
      </c>
      <c r="AD40" s="46" t="s">
        <v>318</v>
      </c>
      <c r="AE40" s="46" t="s">
        <v>1635</v>
      </c>
      <c r="AF40" s="17"/>
      <c r="AG40" s="46" t="s">
        <v>78</v>
      </c>
      <c r="AH40" s="46" t="s">
        <v>41</v>
      </c>
      <c r="AI40" s="46" t="s">
        <v>78</v>
      </c>
      <c r="AJ40" s="52"/>
      <c r="AK40" s="45"/>
      <c r="AL40" s="46" t="s">
        <v>78</v>
      </c>
      <c r="AM40" s="46" t="s">
        <v>78</v>
      </c>
      <c r="AN40" s="46" t="s">
        <v>78</v>
      </c>
      <c r="AO40" s="17"/>
      <c r="AP40" s="49" t="s">
        <v>78</v>
      </c>
      <c r="AQ40" s="46" t="s">
        <v>78</v>
      </c>
      <c r="AR40" s="46" t="s">
        <v>78</v>
      </c>
      <c r="AS40" s="46" t="s">
        <v>78</v>
      </c>
      <c r="AT40" s="46" t="s">
        <v>78</v>
      </c>
      <c r="AU40" s="17"/>
      <c r="AV40" s="142" t="s">
        <v>1878</v>
      </c>
      <c r="AW40" s="122" t="s">
        <v>1884</v>
      </c>
      <c r="AX40" s="129" t="s">
        <v>1387</v>
      </c>
      <c r="AY40" s="142" t="s">
        <v>1916</v>
      </c>
      <c r="AZ40" s="127"/>
      <c r="BA40" s="142" t="s">
        <v>1880</v>
      </c>
      <c r="BB40" s="122" t="s">
        <v>1884</v>
      </c>
      <c r="BC40" s="129" t="s">
        <v>1391</v>
      </c>
      <c r="BD40" s="142" t="s">
        <v>1917</v>
      </c>
      <c r="BE40" s="117">
        <v>1</v>
      </c>
      <c r="BF40" s="118">
        <v>19</v>
      </c>
      <c r="BG40" s="127"/>
      <c r="BH40" s="52"/>
    </row>
    <row r="41" spans="1:60">
      <c r="A41" s="40"/>
      <c r="B41" s="45" t="s">
        <v>1017</v>
      </c>
      <c r="C41" s="46" t="s">
        <v>1017</v>
      </c>
      <c r="D41" s="46" t="s">
        <v>1598</v>
      </c>
      <c r="E41" s="46" t="s">
        <v>1607</v>
      </c>
      <c r="F41" s="17"/>
      <c r="G41" s="46" t="s">
        <v>57</v>
      </c>
      <c r="H41" s="46" t="s">
        <v>1636</v>
      </c>
      <c r="I41" s="46" t="s">
        <v>1600</v>
      </c>
      <c r="J41" s="46" t="s">
        <v>1959</v>
      </c>
      <c r="K41" s="46">
        <v>24</v>
      </c>
      <c r="L41" s="46" t="s">
        <v>1950</v>
      </c>
      <c r="M41" s="46">
        <v>4</v>
      </c>
      <c r="N41" s="46" t="s">
        <v>1957</v>
      </c>
      <c r="O41" s="46" t="s">
        <v>78</v>
      </c>
      <c r="P41" s="46" t="s">
        <v>1016</v>
      </c>
      <c r="Q41" s="46">
        <v>15</v>
      </c>
      <c r="R41" s="46">
        <v>0</v>
      </c>
      <c r="S41" s="46">
        <v>0</v>
      </c>
      <c r="T41" s="46">
        <v>0</v>
      </c>
      <c r="U41" s="47" t="s">
        <v>1960</v>
      </c>
      <c r="V41" s="47" t="s">
        <v>1937</v>
      </c>
      <c r="W41" s="47" t="s">
        <v>1961</v>
      </c>
      <c r="X41" s="47">
        <v>1</v>
      </c>
      <c r="Y41" s="48">
        <v>2047.3</v>
      </c>
      <c r="Z41" s="48">
        <v>599.85889999999995</v>
      </c>
      <c r="AA41" s="17"/>
      <c r="AB41" s="46" t="s">
        <v>317</v>
      </c>
      <c r="AC41" s="46">
        <v>1021</v>
      </c>
      <c r="AD41" s="46" t="s">
        <v>318</v>
      </c>
      <c r="AE41" s="46" t="s">
        <v>1637</v>
      </c>
      <c r="AF41" s="17"/>
      <c r="AG41" s="46" t="s">
        <v>78</v>
      </c>
      <c r="AH41" s="46" t="s">
        <v>41</v>
      </c>
      <c r="AI41" s="46" t="s">
        <v>78</v>
      </c>
      <c r="AJ41" s="52"/>
      <c r="AK41" s="45"/>
      <c r="AL41" s="46" t="s">
        <v>78</v>
      </c>
      <c r="AM41" s="46" t="s">
        <v>78</v>
      </c>
      <c r="AN41" s="46" t="s">
        <v>78</v>
      </c>
      <c r="AO41" s="17"/>
      <c r="AP41" s="49" t="s">
        <v>78</v>
      </c>
      <c r="AQ41" s="46" t="s">
        <v>78</v>
      </c>
      <c r="AR41" s="46" t="s">
        <v>78</v>
      </c>
      <c r="AS41" s="46" t="s">
        <v>78</v>
      </c>
      <c r="AT41" s="46" t="s">
        <v>78</v>
      </c>
      <c r="AU41" s="17"/>
      <c r="AV41" s="142" t="s">
        <v>1878</v>
      </c>
      <c r="AW41" s="122" t="s">
        <v>1884</v>
      </c>
      <c r="AX41" s="129" t="s">
        <v>1387</v>
      </c>
      <c r="AY41" s="142" t="s">
        <v>1918</v>
      </c>
      <c r="AZ41" s="127"/>
      <c r="BA41" s="142" t="s">
        <v>1880</v>
      </c>
      <c r="BB41" s="122" t="s">
        <v>1884</v>
      </c>
      <c r="BC41" s="129" t="s">
        <v>1391</v>
      </c>
      <c r="BD41" s="142" t="s">
        <v>1919</v>
      </c>
      <c r="BE41" s="117">
        <v>1</v>
      </c>
      <c r="BF41" s="118">
        <v>20</v>
      </c>
      <c r="BG41" s="127"/>
      <c r="BH41" s="52"/>
    </row>
    <row r="42" spans="1:60">
      <c r="A42" s="40"/>
      <c r="B42" s="45" t="s">
        <v>1460</v>
      </c>
      <c r="C42" s="46" t="s">
        <v>1966</v>
      </c>
      <c r="D42" s="46" t="s">
        <v>1598</v>
      </c>
      <c r="E42" s="46" t="s">
        <v>1607</v>
      </c>
      <c r="F42" s="17"/>
      <c r="G42" s="46" t="s">
        <v>57</v>
      </c>
      <c r="H42" s="46" t="s">
        <v>1576</v>
      </c>
      <c r="I42" s="46" t="s">
        <v>1605</v>
      </c>
      <c r="J42" s="46" t="s">
        <v>1959</v>
      </c>
      <c r="K42" s="46">
        <v>48</v>
      </c>
      <c r="L42" s="46" t="s">
        <v>1950</v>
      </c>
      <c r="M42" s="46">
        <v>4</v>
      </c>
      <c r="N42" s="46" t="s">
        <v>1957</v>
      </c>
      <c r="O42" s="46" t="s">
        <v>1935</v>
      </c>
      <c r="P42" s="46" t="s">
        <v>1459</v>
      </c>
      <c r="Q42" s="46">
        <v>72</v>
      </c>
      <c r="R42" s="46">
        <v>0</v>
      </c>
      <c r="S42" s="46">
        <v>0</v>
      </c>
      <c r="T42" s="46">
        <v>0</v>
      </c>
      <c r="U42" s="47" t="s">
        <v>1960</v>
      </c>
      <c r="V42" s="47" t="s">
        <v>1937</v>
      </c>
      <c r="W42" s="47" t="s">
        <v>1961</v>
      </c>
      <c r="X42" s="47">
        <v>1</v>
      </c>
      <c r="Y42" s="48">
        <v>3412</v>
      </c>
      <c r="Z42" s="48">
        <v>999.71600000000001</v>
      </c>
      <c r="AA42" s="17"/>
      <c r="AB42" s="46" t="s">
        <v>317</v>
      </c>
      <c r="AC42" s="46">
        <v>1021</v>
      </c>
      <c r="AD42" s="46" t="s">
        <v>318</v>
      </c>
      <c r="AE42" s="46" t="s">
        <v>1639</v>
      </c>
      <c r="AF42" s="17"/>
      <c r="AG42" s="46" t="s">
        <v>1966</v>
      </c>
      <c r="AH42" s="46" t="s">
        <v>41</v>
      </c>
      <c r="AI42" s="46">
        <v>4</v>
      </c>
      <c r="AJ42" s="52" t="s">
        <v>1869</v>
      </c>
      <c r="AK42" s="45" t="s">
        <v>1870</v>
      </c>
      <c r="AL42" s="46">
        <v>2</v>
      </c>
      <c r="AM42" s="46" t="s">
        <v>1505</v>
      </c>
      <c r="AN42" s="46" t="s">
        <v>1954</v>
      </c>
      <c r="AO42" s="17"/>
      <c r="AP42" s="49" t="s">
        <v>1955</v>
      </c>
      <c r="AQ42" s="46" t="s">
        <v>1870</v>
      </c>
      <c r="AR42" s="46">
        <v>4</v>
      </c>
      <c r="AS42" s="46" t="s">
        <v>1466</v>
      </c>
      <c r="AT42" s="46" t="s">
        <v>1922</v>
      </c>
      <c r="AU42" s="17"/>
      <c r="AV42" s="142" t="s">
        <v>1878</v>
      </c>
      <c r="AW42" s="122" t="s">
        <v>1884</v>
      </c>
      <c r="AX42" s="129" t="s">
        <v>1387</v>
      </c>
      <c r="AY42" s="142" t="s">
        <v>1920</v>
      </c>
      <c r="AZ42" s="127"/>
      <c r="BA42" s="142"/>
      <c r="BB42" s="122"/>
      <c r="BC42" s="129"/>
      <c r="BD42" s="142"/>
      <c r="BE42" s="117">
        <v>1</v>
      </c>
      <c r="BF42" s="118">
        <v>21</v>
      </c>
      <c r="BG42" s="127"/>
      <c r="BH42" s="52"/>
    </row>
    <row r="43" spans="1:60">
      <c r="A43" s="40"/>
      <c r="B43" s="45" t="s">
        <v>1505</v>
      </c>
      <c r="C43" s="46" t="s">
        <v>1966</v>
      </c>
      <c r="D43" s="46" t="s">
        <v>1598</v>
      </c>
      <c r="E43" s="46" t="s">
        <v>1607</v>
      </c>
      <c r="F43" s="17"/>
      <c r="G43" s="46" t="s">
        <v>57</v>
      </c>
      <c r="H43" s="46" t="s">
        <v>1576</v>
      </c>
      <c r="I43" s="46" t="s">
        <v>1605</v>
      </c>
      <c r="J43" s="46" t="s">
        <v>1959</v>
      </c>
      <c r="K43" s="46">
        <v>48</v>
      </c>
      <c r="L43" s="46" t="s">
        <v>1950</v>
      </c>
      <c r="M43" s="46" t="s">
        <v>78</v>
      </c>
      <c r="N43" s="46" t="s">
        <v>78</v>
      </c>
      <c r="O43" s="46" t="s">
        <v>1935</v>
      </c>
      <c r="P43" s="46" t="s">
        <v>1504</v>
      </c>
      <c r="Q43" s="46">
        <v>79</v>
      </c>
      <c r="R43" s="46">
        <v>0</v>
      </c>
      <c r="S43" s="46">
        <v>0</v>
      </c>
      <c r="T43" s="46">
        <v>0</v>
      </c>
      <c r="U43" s="47" t="s">
        <v>1960</v>
      </c>
      <c r="V43" s="47" t="s">
        <v>1937</v>
      </c>
      <c r="W43" s="47" t="s">
        <v>1961</v>
      </c>
      <c r="X43" s="47">
        <v>1</v>
      </c>
      <c r="Y43" s="48">
        <v>3412</v>
      </c>
      <c r="Z43" s="48">
        <v>999.71600000000001</v>
      </c>
      <c r="AA43" s="17"/>
      <c r="AB43" s="46" t="s">
        <v>317</v>
      </c>
      <c r="AC43" s="46">
        <v>1021</v>
      </c>
      <c r="AD43" s="46" t="s">
        <v>318</v>
      </c>
      <c r="AE43" s="46" t="s">
        <v>1639</v>
      </c>
      <c r="AF43" s="17"/>
      <c r="AG43" s="46" t="s">
        <v>1966</v>
      </c>
      <c r="AH43" s="46" t="s">
        <v>1696</v>
      </c>
      <c r="AI43" s="46">
        <v>4</v>
      </c>
      <c r="AJ43" s="52" t="s">
        <v>1874</v>
      </c>
      <c r="AK43" s="45" t="s">
        <v>1870</v>
      </c>
      <c r="AL43" s="46">
        <v>3</v>
      </c>
      <c r="AM43" s="46" t="s">
        <v>1512</v>
      </c>
      <c r="AN43" s="46" t="s">
        <v>1967</v>
      </c>
      <c r="AO43" s="17"/>
      <c r="AP43" s="49" t="s">
        <v>1954</v>
      </c>
      <c r="AQ43" s="46" t="s">
        <v>1870</v>
      </c>
      <c r="AR43" s="46">
        <v>1</v>
      </c>
      <c r="AS43" s="46" t="s">
        <v>1460</v>
      </c>
      <c r="AT43" s="46" t="s">
        <v>1869</v>
      </c>
      <c r="AU43" s="17"/>
      <c r="AV43" s="142"/>
      <c r="AW43" s="122"/>
      <c r="AX43" s="129"/>
      <c r="AY43" s="142"/>
      <c r="AZ43" s="127"/>
      <c r="BA43" s="142"/>
      <c r="BB43" s="122"/>
      <c r="BC43" s="129"/>
      <c r="BD43" s="142"/>
      <c r="BE43" s="117"/>
      <c r="BF43" s="118"/>
      <c r="BG43" s="127"/>
      <c r="BH43" s="52"/>
    </row>
    <row r="44" spans="1:60">
      <c r="A44" s="40"/>
      <c r="B44" s="45" t="s">
        <v>1512</v>
      </c>
      <c r="C44" s="46" t="s">
        <v>1966</v>
      </c>
      <c r="D44" s="46" t="s">
        <v>1598</v>
      </c>
      <c r="E44" s="46" t="s">
        <v>1607</v>
      </c>
      <c r="F44" s="17"/>
      <c r="G44" s="46" t="s">
        <v>57</v>
      </c>
      <c r="H44" s="46" t="s">
        <v>1576</v>
      </c>
      <c r="I44" s="46" t="s">
        <v>1605</v>
      </c>
      <c r="J44" s="46" t="s">
        <v>1959</v>
      </c>
      <c r="K44" s="46">
        <v>48</v>
      </c>
      <c r="L44" s="46" t="s">
        <v>1950</v>
      </c>
      <c r="M44" s="46" t="s">
        <v>78</v>
      </c>
      <c r="N44" s="46" t="s">
        <v>78</v>
      </c>
      <c r="O44" s="46" t="s">
        <v>1935</v>
      </c>
      <c r="P44" s="46" t="s">
        <v>1511</v>
      </c>
      <c r="Q44" s="46">
        <v>80</v>
      </c>
      <c r="R44" s="46">
        <v>0</v>
      </c>
      <c r="S44" s="46">
        <v>0</v>
      </c>
      <c r="T44" s="46">
        <v>0</v>
      </c>
      <c r="U44" s="47" t="s">
        <v>1960</v>
      </c>
      <c r="V44" s="47" t="s">
        <v>1937</v>
      </c>
      <c r="W44" s="47" t="s">
        <v>1961</v>
      </c>
      <c r="X44" s="47">
        <v>1</v>
      </c>
      <c r="Y44" s="48">
        <v>3412</v>
      </c>
      <c r="Z44" s="48">
        <v>999.71600000000001</v>
      </c>
      <c r="AA44" s="17"/>
      <c r="AB44" s="46" t="s">
        <v>317</v>
      </c>
      <c r="AC44" s="46">
        <v>1021</v>
      </c>
      <c r="AD44" s="46" t="s">
        <v>318</v>
      </c>
      <c r="AE44" s="46" t="s">
        <v>1639</v>
      </c>
      <c r="AF44" s="17"/>
      <c r="AG44" s="46" t="s">
        <v>1966</v>
      </c>
      <c r="AH44" s="46" t="s">
        <v>1699</v>
      </c>
      <c r="AI44" s="46">
        <v>4</v>
      </c>
      <c r="AJ44" s="52" t="s">
        <v>1921</v>
      </c>
      <c r="AK44" s="45" t="s">
        <v>1870</v>
      </c>
      <c r="AL44" s="46">
        <v>4</v>
      </c>
      <c r="AM44" s="46" t="s">
        <v>1466</v>
      </c>
      <c r="AN44" s="46" t="s">
        <v>1968</v>
      </c>
      <c r="AO44" s="17"/>
      <c r="AP44" s="49" t="s">
        <v>1967</v>
      </c>
      <c r="AQ44" s="46" t="s">
        <v>1870</v>
      </c>
      <c r="AR44" s="46">
        <v>2</v>
      </c>
      <c r="AS44" s="46" t="s">
        <v>1505</v>
      </c>
      <c r="AT44" s="46" t="s">
        <v>1874</v>
      </c>
      <c r="AU44" s="17"/>
      <c r="AV44" s="142"/>
      <c r="AW44" s="122"/>
      <c r="AX44" s="129"/>
      <c r="AY44" s="142"/>
      <c r="AZ44" s="127"/>
      <c r="BA44" s="142"/>
      <c r="BB44" s="122"/>
      <c r="BC44" s="129"/>
      <c r="BD44" s="142"/>
      <c r="BE44" s="117"/>
      <c r="BF44" s="118"/>
      <c r="BG44" s="127"/>
      <c r="BH44" s="52"/>
    </row>
    <row r="45" spans="1:60">
      <c r="A45" s="40"/>
      <c r="B45" s="45" t="s">
        <v>1466</v>
      </c>
      <c r="C45" s="46" t="s">
        <v>1966</v>
      </c>
      <c r="D45" s="46" t="s">
        <v>1598</v>
      </c>
      <c r="E45" s="46" t="s">
        <v>1607</v>
      </c>
      <c r="F45" s="17"/>
      <c r="G45" s="46" t="s">
        <v>57</v>
      </c>
      <c r="H45" s="46" t="s">
        <v>1576</v>
      </c>
      <c r="I45" s="46" t="s">
        <v>1605</v>
      </c>
      <c r="J45" s="46" t="s">
        <v>1959</v>
      </c>
      <c r="K45" s="46">
        <v>48</v>
      </c>
      <c r="L45" s="46" t="s">
        <v>1950</v>
      </c>
      <c r="M45" s="46">
        <v>4</v>
      </c>
      <c r="N45" s="46" t="s">
        <v>1957</v>
      </c>
      <c r="O45" s="46" t="s">
        <v>1935</v>
      </c>
      <c r="P45" s="46" t="s">
        <v>1465</v>
      </c>
      <c r="Q45" s="46">
        <v>73</v>
      </c>
      <c r="R45" s="46">
        <v>0</v>
      </c>
      <c r="S45" s="46">
        <v>0</v>
      </c>
      <c r="T45" s="46">
        <v>0</v>
      </c>
      <c r="U45" s="47" t="s">
        <v>1960</v>
      </c>
      <c r="V45" s="47" t="s">
        <v>1937</v>
      </c>
      <c r="W45" s="47" t="s">
        <v>1961</v>
      </c>
      <c r="X45" s="47">
        <v>1</v>
      </c>
      <c r="Y45" s="48">
        <v>3412</v>
      </c>
      <c r="Z45" s="48">
        <v>999.71600000000001</v>
      </c>
      <c r="AA45" s="17"/>
      <c r="AB45" s="46" t="s">
        <v>317</v>
      </c>
      <c r="AC45" s="46">
        <v>1021</v>
      </c>
      <c r="AD45" s="46" t="s">
        <v>318</v>
      </c>
      <c r="AE45" s="46" t="s">
        <v>1639</v>
      </c>
      <c r="AF45" s="17"/>
      <c r="AG45" s="46" t="s">
        <v>1966</v>
      </c>
      <c r="AH45" s="46" t="s">
        <v>1963</v>
      </c>
      <c r="AI45" s="46">
        <v>4</v>
      </c>
      <c r="AJ45" s="52" t="s">
        <v>1922</v>
      </c>
      <c r="AK45" s="45" t="s">
        <v>1870</v>
      </c>
      <c r="AL45" s="46">
        <v>1</v>
      </c>
      <c r="AM45" s="46" t="s">
        <v>1460</v>
      </c>
      <c r="AN45" s="46" t="s">
        <v>1955</v>
      </c>
      <c r="AO45" s="17"/>
      <c r="AP45" s="49" t="s">
        <v>1968</v>
      </c>
      <c r="AQ45" s="46" t="s">
        <v>1870</v>
      </c>
      <c r="AR45" s="46">
        <v>3</v>
      </c>
      <c r="AS45" s="46" t="s">
        <v>1512</v>
      </c>
      <c r="AT45" s="46" t="s">
        <v>1921</v>
      </c>
      <c r="AU45" s="17"/>
      <c r="AV45" s="142"/>
      <c r="AW45" s="122"/>
      <c r="AX45" s="129"/>
      <c r="AY45" s="142"/>
      <c r="AZ45" s="127"/>
      <c r="BA45" s="142" t="s">
        <v>1923</v>
      </c>
      <c r="BB45" s="122" t="s">
        <v>1884</v>
      </c>
      <c r="BC45" s="129" t="s">
        <v>1391</v>
      </c>
      <c r="BD45" s="142" t="s">
        <v>1924</v>
      </c>
      <c r="BE45" s="117">
        <v>1</v>
      </c>
      <c r="BF45" s="118">
        <v>21</v>
      </c>
      <c r="BG45" s="127"/>
      <c r="BH45" s="52"/>
    </row>
    <row r="46" spans="1:60">
      <c r="A46" s="40"/>
      <c r="B46" s="45" t="s">
        <v>1048</v>
      </c>
      <c r="C46" s="46" t="s">
        <v>1048</v>
      </c>
      <c r="D46" s="46" t="s">
        <v>1598</v>
      </c>
      <c r="E46" s="46" t="s">
        <v>1607</v>
      </c>
      <c r="F46" s="17"/>
      <c r="G46" s="46" t="s">
        <v>57</v>
      </c>
      <c r="H46" s="46" t="s">
        <v>1578</v>
      </c>
      <c r="I46" s="46" t="s">
        <v>1600</v>
      </c>
      <c r="J46" s="46" t="s">
        <v>1959</v>
      </c>
      <c r="K46" s="46">
        <v>24</v>
      </c>
      <c r="L46" s="46" t="s">
        <v>1950</v>
      </c>
      <c r="M46" s="46">
        <v>4</v>
      </c>
      <c r="N46" s="46" t="s">
        <v>1957</v>
      </c>
      <c r="O46" s="46" t="s">
        <v>78</v>
      </c>
      <c r="P46" s="46" t="s">
        <v>1047</v>
      </c>
      <c r="Q46" s="46">
        <v>25</v>
      </c>
      <c r="R46" s="46">
        <v>0</v>
      </c>
      <c r="S46" s="46">
        <v>0</v>
      </c>
      <c r="T46" s="46">
        <v>0</v>
      </c>
      <c r="U46" s="47" t="s">
        <v>1960</v>
      </c>
      <c r="V46" s="47" t="s">
        <v>1937</v>
      </c>
      <c r="W46" s="47" t="s">
        <v>1961</v>
      </c>
      <c r="X46" s="47">
        <v>1</v>
      </c>
      <c r="Y46" s="48">
        <v>2047.3</v>
      </c>
      <c r="Z46" s="48">
        <v>599.85889999999995</v>
      </c>
      <c r="AA46" s="17"/>
      <c r="AB46" s="46" t="s">
        <v>317</v>
      </c>
      <c r="AC46" s="46">
        <v>1021</v>
      </c>
      <c r="AD46" s="46" t="s">
        <v>318</v>
      </c>
      <c r="AE46" s="46" t="s">
        <v>1640</v>
      </c>
      <c r="AF46" s="17"/>
      <c r="AG46" s="46" t="s">
        <v>78</v>
      </c>
      <c r="AH46" s="46" t="s">
        <v>41</v>
      </c>
      <c r="AI46" s="46" t="s">
        <v>78</v>
      </c>
      <c r="AJ46" s="52"/>
      <c r="AK46" s="45"/>
      <c r="AL46" s="46" t="s">
        <v>78</v>
      </c>
      <c r="AM46" s="46" t="s">
        <v>78</v>
      </c>
      <c r="AN46" s="46" t="s">
        <v>78</v>
      </c>
      <c r="AO46" s="17"/>
      <c r="AP46" s="49" t="s">
        <v>78</v>
      </c>
      <c r="AQ46" s="46" t="s">
        <v>78</v>
      </c>
      <c r="AR46" s="46" t="s">
        <v>78</v>
      </c>
      <c r="AS46" s="46" t="s">
        <v>78</v>
      </c>
      <c r="AT46" s="46" t="s">
        <v>78</v>
      </c>
      <c r="AU46" s="17"/>
      <c r="AV46" s="142" t="s">
        <v>1878</v>
      </c>
      <c r="AW46" s="122" t="s">
        <v>1884</v>
      </c>
      <c r="AX46" s="129" t="s">
        <v>1387</v>
      </c>
      <c r="AY46" s="142" t="s">
        <v>1925</v>
      </c>
      <c r="AZ46" s="127"/>
      <c r="BA46" s="142" t="s">
        <v>1880</v>
      </c>
      <c r="BB46" s="122" t="s">
        <v>1884</v>
      </c>
      <c r="BC46" s="129" t="s">
        <v>1391</v>
      </c>
      <c r="BD46" s="142" t="s">
        <v>1926</v>
      </c>
      <c r="BE46" s="117">
        <v>1</v>
      </c>
      <c r="BF46" s="118">
        <v>22</v>
      </c>
      <c r="BG46" s="127"/>
      <c r="BH46" s="52"/>
    </row>
    <row r="47" spans="1:60">
      <c r="A47" s="40"/>
      <c r="B47" s="45" t="s">
        <v>1051</v>
      </c>
      <c r="C47" s="46" t="s">
        <v>1051</v>
      </c>
      <c r="D47" s="46" t="s">
        <v>1598</v>
      </c>
      <c r="E47" s="46" t="s">
        <v>1607</v>
      </c>
      <c r="F47" s="17"/>
      <c r="G47" s="46" t="s">
        <v>57</v>
      </c>
      <c r="H47" s="46" t="s">
        <v>1641</v>
      </c>
      <c r="I47" s="46" t="s">
        <v>1600</v>
      </c>
      <c r="J47" s="46" t="s">
        <v>1959</v>
      </c>
      <c r="K47" s="46">
        <v>24</v>
      </c>
      <c r="L47" s="46" t="s">
        <v>1950</v>
      </c>
      <c r="M47" s="46">
        <v>4</v>
      </c>
      <c r="N47" s="46" t="s">
        <v>1957</v>
      </c>
      <c r="O47" s="46" t="s">
        <v>78</v>
      </c>
      <c r="P47" s="46" t="s">
        <v>1050</v>
      </c>
      <c r="Q47" s="46">
        <v>26</v>
      </c>
      <c r="R47" s="46">
        <v>0</v>
      </c>
      <c r="S47" s="46">
        <v>0</v>
      </c>
      <c r="T47" s="46">
        <v>0</v>
      </c>
      <c r="U47" s="47" t="s">
        <v>1960</v>
      </c>
      <c r="V47" s="47" t="s">
        <v>1937</v>
      </c>
      <c r="W47" s="47" t="s">
        <v>1961</v>
      </c>
      <c r="X47" s="47">
        <v>1</v>
      </c>
      <c r="Y47" s="48">
        <v>2047.3</v>
      </c>
      <c r="Z47" s="48">
        <v>599.85889999999995</v>
      </c>
      <c r="AA47" s="17"/>
      <c r="AB47" s="46" t="s">
        <v>317</v>
      </c>
      <c r="AC47" s="46">
        <v>1021</v>
      </c>
      <c r="AD47" s="46" t="s">
        <v>318</v>
      </c>
      <c r="AE47" s="46" t="s">
        <v>1642</v>
      </c>
      <c r="AF47" s="17"/>
      <c r="AG47" s="46" t="s">
        <v>78</v>
      </c>
      <c r="AH47" s="46" t="s">
        <v>41</v>
      </c>
      <c r="AI47" s="46" t="s">
        <v>78</v>
      </c>
      <c r="AJ47" s="52"/>
      <c r="AK47" s="45"/>
      <c r="AL47" s="46" t="s">
        <v>78</v>
      </c>
      <c r="AM47" s="46" t="s">
        <v>78</v>
      </c>
      <c r="AN47" s="46" t="s">
        <v>78</v>
      </c>
      <c r="AO47" s="17"/>
      <c r="AP47" s="49" t="s">
        <v>78</v>
      </c>
      <c r="AQ47" s="46" t="s">
        <v>78</v>
      </c>
      <c r="AR47" s="46" t="s">
        <v>78</v>
      </c>
      <c r="AS47" s="46" t="s">
        <v>78</v>
      </c>
      <c r="AT47" s="46" t="s">
        <v>78</v>
      </c>
      <c r="AU47" s="17"/>
      <c r="AV47" s="142" t="s">
        <v>1878</v>
      </c>
      <c r="AW47" s="122" t="s">
        <v>1884</v>
      </c>
      <c r="AX47" s="129" t="s">
        <v>1387</v>
      </c>
      <c r="AY47" s="142" t="s">
        <v>1927</v>
      </c>
      <c r="AZ47" s="127"/>
      <c r="BA47" s="142" t="s">
        <v>1880</v>
      </c>
      <c r="BB47" s="122" t="s">
        <v>1884</v>
      </c>
      <c r="BC47" s="129" t="s">
        <v>1391</v>
      </c>
      <c r="BD47" s="142" t="s">
        <v>1928</v>
      </c>
      <c r="BE47" s="117">
        <v>1</v>
      </c>
      <c r="BF47" s="118">
        <v>23</v>
      </c>
      <c r="BG47" s="127"/>
      <c r="BH47" s="52"/>
    </row>
    <row r="48" spans="1:60">
      <c r="A48" s="40"/>
      <c r="B48" s="17"/>
      <c r="C48" s="17" t="s">
        <v>78</v>
      </c>
      <c r="D48" s="17" t="s">
        <v>78</v>
      </c>
      <c r="E48" s="17" t="s">
        <v>78</v>
      </c>
      <c r="F48" s="17"/>
      <c r="G48" s="17" t="s">
        <v>78</v>
      </c>
      <c r="H48" s="17" t="s">
        <v>78</v>
      </c>
      <c r="I48" s="17" t="s">
        <v>78</v>
      </c>
      <c r="J48" s="17" t="s">
        <v>78</v>
      </c>
      <c r="K48" s="17" t="s">
        <v>78</v>
      </c>
      <c r="L48" s="17" t="s">
        <v>78</v>
      </c>
      <c r="M48" s="17" t="s">
        <v>78</v>
      </c>
      <c r="N48" s="17" t="s">
        <v>78</v>
      </c>
      <c r="O48" s="17" t="s">
        <v>78</v>
      </c>
      <c r="P48" s="17" t="s">
        <v>78</v>
      </c>
      <c r="Q48" s="46" t="s">
        <v>78</v>
      </c>
      <c r="R48" s="17" t="s">
        <v>78</v>
      </c>
      <c r="S48" s="17" t="s">
        <v>78</v>
      </c>
      <c r="T48" s="17" t="s">
        <v>78</v>
      </c>
      <c r="U48" s="17" t="s">
        <v>78</v>
      </c>
      <c r="V48" s="17" t="s">
        <v>78</v>
      </c>
      <c r="W48" s="17" t="s">
        <v>78</v>
      </c>
      <c r="X48" s="17" t="s">
        <v>78</v>
      </c>
      <c r="Y48" s="56" t="s">
        <v>78</v>
      </c>
      <c r="Z48" s="56" t="s">
        <v>78</v>
      </c>
      <c r="AA48" s="17"/>
      <c r="AB48" s="17" t="s">
        <v>78</v>
      </c>
      <c r="AC48" s="17" t="s">
        <v>78</v>
      </c>
      <c r="AD48" s="17" t="s">
        <v>78</v>
      </c>
      <c r="AE48" s="17" t="s">
        <v>78</v>
      </c>
      <c r="AF48" s="17"/>
      <c r="AG48" s="17" t="s">
        <v>78</v>
      </c>
      <c r="AH48" s="17" t="s">
        <v>78</v>
      </c>
      <c r="AI48" s="17" t="s">
        <v>78</v>
      </c>
      <c r="AJ48" s="17"/>
      <c r="AK48" s="17"/>
      <c r="AL48" s="17" t="s">
        <v>78</v>
      </c>
      <c r="AM48" s="17" t="s">
        <v>78</v>
      </c>
      <c r="AN48" s="17" t="s">
        <v>78</v>
      </c>
      <c r="AO48" s="17"/>
      <c r="AP48" s="17" t="s">
        <v>78</v>
      </c>
      <c r="AQ48" s="17" t="s">
        <v>78</v>
      </c>
      <c r="AR48" s="17" t="s">
        <v>78</v>
      </c>
      <c r="AS48" s="17" t="s">
        <v>78</v>
      </c>
      <c r="AT48" s="17" t="s">
        <v>78</v>
      </c>
      <c r="AU48" s="1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7"/>
    </row>
    <row r="49" spans="1:60">
      <c r="A49" s="40"/>
      <c r="B49" s="45" t="s">
        <v>1359</v>
      </c>
      <c r="C49" s="46" t="s">
        <v>1969</v>
      </c>
      <c r="D49" s="46" t="s">
        <v>1583</v>
      </c>
      <c r="E49" s="46" t="s">
        <v>1575</v>
      </c>
      <c r="F49" s="17"/>
      <c r="G49" s="46" t="s">
        <v>744</v>
      </c>
      <c r="H49" s="46" t="s">
        <v>1797</v>
      </c>
      <c r="I49" s="46" t="s">
        <v>1799</v>
      </c>
      <c r="J49" s="46" t="s">
        <v>1933</v>
      </c>
      <c r="K49" s="46">
        <v>24</v>
      </c>
      <c r="L49" s="46" t="s">
        <v>1942</v>
      </c>
      <c r="M49" s="46" t="s">
        <v>78</v>
      </c>
      <c r="N49" s="46" t="s">
        <v>78</v>
      </c>
      <c r="O49" s="46" t="s">
        <v>1935</v>
      </c>
      <c r="P49" s="46" t="s">
        <v>1358</v>
      </c>
      <c r="Q49" s="46">
        <v>54</v>
      </c>
      <c r="R49" s="46">
        <v>0</v>
      </c>
      <c r="S49" s="46">
        <v>0</v>
      </c>
      <c r="T49" s="46">
        <v>0</v>
      </c>
      <c r="U49" s="47" t="s">
        <v>1936</v>
      </c>
      <c r="V49" s="47" t="s">
        <v>1937</v>
      </c>
      <c r="W49" s="47" t="s">
        <v>1970</v>
      </c>
      <c r="X49" s="47">
        <v>2</v>
      </c>
      <c r="Y49" s="48">
        <v>1453.9249146757679</v>
      </c>
      <c r="Z49" s="48">
        <v>426</v>
      </c>
      <c r="AA49" s="17"/>
      <c r="AB49" s="46" t="s">
        <v>317</v>
      </c>
      <c r="AC49" s="46">
        <v>1021</v>
      </c>
      <c r="AD49" s="46" t="s">
        <v>755</v>
      </c>
      <c r="AE49" s="46" t="s">
        <v>757</v>
      </c>
      <c r="AF49" s="17"/>
      <c r="AG49" s="46" t="s">
        <v>1969</v>
      </c>
      <c r="AH49" s="46" t="s">
        <v>41</v>
      </c>
      <c r="AI49" s="46">
        <v>2</v>
      </c>
      <c r="AJ49" s="53" t="s">
        <v>1929</v>
      </c>
      <c r="AK49" s="45" t="s">
        <v>1858</v>
      </c>
      <c r="AL49" s="46">
        <v>2</v>
      </c>
      <c r="AM49" s="46" t="s">
        <v>1365</v>
      </c>
      <c r="AN49" s="46" t="s">
        <v>1971</v>
      </c>
      <c r="AO49" s="17"/>
      <c r="AP49" s="49" t="s">
        <v>1972</v>
      </c>
      <c r="AQ49" s="46" t="s">
        <v>1858</v>
      </c>
      <c r="AR49" s="46">
        <v>2</v>
      </c>
      <c r="AS49" s="46" t="s">
        <v>1365</v>
      </c>
      <c r="AT49" s="46" t="s">
        <v>1930</v>
      </c>
      <c r="AU49" s="17"/>
      <c r="AV49" s="142"/>
      <c r="AW49" s="122"/>
      <c r="AX49" s="129"/>
      <c r="AY49" s="142"/>
      <c r="AZ49" s="127"/>
      <c r="BA49" s="142"/>
      <c r="BB49" s="122"/>
      <c r="BC49" s="129"/>
      <c r="BD49" s="142"/>
      <c r="BE49" s="117"/>
      <c r="BF49" s="118"/>
      <c r="BG49" s="127"/>
      <c r="BH49" s="52"/>
    </row>
    <row r="50" spans="1:60">
      <c r="A50" s="40"/>
      <c r="B50" s="45" t="s">
        <v>1365</v>
      </c>
      <c r="C50" s="46" t="s">
        <v>1969</v>
      </c>
      <c r="D50" s="46" t="s">
        <v>1583</v>
      </c>
      <c r="E50" s="46" t="s">
        <v>1575</v>
      </c>
      <c r="F50" s="17"/>
      <c r="G50" s="46" t="s">
        <v>744</v>
      </c>
      <c r="H50" s="46" t="s">
        <v>1797</v>
      </c>
      <c r="I50" s="46" t="s">
        <v>1799</v>
      </c>
      <c r="J50" s="46" t="s">
        <v>1933</v>
      </c>
      <c r="K50" s="46">
        <v>24</v>
      </c>
      <c r="L50" s="46" t="s">
        <v>1942</v>
      </c>
      <c r="M50" s="46" t="s">
        <v>78</v>
      </c>
      <c r="N50" s="46" t="s">
        <v>78</v>
      </c>
      <c r="O50" s="46" t="s">
        <v>1935</v>
      </c>
      <c r="P50" s="46" t="s">
        <v>1358</v>
      </c>
      <c r="Q50" s="46">
        <v>54</v>
      </c>
      <c r="R50" s="46">
        <v>0</v>
      </c>
      <c r="S50" s="46">
        <v>0</v>
      </c>
      <c r="T50" s="46">
        <v>0</v>
      </c>
      <c r="U50" s="47" t="s">
        <v>1936</v>
      </c>
      <c r="V50" s="47" t="s">
        <v>1937</v>
      </c>
      <c r="W50" s="47" t="s">
        <v>1970</v>
      </c>
      <c r="X50" s="47">
        <v>2</v>
      </c>
      <c r="Y50" s="48">
        <v>1453.9249146757679</v>
      </c>
      <c r="Z50" s="48">
        <v>426</v>
      </c>
      <c r="AA50" s="17"/>
      <c r="AB50" s="46" t="s">
        <v>317</v>
      </c>
      <c r="AC50" s="46">
        <v>1021</v>
      </c>
      <c r="AD50" s="46" t="s">
        <v>755</v>
      </c>
      <c r="AE50" s="46" t="s">
        <v>757</v>
      </c>
      <c r="AF50" s="17"/>
      <c r="AG50" s="46" t="s">
        <v>1969</v>
      </c>
      <c r="AH50" s="46" t="s">
        <v>1696</v>
      </c>
      <c r="AI50" s="46">
        <v>2</v>
      </c>
      <c r="AJ50" s="53" t="s">
        <v>1930</v>
      </c>
      <c r="AK50" s="45" t="s">
        <v>1858</v>
      </c>
      <c r="AL50" s="46">
        <v>1</v>
      </c>
      <c r="AM50" s="46" t="s">
        <v>1359</v>
      </c>
      <c r="AN50" s="46" t="s">
        <v>1972</v>
      </c>
      <c r="AO50" s="17"/>
      <c r="AP50" s="49" t="s">
        <v>1971</v>
      </c>
      <c r="AQ50" s="46" t="s">
        <v>1858</v>
      </c>
      <c r="AR50" s="46">
        <v>1</v>
      </c>
      <c r="AS50" s="46" t="s">
        <v>1359</v>
      </c>
      <c r="AT50" s="46" t="s">
        <v>1929</v>
      </c>
      <c r="AU50" s="17"/>
      <c r="AV50" s="142"/>
      <c r="AW50" s="122"/>
      <c r="AX50" s="129"/>
      <c r="AY50" s="142"/>
      <c r="AZ50" s="127"/>
      <c r="BA50" s="142"/>
      <c r="BB50" s="122"/>
      <c r="BC50" s="129"/>
      <c r="BD50" s="142"/>
      <c r="BE50" s="117"/>
      <c r="BF50" s="118"/>
      <c r="BG50" s="127"/>
      <c r="BH50" s="52"/>
    </row>
    <row r="51" spans="1:60">
      <c r="A51" s="40"/>
      <c r="B51" s="45" t="s">
        <v>1800</v>
      </c>
      <c r="C51" s="46" t="s">
        <v>1107</v>
      </c>
      <c r="D51" s="46" t="s">
        <v>1589</v>
      </c>
      <c r="E51" s="46" t="s">
        <v>1575</v>
      </c>
      <c r="F51" s="17"/>
      <c r="G51" s="46" t="s">
        <v>744</v>
      </c>
      <c r="H51" s="46" t="s">
        <v>1797</v>
      </c>
      <c r="I51" s="46" t="s">
        <v>1591</v>
      </c>
      <c r="J51" s="46" t="s">
        <v>1949</v>
      </c>
      <c r="K51" s="46">
        <v>24</v>
      </c>
      <c r="L51" s="46" t="s">
        <v>1950</v>
      </c>
      <c r="M51" s="46" t="s">
        <v>78</v>
      </c>
      <c r="N51" s="46" t="s">
        <v>78</v>
      </c>
      <c r="O51" s="46" t="s">
        <v>1935</v>
      </c>
      <c r="P51" s="46" t="s">
        <v>1106</v>
      </c>
      <c r="Q51" s="46">
        <v>37</v>
      </c>
      <c r="R51" s="46">
        <v>0</v>
      </c>
      <c r="S51" s="46">
        <v>0</v>
      </c>
      <c r="T51" s="46">
        <v>0</v>
      </c>
      <c r="U51" s="47" t="s">
        <v>1952</v>
      </c>
      <c r="V51" s="47" t="s">
        <v>1937</v>
      </c>
      <c r="W51" s="47" t="s">
        <v>1958</v>
      </c>
      <c r="X51" s="47">
        <v>2</v>
      </c>
      <c r="Y51" s="48">
        <v>1194</v>
      </c>
      <c r="Z51" s="48">
        <v>349.84199999999998</v>
      </c>
      <c r="AA51" s="17"/>
      <c r="AB51" s="46" t="s">
        <v>847</v>
      </c>
      <c r="AC51" s="46">
        <v>3160</v>
      </c>
      <c r="AD51" s="46" t="s">
        <v>848</v>
      </c>
      <c r="AE51" s="46" t="s">
        <v>850</v>
      </c>
      <c r="AF51" s="17"/>
      <c r="AG51" s="46" t="s">
        <v>1107</v>
      </c>
      <c r="AH51" s="46" t="s">
        <v>41</v>
      </c>
      <c r="AI51" s="46">
        <v>2</v>
      </c>
      <c r="AJ51" s="52" t="s">
        <v>1869</v>
      </c>
      <c r="AK51" s="45" t="s">
        <v>1870</v>
      </c>
      <c r="AL51" s="46">
        <v>2</v>
      </c>
      <c r="AM51" s="46" t="s">
        <v>1801</v>
      </c>
      <c r="AN51" s="46" t="s">
        <v>1954</v>
      </c>
      <c r="AO51" s="17"/>
      <c r="AP51" s="49" t="s">
        <v>1955</v>
      </c>
      <c r="AQ51" s="46" t="s">
        <v>1870</v>
      </c>
      <c r="AR51" s="46">
        <v>2</v>
      </c>
      <c r="AS51" s="46" t="s">
        <v>1801</v>
      </c>
      <c r="AT51" s="46" t="s">
        <v>1874</v>
      </c>
      <c r="AU51" s="17"/>
      <c r="AV51" s="142"/>
      <c r="AW51" s="122"/>
      <c r="AX51" s="129"/>
      <c r="AY51" s="142"/>
      <c r="AZ51" s="127"/>
      <c r="BA51" s="142"/>
      <c r="BB51" s="122"/>
      <c r="BC51" s="129"/>
      <c r="BD51" s="142"/>
      <c r="BE51" s="117"/>
      <c r="BF51" s="118"/>
      <c r="BG51" s="127"/>
      <c r="BH51" s="52"/>
    </row>
    <row r="52" spans="1:60">
      <c r="A52" s="40"/>
      <c r="B52" s="45" t="s">
        <v>1801</v>
      </c>
      <c r="C52" s="46" t="s">
        <v>1107</v>
      </c>
      <c r="D52" s="46" t="s">
        <v>1589</v>
      </c>
      <c r="E52" s="46" t="s">
        <v>1575</v>
      </c>
      <c r="F52" s="17"/>
      <c r="G52" s="46" t="s">
        <v>744</v>
      </c>
      <c r="H52" s="46" t="s">
        <v>1797</v>
      </c>
      <c r="I52" s="46" t="s">
        <v>1591</v>
      </c>
      <c r="J52" s="46" t="s">
        <v>1949</v>
      </c>
      <c r="K52" s="46">
        <v>24</v>
      </c>
      <c r="L52" s="46" t="s">
        <v>1950</v>
      </c>
      <c r="M52" s="46" t="s">
        <v>78</v>
      </c>
      <c r="N52" s="46" t="s">
        <v>78</v>
      </c>
      <c r="O52" s="46" t="s">
        <v>1935</v>
      </c>
      <c r="P52" s="46" t="s">
        <v>1112</v>
      </c>
      <c r="Q52" s="46">
        <v>38</v>
      </c>
      <c r="R52" s="46">
        <v>0</v>
      </c>
      <c r="S52" s="46">
        <v>0</v>
      </c>
      <c r="T52" s="46">
        <v>0</v>
      </c>
      <c r="U52" s="47" t="s">
        <v>1952</v>
      </c>
      <c r="V52" s="47" t="s">
        <v>1937</v>
      </c>
      <c r="W52" s="47" t="s">
        <v>1958</v>
      </c>
      <c r="X52" s="47">
        <v>2</v>
      </c>
      <c r="Y52" s="48">
        <v>1194</v>
      </c>
      <c r="Z52" s="48">
        <v>349.84199999999998</v>
      </c>
      <c r="AA52" s="17"/>
      <c r="AB52" s="46" t="s">
        <v>847</v>
      </c>
      <c r="AC52" s="46">
        <v>3160</v>
      </c>
      <c r="AD52" s="46" t="s">
        <v>848</v>
      </c>
      <c r="AE52" s="46" t="s">
        <v>850</v>
      </c>
      <c r="AF52" s="17"/>
      <c r="AG52" s="46" t="s">
        <v>1107</v>
      </c>
      <c r="AH52" s="46" t="s">
        <v>1696</v>
      </c>
      <c r="AI52" s="46">
        <v>2</v>
      </c>
      <c r="AJ52" s="52" t="s">
        <v>1874</v>
      </c>
      <c r="AK52" s="45" t="s">
        <v>1870</v>
      </c>
      <c r="AL52" s="46">
        <v>1</v>
      </c>
      <c r="AM52" s="46" t="s">
        <v>1800</v>
      </c>
      <c r="AN52" s="46" t="s">
        <v>1955</v>
      </c>
      <c r="AO52" s="17"/>
      <c r="AP52" s="49" t="s">
        <v>1954</v>
      </c>
      <c r="AQ52" s="46" t="s">
        <v>1870</v>
      </c>
      <c r="AR52" s="46">
        <v>1</v>
      </c>
      <c r="AS52" s="46" t="s">
        <v>1800</v>
      </c>
      <c r="AT52" s="46" t="s">
        <v>1869</v>
      </c>
      <c r="AU52" s="17"/>
      <c r="AV52" s="142"/>
      <c r="AW52" s="122"/>
      <c r="AX52" s="129"/>
      <c r="AY52" s="142"/>
      <c r="AZ52" s="127"/>
      <c r="BA52" s="142"/>
      <c r="BB52" s="122"/>
      <c r="BC52" s="129"/>
      <c r="BD52" s="142"/>
      <c r="BE52" s="117"/>
      <c r="BF52" s="118"/>
      <c r="BG52" s="127"/>
      <c r="BH52" s="52"/>
    </row>
    <row r="53" spans="1:60">
      <c r="A53" s="40"/>
      <c r="B53" s="45" t="s">
        <v>1395</v>
      </c>
      <c r="C53" s="46" t="s">
        <v>1973</v>
      </c>
      <c r="D53" s="46" t="s">
        <v>1598</v>
      </c>
      <c r="E53" s="46" t="s">
        <v>1575</v>
      </c>
      <c r="F53" s="17"/>
      <c r="G53" s="46" t="s">
        <v>744</v>
      </c>
      <c r="H53" s="46" t="s">
        <v>1787</v>
      </c>
      <c r="I53" s="46" t="s">
        <v>1605</v>
      </c>
      <c r="J53" s="46" t="s">
        <v>1959</v>
      </c>
      <c r="K53" s="46">
        <v>48</v>
      </c>
      <c r="L53" s="46" t="s">
        <v>1950</v>
      </c>
      <c r="M53" s="46">
        <v>4</v>
      </c>
      <c r="N53" s="46" t="s">
        <v>1957</v>
      </c>
      <c r="O53" s="46" t="s">
        <v>1935</v>
      </c>
      <c r="P53" s="46" t="s">
        <v>1394</v>
      </c>
      <c r="Q53" s="46">
        <v>62</v>
      </c>
      <c r="R53" s="46">
        <v>0</v>
      </c>
      <c r="S53" s="46">
        <v>0</v>
      </c>
      <c r="T53" s="46">
        <v>0</v>
      </c>
      <c r="U53" s="47" t="s">
        <v>1960</v>
      </c>
      <c r="V53" s="47" t="s">
        <v>1937</v>
      </c>
      <c r="W53" s="47" t="s">
        <v>1961</v>
      </c>
      <c r="X53" s="47">
        <v>1</v>
      </c>
      <c r="Y53" s="48">
        <v>3412</v>
      </c>
      <c r="Z53" s="48">
        <v>999.71600000000001</v>
      </c>
      <c r="AA53" s="17"/>
      <c r="AB53" s="46" t="s">
        <v>317</v>
      </c>
      <c r="AC53" s="46">
        <v>1021</v>
      </c>
      <c r="AD53" s="46" t="s">
        <v>755</v>
      </c>
      <c r="AE53" s="46" t="s">
        <v>1788</v>
      </c>
      <c r="AF53" s="17"/>
      <c r="AG53" s="46" t="s">
        <v>1973</v>
      </c>
      <c r="AH53" s="46" t="s">
        <v>41</v>
      </c>
      <c r="AI53" s="46">
        <v>4</v>
      </c>
      <c r="AJ53" s="52" t="s">
        <v>1869</v>
      </c>
      <c r="AK53" s="45" t="s">
        <v>1870</v>
      </c>
      <c r="AL53" s="46">
        <v>2</v>
      </c>
      <c r="AM53" s="46" t="s">
        <v>1519</v>
      </c>
      <c r="AN53" s="46" t="s">
        <v>1954</v>
      </c>
      <c r="AO53" s="17"/>
      <c r="AP53" s="49" t="s">
        <v>1955</v>
      </c>
      <c r="AQ53" s="46" t="s">
        <v>1870</v>
      </c>
      <c r="AR53" s="46">
        <v>4</v>
      </c>
      <c r="AS53" s="46" t="s">
        <v>1544</v>
      </c>
      <c r="AT53" s="46" t="s">
        <v>1922</v>
      </c>
      <c r="AU53" s="17"/>
      <c r="AV53" s="142" t="s">
        <v>1878</v>
      </c>
      <c r="AW53" s="122" t="s">
        <v>1884</v>
      </c>
      <c r="AX53" s="129" t="s">
        <v>1359</v>
      </c>
      <c r="AY53" s="142" t="s">
        <v>1885</v>
      </c>
      <c r="AZ53" s="127"/>
      <c r="BA53" s="142"/>
      <c r="BB53" s="122"/>
      <c r="BC53" s="129"/>
      <c r="BD53" s="142"/>
      <c r="BE53" s="117">
        <v>1</v>
      </c>
      <c r="BF53" s="118">
        <v>1</v>
      </c>
      <c r="BG53" s="127"/>
      <c r="BH53" s="52"/>
    </row>
    <row r="54" spans="1:60">
      <c r="A54" s="40"/>
      <c r="B54" s="45" t="s">
        <v>1519</v>
      </c>
      <c r="C54" s="46" t="s">
        <v>1973</v>
      </c>
      <c r="D54" s="46" t="s">
        <v>1598</v>
      </c>
      <c r="E54" s="46" t="s">
        <v>1575</v>
      </c>
      <c r="F54" s="17"/>
      <c r="G54" s="46" t="s">
        <v>744</v>
      </c>
      <c r="H54" s="46" t="s">
        <v>1787</v>
      </c>
      <c r="I54" s="46" t="s">
        <v>1605</v>
      </c>
      <c r="J54" s="46" t="s">
        <v>1959</v>
      </c>
      <c r="K54" s="46">
        <v>48</v>
      </c>
      <c r="L54" s="46" t="s">
        <v>1950</v>
      </c>
      <c r="M54" s="46" t="s">
        <v>78</v>
      </c>
      <c r="N54" s="46" t="s">
        <v>78</v>
      </c>
      <c r="O54" s="46" t="s">
        <v>1935</v>
      </c>
      <c r="P54" s="46" t="s">
        <v>1518</v>
      </c>
      <c r="Q54" s="46">
        <v>81</v>
      </c>
      <c r="R54" s="46">
        <v>0</v>
      </c>
      <c r="S54" s="46">
        <v>0</v>
      </c>
      <c r="T54" s="46">
        <v>0</v>
      </c>
      <c r="U54" s="47" t="s">
        <v>1960</v>
      </c>
      <c r="V54" s="47" t="s">
        <v>1937</v>
      </c>
      <c r="W54" s="47" t="s">
        <v>1961</v>
      </c>
      <c r="X54" s="47">
        <v>1</v>
      </c>
      <c r="Y54" s="48">
        <v>3412</v>
      </c>
      <c r="Z54" s="48">
        <v>999.71600000000001</v>
      </c>
      <c r="AA54" s="17"/>
      <c r="AB54" s="46" t="s">
        <v>317</v>
      </c>
      <c r="AC54" s="46">
        <v>1021</v>
      </c>
      <c r="AD54" s="46" t="s">
        <v>755</v>
      </c>
      <c r="AE54" s="46" t="s">
        <v>1788</v>
      </c>
      <c r="AF54" s="17"/>
      <c r="AG54" s="46" t="s">
        <v>1973</v>
      </c>
      <c r="AH54" s="46" t="s">
        <v>1696</v>
      </c>
      <c r="AI54" s="46">
        <v>4</v>
      </c>
      <c r="AJ54" s="52" t="s">
        <v>1874</v>
      </c>
      <c r="AK54" s="45" t="s">
        <v>1870</v>
      </c>
      <c r="AL54" s="46">
        <v>3</v>
      </c>
      <c r="AM54" s="46" t="s">
        <v>1404</v>
      </c>
      <c r="AN54" s="46" t="s">
        <v>1967</v>
      </c>
      <c r="AO54" s="17"/>
      <c r="AP54" s="49" t="s">
        <v>1954</v>
      </c>
      <c r="AQ54" s="46" t="s">
        <v>1870</v>
      </c>
      <c r="AR54" s="46">
        <v>1</v>
      </c>
      <c r="AS54" s="46" t="s">
        <v>1395</v>
      </c>
      <c r="AT54" s="46" t="s">
        <v>1869</v>
      </c>
      <c r="AU54" s="17"/>
      <c r="AV54" s="142"/>
      <c r="AW54" s="122"/>
      <c r="AX54" s="129"/>
      <c r="AY54" s="142"/>
      <c r="AZ54" s="127"/>
      <c r="BA54" s="142"/>
      <c r="BB54" s="122"/>
      <c r="BC54" s="129"/>
      <c r="BD54" s="142"/>
      <c r="BE54" s="117"/>
      <c r="BF54" s="118"/>
      <c r="BG54" s="127"/>
      <c r="BH54" s="52"/>
    </row>
    <row r="55" spans="1:60">
      <c r="A55" s="40"/>
      <c r="B55" s="45" t="s">
        <v>1404</v>
      </c>
      <c r="C55" s="46" t="s">
        <v>1973</v>
      </c>
      <c r="D55" s="46" t="s">
        <v>1598</v>
      </c>
      <c r="E55" s="46" t="s">
        <v>1575</v>
      </c>
      <c r="F55" s="17"/>
      <c r="G55" s="46" t="s">
        <v>744</v>
      </c>
      <c r="H55" s="46" t="s">
        <v>1787</v>
      </c>
      <c r="I55" s="46" t="s">
        <v>1605</v>
      </c>
      <c r="J55" s="46" t="s">
        <v>1959</v>
      </c>
      <c r="K55" s="46">
        <v>48</v>
      </c>
      <c r="L55" s="46" t="s">
        <v>1950</v>
      </c>
      <c r="M55" s="46" t="s">
        <v>78</v>
      </c>
      <c r="N55" s="46" t="s">
        <v>78</v>
      </c>
      <c r="O55" s="46" t="s">
        <v>1935</v>
      </c>
      <c r="P55" s="46" t="s">
        <v>1403</v>
      </c>
      <c r="Q55" s="46">
        <v>63</v>
      </c>
      <c r="R55" s="46">
        <v>0</v>
      </c>
      <c r="S55" s="46">
        <v>0</v>
      </c>
      <c r="T55" s="46">
        <v>0</v>
      </c>
      <c r="U55" s="47" t="s">
        <v>1960</v>
      </c>
      <c r="V55" s="47" t="s">
        <v>1937</v>
      </c>
      <c r="W55" s="47" t="s">
        <v>1961</v>
      </c>
      <c r="X55" s="47">
        <v>1</v>
      </c>
      <c r="Y55" s="48">
        <v>3412</v>
      </c>
      <c r="Z55" s="48">
        <v>999.71600000000001</v>
      </c>
      <c r="AA55" s="17"/>
      <c r="AB55" s="46" t="s">
        <v>317</v>
      </c>
      <c r="AC55" s="46">
        <v>1021</v>
      </c>
      <c r="AD55" s="46" t="s">
        <v>755</v>
      </c>
      <c r="AE55" s="46" t="s">
        <v>1788</v>
      </c>
      <c r="AF55" s="17"/>
      <c r="AG55" s="46" t="s">
        <v>1973</v>
      </c>
      <c r="AH55" s="46" t="s">
        <v>1699</v>
      </c>
      <c r="AI55" s="46">
        <v>4</v>
      </c>
      <c r="AJ55" s="52" t="s">
        <v>1921</v>
      </c>
      <c r="AK55" s="45" t="s">
        <v>1870</v>
      </c>
      <c r="AL55" s="46">
        <v>4</v>
      </c>
      <c r="AM55" s="46" t="s">
        <v>1544</v>
      </c>
      <c r="AN55" s="46" t="s">
        <v>1968</v>
      </c>
      <c r="AO55" s="17"/>
      <c r="AP55" s="49" t="s">
        <v>1967</v>
      </c>
      <c r="AQ55" s="46" t="s">
        <v>1870</v>
      </c>
      <c r="AR55" s="46">
        <v>2</v>
      </c>
      <c r="AS55" s="46" t="s">
        <v>1519</v>
      </c>
      <c r="AT55" s="46" t="s">
        <v>1874</v>
      </c>
      <c r="AU55" s="17"/>
      <c r="AV55" s="142"/>
      <c r="AW55" s="122"/>
      <c r="AX55" s="129"/>
      <c r="AY55" s="142"/>
      <c r="AZ55" s="127"/>
      <c r="BA55" s="142"/>
      <c r="BB55" s="122"/>
      <c r="BC55" s="129"/>
      <c r="BD55" s="142"/>
      <c r="BE55" s="117"/>
      <c r="BF55" s="118"/>
      <c r="BG55" s="127"/>
      <c r="BH55" s="52"/>
    </row>
    <row r="56" spans="1:60">
      <c r="A56" s="40"/>
      <c r="B56" s="45" t="s">
        <v>1544</v>
      </c>
      <c r="C56" s="46" t="s">
        <v>1973</v>
      </c>
      <c r="D56" s="46" t="s">
        <v>1598</v>
      </c>
      <c r="E56" s="46" t="s">
        <v>1575</v>
      </c>
      <c r="F56" s="17"/>
      <c r="G56" s="46" t="s">
        <v>744</v>
      </c>
      <c r="H56" s="46" t="s">
        <v>1787</v>
      </c>
      <c r="I56" s="46" t="s">
        <v>1605</v>
      </c>
      <c r="J56" s="46" t="s">
        <v>1959</v>
      </c>
      <c r="K56" s="46">
        <v>48</v>
      </c>
      <c r="L56" s="46" t="s">
        <v>1950</v>
      </c>
      <c r="M56" s="46">
        <v>4</v>
      </c>
      <c r="N56" s="46" t="s">
        <v>1957</v>
      </c>
      <c r="O56" s="46" t="s">
        <v>1935</v>
      </c>
      <c r="P56" s="46" t="s">
        <v>1543</v>
      </c>
      <c r="Q56" s="46">
        <v>85</v>
      </c>
      <c r="R56" s="46">
        <v>0</v>
      </c>
      <c r="S56" s="46">
        <v>0</v>
      </c>
      <c r="T56" s="46">
        <v>0</v>
      </c>
      <c r="U56" s="47" t="s">
        <v>1960</v>
      </c>
      <c r="V56" s="47" t="s">
        <v>1937</v>
      </c>
      <c r="W56" s="47" t="s">
        <v>1961</v>
      </c>
      <c r="X56" s="47">
        <v>1</v>
      </c>
      <c r="Y56" s="48">
        <v>3412</v>
      </c>
      <c r="Z56" s="48">
        <v>999.71600000000001</v>
      </c>
      <c r="AA56" s="17"/>
      <c r="AB56" s="46" t="s">
        <v>317</v>
      </c>
      <c r="AC56" s="46">
        <v>1021</v>
      </c>
      <c r="AD56" s="46" t="s">
        <v>755</v>
      </c>
      <c r="AE56" s="46" t="s">
        <v>1788</v>
      </c>
      <c r="AF56" s="17"/>
      <c r="AG56" s="46" t="s">
        <v>1973</v>
      </c>
      <c r="AH56" s="46" t="s">
        <v>1963</v>
      </c>
      <c r="AI56" s="46">
        <v>4</v>
      </c>
      <c r="AJ56" s="52" t="s">
        <v>1922</v>
      </c>
      <c r="AK56" s="45" t="s">
        <v>1870</v>
      </c>
      <c r="AL56" s="46">
        <v>1</v>
      </c>
      <c r="AM56" s="46" t="s">
        <v>1395</v>
      </c>
      <c r="AN56" s="46" t="s">
        <v>1955</v>
      </c>
      <c r="AO56" s="17"/>
      <c r="AP56" s="49" t="s">
        <v>1968</v>
      </c>
      <c r="AQ56" s="46" t="s">
        <v>1870</v>
      </c>
      <c r="AR56" s="46">
        <v>3</v>
      </c>
      <c r="AS56" s="46" t="s">
        <v>1404</v>
      </c>
      <c r="AT56" s="46" t="s">
        <v>1921</v>
      </c>
      <c r="AU56" s="17"/>
      <c r="AV56" s="142"/>
      <c r="AW56" s="122"/>
      <c r="AX56" s="129"/>
      <c r="AY56" s="142"/>
      <c r="AZ56" s="127"/>
      <c r="BA56" s="142" t="s">
        <v>1923</v>
      </c>
      <c r="BB56" s="122" t="s">
        <v>1884</v>
      </c>
      <c r="BC56" s="129" t="s">
        <v>1365</v>
      </c>
      <c r="BD56" s="142" t="s">
        <v>1886</v>
      </c>
      <c r="BE56" s="117">
        <v>1</v>
      </c>
      <c r="BF56" s="118">
        <v>1</v>
      </c>
      <c r="BG56" s="127"/>
      <c r="BH56" s="52"/>
    </row>
    <row r="57" spans="1:60">
      <c r="A57" s="40"/>
      <c r="B57" s="45" t="s">
        <v>1410</v>
      </c>
      <c r="C57" s="46" t="s">
        <v>1974</v>
      </c>
      <c r="D57" s="46" t="s">
        <v>1598</v>
      </c>
      <c r="E57" s="46" t="s">
        <v>1575</v>
      </c>
      <c r="F57" s="17"/>
      <c r="G57" s="46" t="s">
        <v>744</v>
      </c>
      <c r="H57" s="46" t="s">
        <v>1789</v>
      </c>
      <c r="I57" s="46" t="s">
        <v>1605</v>
      </c>
      <c r="J57" s="46" t="s">
        <v>1959</v>
      </c>
      <c r="K57" s="46">
        <v>48</v>
      </c>
      <c r="L57" s="46" t="s">
        <v>1950</v>
      </c>
      <c r="M57" s="46">
        <v>4</v>
      </c>
      <c r="N57" s="46" t="s">
        <v>1957</v>
      </c>
      <c r="O57" s="46" t="s">
        <v>1935</v>
      </c>
      <c r="P57" s="46" t="s">
        <v>1409</v>
      </c>
      <c r="Q57" s="46">
        <v>64</v>
      </c>
      <c r="R57" s="46">
        <v>0</v>
      </c>
      <c r="S57" s="46">
        <v>0</v>
      </c>
      <c r="T57" s="46">
        <v>0</v>
      </c>
      <c r="U57" s="47" t="s">
        <v>1960</v>
      </c>
      <c r="V57" s="47" t="s">
        <v>1937</v>
      </c>
      <c r="W57" s="47" t="s">
        <v>1961</v>
      </c>
      <c r="X57" s="47">
        <v>1</v>
      </c>
      <c r="Y57" s="48">
        <v>3412</v>
      </c>
      <c r="Z57" s="48">
        <v>999.71600000000001</v>
      </c>
      <c r="AA57" s="17"/>
      <c r="AB57" s="46" t="s">
        <v>317</v>
      </c>
      <c r="AC57" s="46">
        <v>1021</v>
      </c>
      <c r="AD57" s="46" t="s">
        <v>755</v>
      </c>
      <c r="AE57" s="46" t="s">
        <v>1790</v>
      </c>
      <c r="AF57" s="17"/>
      <c r="AG57" s="46" t="s">
        <v>1974</v>
      </c>
      <c r="AH57" s="46" t="s">
        <v>41</v>
      </c>
      <c r="AI57" s="46">
        <v>4</v>
      </c>
      <c r="AJ57" s="52" t="s">
        <v>1869</v>
      </c>
      <c r="AK57" s="45" t="s">
        <v>1870</v>
      </c>
      <c r="AL57" s="46">
        <v>2</v>
      </c>
      <c r="AM57" s="46" t="s">
        <v>1525</v>
      </c>
      <c r="AN57" s="46" t="s">
        <v>1954</v>
      </c>
      <c r="AO57" s="17"/>
      <c r="AP57" s="49" t="s">
        <v>1955</v>
      </c>
      <c r="AQ57" s="46" t="s">
        <v>1870</v>
      </c>
      <c r="AR57" s="46">
        <v>4</v>
      </c>
      <c r="AS57" s="46" t="s">
        <v>1546</v>
      </c>
      <c r="AT57" s="46" t="s">
        <v>1922</v>
      </c>
      <c r="AU57" s="17"/>
      <c r="AV57" s="142" t="s">
        <v>1878</v>
      </c>
      <c r="AW57" s="122" t="s">
        <v>1884</v>
      </c>
      <c r="AX57" s="129" t="s">
        <v>1359</v>
      </c>
      <c r="AY57" s="142" t="s">
        <v>1887</v>
      </c>
      <c r="AZ57" s="127"/>
      <c r="BA57" s="142"/>
      <c r="BB57" s="122"/>
      <c r="BC57" s="129"/>
      <c r="BD57" s="142"/>
      <c r="BE57" s="117">
        <v>1</v>
      </c>
      <c r="BF57" s="118">
        <v>2</v>
      </c>
      <c r="BG57" s="127"/>
      <c r="BH57" s="52"/>
    </row>
    <row r="58" spans="1:60">
      <c r="A58" s="40"/>
      <c r="B58" s="45" t="s">
        <v>1525</v>
      </c>
      <c r="C58" s="46" t="s">
        <v>1974</v>
      </c>
      <c r="D58" s="46" t="s">
        <v>1598</v>
      </c>
      <c r="E58" s="46" t="s">
        <v>1575</v>
      </c>
      <c r="F58" s="17"/>
      <c r="G58" s="46" t="s">
        <v>744</v>
      </c>
      <c r="H58" s="46" t="s">
        <v>1789</v>
      </c>
      <c r="I58" s="46" t="s">
        <v>1605</v>
      </c>
      <c r="J58" s="46" t="s">
        <v>1959</v>
      </c>
      <c r="K58" s="46">
        <v>48</v>
      </c>
      <c r="L58" s="46" t="s">
        <v>1950</v>
      </c>
      <c r="M58" s="46" t="s">
        <v>78</v>
      </c>
      <c r="N58" s="46" t="s">
        <v>78</v>
      </c>
      <c r="O58" s="46" t="s">
        <v>1935</v>
      </c>
      <c r="P58" s="46" t="s">
        <v>1524</v>
      </c>
      <c r="Q58" s="46">
        <v>82</v>
      </c>
      <c r="R58" s="46">
        <v>0</v>
      </c>
      <c r="S58" s="46">
        <v>0</v>
      </c>
      <c r="T58" s="46">
        <v>0</v>
      </c>
      <c r="U58" s="47" t="s">
        <v>1960</v>
      </c>
      <c r="V58" s="47" t="s">
        <v>1937</v>
      </c>
      <c r="W58" s="47" t="s">
        <v>1961</v>
      </c>
      <c r="X58" s="47">
        <v>1</v>
      </c>
      <c r="Y58" s="48">
        <v>3412</v>
      </c>
      <c r="Z58" s="48">
        <v>999.71600000000001</v>
      </c>
      <c r="AA58" s="17"/>
      <c r="AB58" s="46" t="s">
        <v>317</v>
      </c>
      <c r="AC58" s="46">
        <v>1021</v>
      </c>
      <c r="AD58" s="46" t="s">
        <v>755</v>
      </c>
      <c r="AE58" s="46" t="s">
        <v>1790</v>
      </c>
      <c r="AF58" s="17"/>
      <c r="AG58" s="46" t="s">
        <v>1974</v>
      </c>
      <c r="AH58" s="46" t="s">
        <v>1696</v>
      </c>
      <c r="AI58" s="46">
        <v>4</v>
      </c>
      <c r="AJ58" s="52" t="s">
        <v>1874</v>
      </c>
      <c r="AK58" s="45" t="s">
        <v>1870</v>
      </c>
      <c r="AL58" s="46">
        <v>3</v>
      </c>
      <c r="AM58" s="46" t="s">
        <v>1416</v>
      </c>
      <c r="AN58" s="46" t="s">
        <v>1967</v>
      </c>
      <c r="AO58" s="17"/>
      <c r="AP58" s="49" t="s">
        <v>1954</v>
      </c>
      <c r="AQ58" s="46" t="s">
        <v>1870</v>
      </c>
      <c r="AR58" s="46">
        <v>1</v>
      </c>
      <c r="AS58" s="46" t="s">
        <v>1410</v>
      </c>
      <c r="AT58" s="46" t="s">
        <v>1869</v>
      </c>
      <c r="AU58" s="17"/>
      <c r="AV58" s="142"/>
      <c r="AW58" s="122"/>
      <c r="AX58" s="129"/>
      <c r="AY58" s="142"/>
      <c r="AZ58" s="127"/>
      <c r="BA58" s="142"/>
      <c r="BB58" s="122"/>
      <c r="BC58" s="129"/>
      <c r="BD58" s="142"/>
      <c r="BE58" s="117"/>
      <c r="BF58" s="118"/>
      <c r="BG58" s="127"/>
      <c r="BH58" s="52"/>
    </row>
    <row r="59" spans="1:60">
      <c r="A59" s="40"/>
      <c r="B59" s="45" t="s">
        <v>1416</v>
      </c>
      <c r="C59" s="46" t="s">
        <v>1974</v>
      </c>
      <c r="D59" s="46" t="s">
        <v>1598</v>
      </c>
      <c r="E59" s="46" t="s">
        <v>1575</v>
      </c>
      <c r="F59" s="17"/>
      <c r="G59" s="46" t="s">
        <v>744</v>
      </c>
      <c r="H59" s="46" t="s">
        <v>1789</v>
      </c>
      <c r="I59" s="46" t="s">
        <v>1605</v>
      </c>
      <c r="J59" s="46" t="s">
        <v>1959</v>
      </c>
      <c r="K59" s="46">
        <v>48</v>
      </c>
      <c r="L59" s="46" t="s">
        <v>1950</v>
      </c>
      <c r="M59" s="46" t="s">
        <v>78</v>
      </c>
      <c r="N59" s="46" t="s">
        <v>78</v>
      </c>
      <c r="O59" s="46" t="s">
        <v>1935</v>
      </c>
      <c r="P59" s="46" t="s">
        <v>1415</v>
      </c>
      <c r="Q59" s="46">
        <v>65</v>
      </c>
      <c r="R59" s="46">
        <v>0</v>
      </c>
      <c r="S59" s="46">
        <v>0</v>
      </c>
      <c r="T59" s="46">
        <v>0</v>
      </c>
      <c r="U59" s="47" t="s">
        <v>1960</v>
      </c>
      <c r="V59" s="47" t="s">
        <v>1937</v>
      </c>
      <c r="W59" s="47" t="s">
        <v>1961</v>
      </c>
      <c r="X59" s="47">
        <v>1</v>
      </c>
      <c r="Y59" s="48">
        <v>3412</v>
      </c>
      <c r="Z59" s="48">
        <v>999.71600000000001</v>
      </c>
      <c r="AA59" s="17"/>
      <c r="AB59" s="46" t="s">
        <v>317</v>
      </c>
      <c r="AC59" s="46">
        <v>1021</v>
      </c>
      <c r="AD59" s="46" t="s">
        <v>755</v>
      </c>
      <c r="AE59" s="46" t="s">
        <v>1790</v>
      </c>
      <c r="AF59" s="17"/>
      <c r="AG59" s="46" t="s">
        <v>1974</v>
      </c>
      <c r="AH59" s="46" t="s">
        <v>1699</v>
      </c>
      <c r="AI59" s="46">
        <v>4</v>
      </c>
      <c r="AJ59" s="52" t="s">
        <v>1921</v>
      </c>
      <c r="AK59" s="45" t="s">
        <v>1870</v>
      </c>
      <c r="AL59" s="46">
        <v>4</v>
      </c>
      <c r="AM59" s="46" t="s">
        <v>1546</v>
      </c>
      <c r="AN59" s="46" t="s">
        <v>1968</v>
      </c>
      <c r="AO59" s="17"/>
      <c r="AP59" s="49" t="s">
        <v>1967</v>
      </c>
      <c r="AQ59" s="46" t="s">
        <v>1870</v>
      </c>
      <c r="AR59" s="46">
        <v>2</v>
      </c>
      <c r="AS59" s="46" t="s">
        <v>1525</v>
      </c>
      <c r="AT59" s="46" t="s">
        <v>1874</v>
      </c>
      <c r="AU59" s="17"/>
      <c r="AV59" s="142"/>
      <c r="AW59" s="122"/>
      <c r="AX59" s="129"/>
      <c r="AY59" s="142"/>
      <c r="AZ59" s="127"/>
      <c r="BA59" s="142"/>
      <c r="BB59" s="122"/>
      <c r="BC59" s="129"/>
      <c r="BD59" s="142"/>
      <c r="BE59" s="117"/>
      <c r="BF59" s="118"/>
      <c r="BG59" s="127"/>
      <c r="BH59" s="52"/>
    </row>
    <row r="60" spans="1:60">
      <c r="A60" s="40"/>
      <c r="B60" s="45" t="s">
        <v>1546</v>
      </c>
      <c r="C60" s="46" t="s">
        <v>1974</v>
      </c>
      <c r="D60" s="46" t="s">
        <v>1598</v>
      </c>
      <c r="E60" s="46" t="s">
        <v>1575</v>
      </c>
      <c r="F60" s="17"/>
      <c r="G60" s="46" t="s">
        <v>744</v>
      </c>
      <c r="H60" s="46" t="s">
        <v>1789</v>
      </c>
      <c r="I60" s="46" t="s">
        <v>1605</v>
      </c>
      <c r="J60" s="46" t="s">
        <v>1959</v>
      </c>
      <c r="K60" s="46">
        <v>48</v>
      </c>
      <c r="L60" s="46" t="s">
        <v>1950</v>
      </c>
      <c r="M60" s="46">
        <v>4</v>
      </c>
      <c r="N60" s="46" t="s">
        <v>1957</v>
      </c>
      <c r="O60" s="46" t="s">
        <v>1935</v>
      </c>
      <c r="P60" s="46" t="s">
        <v>1545</v>
      </c>
      <c r="Q60" s="46">
        <v>86</v>
      </c>
      <c r="R60" s="46">
        <v>0</v>
      </c>
      <c r="S60" s="46">
        <v>0</v>
      </c>
      <c r="T60" s="46">
        <v>0</v>
      </c>
      <c r="U60" s="47" t="s">
        <v>1960</v>
      </c>
      <c r="V60" s="47" t="s">
        <v>1937</v>
      </c>
      <c r="W60" s="47" t="s">
        <v>1961</v>
      </c>
      <c r="X60" s="47">
        <v>1</v>
      </c>
      <c r="Y60" s="48">
        <v>3412</v>
      </c>
      <c r="Z60" s="48">
        <v>999.71600000000001</v>
      </c>
      <c r="AA60" s="17"/>
      <c r="AB60" s="46" t="s">
        <v>317</v>
      </c>
      <c r="AC60" s="46">
        <v>1021</v>
      </c>
      <c r="AD60" s="46" t="s">
        <v>755</v>
      </c>
      <c r="AE60" s="46" t="s">
        <v>1790</v>
      </c>
      <c r="AF60" s="17"/>
      <c r="AG60" s="46" t="s">
        <v>1974</v>
      </c>
      <c r="AH60" s="46" t="s">
        <v>1963</v>
      </c>
      <c r="AI60" s="46">
        <v>4</v>
      </c>
      <c r="AJ60" s="52" t="s">
        <v>1922</v>
      </c>
      <c r="AK60" s="45" t="s">
        <v>1870</v>
      </c>
      <c r="AL60" s="46">
        <v>1</v>
      </c>
      <c r="AM60" s="46" t="s">
        <v>1410</v>
      </c>
      <c r="AN60" s="46" t="s">
        <v>1955</v>
      </c>
      <c r="AO60" s="17"/>
      <c r="AP60" s="49" t="s">
        <v>1968</v>
      </c>
      <c r="AQ60" s="46" t="s">
        <v>1870</v>
      </c>
      <c r="AR60" s="46">
        <v>3</v>
      </c>
      <c r="AS60" s="46" t="s">
        <v>1416</v>
      </c>
      <c r="AT60" s="46" t="s">
        <v>1921</v>
      </c>
      <c r="AU60" s="17"/>
      <c r="AV60" s="142"/>
      <c r="AW60" s="122"/>
      <c r="AX60" s="129"/>
      <c r="AY60" s="142"/>
      <c r="AZ60" s="127"/>
      <c r="BA60" s="142" t="s">
        <v>1923</v>
      </c>
      <c r="BB60" s="122" t="s">
        <v>1884</v>
      </c>
      <c r="BC60" s="129" t="s">
        <v>1365</v>
      </c>
      <c r="BD60" s="142" t="s">
        <v>1888</v>
      </c>
      <c r="BE60" s="117">
        <v>1</v>
      </c>
      <c r="BF60" s="118">
        <v>2</v>
      </c>
      <c r="BG60" s="127"/>
      <c r="BH60" s="52"/>
    </row>
    <row r="61" spans="1:60">
      <c r="A61" s="40"/>
      <c r="B61" s="45" t="s">
        <v>1422</v>
      </c>
      <c r="C61" s="46" t="s">
        <v>1975</v>
      </c>
      <c r="D61" s="46" t="s">
        <v>1598</v>
      </c>
      <c r="E61" s="46" t="s">
        <v>1575</v>
      </c>
      <c r="F61" s="17"/>
      <c r="G61" s="46" t="s">
        <v>744</v>
      </c>
      <c r="H61" s="46" t="s">
        <v>1791</v>
      </c>
      <c r="I61" s="46" t="s">
        <v>1605</v>
      </c>
      <c r="J61" s="46" t="s">
        <v>1959</v>
      </c>
      <c r="K61" s="46">
        <v>48</v>
      </c>
      <c r="L61" s="46" t="s">
        <v>1950</v>
      </c>
      <c r="M61" s="46">
        <v>4</v>
      </c>
      <c r="N61" s="46" t="s">
        <v>1957</v>
      </c>
      <c r="O61" s="46" t="s">
        <v>1935</v>
      </c>
      <c r="P61" s="46" t="s">
        <v>1421</v>
      </c>
      <c r="Q61" s="46">
        <v>66</v>
      </c>
      <c r="R61" s="46">
        <v>0</v>
      </c>
      <c r="S61" s="46">
        <v>0</v>
      </c>
      <c r="T61" s="46">
        <v>0</v>
      </c>
      <c r="U61" s="47" t="s">
        <v>1960</v>
      </c>
      <c r="V61" s="47" t="s">
        <v>1937</v>
      </c>
      <c r="W61" s="47" t="s">
        <v>1961</v>
      </c>
      <c r="X61" s="47">
        <v>1</v>
      </c>
      <c r="Y61" s="48">
        <v>3412</v>
      </c>
      <c r="Z61" s="48">
        <v>999.71600000000001</v>
      </c>
      <c r="AA61" s="17"/>
      <c r="AB61" s="46" t="s">
        <v>317</v>
      </c>
      <c r="AC61" s="46">
        <v>1021</v>
      </c>
      <c r="AD61" s="46" t="s">
        <v>755</v>
      </c>
      <c r="AE61" s="46" t="s">
        <v>1792</v>
      </c>
      <c r="AF61" s="17"/>
      <c r="AG61" s="46" t="s">
        <v>1975</v>
      </c>
      <c r="AH61" s="46" t="s">
        <v>41</v>
      </c>
      <c r="AI61" s="46">
        <v>4</v>
      </c>
      <c r="AJ61" s="52" t="s">
        <v>1869</v>
      </c>
      <c r="AK61" s="45" t="s">
        <v>1870</v>
      </c>
      <c r="AL61" s="46">
        <v>2</v>
      </c>
      <c r="AM61" s="46" t="s">
        <v>1428</v>
      </c>
      <c r="AN61" s="46" t="s">
        <v>1954</v>
      </c>
      <c r="AO61" s="17"/>
      <c r="AP61" s="49" t="s">
        <v>1955</v>
      </c>
      <c r="AQ61" s="46" t="s">
        <v>1870</v>
      </c>
      <c r="AR61" s="46">
        <v>4</v>
      </c>
      <c r="AS61" s="46" t="s">
        <v>1453</v>
      </c>
      <c r="AT61" s="46" t="s">
        <v>1922</v>
      </c>
      <c r="AU61" s="17"/>
      <c r="AV61" s="142" t="s">
        <v>1878</v>
      </c>
      <c r="AW61" s="122" t="s">
        <v>1884</v>
      </c>
      <c r="AX61" s="129" t="s">
        <v>1359</v>
      </c>
      <c r="AY61" s="142" t="s">
        <v>1889</v>
      </c>
      <c r="AZ61" s="127"/>
      <c r="BA61" s="142"/>
      <c r="BB61" s="122"/>
      <c r="BC61" s="129"/>
      <c r="BD61" s="142"/>
      <c r="BE61" s="117">
        <v>1</v>
      </c>
      <c r="BF61" s="118">
        <v>3</v>
      </c>
      <c r="BG61" s="127"/>
      <c r="BH61" s="52"/>
    </row>
    <row r="62" spans="1:60">
      <c r="A62" s="40"/>
      <c r="B62" s="45" t="s">
        <v>1428</v>
      </c>
      <c r="C62" s="46" t="s">
        <v>1975</v>
      </c>
      <c r="D62" s="46" t="s">
        <v>1598</v>
      </c>
      <c r="E62" s="46" t="s">
        <v>1575</v>
      </c>
      <c r="F62" s="17"/>
      <c r="G62" s="46" t="s">
        <v>744</v>
      </c>
      <c r="H62" s="46" t="s">
        <v>1791</v>
      </c>
      <c r="I62" s="46" t="s">
        <v>1605</v>
      </c>
      <c r="J62" s="46" t="s">
        <v>1959</v>
      </c>
      <c r="K62" s="46">
        <v>48</v>
      </c>
      <c r="L62" s="46" t="s">
        <v>1950</v>
      </c>
      <c r="M62" s="46" t="s">
        <v>78</v>
      </c>
      <c r="N62" s="46" t="s">
        <v>78</v>
      </c>
      <c r="O62" s="46" t="s">
        <v>1935</v>
      </c>
      <c r="P62" s="46" t="s">
        <v>1427</v>
      </c>
      <c r="Q62" s="46">
        <v>67</v>
      </c>
      <c r="R62" s="46">
        <v>0</v>
      </c>
      <c r="S62" s="46">
        <v>0</v>
      </c>
      <c r="T62" s="46">
        <v>0</v>
      </c>
      <c r="U62" s="47" t="s">
        <v>1960</v>
      </c>
      <c r="V62" s="47" t="s">
        <v>1937</v>
      </c>
      <c r="W62" s="47" t="s">
        <v>1961</v>
      </c>
      <c r="X62" s="47">
        <v>1</v>
      </c>
      <c r="Y62" s="48">
        <v>3412</v>
      </c>
      <c r="Z62" s="48">
        <v>999.71600000000001</v>
      </c>
      <c r="AA62" s="17"/>
      <c r="AB62" s="46" t="s">
        <v>317</v>
      </c>
      <c r="AC62" s="46">
        <v>1021</v>
      </c>
      <c r="AD62" s="46" t="s">
        <v>755</v>
      </c>
      <c r="AE62" s="46" t="s">
        <v>1792</v>
      </c>
      <c r="AF62" s="17"/>
      <c r="AG62" s="46" t="s">
        <v>1975</v>
      </c>
      <c r="AH62" s="46" t="s">
        <v>1696</v>
      </c>
      <c r="AI62" s="46">
        <v>4</v>
      </c>
      <c r="AJ62" s="52" t="s">
        <v>1874</v>
      </c>
      <c r="AK62" s="45" t="s">
        <v>1870</v>
      </c>
      <c r="AL62" s="46">
        <v>3</v>
      </c>
      <c r="AM62" s="46" t="s">
        <v>1548</v>
      </c>
      <c r="AN62" s="46" t="s">
        <v>1967</v>
      </c>
      <c r="AO62" s="17"/>
      <c r="AP62" s="49" t="s">
        <v>1954</v>
      </c>
      <c r="AQ62" s="46" t="s">
        <v>1870</v>
      </c>
      <c r="AR62" s="46">
        <v>1</v>
      </c>
      <c r="AS62" s="46" t="s">
        <v>1422</v>
      </c>
      <c r="AT62" s="46" t="s">
        <v>1869</v>
      </c>
      <c r="AU62" s="17"/>
      <c r="AV62" s="142"/>
      <c r="AW62" s="122"/>
      <c r="AX62" s="129"/>
      <c r="AY62" s="142"/>
      <c r="AZ62" s="127"/>
      <c r="BA62" s="142"/>
      <c r="BB62" s="122"/>
      <c r="BC62" s="129"/>
      <c r="BD62" s="142"/>
      <c r="BE62" s="117"/>
      <c r="BF62" s="118"/>
      <c r="BG62" s="127"/>
      <c r="BH62" s="52"/>
    </row>
    <row r="63" spans="1:60">
      <c r="A63" s="40"/>
      <c r="B63" s="45" t="s">
        <v>1548</v>
      </c>
      <c r="C63" s="46" t="s">
        <v>1975</v>
      </c>
      <c r="D63" s="46" t="s">
        <v>1598</v>
      </c>
      <c r="E63" s="46" t="s">
        <v>1575</v>
      </c>
      <c r="F63" s="17"/>
      <c r="G63" s="46" t="s">
        <v>744</v>
      </c>
      <c r="H63" s="46" t="s">
        <v>1791</v>
      </c>
      <c r="I63" s="46" t="s">
        <v>1605</v>
      </c>
      <c r="J63" s="46" t="s">
        <v>1959</v>
      </c>
      <c r="K63" s="46">
        <v>48</v>
      </c>
      <c r="L63" s="46" t="s">
        <v>1950</v>
      </c>
      <c r="M63" s="46" t="s">
        <v>78</v>
      </c>
      <c r="N63" s="46" t="s">
        <v>78</v>
      </c>
      <c r="O63" s="46" t="s">
        <v>1935</v>
      </c>
      <c r="P63" s="46" t="s">
        <v>1547</v>
      </c>
      <c r="Q63" s="46">
        <v>87</v>
      </c>
      <c r="R63" s="46">
        <v>0</v>
      </c>
      <c r="S63" s="46">
        <v>0</v>
      </c>
      <c r="T63" s="46">
        <v>0</v>
      </c>
      <c r="U63" s="47" t="s">
        <v>1960</v>
      </c>
      <c r="V63" s="47" t="s">
        <v>1937</v>
      </c>
      <c r="W63" s="47" t="s">
        <v>1961</v>
      </c>
      <c r="X63" s="47">
        <v>1</v>
      </c>
      <c r="Y63" s="48">
        <v>3412</v>
      </c>
      <c r="Z63" s="48">
        <v>999.71600000000001</v>
      </c>
      <c r="AA63" s="17"/>
      <c r="AB63" s="46" t="s">
        <v>317</v>
      </c>
      <c r="AC63" s="46">
        <v>1021</v>
      </c>
      <c r="AD63" s="46" t="s">
        <v>755</v>
      </c>
      <c r="AE63" s="46" t="s">
        <v>1792</v>
      </c>
      <c r="AF63" s="17"/>
      <c r="AG63" s="46" t="s">
        <v>1975</v>
      </c>
      <c r="AH63" s="46" t="s">
        <v>1699</v>
      </c>
      <c r="AI63" s="46">
        <v>4</v>
      </c>
      <c r="AJ63" s="52" t="s">
        <v>1921</v>
      </c>
      <c r="AK63" s="45" t="s">
        <v>1870</v>
      </c>
      <c r="AL63" s="46">
        <v>4</v>
      </c>
      <c r="AM63" s="46" t="s">
        <v>1453</v>
      </c>
      <c r="AN63" s="46" t="s">
        <v>1968</v>
      </c>
      <c r="AO63" s="17"/>
      <c r="AP63" s="49" t="s">
        <v>1967</v>
      </c>
      <c r="AQ63" s="46" t="s">
        <v>1870</v>
      </c>
      <c r="AR63" s="46">
        <v>2</v>
      </c>
      <c r="AS63" s="46" t="s">
        <v>1428</v>
      </c>
      <c r="AT63" s="46" t="s">
        <v>1874</v>
      </c>
      <c r="AU63" s="17"/>
      <c r="AV63" s="142"/>
      <c r="AW63" s="122"/>
      <c r="AX63" s="129"/>
      <c r="AY63" s="142"/>
      <c r="AZ63" s="127"/>
      <c r="BA63" s="142"/>
      <c r="BB63" s="122"/>
      <c r="BC63" s="129"/>
      <c r="BD63" s="142"/>
      <c r="BE63" s="117"/>
      <c r="BF63" s="118"/>
      <c r="BG63" s="127"/>
      <c r="BH63" s="52"/>
    </row>
    <row r="64" spans="1:60">
      <c r="A64" s="40"/>
      <c r="B64" s="45" t="s">
        <v>1453</v>
      </c>
      <c r="C64" s="46" t="s">
        <v>1975</v>
      </c>
      <c r="D64" s="46" t="s">
        <v>1598</v>
      </c>
      <c r="E64" s="46" t="s">
        <v>1575</v>
      </c>
      <c r="F64" s="17"/>
      <c r="G64" s="46" t="s">
        <v>744</v>
      </c>
      <c r="H64" s="46" t="s">
        <v>1791</v>
      </c>
      <c r="I64" s="46" t="s">
        <v>1605</v>
      </c>
      <c r="J64" s="46" t="s">
        <v>1959</v>
      </c>
      <c r="K64" s="46">
        <v>48</v>
      </c>
      <c r="L64" s="46" t="s">
        <v>1950</v>
      </c>
      <c r="M64" s="46">
        <v>4</v>
      </c>
      <c r="N64" s="46" t="s">
        <v>1957</v>
      </c>
      <c r="O64" s="46" t="s">
        <v>1935</v>
      </c>
      <c r="P64" s="46" t="s">
        <v>1452</v>
      </c>
      <c r="Q64" s="46">
        <v>71</v>
      </c>
      <c r="R64" s="46">
        <v>0</v>
      </c>
      <c r="S64" s="46">
        <v>0</v>
      </c>
      <c r="T64" s="46">
        <v>0</v>
      </c>
      <c r="U64" s="47" t="s">
        <v>1960</v>
      </c>
      <c r="V64" s="47" t="s">
        <v>1937</v>
      </c>
      <c r="W64" s="47" t="s">
        <v>1961</v>
      </c>
      <c r="X64" s="47">
        <v>1</v>
      </c>
      <c r="Y64" s="48">
        <v>3412</v>
      </c>
      <c r="Z64" s="48">
        <v>999.71600000000001</v>
      </c>
      <c r="AA64" s="17"/>
      <c r="AB64" s="46" t="s">
        <v>317</v>
      </c>
      <c r="AC64" s="46">
        <v>1021</v>
      </c>
      <c r="AD64" s="46" t="s">
        <v>755</v>
      </c>
      <c r="AE64" s="46" t="s">
        <v>1792</v>
      </c>
      <c r="AF64" s="17"/>
      <c r="AG64" s="46" t="s">
        <v>1975</v>
      </c>
      <c r="AH64" s="46" t="s">
        <v>1963</v>
      </c>
      <c r="AI64" s="46">
        <v>4</v>
      </c>
      <c r="AJ64" s="52" t="s">
        <v>1922</v>
      </c>
      <c r="AK64" s="45" t="s">
        <v>1870</v>
      </c>
      <c r="AL64" s="46">
        <v>1</v>
      </c>
      <c r="AM64" s="46" t="s">
        <v>1422</v>
      </c>
      <c r="AN64" s="46" t="s">
        <v>1955</v>
      </c>
      <c r="AO64" s="17"/>
      <c r="AP64" s="49" t="s">
        <v>1968</v>
      </c>
      <c r="AQ64" s="46" t="s">
        <v>1870</v>
      </c>
      <c r="AR64" s="46">
        <v>3</v>
      </c>
      <c r="AS64" s="46" t="s">
        <v>1548</v>
      </c>
      <c r="AT64" s="46" t="s">
        <v>1921</v>
      </c>
      <c r="AU64" s="17"/>
      <c r="AV64" s="142"/>
      <c r="AW64" s="122"/>
      <c r="AX64" s="129"/>
      <c r="AY64" s="142"/>
      <c r="AZ64" s="127"/>
      <c r="BA64" s="142" t="s">
        <v>1923</v>
      </c>
      <c r="BB64" s="122" t="s">
        <v>1884</v>
      </c>
      <c r="BC64" s="129" t="s">
        <v>1365</v>
      </c>
      <c r="BD64" s="142" t="s">
        <v>1891</v>
      </c>
      <c r="BE64" s="117">
        <v>1</v>
      </c>
      <c r="BF64" s="118">
        <v>3</v>
      </c>
      <c r="BG64" s="127"/>
      <c r="BH64" s="52"/>
    </row>
    <row r="65" spans="1:60">
      <c r="A65" s="40"/>
      <c r="B65" s="45" t="s">
        <v>1434</v>
      </c>
      <c r="C65" s="46" t="s">
        <v>1976</v>
      </c>
      <c r="D65" s="46" t="s">
        <v>1598</v>
      </c>
      <c r="E65" s="46" t="s">
        <v>1575</v>
      </c>
      <c r="F65" s="17"/>
      <c r="G65" s="46" t="s">
        <v>744</v>
      </c>
      <c r="H65" s="46" t="s">
        <v>1793</v>
      </c>
      <c r="I65" s="46" t="s">
        <v>1605</v>
      </c>
      <c r="J65" s="46" t="s">
        <v>1959</v>
      </c>
      <c r="K65" s="46">
        <v>48</v>
      </c>
      <c r="L65" s="46" t="s">
        <v>1950</v>
      </c>
      <c r="M65" s="46">
        <v>4</v>
      </c>
      <c r="N65" s="46" t="s">
        <v>1957</v>
      </c>
      <c r="O65" s="46" t="s">
        <v>1935</v>
      </c>
      <c r="P65" s="46" t="s">
        <v>1433</v>
      </c>
      <c r="Q65" s="46">
        <v>68</v>
      </c>
      <c r="R65" s="46">
        <v>0</v>
      </c>
      <c r="S65" s="46">
        <v>0</v>
      </c>
      <c r="T65" s="46">
        <v>0</v>
      </c>
      <c r="U65" s="47" t="s">
        <v>1960</v>
      </c>
      <c r="V65" s="47" t="s">
        <v>1937</v>
      </c>
      <c r="W65" s="47" t="s">
        <v>1961</v>
      </c>
      <c r="X65" s="47">
        <v>1</v>
      </c>
      <c r="Y65" s="48">
        <v>3412</v>
      </c>
      <c r="Z65" s="48">
        <v>999.71600000000001</v>
      </c>
      <c r="AA65" s="17"/>
      <c r="AB65" s="46" t="s">
        <v>317</v>
      </c>
      <c r="AC65" s="46">
        <v>1021</v>
      </c>
      <c r="AD65" s="46" t="s">
        <v>755</v>
      </c>
      <c r="AE65" s="46" t="s">
        <v>1794</v>
      </c>
      <c r="AF65" s="17"/>
      <c r="AG65" s="46" t="s">
        <v>1976</v>
      </c>
      <c r="AH65" s="46" t="s">
        <v>41</v>
      </c>
      <c r="AI65" s="46">
        <v>4</v>
      </c>
      <c r="AJ65" s="52" t="s">
        <v>1869</v>
      </c>
      <c r="AK65" s="45" t="s">
        <v>1870</v>
      </c>
      <c r="AL65" s="46">
        <v>2</v>
      </c>
      <c r="AM65" s="46" t="s">
        <v>1532</v>
      </c>
      <c r="AN65" s="46" t="s">
        <v>1954</v>
      </c>
      <c r="AO65" s="17"/>
      <c r="AP65" s="49" t="s">
        <v>1955</v>
      </c>
      <c r="AQ65" s="46" t="s">
        <v>1870</v>
      </c>
      <c r="AR65" s="46">
        <v>4</v>
      </c>
      <c r="AS65" s="46" t="s">
        <v>1440</v>
      </c>
      <c r="AT65" s="46" t="s">
        <v>1922</v>
      </c>
      <c r="AU65" s="17"/>
      <c r="AV65" s="142" t="s">
        <v>1878</v>
      </c>
      <c r="AW65" s="122" t="s">
        <v>1884</v>
      </c>
      <c r="AX65" s="129" t="s">
        <v>1359</v>
      </c>
      <c r="AY65" s="142" t="s">
        <v>1892</v>
      </c>
      <c r="AZ65" s="127"/>
      <c r="BA65" s="142"/>
      <c r="BB65" s="122"/>
      <c r="BC65" s="129"/>
      <c r="BD65" s="142"/>
      <c r="BE65" s="117">
        <v>1</v>
      </c>
      <c r="BF65" s="118">
        <v>4</v>
      </c>
      <c r="BG65" s="127"/>
      <c r="BH65" s="52"/>
    </row>
    <row r="66" spans="1:60">
      <c r="A66" s="40"/>
      <c r="B66" s="45" t="s">
        <v>1532</v>
      </c>
      <c r="C66" s="46" t="s">
        <v>1976</v>
      </c>
      <c r="D66" s="46" t="s">
        <v>1598</v>
      </c>
      <c r="E66" s="46" t="s">
        <v>1575</v>
      </c>
      <c r="F66" s="17"/>
      <c r="G66" s="46" t="s">
        <v>744</v>
      </c>
      <c r="H66" s="46" t="s">
        <v>1793</v>
      </c>
      <c r="I66" s="46" t="s">
        <v>1605</v>
      </c>
      <c r="J66" s="46" t="s">
        <v>1959</v>
      </c>
      <c r="K66" s="46">
        <v>48</v>
      </c>
      <c r="L66" s="46" t="s">
        <v>1950</v>
      </c>
      <c r="M66" s="46" t="s">
        <v>78</v>
      </c>
      <c r="N66" s="46" t="s">
        <v>78</v>
      </c>
      <c r="O66" s="46" t="s">
        <v>1935</v>
      </c>
      <c r="P66" s="46" t="s">
        <v>1531</v>
      </c>
      <c r="Q66" s="46">
        <v>83</v>
      </c>
      <c r="R66" s="46">
        <v>0</v>
      </c>
      <c r="S66" s="46">
        <v>0</v>
      </c>
      <c r="T66" s="46">
        <v>0</v>
      </c>
      <c r="U66" s="47" t="s">
        <v>1960</v>
      </c>
      <c r="V66" s="47" t="s">
        <v>1937</v>
      </c>
      <c r="W66" s="47" t="s">
        <v>1961</v>
      </c>
      <c r="X66" s="47">
        <v>1</v>
      </c>
      <c r="Y66" s="48">
        <v>3412</v>
      </c>
      <c r="Z66" s="48">
        <v>999.71600000000001</v>
      </c>
      <c r="AA66" s="17"/>
      <c r="AB66" s="46" t="s">
        <v>317</v>
      </c>
      <c r="AC66" s="46">
        <v>1021</v>
      </c>
      <c r="AD66" s="46" t="s">
        <v>755</v>
      </c>
      <c r="AE66" s="46" t="s">
        <v>1794</v>
      </c>
      <c r="AF66" s="17"/>
      <c r="AG66" s="46" t="s">
        <v>1976</v>
      </c>
      <c r="AH66" s="46" t="s">
        <v>1696</v>
      </c>
      <c r="AI66" s="46">
        <v>4</v>
      </c>
      <c r="AJ66" s="52" t="s">
        <v>1874</v>
      </c>
      <c r="AK66" s="45" t="s">
        <v>1870</v>
      </c>
      <c r="AL66" s="46">
        <v>3</v>
      </c>
      <c r="AM66" s="46" t="s">
        <v>1538</v>
      </c>
      <c r="AN66" s="46" t="s">
        <v>1967</v>
      </c>
      <c r="AO66" s="17"/>
      <c r="AP66" s="49" t="s">
        <v>1954</v>
      </c>
      <c r="AQ66" s="46" t="s">
        <v>1870</v>
      </c>
      <c r="AR66" s="46">
        <v>1</v>
      </c>
      <c r="AS66" s="46" t="s">
        <v>1434</v>
      </c>
      <c r="AT66" s="46" t="s">
        <v>1869</v>
      </c>
      <c r="AU66" s="17"/>
      <c r="AV66" s="142"/>
      <c r="AW66" s="122"/>
      <c r="AX66" s="129"/>
      <c r="AY66" s="142"/>
      <c r="AZ66" s="127"/>
      <c r="BA66" s="142"/>
      <c r="BB66" s="122"/>
      <c r="BC66" s="129"/>
      <c r="BD66" s="142"/>
      <c r="BE66" s="117"/>
      <c r="BF66" s="118"/>
      <c r="BG66" s="127"/>
      <c r="BH66" s="52"/>
    </row>
    <row r="67" spans="1:60">
      <c r="A67" s="40"/>
      <c r="B67" s="45" t="s">
        <v>1538</v>
      </c>
      <c r="C67" s="46" t="s">
        <v>1976</v>
      </c>
      <c r="D67" s="46" t="s">
        <v>1598</v>
      </c>
      <c r="E67" s="46" t="s">
        <v>1575</v>
      </c>
      <c r="F67" s="17"/>
      <c r="G67" s="46" t="s">
        <v>744</v>
      </c>
      <c r="H67" s="46" t="s">
        <v>1793</v>
      </c>
      <c r="I67" s="46" t="s">
        <v>1605</v>
      </c>
      <c r="J67" s="46" t="s">
        <v>1959</v>
      </c>
      <c r="K67" s="46">
        <v>48</v>
      </c>
      <c r="L67" s="46" t="s">
        <v>1950</v>
      </c>
      <c r="M67" s="46" t="s">
        <v>78</v>
      </c>
      <c r="N67" s="46" t="s">
        <v>78</v>
      </c>
      <c r="O67" s="46" t="s">
        <v>1935</v>
      </c>
      <c r="P67" s="46" t="s">
        <v>1537</v>
      </c>
      <c r="Q67" s="46">
        <v>84</v>
      </c>
      <c r="R67" s="46">
        <v>0</v>
      </c>
      <c r="S67" s="46">
        <v>0</v>
      </c>
      <c r="T67" s="46">
        <v>0</v>
      </c>
      <c r="U67" s="47" t="s">
        <v>1960</v>
      </c>
      <c r="V67" s="47" t="s">
        <v>1937</v>
      </c>
      <c r="W67" s="47" t="s">
        <v>1961</v>
      </c>
      <c r="X67" s="47">
        <v>1</v>
      </c>
      <c r="Y67" s="48">
        <v>3412</v>
      </c>
      <c r="Z67" s="48">
        <v>999.71600000000001</v>
      </c>
      <c r="AA67" s="17"/>
      <c r="AB67" s="46" t="s">
        <v>317</v>
      </c>
      <c r="AC67" s="46">
        <v>1021</v>
      </c>
      <c r="AD67" s="46" t="s">
        <v>755</v>
      </c>
      <c r="AE67" s="46" t="s">
        <v>1794</v>
      </c>
      <c r="AF67" s="17"/>
      <c r="AG67" s="46" t="s">
        <v>1976</v>
      </c>
      <c r="AH67" s="46" t="s">
        <v>1699</v>
      </c>
      <c r="AI67" s="46">
        <v>4</v>
      </c>
      <c r="AJ67" s="52" t="s">
        <v>1921</v>
      </c>
      <c r="AK67" s="45" t="s">
        <v>1870</v>
      </c>
      <c r="AL67" s="46">
        <v>4</v>
      </c>
      <c r="AM67" s="46" t="s">
        <v>1440</v>
      </c>
      <c r="AN67" s="46" t="s">
        <v>1968</v>
      </c>
      <c r="AO67" s="17"/>
      <c r="AP67" s="49" t="s">
        <v>1967</v>
      </c>
      <c r="AQ67" s="46" t="s">
        <v>1870</v>
      </c>
      <c r="AR67" s="46">
        <v>2</v>
      </c>
      <c r="AS67" s="46" t="s">
        <v>1532</v>
      </c>
      <c r="AT67" s="46" t="s">
        <v>1874</v>
      </c>
      <c r="AU67" s="17"/>
      <c r="AV67" s="142"/>
      <c r="AW67" s="122"/>
      <c r="AX67" s="129"/>
      <c r="AY67" s="142"/>
      <c r="AZ67" s="127"/>
      <c r="BA67" s="142"/>
      <c r="BB67" s="122"/>
      <c r="BC67" s="129"/>
      <c r="BD67" s="142"/>
      <c r="BE67" s="117"/>
      <c r="BF67" s="118"/>
      <c r="BG67" s="127"/>
      <c r="BH67" s="52"/>
    </row>
    <row r="68" spans="1:60">
      <c r="A68" s="40"/>
      <c r="B68" s="45" t="s">
        <v>1440</v>
      </c>
      <c r="C68" s="46" t="s">
        <v>1976</v>
      </c>
      <c r="D68" s="46" t="s">
        <v>1598</v>
      </c>
      <c r="E68" s="46" t="s">
        <v>1575</v>
      </c>
      <c r="F68" s="17"/>
      <c r="G68" s="46" t="s">
        <v>744</v>
      </c>
      <c r="H68" s="46" t="s">
        <v>1793</v>
      </c>
      <c r="I68" s="46" t="s">
        <v>1605</v>
      </c>
      <c r="J68" s="46" t="s">
        <v>1959</v>
      </c>
      <c r="K68" s="46">
        <v>48</v>
      </c>
      <c r="L68" s="46" t="s">
        <v>1950</v>
      </c>
      <c r="M68" s="46">
        <v>4</v>
      </c>
      <c r="N68" s="46" t="s">
        <v>1957</v>
      </c>
      <c r="O68" s="46" t="s">
        <v>1935</v>
      </c>
      <c r="P68" s="46" t="s">
        <v>1439</v>
      </c>
      <c r="Q68" s="46">
        <v>69</v>
      </c>
      <c r="R68" s="46">
        <v>0</v>
      </c>
      <c r="S68" s="46">
        <v>0</v>
      </c>
      <c r="T68" s="46">
        <v>0</v>
      </c>
      <c r="U68" s="47" t="s">
        <v>1960</v>
      </c>
      <c r="V68" s="47" t="s">
        <v>1937</v>
      </c>
      <c r="W68" s="47" t="s">
        <v>1961</v>
      </c>
      <c r="X68" s="47">
        <v>1</v>
      </c>
      <c r="Y68" s="48">
        <v>3412</v>
      </c>
      <c r="Z68" s="48">
        <v>999.71600000000001</v>
      </c>
      <c r="AA68" s="17"/>
      <c r="AB68" s="46" t="s">
        <v>317</v>
      </c>
      <c r="AC68" s="46">
        <v>1021</v>
      </c>
      <c r="AD68" s="46" t="s">
        <v>755</v>
      </c>
      <c r="AE68" s="46" t="s">
        <v>1794</v>
      </c>
      <c r="AF68" s="17"/>
      <c r="AG68" s="46" t="s">
        <v>1976</v>
      </c>
      <c r="AH68" s="46" t="s">
        <v>1963</v>
      </c>
      <c r="AI68" s="46">
        <v>4</v>
      </c>
      <c r="AJ68" s="52" t="s">
        <v>1922</v>
      </c>
      <c r="AK68" s="45" t="s">
        <v>1870</v>
      </c>
      <c r="AL68" s="46">
        <v>1</v>
      </c>
      <c r="AM68" s="46" t="s">
        <v>1434</v>
      </c>
      <c r="AN68" s="46" t="s">
        <v>1955</v>
      </c>
      <c r="AO68" s="17"/>
      <c r="AP68" s="49" t="s">
        <v>1968</v>
      </c>
      <c r="AQ68" s="46" t="s">
        <v>1870</v>
      </c>
      <c r="AR68" s="46">
        <v>3</v>
      </c>
      <c r="AS68" s="46" t="s">
        <v>1538</v>
      </c>
      <c r="AT68" s="46" t="s">
        <v>1921</v>
      </c>
      <c r="AU68" s="17"/>
      <c r="AV68" s="142"/>
      <c r="AW68" s="122"/>
      <c r="AX68" s="129"/>
      <c r="AY68" s="142"/>
      <c r="AZ68" s="127"/>
      <c r="BA68" s="142" t="s">
        <v>1923</v>
      </c>
      <c r="BB68" s="122" t="s">
        <v>1884</v>
      </c>
      <c r="BC68" s="129" t="s">
        <v>1365</v>
      </c>
      <c r="BD68" s="142" t="s">
        <v>1893</v>
      </c>
      <c r="BE68" s="117">
        <v>1</v>
      </c>
      <c r="BF68" s="118">
        <v>4</v>
      </c>
      <c r="BG68" s="127"/>
      <c r="BH68" s="52"/>
    </row>
    <row r="69" spans="1:60">
      <c r="A69" s="40"/>
      <c r="B69" s="45" t="s">
        <v>1446</v>
      </c>
      <c r="C69" s="46" t="s">
        <v>1446</v>
      </c>
      <c r="D69" s="46" t="s">
        <v>1598</v>
      </c>
      <c r="E69" s="46" t="s">
        <v>1575</v>
      </c>
      <c r="F69" s="17"/>
      <c r="G69" s="46" t="s">
        <v>744</v>
      </c>
      <c r="H69" s="46" t="s">
        <v>1795</v>
      </c>
      <c r="I69" s="46" t="s">
        <v>1605</v>
      </c>
      <c r="J69" s="46" t="s">
        <v>1959</v>
      </c>
      <c r="K69" s="46">
        <v>48</v>
      </c>
      <c r="L69" s="46" t="s">
        <v>1950</v>
      </c>
      <c r="M69" s="46">
        <v>4</v>
      </c>
      <c r="N69" s="46" t="s">
        <v>1957</v>
      </c>
      <c r="O69" s="46" t="s">
        <v>78</v>
      </c>
      <c r="P69" s="46" t="s">
        <v>1445</v>
      </c>
      <c r="Q69" s="46">
        <v>70</v>
      </c>
      <c r="R69" s="46">
        <v>0</v>
      </c>
      <c r="S69" s="46">
        <v>0</v>
      </c>
      <c r="T69" s="46">
        <v>0</v>
      </c>
      <c r="U69" s="47" t="s">
        <v>1960</v>
      </c>
      <c r="V69" s="47" t="s">
        <v>1937</v>
      </c>
      <c r="W69" s="47" t="s">
        <v>1961</v>
      </c>
      <c r="X69" s="47">
        <v>1</v>
      </c>
      <c r="Y69" s="48">
        <v>3412</v>
      </c>
      <c r="Z69" s="48">
        <v>999.71600000000001</v>
      </c>
      <c r="AA69" s="17"/>
      <c r="AB69" s="46" t="s">
        <v>317</v>
      </c>
      <c r="AC69" s="46">
        <v>1021</v>
      </c>
      <c r="AD69" s="46" t="s">
        <v>755</v>
      </c>
      <c r="AE69" s="46" t="s">
        <v>1796</v>
      </c>
      <c r="AF69" s="17"/>
      <c r="AG69" s="46" t="s">
        <v>78</v>
      </c>
      <c r="AH69" s="46" t="s">
        <v>41</v>
      </c>
      <c r="AI69" s="46" t="s">
        <v>78</v>
      </c>
      <c r="AJ69" s="52"/>
      <c r="AK69" s="45"/>
      <c r="AL69" s="46" t="s">
        <v>78</v>
      </c>
      <c r="AM69" s="46" t="s">
        <v>78</v>
      </c>
      <c r="AN69" s="46" t="s">
        <v>78</v>
      </c>
      <c r="AO69" s="17"/>
      <c r="AP69" s="49" t="s">
        <v>78</v>
      </c>
      <c r="AQ69" s="46" t="s">
        <v>78</v>
      </c>
      <c r="AR69" s="46" t="s">
        <v>78</v>
      </c>
      <c r="AS69" s="46" t="s">
        <v>78</v>
      </c>
      <c r="AT69" s="46" t="s">
        <v>78</v>
      </c>
      <c r="AU69" s="17"/>
      <c r="AV69" s="142" t="s">
        <v>1878</v>
      </c>
      <c r="AW69" s="122" t="s">
        <v>1884</v>
      </c>
      <c r="AX69" s="129" t="s">
        <v>1359</v>
      </c>
      <c r="AY69" s="142" t="s">
        <v>1894</v>
      </c>
      <c r="AZ69" s="127"/>
      <c r="BA69" s="203" t="s">
        <v>1880</v>
      </c>
      <c r="BB69" s="122" t="s">
        <v>1931</v>
      </c>
      <c r="BC69" s="129" t="s">
        <v>1365</v>
      </c>
      <c r="BD69" s="142" t="s">
        <v>1895</v>
      </c>
      <c r="BE69" s="117">
        <v>1</v>
      </c>
      <c r="BF69" s="118">
        <v>5</v>
      </c>
      <c r="BG69" s="127"/>
      <c r="BH69" s="52"/>
    </row>
    <row r="70" spans="1:60">
      <c r="A70" s="40"/>
      <c r="B70" s="45" t="s">
        <v>1067</v>
      </c>
      <c r="C70" s="46" t="s">
        <v>1067</v>
      </c>
      <c r="D70" s="46" t="s">
        <v>1598</v>
      </c>
      <c r="E70" s="46" t="s">
        <v>1575</v>
      </c>
      <c r="F70" s="17"/>
      <c r="G70" s="46" t="s">
        <v>744</v>
      </c>
      <c r="H70" s="46" t="s">
        <v>1797</v>
      </c>
      <c r="I70" s="46" t="s">
        <v>1605</v>
      </c>
      <c r="J70" s="46" t="s">
        <v>1959</v>
      </c>
      <c r="K70" s="46">
        <v>48</v>
      </c>
      <c r="L70" s="46" t="s">
        <v>1950</v>
      </c>
      <c r="M70" s="46">
        <v>4</v>
      </c>
      <c r="N70" s="46" t="s">
        <v>1957</v>
      </c>
      <c r="O70" s="46" t="s">
        <v>78</v>
      </c>
      <c r="P70" s="46" t="s">
        <v>1066</v>
      </c>
      <c r="Q70" s="46">
        <v>29</v>
      </c>
      <c r="R70" s="46">
        <v>0</v>
      </c>
      <c r="S70" s="46">
        <v>0</v>
      </c>
      <c r="T70" s="46">
        <v>0</v>
      </c>
      <c r="U70" s="47" t="s">
        <v>1960</v>
      </c>
      <c r="V70" s="47" t="s">
        <v>1937</v>
      </c>
      <c r="W70" s="47" t="s">
        <v>1961</v>
      </c>
      <c r="X70" s="47">
        <v>1</v>
      </c>
      <c r="Y70" s="48">
        <v>3412</v>
      </c>
      <c r="Z70" s="48">
        <v>999.71600000000001</v>
      </c>
      <c r="AA70" s="17"/>
      <c r="AB70" s="46" t="s">
        <v>317</v>
      </c>
      <c r="AC70" s="46">
        <v>1021</v>
      </c>
      <c r="AD70" s="46" t="s">
        <v>755</v>
      </c>
      <c r="AE70" s="46" t="s">
        <v>1798</v>
      </c>
      <c r="AF70" s="17"/>
      <c r="AG70" s="46" t="s">
        <v>78</v>
      </c>
      <c r="AH70" s="46" t="s">
        <v>41</v>
      </c>
      <c r="AI70" s="46" t="s">
        <v>78</v>
      </c>
      <c r="AJ70" s="52"/>
      <c r="AK70" s="45"/>
      <c r="AL70" s="46" t="s">
        <v>78</v>
      </c>
      <c r="AM70" s="46" t="s">
        <v>78</v>
      </c>
      <c r="AN70" s="46" t="s">
        <v>78</v>
      </c>
      <c r="AO70" s="17"/>
      <c r="AP70" s="49" t="s">
        <v>78</v>
      </c>
      <c r="AQ70" s="46" t="s">
        <v>78</v>
      </c>
      <c r="AR70" s="46" t="s">
        <v>78</v>
      </c>
      <c r="AS70" s="46" t="s">
        <v>78</v>
      </c>
      <c r="AT70" s="46" t="s">
        <v>78</v>
      </c>
      <c r="AU70" s="17"/>
      <c r="AV70" s="142" t="s">
        <v>1878</v>
      </c>
      <c r="AW70" s="122" t="s">
        <v>1931</v>
      </c>
      <c r="AX70" s="129" t="s">
        <v>1359</v>
      </c>
      <c r="AY70" s="142" t="s">
        <v>1896</v>
      </c>
      <c r="AZ70" s="127"/>
      <c r="BA70" s="203" t="s">
        <v>1880</v>
      </c>
      <c r="BB70" s="122" t="s">
        <v>1931</v>
      </c>
      <c r="BC70" s="129" t="s">
        <v>1365</v>
      </c>
      <c r="BD70" s="142" t="s">
        <v>1897</v>
      </c>
      <c r="BE70" s="117">
        <v>1</v>
      </c>
      <c r="BF70" s="118">
        <v>6</v>
      </c>
      <c r="BG70" s="127"/>
      <c r="BH70" s="52"/>
    </row>
    <row r="71" spans="1:60">
      <c r="A71" s="40"/>
      <c r="B71" s="17"/>
      <c r="C71" s="17" t="s">
        <v>78</v>
      </c>
      <c r="D71" s="17" t="s">
        <v>78</v>
      </c>
      <c r="E71" s="17" t="s">
        <v>78</v>
      </c>
      <c r="F71" s="17"/>
      <c r="G71" s="17" t="s">
        <v>78</v>
      </c>
      <c r="H71" s="17" t="s">
        <v>78</v>
      </c>
      <c r="I71" s="17" t="s">
        <v>78</v>
      </c>
      <c r="J71" s="17" t="s">
        <v>78</v>
      </c>
      <c r="K71" s="17" t="s">
        <v>78</v>
      </c>
      <c r="L71" s="17" t="s">
        <v>78</v>
      </c>
      <c r="M71" s="17" t="s">
        <v>78</v>
      </c>
      <c r="N71" s="17" t="s">
        <v>78</v>
      </c>
      <c r="O71" s="17" t="s">
        <v>78</v>
      </c>
      <c r="P71" s="17" t="s">
        <v>78</v>
      </c>
      <c r="Q71" s="46" t="s">
        <v>78</v>
      </c>
      <c r="R71" s="17" t="s">
        <v>78</v>
      </c>
      <c r="S71" s="17" t="s">
        <v>78</v>
      </c>
      <c r="T71" s="17" t="s">
        <v>78</v>
      </c>
      <c r="U71" s="17" t="s">
        <v>78</v>
      </c>
      <c r="V71" s="17" t="s">
        <v>78</v>
      </c>
      <c r="W71" s="17" t="s">
        <v>78</v>
      </c>
      <c r="X71" s="17" t="s">
        <v>78</v>
      </c>
      <c r="Y71" s="56" t="s">
        <v>78</v>
      </c>
      <c r="Z71" s="56" t="s">
        <v>78</v>
      </c>
      <c r="AA71" s="17"/>
      <c r="AB71" s="17" t="s">
        <v>78</v>
      </c>
      <c r="AC71" s="17" t="s">
        <v>78</v>
      </c>
      <c r="AD71" s="17" t="s">
        <v>78</v>
      </c>
      <c r="AE71" s="17" t="s">
        <v>78</v>
      </c>
      <c r="AF71" s="17"/>
      <c r="AG71" s="17" t="s">
        <v>78</v>
      </c>
      <c r="AH71" s="17" t="s">
        <v>78</v>
      </c>
      <c r="AI71" s="17" t="s">
        <v>78</v>
      </c>
      <c r="AJ71" s="17"/>
      <c r="AK71" s="17"/>
      <c r="AL71" s="17" t="s">
        <v>78</v>
      </c>
      <c r="AM71" s="17" t="s">
        <v>78</v>
      </c>
      <c r="AN71" s="17" t="s">
        <v>78</v>
      </c>
      <c r="AO71" s="17"/>
      <c r="AP71" s="17" t="s">
        <v>78</v>
      </c>
      <c r="AQ71" s="17" t="s">
        <v>78</v>
      </c>
      <c r="AR71" s="17" t="s">
        <v>78</v>
      </c>
      <c r="AS71" s="17" t="s">
        <v>78</v>
      </c>
      <c r="AT71" s="17" t="s">
        <v>78</v>
      </c>
      <c r="AU71" s="17"/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7"/>
    </row>
    <row r="72" spans="1:60">
      <c r="A72" s="40"/>
      <c r="B72" s="45" t="s">
        <v>1119</v>
      </c>
      <c r="C72" s="46" t="s">
        <v>1119</v>
      </c>
      <c r="D72" s="46" t="s">
        <v>1589</v>
      </c>
      <c r="E72" s="46" t="s">
        <v>1575</v>
      </c>
      <c r="F72" s="17"/>
      <c r="G72" s="46" t="s">
        <v>715</v>
      </c>
      <c r="H72" s="46" t="s">
        <v>1802</v>
      </c>
      <c r="I72" s="46" t="s">
        <v>1591</v>
      </c>
      <c r="J72" s="46" t="s">
        <v>1949</v>
      </c>
      <c r="K72" s="46">
        <v>24</v>
      </c>
      <c r="L72" s="46" t="s">
        <v>1950</v>
      </c>
      <c r="M72" s="46">
        <v>4</v>
      </c>
      <c r="N72" s="46" t="s">
        <v>1957</v>
      </c>
      <c r="O72" s="46"/>
      <c r="P72" s="46" t="s">
        <v>1118</v>
      </c>
      <c r="Q72" s="46">
        <v>39</v>
      </c>
      <c r="R72" s="46">
        <v>0</v>
      </c>
      <c r="S72" s="46">
        <v>0</v>
      </c>
      <c r="T72" s="46">
        <v>0</v>
      </c>
      <c r="U72" s="47" t="s">
        <v>1952</v>
      </c>
      <c r="V72" s="47" t="s">
        <v>1937</v>
      </c>
      <c r="W72" s="47" t="s">
        <v>1958</v>
      </c>
      <c r="X72" s="47">
        <v>2</v>
      </c>
      <c r="Y72" s="48">
        <v>1194</v>
      </c>
      <c r="Z72" s="48">
        <v>349.84199999999998</v>
      </c>
      <c r="AA72" s="17"/>
      <c r="AB72" s="46" t="s">
        <v>727</v>
      </c>
      <c r="AC72" s="46">
        <v>36</v>
      </c>
      <c r="AD72" s="46" t="s">
        <v>728</v>
      </c>
      <c r="AE72" s="46" t="s">
        <v>1803</v>
      </c>
      <c r="AF72" s="17"/>
      <c r="AG72" s="46" t="s">
        <v>78</v>
      </c>
      <c r="AH72" s="46" t="s">
        <v>41</v>
      </c>
      <c r="AI72" s="46" t="s">
        <v>78</v>
      </c>
      <c r="AJ72" s="52"/>
      <c r="AK72" s="45"/>
      <c r="AL72" s="46" t="s">
        <v>78</v>
      </c>
      <c r="AM72" s="46" t="s">
        <v>78</v>
      </c>
      <c r="AN72" s="46" t="s">
        <v>78</v>
      </c>
      <c r="AO72" s="17"/>
      <c r="AP72" s="49" t="s">
        <v>78</v>
      </c>
      <c r="AQ72" s="46" t="s">
        <v>78</v>
      </c>
      <c r="AR72" s="46" t="s">
        <v>78</v>
      </c>
      <c r="AS72" s="46" t="s">
        <v>78</v>
      </c>
      <c r="AT72" s="46" t="s">
        <v>78</v>
      </c>
      <c r="AU72" s="17"/>
      <c r="AV72" s="142" t="s">
        <v>1878</v>
      </c>
      <c r="AW72" s="129" t="s">
        <v>1879</v>
      </c>
      <c r="AX72" s="129" t="s">
        <v>1125</v>
      </c>
      <c r="AY72" s="142" t="s">
        <v>1878</v>
      </c>
      <c r="AZ72" s="127"/>
      <c r="BA72" s="142" t="s">
        <v>1880</v>
      </c>
      <c r="BB72" s="129" t="s">
        <v>1879</v>
      </c>
      <c r="BC72" s="129" t="s">
        <v>1125</v>
      </c>
      <c r="BD72" s="142" t="s">
        <v>1880</v>
      </c>
      <c r="BE72" s="117">
        <v>25</v>
      </c>
      <c r="BF72" s="118">
        <v>1</v>
      </c>
      <c r="BG72" s="127"/>
      <c r="BH72" s="52"/>
    </row>
    <row r="73" spans="1:60">
      <c r="A73" s="40"/>
      <c r="B73" s="45" t="s">
        <v>1125</v>
      </c>
      <c r="C73" s="46" t="s">
        <v>1125</v>
      </c>
      <c r="D73" s="46" t="s">
        <v>1589</v>
      </c>
      <c r="E73" s="46" t="s">
        <v>1575</v>
      </c>
      <c r="F73" s="17"/>
      <c r="G73" s="46" t="s">
        <v>715</v>
      </c>
      <c r="H73" s="46" t="s">
        <v>1804</v>
      </c>
      <c r="I73" s="46" t="s">
        <v>1591</v>
      </c>
      <c r="J73" s="46" t="s">
        <v>1949</v>
      </c>
      <c r="K73" s="46">
        <v>24</v>
      </c>
      <c r="L73" s="46" t="s">
        <v>1950</v>
      </c>
      <c r="M73" s="46">
        <v>4</v>
      </c>
      <c r="N73" s="46" t="s">
        <v>1957</v>
      </c>
      <c r="O73" s="46"/>
      <c r="P73" s="46" t="s">
        <v>1124</v>
      </c>
      <c r="Q73" s="46">
        <v>40</v>
      </c>
      <c r="R73" s="46">
        <v>0</v>
      </c>
      <c r="S73" s="46">
        <v>0</v>
      </c>
      <c r="T73" s="46">
        <v>0</v>
      </c>
      <c r="U73" s="47" t="s">
        <v>1952</v>
      </c>
      <c r="V73" s="47" t="s">
        <v>1937</v>
      </c>
      <c r="W73" s="47" t="s">
        <v>1958</v>
      </c>
      <c r="X73" s="47">
        <v>2</v>
      </c>
      <c r="Y73" s="48">
        <v>1194</v>
      </c>
      <c r="Z73" s="48">
        <v>349.84199999999998</v>
      </c>
      <c r="AA73" s="17"/>
      <c r="AB73" s="46" t="s">
        <v>727</v>
      </c>
      <c r="AC73" s="46">
        <v>36</v>
      </c>
      <c r="AD73" s="46" t="s">
        <v>728</v>
      </c>
      <c r="AE73" s="46" t="s">
        <v>1805</v>
      </c>
      <c r="AF73" s="17"/>
      <c r="AG73" s="46" t="s">
        <v>78</v>
      </c>
      <c r="AH73" s="46" t="s">
        <v>41</v>
      </c>
      <c r="AI73" s="46" t="s">
        <v>78</v>
      </c>
      <c r="AJ73" s="52"/>
      <c r="AK73" s="45"/>
      <c r="AL73" s="46" t="s">
        <v>78</v>
      </c>
      <c r="AM73" s="46" t="s">
        <v>78</v>
      </c>
      <c r="AN73" s="46" t="s">
        <v>78</v>
      </c>
      <c r="AO73" s="17"/>
      <c r="AP73" s="49" t="s">
        <v>78</v>
      </c>
      <c r="AQ73" s="46" t="s">
        <v>78</v>
      </c>
      <c r="AR73" s="46" t="s">
        <v>78</v>
      </c>
      <c r="AS73" s="46" t="s">
        <v>78</v>
      </c>
      <c r="AT73" s="46" t="s">
        <v>78</v>
      </c>
      <c r="AU73" s="17"/>
      <c r="AV73" s="142" t="s">
        <v>1878</v>
      </c>
      <c r="AW73" s="129" t="s">
        <v>1879</v>
      </c>
      <c r="AX73" s="129" t="s">
        <v>1119</v>
      </c>
      <c r="AY73" s="142" t="s">
        <v>1878</v>
      </c>
      <c r="AZ73" s="127"/>
      <c r="BA73" s="142" t="s">
        <v>1880</v>
      </c>
      <c r="BB73" s="129" t="s">
        <v>1879</v>
      </c>
      <c r="BC73" s="129" t="s">
        <v>1119</v>
      </c>
      <c r="BD73" s="142" t="s">
        <v>1880</v>
      </c>
      <c r="BE73" s="117">
        <v>25</v>
      </c>
      <c r="BF73" s="118">
        <v>1</v>
      </c>
      <c r="BG73" s="127"/>
      <c r="BH73" s="52"/>
    </row>
    <row r="74" spans="1:60">
      <c r="A74" s="40"/>
      <c r="B74" s="45" t="s">
        <v>1131</v>
      </c>
      <c r="C74" s="46" t="s">
        <v>1131</v>
      </c>
      <c r="D74" s="46" t="s">
        <v>1589</v>
      </c>
      <c r="E74" s="46" t="s">
        <v>1590</v>
      </c>
      <c r="F74" s="17"/>
      <c r="G74" s="46" t="s">
        <v>67</v>
      </c>
      <c r="H74" s="46" t="s">
        <v>1802</v>
      </c>
      <c r="I74" s="46" t="s">
        <v>1591</v>
      </c>
      <c r="J74" s="46" t="s">
        <v>1949</v>
      </c>
      <c r="K74" s="46">
        <v>24</v>
      </c>
      <c r="L74" s="46" t="s">
        <v>1950</v>
      </c>
      <c r="M74" s="46">
        <v>4</v>
      </c>
      <c r="N74" s="46" t="s">
        <v>1957</v>
      </c>
      <c r="O74" s="46"/>
      <c r="P74" s="46" t="s">
        <v>1130</v>
      </c>
      <c r="Q74" s="46">
        <v>41</v>
      </c>
      <c r="R74" s="46">
        <v>0</v>
      </c>
      <c r="S74" s="46">
        <v>0</v>
      </c>
      <c r="T74" s="46">
        <v>0</v>
      </c>
      <c r="U74" s="47" t="s">
        <v>1952</v>
      </c>
      <c r="V74" s="47" t="s">
        <v>1937</v>
      </c>
      <c r="W74" s="47" t="s">
        <v>1958</v>
      </c>
      <c r="X74" s="47">
        <v>2</v>
      </c>
      <c r="Y74" s="48">
        <v>1194</v>
      </c>
      <c r="Z74" s="48">
        <v>349.84199999999998</v>
      </c>
      <c r="AA74" s="17"/>
      <c r="AB74" s="46" t="s">
        <v>69</v>
      </c>
      <c r="AC74" s="46">
        <v>108</v>
      </c>
      <c r="AD74" s="46" t="s">
        <v>70</v>
      </c>
      <c r="AE74" s="46" t="s">
        <v>1806</v>
      </c>
      <c r="AF74" s="17"/>
      <c r="AG74" s="46" t="s">
        <v>78</v>
      </c>
      <c r="AH74" s="46" t="s">
        <v>41</v>
      </c>
      <c r="AI74" s="46" t="s">
        <v>78</v>
      </c>
      <c r="AJ74" s="52"/>
      <c r="AK74" s="45"/>
      <c r="AL74" s="46" t="s">
        <v>78</v>
      </c>
      <c r="AM74" s="46" t="s">
        <v>78</v>
      </c>
      <c r="AN74" s="46" t="s">
        <v>78</v>
      </c>
      <c r="AO74" s="17"/>
      <c r="AP74" s="49" t="s">
        <v>78</v>
      </c>
      <c r="AQ74" s="46" t="s">
        <v>78</v>
      </c>
      <c r="AR74" s="46" t="s">
        <v>78</v>
      </c>
      <c r="AS74" s="46" t="s">
        <v>78</v>
      </c>
      <c r="AT74" s="46" t="s">
        <v>78</v>
      </c>
      <c r="AU74" s="17"/>
      <c r="AV74" s="142" t="s">
        <v>1878</v>
      </c>
      <c r="AW74" s="129" t="s">
        <v>1879</v>
      </c>
      <c r="AX74" s="129" t="s">
        <v>1137</v>
      </c>
      <c r="AY74" s="142" t="s">
        <v>1878</v>
      </c>
      <c r="AZ74" s="127"/>
      <c r="BA74" s="142" t="s">
        <v>1880</v>
      </c>
      <c r="BB74" s="129" t="s">
        <v>1879</v>
      </c>
      <c r="BC74" s="129" t="s">
        <v>1137</v>
      </c>
      <c r="BD74" s="142" t="s">
        <v>1880</v>
      </c>
      <c r="BE74" s="117">
        <v>25</v>
      </c>
      <c r="BF74" s="118">
        <v>1</v>
      </c>
      <c r="BG74" s="127"/>
      <c r="BH74" s="52"/>
    </row>
    <row r="75" spans="1:60">
      <c r="A75" s="40"/>
      <c r="B75" s="45" t="s">
        <v>1137</v>
      </c>
      <c r="C75" s="46" t="s">
        <v>1137</v>
      </c>
      <c r="D75" s="46" t="s">
        <v>1589</v>
      </c>
      <c r="E75" s="46" t="s">
        <v>1590</v>
      </c>
      <c r="F75" s="17"/>
      <c r="G75" s="46" t="s">
        <v>67</v>
      </c>
      <c r="H75" s="46" t="s">
        <v>1804</v>
      </c>
      <c r="I75" s="46" t="s">
        <v>1591</v>
      </c>
      <c r="J75" s="46" t="s">
        <v>1949</v>
      </c>
      <c r="K75" s="46">
        <v>24</v>
      </c>
      <c r="L75" s="46" t="s">
        <v>1950</v>
      </c>
      <c r="M75" s="46">
        <v>4</v>
      </c>
      <c r="N75" s="46" t="s">
        <v>1957</v>
      </c>
      <c r="O75" s="46" t="s">
        <v>78</v>
      </c>
      <c r="P75" s="46" t="s">
        <v>1136</v>
      </c>
      <c r="Q75" s="46">
        <v>42</v>
      </c>
      <c r="R75" s="46">
        <v>0</v>
      </c>
      <c r="S75" s="46">
        <v>0</v>
      </c>
      <c r="T75" s="46">
        <v>0</v>
      </c>
      <c r="U75" s="47" t="s">
        <v>1952</v>
      </c>
      <c r="V75" s="47" t="s">
        <v>1937</v>
      </c>
      <c r="W75" s="47" t="s">
        <v>1958</v>
      </c>
      <c r="X75" s="47">
        <v>2</v>
      </c>
      <c r="Y75" s="48">
        <v>1194</v>
      </c>
      <c r="Z75" s="48">
        <v>349.84199999999998</v>
      </c>
      <c r="AA75" s="17"/>
      <c r="AB75" s="46" t="s">
        <v>69</v>
      </c>
      <c r="AC75" s="46">
        <v>108</v>
      </c>
      <c r="AD75" s="46" t="s">
        <v>70</v>
      </c>
      <c r="AE75" s="46" t="s">
        <v>1807</v>
      </c>
      <c r="AF75" s="17"/>
      <c r="AG75" s="46" t="s">
        <v>78</v>
      </c>
      <c r="AH75" s="46" t="s">
        <v>41</v>
      </c>
      <c r="AI75" s="46" t="s">
        <v>78</v>
      </c>
      <c r="AJ75" s="52"/>
      <c r="AK75" s="45"/>
      <c r="AL75" s="46" t="s">
        <v>78</v>
      </c>
      <c r="AM75" s="46" t="s">
        <v>78</v>
      </c>
      <c r="AN75" s="46" t="s">
        <v>78</v>
      </c>
      <c r="AO75" s="17"/>
      <c r="AP75" s="49" t="s">
        <v>78</v>
      </c>
      <c r="AQ75" s="46" t="s">
        <v>78</v>
      </c>
      <c r="AR75" s="46" t="s">
        <v>78</v>
      </c>
      <c r="AS75" s="46" t="s">
        <v>78</v>
      </c>
      <c r="AT75" s="46" t="s">
        <v>78</v>
      </c>
      <c r="AU75" s="17"/>
      <c r="AV75" s="142" t="s">
        <v>1878</v>
      </c>
      <c r="AW75" s="129" t="s">
        <v>1879</v>
      </c>
      <c r="AX75" s="129" t="s">
        <v>1131</v>
      </c>
      <c r="AY75" s="142" t="s">
        <v>1878</v>
      </c>
      <c r="AZ75" s="127"/>
      <c r="BA75" s="142" t="s">
        <v>1880</v>
      </c>
      <c r="BB75" s="129" t="s">
        <v>1879</v>
      </c>
      <c r="BC75" s="129" t="s">
        <v>1131</v>
      </c>
      <c r="BD75" s="142" t="s">
        <v>1880</v>
      </c>
      <c r="BE75" s="117">
        <v>25</v>
      </c>
      <c r="BF75" s="118">
        <v>1</v>
      </c>
      <c r="BG75" s="127"/>
      <c r="BH75" s="52"/>
    </row>
    <row r="76" spans="1:60">
      <c r="A76" s="40"/>
      <c r="B76" s="45" t="s">
        <v>1143</v>
      </c>
      <c r="C76" s="46" t="s">
        <v>1143</v>
      </c>
      <c r="D76" s="46" t="s">
        <v>1589</v>
      </c>
      <c r="E76" s="46" t="s">
        <v>1590</v>
      </c>
      <c r="F76" s="17"/>
      <c r="G76" s="46" t="s">
        <v>864</v>
      </c>
      <c r="H76" s="46">
        <v>0</v>
      </c>
      <c r="I76" s="46" t="s">
        <v>1591</v>
      </c>
      <c r="J76" s="46" t="s">
        <v>1949</v>
      </c>
      <c r="K76" s="46">
        <v>24</v>
      </c>
      <c r="L76" s="46" t="s">
        <v>1950</v>
      </c>
      <c r="M76" s="46" t="s">
        <v>78</v>
      </c>
      <c r="N76" s="46" t="s">
        <v>78</v>
      </c>
      <c r="O76" s="46" t="s">
        <v>78</v>
      </c>
      <c r="P76" s="46" t="s">
        <v>1142</v>
      </c>
      <c r="Q76" s="46">
        <v>43</v>
      </c>
      <c r="R76" s="46">
        <v>0</v>
      </c>
      <c r="S76" s="46">
        <v>0</v>
      </c>
      <c r="T76" s="46">
        <v>0</v>
      </c>
      <c r="U76" s="47" t="s">
        <v>1952</v>
      </c>
      <c r="V76" s="47" t="s">
        <v>1937</v>
      </c>
      <c r="W76" s="47" t="s">
        <v>1958</v>
      </c>
      <c r="X76" s="47">
        <v>2</v>
      </c>
      <c r="Y76" s="48">
        <v>1194</v>
      </c>
      <c r="Z76" s="48">
        <v>349.84199999999998</v>
      </c>
      <c r="AA76" s="17"/>
      <c r="AB76" s="46" t="s">
        <v>870</v>
      </c>
      <c r="AC76" s="46">
        <v>100</v>
      </c>
      <c r="AD76" s="46" t="s">
        <v>871</v>
      </c>
      <c r="AE76" s="46" t="s">
        <v>1808</v>
      </c>
      <c r="AF76" s="17"/>
      <c r="AG76" s="46" t="s">
        <v>78</v>
      </c>
      <c r="AH76" s="46" t="s">
        <v>41</v>
      </c>
      <c r="AI76" s="46" t="s">
        <v>78</v>
      </c>
      <c r="AJ76" s="52"/>
      <c r="AK76" s="45"/>
      <c r="AL76" s="46" t="s">
        <v>78</v>
      </c>
      <c r="AM76" s="46" t="s">
        <v>78</v>
      </c>
      <c r="AN76" s="46" t="s">
        <v>78</v>
      </c>
      <c r="AO76" s="17"/>
      <c r="AP76" s="49" t="s">
        <v>78</v>
      </c>
      <c r="AQ76" s="46" t="s">
        <v>78</v>
      </c>
      <c r="AR76" s="46" t="s">
        <v>78</v>
      </c>
      <c r="AS76" s="46" t="s">
        <v>78</v>
      </c>
      <c r="AT76" s="46" t="s">
        <v>78</v>
      </c>
      <c r="AU76" s="17"/>
      <c r="AV76" s="142"/>
      <c r="AW76" s="122"/>
      <c r="AX76" s="129"/>
      <c r="AY76" s="142"/>
      <c r="AZ76" s="127"/>
      <c r="BA76" s="142"/>
      <c r="BB76" s="122"/>
      <c r="BC76" s="129"/>
      <c r="BD76" s="142"/>
      <c r="BE76" s="117"/>
      <c r="BF76" s="118"/>
      <c r="BG76" s="127"/>
      <c r="BH76" s="52"/>
    </row>
    <row r="77" spans="1:60">
      <c r="A77" s="40"/>
      <c r="B77" s="17"/>
      <c r="C77" s="17" t="s">
        <v>78</v>
      </c>
      <c r="D77" s="17" t="s">
        <v>78</v>
      </c>
      <c r="E77" s="17" t="s">
        <v>78</v>
      </c>
      <c r="F77" s="17"/>
      <c r="G77" s="17" t="s">
        <v>78</v>
      </c>
      <c r="H77" s="17" t="s">
        <v>78</v>
      </c>
      <c r="I77" s="17" t="s">
        <v>78</v>
      </c>
      <c r="J77" s="17" t="s">
        <v>78</v>
      </c>
      <c r="K77" s="17" t="s">
        <v>78</v>
      </c>
      <c r="L77" s="17" t="s">
        <v>78</v>
      </c>
      <c r="M77" s="17" t="s">
        <v>78</v>
      </c>
      <c r="N77" s="17" t="s">
        <v>78</v>
      </c>
      <c r="O77" s="17" t="s">
        <v>78</v>
      </c>
      <c r="P77" s="17" t="s">
        <v>78</v>
      </c>
      <c r="Q77" s="46" t="s">
        <v>78</v>
      </c>
      <c r="R77" s="17" t="s">
        <v>78</v>
      </c>
      <c r="S77" s="17" t="s">
        <v>78</v>
      </c>
      <c r="T77" s="17" t="s">
        <v>78</v>
      </c>
      <c r="U77" s="17" t="s">
        <v>78</v>
      </c>
      <c r="V77" s="17" t="s">
        <v>78</v>
      </c>
      <c r="W77" s="17" t="s">
        <v>78</v>
      </c>
      <c r="X77" s="17" t="s">
        <v>78</v>
      </c>
      <c r="Y77" s="56" t="s">
        <v>78</v>
      </c>
      <c r="Z77" s="56" t="s">
        <v>78</v>
      </c>
      <c r="AA77" s="17"/>
      <c r="AB77" s="17" t="s">
        <v>78</v>
      </c>
      <c r="AC77" s="17" t="s">
        <v>78</v>
      </c>
      <c r="AD77" s="17" t="s">
        <v>78</v>
      </c>
      <c r="AE77" s="17" t="s">
        <v>78</v>
      </c>
      <c r="AF77" s="17"/>
      <c r="AG77" s="17" t="s">
        <v>78</v>
      </c>
      <c r="AH77" s="17" t="s">
        <v>78</v>
      </c>
      <c r="AI77" s="17" t="s">
        <v>78</v>
      </c>
      <c r="AJ77" s="17"/>
      <c r="AK77" s="17"/>
      <c r="AL77" s="17" t="s">
        <v>78</v>
      </c>
      <c r="AM77" s="17" t="s">
        <v>78</v>
      </c>
      <c r="AN77" s="17" t="s">
        <v>78</v>
      </c>
      <c r="AO77" s="17"/>
      <c r="AP77" s="17" t="s">
        <v>78</v>
      </c>
      <c r="AQ77" s="17" t="s">
        <v>78</v>
      </c>
      <c r="AR77" s="17" t="s">
        <v>78</v>
      </c>
      <c r="AS77" s="17" t="s">
        <v>78</v>
      </c>
      <c r="AT77" s="17" t="s">
        <v>78</v>
      </c>
      <c r="AU77" s="1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7"/>
    </row>
    <row r="78" spans="1:60">
      <c r="A78" s="40"/>
      <c r="B78" s="45" t="s">
        <v>1069</v>
      </c>
      <c r="C78" s="46" t="s">
        <v>1069</v>
      </c>
      <c r="D78" s="46" t="s">
        <v>1598</v>
      </c>
      <c r="E78" s="46" t="s">
        <v>1551</v>
      </c>
      <c r="F78" s="17"/>
      <c r="G78" s="46" t="s">
        <v>57</v>
      </c>
      <c r="H78" s="46" t="s">
        <v>1809</v>
      </c>
      <c r="I78" s="46" t="s">
        <v>1605</v>
      </c>
      <c r="J78" s="46" t="s">
        <v>1959</v>
      </c>
      <c r="K78" s="46">
        <v>48</v>
      </c>
      <c r="L78" s="46" t="s">
        <v>1950</v>
      </c>
      <c r="M78" s="46" t="s">
        <v>78</v>
      </c>
      <c r="N78" s="46" t="s">
        <v>78</v>
      </c>
      <c r="O78" s="46" t="s">
        <v>78</v>
      </c>
      <c r="P78" s="46" t="s">
        <v>1068</v>
      </c>
      <c r="Q78" s="46">
        <v>30</v>
      </c>
      <c r="R78" s="46">
        <v>0</v>
      </c>
      <c r="S78" s="46">
        <v>0</v>
      </c>
      <c r="T78" s="46">
        <v>0</v>
      </c>
      <c r="U78" s="47" t="s">
        <v>1960</v>
      </c>
      <c r="V78" s="47" t="s">
        <v>1937</v>
      </c>
      <c r="W78" s="47" t="s">
        <v>1961</v>
      </c>
      <c r="X78" s="47">
        <v>1</v>
      </c>
      <c r="Y78" s="48">
        <v>3412</v>
      </c>
      <c r="Z78" s="48">
        <v>999.71600000000001</v>
      </c>
      <c r="AA78" s="17"/>
      <c r="AB78" s="46" t="s">
        <v>78</v>
      </c>
      <c r="AC78" s="46">
        <v>0</v>
      </c>
      <c r="AD78" s="46" t="s">
        <v>78</v>
      </c>
      <c r="AE78" s="46" t="s">
        <v>1810</v>
      </c>
      <c r="AF78" s="17"/>
      <c r="AG78" s="46" t="s">
        <v>78</v>
      </c>
      <c r="AH78" s="46" t="s">
        <v>41</v>
      </c>
      <c r="AI78" s="46" t="s">
        <v>78</v>
      </c>
      <c r="AJ78" s="52"/>
      <c r="AK78" s="45"/>
      <c r="AL78" s="46" t="s">
        <v>78</v>
      </c>
      <c r="AM78" s="46" t="s">
        <v>78</v>
      </c>
      <c r="AN78" s="46" t="s">
        <v>78</v>
      </c>
      <c r="AO78" s="17"/>
      <c r="AP78" s="49" t="s">
        <v>78</v>
      </c>
      <c r="AQ78" s="46" t="s">
        <v>78</v>
      </c>
      <c r="AR78" s="46" t="s">
        <v>78</v>
      </c>
      <c r="AS78" s="46" t="s">
        <v>78</v>
      </c>
      <c r="AT78" s="46" t="s">
        <v>78</v>
      </c>
      <c r="AU78" s="17"/>
      <c r="AV78" s="142"/>
      <c r="AW78" s="122"/>
      <c r="AX78" s="129"/>
      <c r="AY78" s="142"/>
      <c r="AZ78" s="127"/>
      <c r="BA78" s="142"/>
      <c r="BB78" s="122"/>
      <c r="BC78" s="129"/>
      <c r="BD78" s="142"/>
      <c r="BE78" s="117"/>
      <c r="BF78" s="118"/>
      <c r="BG78" s="127"/>
      <c r="BH78" s="52"/>
    </row>
    <row r="79" spans="1:60">
      <c r="A79" s="40"/>
      <c r="B79" s="45" t="s">
        <v>1019</v>
      </c>
      <c r="C79" s="46" t="s">
        <v>1019</v>
      </c>
      <c r="D79" s="46" t="s">
        <v>1598</v>
      </c>
      <c r="E79" s="46" t="s">
        <v>1551</v>
      </c>
      <c r="F79" s="17"/>
      <c r="G79" s="46" t="s">
        <v>57</v>
      </c>
      <c r="H79" s="46" t="s">
        <v>1809</v>
      </c>
      <c r="I79" s="46" t="s">
        <v>1600</v>
      </c>
      <c r="J79" s="46" t="s">
        <v>1959</v>
      </c>
      <c r="K79" s="46">
        <v>24</v>
      </c>
      <c r="L79" s="46" t="s">
        <v>1950</v>
      </c>
      <c r="M79" s="46" t="s">
        <v>78</v>
      </c>
      <c r="N79" s="46" t="s">
        <v>78</v>
      </c>
      <c r="O79" s="46" t="s">
        <v>78</v>
      </c>
      <c r="P79" s="46" t="s">
        <v>1018</v>
      </c>
      <c r="Q79" s="46">
        <v>16</v>
      </c>
      <c r="R79" s="46">
        <v>0</v>
      </c>
      <c r="S79" s="46">
        <v>0</v>
      </c>
      <c r="T79" s="46">
        <v>0</v>
      </c>
      <c r="U79" s="47" t="s">
        <v>1960</v>
      </c>
      <c r="V79" s="47" t="s">
        <v>1937</v>
      </c>
      <c r="W79" s="47" t="s">
        <v>1961</v>
      </c>
      <c r="X79" s="47">
        <v>1</v>
      </c>
      <c r="Y79" s="48">
        <v>2047.3</v>
      </c>
      <c r="Z79" s="48">
        <v>599.85889999999995</v>
      </c>
      <c r="AA79" s="17"/>
      <c r="AB79" s="46" t="s">
        <v>78</v>
      </c>
      <c r="AC79" s="46">
        <v>0</v>
      </c>
      <c r="AD79" s="46" t="s">
        <v>78</v>
      </c>
      <c r="AE79" s="46" t="s">
        <v>1810</v>
      </c>
      <c r="AF79" s="17"/>
      <c r="AG79" s="46" t="s">
        <v>78</v>
      </c>
      <c r="AH79" s="46" t="s">
        <v>41</v>
      </c>
      <c r="AI79" s="46" t="s">
        <v>78</v>
      </c>
      <c r="AJ79" s="52"/>
      <c r="AK79" s="45"/>
      <c r="AL79" s="46" t="s">
        <v>78</v>
      </c>
      <c r="AM79" s="46" t="s">
        <v>78</v>
      </c>
      <c r="AN79" s="46" t="s">
        <v>78</v>
      </c>
      <c r="AO79" s="17"/>
      <c r="AP79" s="49" t="s">
        <v>78</v>
      </c>
      <c r="AQ79" s="46" t="s">
        <v>78</v>
      </c>
      <c r="AR79" s="46" t="s">
        <v>78</v>
      </c>
      <c r="AS79" s="46" t="s">
        <v>78</v>
      </c>
      <c r="AT79" s="46" t="s">
        <v>78</v>
      </c>
      <c r="AU79" s="17"/>
      <c r="AV79" s="142"/>
      <c r="AW79" s="122"/>
      <c r="AX79" s="129"/>
      <c r="AY79" s="142"/>
      <c r="AZ79" s="127"/>
      <c r="BA79" s="142"/>
      <c r="BB79" s="122"/>
      <c r="BC79" s="129"/>
      <c r="BD79" s="142"/>
      <c r="BE79" s="117"/>
      <c r="BF79" s="118"/>
      <c r="BG79" s="127"/>
      <c r="BH79" s="52"/>
    </row>
    <row r="80" spans="1:60">
      <c r="A80" s="40"/>
      <c r="B80" s="45"/>
      <c r="C80" s="46" t="s">
        <v>78</v>
      </c>
      <c r="D80" s="46" t="s">
        <v>78</v>
      </c>
      <c r="E80" s="46" t="s">
        <v>78</v>
      </c>
      <c r="F80" s="17"/>
      <c r="G80" s="46" t="s">
        <v>78</v>
      </c>
      <c r="H80" s="46" t="s">
        <v>78</v>
      </c>
      <c r="I80" s="46" t="s">
        <v>78</v>
      </c>
      <c r="J80" s="46" t="s">
        <v>78</v>
      </c>
      <c r="K80" s="46" t="s">
        <v>78</v>
      </c>
      <c r="L80" s="46" t="s">
        <v>78</v>
      </c>
      <c r="M80" s="46" t="s">
        <v>78</v>
      </c>
      <c r="N80" s="46" t="s">
        <v>78</v>
      </c>
      <c r="O80" s="46" t="s">
        <v>78</v>
      </c>
      <c r="P80" s="46" t="s">
        <v>78</v>
      </c>
      <c r="Q80" s="46" t="s">
        <v>78</v>
      </c>
      <c r="R80" s="46" t="s">
        <v>78</v>
      </c>
      <c r="S80" s="46" t="s">
        <v>78</v>
      </c>
      <c r="T80" s="46" t="s">
        <v>78</v>
      </c>
      <c r="U80" s="47" t="s">
        <v>78</v>
      </c>
      <c r="V80" s="47" t="s">
        <v>78</v>
      </c>
      <c r="W80" s="47" t="s">
        <v>78</v>
      </c>
      <c r="X80" s="47" t="s">
        <v>78</v>
      </c>
      <c r="Y80" s="48" t="s">
        <v>78</v>
      </c>
      <c r="Z80" s="48" t="s">
        <v>78</v>
      </c>
      <c r="AA80" s="17"/>
      <c r="AB80" s="46" t="s">
        <v>78</v>
      </c>
      <c r="AC80" s="46" t="s">
        <v>78</v>
      </c>
      <c r="AD80" s="46" t="s">
        <v>78</v>
      </c>
      <c r="AE80" s="46" t="s">
        <v>78</v>
      </c>
      <c r="AF80" s="17"/>
      <c r="AG80" s="46" t="s">
        <v>78</v>
      </c>
      <c r="AH80" s="46" t="s">
        <v>78</v>
      </c>
      <c r="AI80" s="46" t="s">
        <v>78</v>
      </c>
      <c r="AJ80" s="52"/>
      <c r="AK80" s="45"/>
      <c r="AL80" s="46" t="s">
        <v>78</v>
      </c>
      <c r="AM80" s="46" t="s">
        <v>78</v>
      </c>
      <c r="AN80" s="46" t="s">
        <v>78</v>
      </c>
      <c r="AO80" s="17"/>
      <c r="AP80" s="49" t="s">
        <v>78</v>
      </c>
      <c r="AQ80" s="46" t="s">
        <v>78</v>
      </c>
      <c r="AR80" s="46" t="s">
        <v>78</v>
      </c>
      <c r="AS80" s="46" t="s">
        <v>78</v>
      </c>
      <c r="AT80" s="46" t="s">
        <v>78</v>
      </c>
      <c r="AU80" s="17"/>
      <c r="AV80" s="142"/>
      <c r="AW80" s="122"/>
      <c r="AX80" s="129"/>
      <c r="AY80" s="142"/>
      <c r="AZ80" s="127"/>
      <c r="BA80" s="142"/>
      <c r="BB80" s="122"/>
      <c r="BC80" s="129"/>
      <c r="BD80" s="142"/>
      <c r="BE80" s="117"/>
      <c r="BF80" s="118"/>
      <c r="BG80" s="127"/>
      <c r="BH80" s="52"/>
    </row>
    <row r="81" spans="1:60">
      <c r="A81" s="40"/>
      <c r="B81" s="61"/>
      <c r="C81" s="58" t="s">
        <v>78</v>
      </c>
      <c r="D81" s="58" t="s">
        <v>78</v>
      </c>
      <c r="E81" s="58" t="s">
        <v>78</v>
      </c>
      <c r="F81" s="59"/>
      <c r="G81" s="58" t="s">
        <v>78</v>
      </c>
      <c r="H81" s="58" t="s">
        <v>78</v>
      </c>
      <c r="I81" s="58" t="s">
        <v>78</v>
      </c>
      <c r="J81" s="58" t="s">
        <v>78</v>
      </c>
      <c r="K81" s="58" t="s">
        <v>78</v>
      </c>
      <c r="L81" s="58" t="s">
        <v>78</v>
      </c>
      <c r="M81" s="58" t="s">
        <v>78</v>
      </c>
      <c r="N81" s="58" t="s">
        <v>78</v>
      </c>
      <c r="O81" s="58" t="s">
        <v>78</v>
      </c>
      <c r="P81" s="58" t="s">
        <v>78</v>
      </c>
      <c r="Q81" s="58" t="s">
        <v>78</v>
      </c>
      <c r="R81" s="58" t="s">
        <v>78</v>
      </c>
      <c r="S81" s="58" t="s">
        <v>78</v>
      </c>
      <c r="T81" s="58" t="s">
        <v>78</v>
      </c>
      <c r="U81" s="105" t="s">
        <v>78</v>
      </c>
      <c r="V81" s="105" t="s">
        <v>78</v>
      </c>
      <c r="W81" s="105" t="s">
        <v>78</v>
      </c>
      <c r="X81" s="105" t="s">
        <v>78</v>
      </c>
      <c r="Y81" s="106" t="s">
        <v>78</v>
      </c>
      <c r="Z81" s="106" t="s">
        <v>78</v>
      </c>
      <c r="AA81" s="59"/>
      <c r="AB81" s="58" t="s">
        <v>78</v>
      </c>
      <c r="AC81" s="58" t="s">
        <v>78</v>
      </c>
      <c r="AD81" s="58" t="s">
        <v>78</v>
      </c>
      <c r="AE81" s="58" t="s">
        <v>78</v>
      </c>
      <c r="AF81" s="59"/>
      <c r="AG81" s="58" t="s">
        <v>78</v>
      </c>
      <c r="AH81" s="58" t="s">
        <v>78</v>
      </c>
      <c r="AI81" s="58" t="s">
        <v>78</v>
      </c>
      <c r="AJ81" s="60"/>
      <c r="AK81" s="61"/>
      <c r="AL81" s="58" t="s">
        <v>78</v>
      </c>
      <c r="AM81" s="58" t="s">
        <v>78</v>
      </c>
      <c r="AN81" s="58" t="s">
        <v>78</v>
      </c>
      <c r="AO81" s="59"/>
      <c r="AP81" s="107" t="s">
        <v>78</v>
      </c>
      <c r="AQ81" s="58" t="s">
        <v>78</v>
      </c>
      <c r="AR81" s="58" t="s">
        <v>78</v>
      </c>
      <c r="AS81" s="58" t="s">
        <v>78</v>
      </c>
      <c r="AT81" s="58" t="s">
        <v>78</v>
      </c>
      <c r="AU81" s="59"/>
      <c r="AV81" s="142"/>
      <c r="AW81" s="122"/>
      <c r="AX81" s="129"/>
      <c r="AY81" s="142"/>
      <c r="AZ81" s="127"/>
      <c r="BA81" s="142"/>
      <c r="BB81" s="122"/>
      <c r="BC81" s="129"/>
      <c r="BD81" s="142"/>
      <c r="BE81" s="117"/>
      <c r="BF81" s="118"/>
      <c r="BG81" s="127"/>
      <c r="BH81" s="60"/>
    </row>
  </sheetData>
  <dataValidations count="2">
    <dataValidation type="list" allowBlank="1" showInputMessage="1" showErrorMessage="1" sqref="AX4:AX81 BC4:BC81" xr:uid="{DED3AC40-B87F-416C-AC4C-B249895FF638}">
      <formula1>SWITCH_NAME_LIST</formula1>
    </dataValidation>
    <dataValidation type="list" allowBlank="1" showInputMessage="1" sqref="AW4:AW81 BB4:BB81" xr:uid="{71CFD36C-99C1-47FC-AA7C-E73F043970D8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24" fitToHeight="0" orientation="landscape" horizontalDpi="4294967293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EE61-C694-4E3B-B9D5-0E84D5FA680A}">
  <sheetPr codeName="Sheet26">
    <tabColor rgb="FF0070C0"/>
    <pageSetUpPr fitToPage="1"/>
  </sheetPr>
  <dimension ref="A1:K496"/>
  <sheetViews>
    <sheetView topLeftCell="A88" workbookViewId="0"/>
  </sheetViews>
  <sheetFormatPr defaultRowHeight="10.199999999999999"/>
  <cols>
    <col min="1" max="1" width="1.6640625" customWidth="1"/>
    <col min="2" max="2" width="14.109375" bestFit="1" customWidth="1"/>
    <col min="3" max="3" width="18.21875" bestFit="1" customWidth="1"/>
    <col min="4" max="4" width="55.109375" bestFit="1" customWidth="1"/>
    <col min="5" max="5" width="13.109375" bestFit="1" customWidth="1"/>
    <col min="6" max="6" width="12.44140625" bestFit="1" customWidth="1"/>
    <col min="7" max="7" width="14.21875" bestFit="1" customWidth="1"/>
    <col min="8" max="8" width="19" bestFit="1" customWidth="1"/>
    <col min="9" max="9" width="10.6640625" bestFit="1" customWidth="1"/>
    <col min="10" max="10" width="4.77734375" bestFit="1" customWidth="1"/>
    <col min="11" max="11" width="24.33203125" bestFit="1" customWidth="1"/>
  </cols>
  <sheetData>
    <row r="1" spans="1:11" ht="21">
      <c r="A1" s="12" t="s">
        <v>884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3" spans="1:11" ht="15.6">
      <c r="B3" s="15" t="s">
        <v>885</v>
      </c>
      <c r="C3" s="15" t="s">
        <v>886</v>
      </c>
      <c r="D3" s="15" t="s">
        <v>887</v>
      </c>
      <c r="E3" s="15" t="s">
        <v>45</v>
      </c>
      <c r="F3" s="15" t="s">
        <v>888</v>
      </c>
      <c r="G3" s="15" t="s">
        <v>889</v>
      </c>
      <c r="H3" s="15" t="s">
        <v>890</v>
      </c>
      <c r="I3" s="15" t="s">
        <v>53</v>
      </c>
      <c r="J3" s="15" t="s">
        <v>891</v>
      </c>
      <c r="K3" s="15" t="s">
        <v>54</v>
      </c>
    </row>
    <row r="4" spans="1:11">
      <c r="B4" s="18" t="s">
        <v>892</v>
      </c>
      <c r="C4" s="18" t="s">
        <v>893</v>
      </c>
      <c r="D4" s="18" t="s">
        <v>894</v>
      </c>
      <c r="E4" s="18" t="s">
        <v>895</v>
      </c>
      <c r="F4" s="18" t="s">
        <v>896</v>
      </c>
      <c r="G4" s="18"/>
      <c r="H4" s="18"/>
      <c r="I4" s="18"/>
      <c r="J4" s="18">
        <v>1</v>
      </c>
      <c r="K4" s="18" t="s">
        <v>897</v>
      </c>
    </row>
    <row r="5" spans="1:11">
      <c r="B5" s="18" t="s">
        <v>892</v>
      </c>
      <c r="C5" s="18" t="s">
        <v>898</v>
      </c>
      <c r="D5" s="18" t="s">
        <v>899</v>
      </c>
      <c r="E5" s="18" t="s">
        <v>900</v>
      </c>
      <c r="F5" s="18" t="s">
        <v>901</v>
      </c>
      <c r="G5" s="18"/>
      <c r="H5" s="18" t="s">
        <v>902</v>
      </c>
      <c r="I5" s="18"/>
      <c r="J5" s="18">
        <v>2</v>
      </c>
      <c r="K5" s="18"/>
    </row>
    <row r="6" spans="1:11">
      <c r="B6" s="18" t="s">
        <v>892</v>
      </c>
      <c r="C6" s="18" t="s">
        <v>898</v>
      </c>
      <c r="D6" s="18" t="s">
        <v>899</v>
      </c>
      <c r="E6" s="18" t="s">
        <v>900</v>
      </c>
      <c r="F6" s="18" t="s">
        <v>903</v>
      </c>
      <c r="G6" s="18"/>
      <c r="H6" s="18" t="s">
        <v>902</v>
      </c>
      <c r="I6" s="18"/>
      <c r="J6" s="18">
        <v>2</v>
      </c>
      <c r="K6" s="18"/>
    </row>
    <row r="7" spans="1:11">
      <c r="B7" s="18" t="s">
        <v>892</v>
      </c>
      <c r="C7" s="18" t="s">
        <v>898</v>
      </c>
      <c r="D7" s="18" t="s">
        <v>899</v>
      </c>
      <c r="E7" s="18" t="s">
        <v>900</v>
      </c>
      <c r="F7" s="18" t="s">
        <v>904</v>
      </c>
      <c r="G7" s="18"/>
      <c r="H7" s="18" t="s">
        <v>905</v>
      </c>
      <c r="I7" s="18"/>
      <c r="J7" s="18">
        <v>2</v>
      </c>
      <c r="K7" s="18"/>
    </row>
    <row r="8" spans="1:11">
      <c r="B8" s="18" t="s">
        <v>892</v>
      </c>
      <c r="C8" s="18" t="s">
        <v>898</v>
      </c>
      <c r="D8" s="18" t="s">
        <v>899</v>
      </c>
      <c r="E8" s="18" t="s">
        <v>900</v>
      </c>
      <c r="F8" s="18" t="s">
        <v>906</v>
      </c>
      <c r="G8" s="18"/>
      <c r="H8" s="18" t="s">
        <v>905</v>
      </c>
      <c r="I8" s="18"/>
      <c r="J8" s="18">
        <v>2</v>
      </c>
      <c r="K8" s="18"/>
    </row>
    <row r="9" spans="1:11">
      <c r="B9" s="18" t="s">
        <v>892</v>
      </c>
      <c r="C9" s="18" t="s">
        <v>907</v>
      </c>
      <c r="D9" s="18" t="s">
        <v>908</v>
      </c>
      <c r="E9" s="18" t="s">
        <v>909</v>
      </c>
      <c r="F9" s="18" t="s">
        <v>910</v>
      </c>
      <c r="G9" s="18"/>
      <c r="H9" s="18"/>
      <c r="I9" s="18"/>
      <c r="J9" s="18">
        <v>3</v>
      </c>
      <c r="K9" s="18"/>
    </row>
    <row r="10" spans="1:11">
      <c r="B10" s="18" t="s">
        <v>892</v>
      </c>
      <c r="C10" s="18" t="s">
        <v>907</v>
      </c>
      <c r="D10" s="18" t="s">
        <v>908</v>
      </c>
      <c r="E10" s="18" t="s">
        <v>909</v>
      </c>
      <c r="F10" s="18" t="s">
        <v>911</v>
      </c>
      <c r="G10" s="18"/>
      <c r="H10" s="18"/>
      <c r="I10" s="18"/>
      <c r="J10" s="18">
        <v>4</v>
      </c>
      <c r="K10" s="18"/>
    </row>
    <row r="11" spans="1:11">
      <c r="B11" s="18" t="s">
        <v>892</v>
      </c>
      <c r="C11" s="18" t="s">
        <v>907</v>
      </c>
      <c r="D11" s="18" t="s">
        <v>908</v>
      </c>
      <c r="E11" s="18" t="s">
        <v>909</v>
      </c>
      <c r="F11" s="18" t="s">
        <v>912</v>
      </c>
      <c r="G11" s="18"/>
      <c r="H11" s="18"/>
      <c r="I11" s="18"/>
      <c r="J11" s="18">
        <v>5</v>
      </c>
      <c r="K11" s="18"/>
    </row>
    <row r="12" spans="1:11">
      <c r="B12" s="18" t="s">
        <v>892</v>
      </c>
      <c r="C12" s="18" t="s">
        <v>907</v>
      </c>
      <c r="D12" s="18" t="s">
        <v>908</v>
      </c>
      <c r="E12" s="18" t="s">
        <v>909</v>
      </c>
      <c r="F12" s="18" t="s">
        <v>913</v>
      </c>
      <c r="G12" s="18"/>
      <c r="H12" s="18"/>
      <c r="I12" s="18"/>
      <c r="J12" s="18">
        <v>6</v>
      </c>
      <c r="K12" s="18"/>
    </row>
    <row r="13" spans="1:11">
      <c r="B13" s="18" t="s">
        <v>892</v>
      </c>
      <c r="C13" s="18" t="s">
        <v>914</v>
      </c>
      <c r="D13" s="18" t="s">
        <v>915</v>
      </c>
      <c r="E13" s="18" t="s">
        <v>900</v>
      </c>
      <c r="F13" s="18" t="s">
        <v>916</v>
      </c>
      <c r="G13" s="18"/>
      <c r="H13" s="18"/>
      <c r="I13" s="18"/>
      <c r="J13" s="18">
        <v>7</v>
      </c>
      <c r="K13" s="18"/>
    </row>
    <row r="14" spans="1:11">
      <c r="B14" s="18" t="s">
        <v>892</v>
      </c>
      <c r="C14" s="18" t="s">
        <v>914</v>
      </c>
      <c r="D14" s="18" t="s">
        <v>915</v>
      </c>
      <c r="E14" s="18" t="s">
        <v>900</v>
      </c>
      <c r="F14" s="18" t="s">
        <v>917</v>
      </c>
      <c r="G14" s="18"/>
      <c r="H14" s="18"/>
      <c r="I14" s="18"/>
      <c r="J14" s="18">
        <v>7</v>
      </c>
      <c r="K14" s="18"/>
    </row>
    <row r="15" spans="1:11">
      <c r="B15" s="18" t="s">
        <v>892</v>
      </c>
      <c r="C15" s="18" t="s">
        <v>914</v>
      </c>
      <c r="D15" s="18" t="s">
        <v>915</v>
      </c>
      <c r="E15" s="18" t="s">
        <v>900</v>
      </c>
      <c r="F15" s="18" t="s">
        <v>918</v>
      </c>
      <c r="G15" s="18"/>
      <c r="H15" s="18"/>
      <c r="I15" s="18"/>
      <c r="J15" s="18">
        <v>7</v>
      </c>
      <c r="K15" s="18"/>
    </row>
    <row r="16" spans="1:11">
      <c r="B16" s="18" t="s">
        <v>892</v>
      </c>
      <c r="C16" s="18" t="s">
        <v>914</v>
      </c>
      <c r="D16" s="18" t="s">
        <v>915</v>
      </c>
      <c r="E16" s="18" t="s">
        <v>900</v>
      </c>
      <c r="F16" s="18" t="s">
        <v>919</v>
      </c>
      <c r="G16" s="18"/>
      <c r="H16" s="18"/>
      <c r="I16" s="18"/>
      <c r="J16" s="18">
        <v>7</v>
      </c>
      <c r="K16" s="18"/>
    </row>
    <row r="17" spans="2:11">
      <c r="B17" s="18" t="s">
        <v>892</v>
      </c>
      <c r="C17" s="18" t="s">
        <v>914</v>
      </c>
      <c r="D17" s="18" t="s">
        <v>915</v>
      </c>
      <c r="E17" s="18" t="s">
        <v>900</v>
      </c>
      <c r="F17" s="18" t="s">
        <v>920</v>
      </c>
      <c r="G17" s="18"/>
      <c r="H17" s="18"/>
      <c r="I17" s="18"/>
      <c r="J17" s="18">
        <v>7</v>
      </c>
      <c r="K17" s="18"/>
    </row>
    <row r="18" spans="2:11">
      <c r="B18" s="18" t="s">
        <v>892</v>
      </c>
      <c r="C18" s="18" t="s">
        <v>914</v>
      </c>
      <c r="D18" s="18" t="s">
        <v>915</v>
      </c>
      <c r="E18" s="18" t="s">
        <v>900</v>
      </c>
      <c r="F18" s="18" t="s">
        <v>921</v>
      </c>
      <c r="G18" s="18"/>
      <c r="H18" s="18"/>
      <c r="I18" s="18"/>
      <c r="J18" s="18">
        <v>7</v>
      </c>
      <c r="K18" s="18"/>
    </row>
    <row r="19" spans="2:11">
      <c r="B19" s="18" t="s">
        <v>892</v>
      </c>
      <c r="C19" s="18" t="s">
        <v>914</v>
      </c>
      <c r="D19" s="18" t="s">
        <v>915</v>
      </c>
      <c r="E19" s="18" t="s">
        <v>900</v>
      </c>
      <c r="F19" s="18" t="s">
        <v>922</v>
      </c>
      <c r="G19" s="18"/>
      <c r="H19" s="18"/>
      <c r="I19" s="18"/>
      <c r="J19" s="18">
        <v>7</v>
      </c>
      <c r="K19" s="18"/>
    </row>
    <row r="20" spans="2:11">
      <c r="B20" s="18" t="s">
        <v>892</v>
      </c>
      <c r="C20" s="18" t="s">
        <v>914</v>
      </c>
      <c r="D20" s="18" t="s">
        <v>915</v>
      </c>
      <c r="E20" s="18" t="s">
        <v>900</v>
      </c>
      <c r="F20" s="18" t="s">
        <v>923</v>
      </c>
      <c r="G20" s="18"/>
      <c r="H20" s="18"/>
      <c r="I20" s="18"/>
      <c r="J20" s="18">
        <v>7</v>
      </c>
      <c r="K20" s="18"/>
    </row>
    <row r="21" spans="2:11">
      <c r="B21" s="18" t="s">
        <v>892</v>
      </c>
      <c r="C21" s="18" t="s">
        <v>914</v>
      </c>
      <c r="D21" s="18" t="s">
        <v>915</v>
      </c>
      <c r="E21" s="18" t="s">
        <v>900</v>
      </c>
      <c r="F21" s="18" t="s">
        <v>924</v>
      </c>
      <c r="G21" s="18"/>
      <c r="H21" s="18"/>
      <c r="I21" s="18"/>
      <c r="J21" s="18">
        <v>7</v>
      </c>
      <c r="K21" s="18"/>
    </row>
    <row r="22" spans="2:11">
      <c r="B22" s="18" t="s">
        <v>892</v>
      </c>
      <c r="C22" s="18" t="s">
        <v>914</v>
      </c>
      <c r="D22" s="18" t="s">
        <v>915</v>
      </c>
      <c r="E22" s="18" t="s">
        <v>900</v>
      </c>
      <c r="F22" s="18" t="s">
        <v>925</v>
      </c>
      <c r="G22" s="18"/>
      <c r="H22" s="18"/>
      <c r="I22" s="18"/>
      <c r="J22" s="18">
        <v>7</v>
      </c>
      <c r="K22" s="18"/>
    </row>
    <row r="23" spans="2:11">
      <c r="B23" s="18" t="s">
        <v>892</v>
      </c>
      <c r="C23" s="18" t="s">
        <v>914</v>
      </c>
      <c r="D23" s="18" t="s">
        <v>915</v>
      </c>
      <c r="E23" s="18" t="s">
        <v>900</v>
      </c>
      <c r="F23" s="18" t="s">
        <v>926</v>
      </c>
      <c r="G23" s="18"/>
      <c r="H23" s="18"/>
      <c r="I23" s="18"/>
      <c r="J23" s="18">
        <v>7</v>
      </c>
      <c r="K23" s="18"/>
    </row>
    <row r="24" spans="2:11">
      <c r="B24" s="18" t="s">
        <v>892</v>
      </c>
      <c r="C24" s="18" t="s">
        <v>914</v>
      </c>
      <c r="D24" s="18" t="s">
        <v>915</v>
      </c>
      <c r="E24" s="18" t="s">
        <v>900</v>
      </c>
      <c r="F24" s="18" t="s">
        <v>927</v>
      </c>
      <c r="G24" s="18"/>
      <c r="H24" s="18"/>
      <c r="I24" s="18"/>
      <c r="J24" s="18">
        <v>7</v>
      </c>
      <c r="K24" s="18"/>
    </row>
    <row r="25" spans="2:11">
      <c r="B25" s="18" t="s">
        <v>892</v>
      </c>
      <c r="C25" s="18" t="s">
        <v>914</v>
      </c>
      <c r="D25" s="18" t="s">
        <v>915</v>
      </c>
      <c r="E25" s="18" t="s">
        <v>900</v>
      </c>
      <c r="F25" s="18" t="s">
        <v>928</v>
      </c>
      <c r="G25" s="18"/>
      <c r="H25" s="18"/>
      <c r="I25" s="18"/>
      <c r="J25" s="18">
        <v>7</v>
      </c>
      <c r="K25" s="18"/>
    </row>
    <row r="26" spans="2:11">
      <c r="B26" s="18" t="s">
        <v>892</v>
      </c>
      <c r="C26" s="18" t="s">
        <v>914</v>
      </c>
      <c r="D26" s="18" t="s">
        <v>915</v>
      </c>
      <c r="E26" s="18" t="s">
        <v>900</v>
      </c>
      <c r="F26" s="18" t="s">
        <v>929</v>
      </c>
      <c r="G26" s="18"/>
      <c r="H26" s="18"/>
      <c r="I26" s="18"/>
      <c r="J26" s="18">
        <v>7</v>
      </c>
      <c r="K26" s="18"/>
    </row>
    <row r="27" spans="2:11">
      <c r="B27" s="18" t="s">
        <v>892</v>
      </c>
      <c r="C27" s="18" t="s">
        <v>914</v>
      </c>
      <c r="D27" s="18" t="s">
        <v>915</v>
      </c>
      <c r="E27" s="18" t="s">
        <v>900</v>
      </c>
      <c r="F27" s="18" t="s">
        <v>930</v>
      </c>
      <c r="G27" s="18"/>
      <c r="H27" s="18"/>
      <c r="I27" s="18"/>
      <c r="J27" s="18">
        <v>7</v>
      </c>
      <c r="K27" s="18"/>
    </row>
    <row r="28" spans="2:11">
      <c r="B28" s="18" t="s">
        <v>892</v>
      </c>
      <c r="C28" s="18" t="s">
        <v>914</v>
      </c>
      <c r="D28" s="18" t="s">
        <v>915</v>
      </c>
      <c r="E28" s="18" t="s">
        <v>900</v>
      </c>
      <c r="F28" s="18" t="s">
        <v>931</v>
      </c>
      <c r="G28" s="18"/>
      <c r="H28" s="18"/>
      <c r="I28" s="18"/>
      <c r="J28" s="18">
        <v>7</v>
      </c>
      <c r="K28" s="18"/>
    </row>
    <row r="29" spans="2:11">
      <c r="B29" s="18" t="s">
        <v>892</v>
      </c>
      <c r="C29" s="18" t="s">
        <v>932</v>
      </c>
      <c r="D29" s="18" t="s">
        <v>933</v>
      </c>
      <c r="E29" s="18" t="s">
        <v>900</v>
      </c>
      <c r="F29" s="18" t="s">
        <v>934</v>
      </c>
      <c r="G29" s="18"/>
      <c r="H29" s="18"/>
      <c r="I29" s="18"/>
      <c r="J29" s="18">
        <v>8</v>
      </c>
      <c r="K29" s="18"/>
    </row>
    <row r="30" spans="2:11">
      <c r="B30" s="18" t="s">
        <v>892</v>
      </c>
      <c r="C30" s="18" t="s">
        <v>932</v>
      </c>
      <c r="D30" s="18" t="s">
        <v>933</v>
      </c>
      <c r="E30" s="18" t="s">
        <v>900</v>
      </c>
      <c r="F30" s="18" t="s">
        <v>935</v>
      </c>
      <c r="G30" s="18"/>
      <c r="H30" s="18"/>
      <c r="I30" s="18"/>
      <c r="J30" s="18">
        <v>8</v>
      </c>
      <c r="K30" s="18"/>
    </row>
    <row r="31" spans="2:11">
      <c r="B31" s="18" t="s">
        <v>892</v>
      </c>
      <c r="C31" s="18" t="s">
        <v>932</v>
      </c>
      <c r="D31" s="18" t="s">
        <v>933</v>
      </c>
      <c r="E31" s="18" t="s">
        <v>900</v>
      </c>
      <c r="F31" s="18" t="s">
        <v>936</v>
      </c>
      <c r="G31" s="18"/>
      <c r="H31" s="18"/>
      <c r="I31" s="18"/>
      <c r="J31" s="18">
        <v>8</v>
      </c>
      <c r="K31" s="18"/>
    </row>
    <row r="32" spans="2:11">
      <c r="B32" s="18" t="s">
        <v>892</v>
      </c>
      <c r="C32" s="18" t="s">
        <v>932</v>
      </c>
      <c r="D32" s="18" t="s">
        <v>933</v>
      </c>
      <c r="E32" s="18" t="s">
        <v>900</v>
      </c>
      <c r="F32" s="18" t="s">
        <v>937</v>
      </c>
      <c r="G32" s="18"/>
      <c r="H32" s="18"/>
      <c r="I32" s="18"/>
      <c r="J32" s="18">
        <v>8</v>
      </c>
      <c r="K32" s="18"/>
    </row>
    <row r="33" spans="2:11">
      <c r="B33" s="18" t="s">
        <v>892</v>
      </c>
      <c r="C33" s="18" t="s">
        <v>932</v>
      </c>
      <c r="D33" s="18" t="s">
        <v>933</v>
      </c>
      <c r="E33" s="18" t="s">
        <v>900</v>
      </c>
      <c r="F33" s="18" t="s">
        <v>938</v>
      </c>
      <c r="G33" s="18"/>
      <c r="H33" s="18"/>
      <c r="I33" s="18"/>
      <c r="J33" s="18">
        <v>8</v>
      </c>
      <c r="K33" s="18"/>
    </row>
    <row r="34" spans="2:11">
      <c r="B34" s="18" t="s">
        <v>892</v>
      </c>
      <c r="C34" s="18" t="s">
        <v>932</v>
      </c>
      <c r="D34" s="18" t="s">
        <v>933</v>
      </c>
      <c r="E34" s="18" t="s">
        <v>900</v>
      </c>
      <c r="F34" s="18" t="s">
        <v>939</v>
      </c>
      <c r="G34" s="18"/>
      <c r="H34" s="18"/>
      <c r="I34" s="18"/>
      <c r="J34" s="18">
        <v>8</v>
      </c>
      <c r="K34" s="18"/>
    </row>
    <row r="35" spans="2:11">
      <c r="B35" s="18" t="s">
        <v>892</v>
      </c>
      <c r="C35" s="18" t="s">
        <v>932</v>
      </c>
      <c r="D35" s="18" t="s">
        <v>933</v>
      </c>
      <c r="E35" s="18" t="s">
        <v>900</v>
      </c>
      <c r="F35" s="18" t="s">
        <v>940</v>
      </c>
      <c r="G35" s="18"/>
      <c r="H35" s="18"/>
      <c r="I35" s="18"/>
      <c r="J35" s="18">
        <v>8</v>
      </c>
      <c r="K35" s="18"/>
    </row>
    <row r="36" spans="2:11">
      <c r="B36" s="18" t="s">
        <v>892</v>
      </c>
      <c r="C36" s="18" t="s">
        <v>932</v>
      </c>
      <c r="D36" s="18" t="s">
        <v>933</v>
      </c>
      <c r="E36" s="18" t="s">
        <v>900</v>
      </c>
      <c r="F36" s="18" t="s">
        <v>941</v>
      </c>
      <c r="G36" s="18"/>
      <c r="H36" s="18"/>
      <c r="I36" s="18"/>
      <c r="J36" s="18">
        <v>8</v>
      </c>
      <c r="K36" s="18"/>
    </row>
    <row r="37" spans="2:11">
      <c r="B37" s="18" t="s">
        <v>892</v>
      </c>
      <c r="C37" s="18" t="s">
        <v>932</v>
      </c>
      <c r="D37" s="18" t="s">
        <v>933</v>
      </c>
      <c r="E37" s="18" t="s">
        <v>900</v>
      </c>
      <c r="F37" s="18" t="s">
        <v>942</v>
      </c>
      <c r="G37" s="18"/>
      <c r="H37" s="18"/>
      <c r="I37" s="18"/>
      <c r="J37" s="18">
        <v>8</v>
      </c>
      <c r="K37" s="18"/>
    </row>
    <row r="38" spans="2:11">
      <c r="B38" s="18" t="s">
        <v>892</v>
      </c>
      <c r="C38" s="18" t="s">
        <v>932</v>
      </c>
      <c r="D38" s="18" t="s">
        <v>933</v>
      </c>
      <c r="E38" s="18" t="s">
        <v>900</v>
      </c>
      <c r="F38" s="18" t="s">
        <v>943</v>
      </c>
      <c r="G38" s="18"/>
      <c r="H38" s="18"/>
      <c r="I38" s="18"/>
      <c r="J38" s="18">
        <v>8</v>
      </c>
      <c r="K38" s="18"/>
    </row>
    <row r="39" spans="2:11">
      <c r="B39" s="18" t="s">
        <v>892</v>
      </c>
      <c r="C39" s="18" t="s">
        <v>932</v>
      </c>
      <c r="D39" s="18" t="s">
        <v>933</v>
      </c>
      <c r="E39" s="18" t="s">
        <v>900</v>
      </c>
      <c r="F39" s="18" t="s">
        <v>944</v>
      </c>
      <c r="G39" s="18"/>
      <c r="H39" s="18"/>
      <c r="I39" s="18"/>
      <c r="J39" s="18">
        <v>8</v>
      </c>
      <c r="K39" s="18"/>
    </row>
    <row r="40" spans="2:11">
      <c r="B40" s="18" t="s">
        <v>892</v>
      </c>
      <c r="C40" s="18" t="s">
        <v>932</v>
      </c>
      <c r="D40" s="18" t="s">
        <v>933</v>
      </c>
      <c r="E40" s="18" t="s">
        <v>900</v>
      </c>
      <c r="F40" s="18" t="s">
        <v>945</v>
      </c>
      <c r="G40" s="18"/>
      <c r="H40" s="18"/>
      <c r="I40" s="18"/>
      <c r="J40" s="18">
        <v>8</v>
      </c>
      <c r="K40" s="18"/>
    </row>
    <row r="41" spans="2:11">
      <c r="B41" s="18" t="s">
        <v>892</v>
      </c>
      <c r="C41" s="18" t="s">
        <v>946</v>
      </c>
      <c r="D41" s="18" t="s">
        <v>947</v>
      </c>
      <c r="E41" s="18" t="s">
        <v>900</v>
      </c>
      <c r="F41" s="18" t="s">
        <v>948</v>
      </c>
      <c r="G41" s="18"/>
      <c r="H41" s="18"/>
      <c r="I41" s="18"/>
      <c r="J41" s="18">
        <v>9</v>
      </c>
      <c r="K41" s="18"/>
    </row>
    <row r="42" spans="2:11">
      <c r="B42" s="18" t="s">
        <v>892</v>
      </c>
      <c r="C42" s="18" t="s">
        <v>946</v>
      </c>
      <c r="D42" s="18" t="s">
        <v>947</v>
      </c>
      <c r="E42" s="18" t="s">
        <v>900</v>
      </c>
      <c r="F42" s="18" t="s">
        <v>949</v>
      </c>
      <c r="G42" s="18"/>
      <c r="H42" s="18"/>
      <c r="I42" s="18"/>
      <c r="J42" s="18">
        <v>9</v>
      </c>
      <c r="K42" s="18"/>
    </row>
    <row r="43" spans="2:11">
      <c r="B43" s="18" t="s">
        <v>892</v>
      </c>
      <c r="C43" s="18" t="s">
        <v>946</v>
      </c>
      <c r="D43" s="18" t="s">
        <v>947</v>
      </c>
      <c r="E43" s="18" t="s">
        <v>900</v>
      </c>
      <c r="F43" s="18" t="s">
        <v>950</v>
      </c>
      <c r="G43" s="18"/>
      <c r="H43" s="18"/>
      <c r="I43" s="18"/>
      <c r="J43" s="18">
        <v>9</v>
      </c>
      <c r="K43" s="18"/>
    </row>
    <row r="44" spans="2:11">
      <c r="B44" s="18" t="s">
        <v>892</v>
      </c>
      <c r="C44" s="18" t="s">
        <v>946</v>
      </c>
      <c r="D44" s="18" t="s">
        <v>947</v>
      </c>
      <c r="E44" s="18" t="s">
        <v>900</v>
      </c>
      <c r="F44" s="18" t="s">
        <v>951</v>
      </c>
      <c r="G44" s="18"/>
      <c r="H44" s="18"/>
      <c r="I44" s="18"/>
      <c r="J44" s="18">
        <v>9</v>
      </c>
      <c r="K44" s="18"/>
    </row>
    <row r="45" spans="2:11">
      <c r="B45" s="18" t="s">
        <v>892</v>
      </c>
      <c r="C45" s="18" t="s">
        <v>946</v>
      </c>
      <c r="D45" s="18" t="s">
        <v>947</v>
      </c>
      <c r="E45" s="18" t="s">
        <v>900</v>
      </c>
      <c r="F45" s="18" t="s">
        <v>952</v>
      </c>
      <c r="G45" s="18"/>
      <c r="H45" s="18"/>
      <c r="I45" s="18"/>
      <c r="J45" s="18">
        <v>9</v>
      </c>
      <c r="K45" s="18"/>
    </row>
    <row r="46" spans="2:11">
      <c r="B46" s="18" t="s">
        <v>892</v>
      </c>
      <c r="C46" s="18" t="s">
        <v>946</v>
      </c>
      <c r="D46" s="18" t="s">
        <v>947</v>
      </c>
      <c r="E46" s="18" t="s">
        <v>900</v>
      </c>
      <c r="F46" s="18" t="s">
        <v>953</v>
      </c>
      <c r="G46" s="18"/>
      <c r="H46" s="18"/>
      <c r="I46" s="18"/>
      <c r="J46" s="18">
        <v>9</v>
      </c>
      <c r="K46" s="18"/>
    </row>
    <row r="47" spans="2:11">
      <c r="B47" s="18" t="s">
        <v>892</v>
      </c>
      <c r="C47" s="18" t="s">
        <v>946</v>
      </c>
      <c r="D47" s="18" t="s">
        <v>947</v>
      </c>
      <c r="E47" s="18" t="s">
        <v>900</v>
      </c>
      <c r="F47" s="18" t="s">
        <v>954</v>
      </c>
      <c r="G47" s="18"/>
      <c r="H47" s="18"/>
      <c r="I47" s="18"/>
      <c r="J47" s="18">
        <v>9</v>
      </c>
      <c r="K47" s="18"/>
    </row>
    <row r="48" spans="2:11">
      <c r="B48" s="18" t="s">
        <v>892</v>
      </c>
      <c r="C48" s="18" t="s">
        <v>946</v>
      </c>
      <c r="D48" s="18" t="s">
        <v>947</v>
      </c>
      <c r="E48" s="18" t="s">
        <v>900</v>
      </c>
      <c r="F48" s="18" t="s">
        <v>955</v>
      </c>
      <c r="G48" s="18"/>
      <c r="H48" s="18"/>
      <c r="I48" s="18"/>
      <c r="J48" s="18">
        <v>9</v>
      </c>
      <c r="K48" s="18"/>
    </row>
    <row r="49" spans="2:11">
      <c r="B49" s="18" t="s">
        <v>892</v>
      </c>
      <c r="C49" s="18" t="s">
        <v>946</v>
      </c>
      <c r="D49" s="18" t="s">
        <v>947</v>
      </c>
      <c r="E49" s="18" t="s">
        <v>900</v>
      </c>
      <c r="F49" s="18" t="s">
        <v>956</v>
      </c>
      <c r="G49" s="18"/>
      <c r="H49" s="18"/>
      <c r="I49" s="18"/>
      <c r="J49" s="18">
        <v>9</v>
      </c>
      <c r="K49" s="18"/>
    </row>
    <row r="50" spans="2:11">
      <c r="B50" s="18" t="s">
        <v>892</v>
      </c>
      <c r="C50" s="18" t="s">
        <v>946</v>
      </c>
      <c r="D50" s="18" t="s">
        <v>947</v>
      </c>
      <c r="E50" s="18" t="s">
        <v>900</v>
      </c>
      <c r="F50" s="18" t="s">
        <v>957</v>
      </c>
      <c r="G50" s="18"/>
      <c r="H50" s="18"/>
      <c r="I50" s="18"/>
      <c r="J50" s="18">
        <v>9</v>
      </c>
      <c r="K50" s="18"/>
    </row>
    <row r="51" spans="2:11">
      <c r="B51" s="18" t="s">
        <v>892</v>
      </c>
      <c r="C51" s="18" t="s">
        <v>946</v>
      </c>
      <c r="D51" s="18" t="s">
        <v>947</v>
      </c>
      <c r="E51" s="18" t="s">
        <v>900</v>
      </c>
      <c r="F51" s="18" t="s">
        <v>958</v>
      </c>
      <c r="G51" s="18"/>
      <c r="H51" s="18"/>
      <c r="I51" s="18"/>
      <c r="J51" s="18">
        <v>9</v>
      </c>
      <c r="K51" s="18"/>
    </row>
    <row r="52" spans="2:11">
      <c r="B52" s="18" t="s">
        <v>892</v>
      </c>
      <c r="C52" s="18" t="s">
        <v>946</v>
      </c>
      <c r="D52" s="18" t="s">
        <v>947</v>
      </c>
      <c r="E52" s="18" t="s">
        <v>900</v>
      </c>
      <c r="F52" s="18" t="s">
        <v>959</v>
      </c>
      <c r="G52" s="18"/>
      <c r="H52" s="18"/>
      <c r="I52" s="18"/>
      <c r="J52" s="18">
        <v>9</v>
      </c>
      <c r="K52" s="18"/>
    </row>
    <row r="53" spans="2:11">
      <c r="B53" s="18" t="s">
        <v>892</v>
      </c>
      <c r="C53" s="18" t="s">
        <v>946</v>
      </c>
      <c r="D53" s="18" t="s">
        <v>947</v>
      </c>
      <c r="E53" s="18" t="s">
        <v>900</v>
      </c>
      <c r="F53" s="18" t="s">
        <v>960</v>
      </c>
      <c r="G53" s="18"/>
      <c r="H53" s="18"/>
      <c r="I53" s="18"/>
      <c r="J53" s="18">
        <v>9</v>
      </c>
      <c r="K53" s="18"/>
    </row>
    <row r="54" spans="2:11">
      <c r="B54" s="18" t="s">
        <v>892</v>
      </c>
      <c r="C54" s="18" t="s">
        <v>946</v>
      </c>
      <c r="D54" s="18" t="s">
        <v>947</v>
      </c>
      <c r="E54" s="18" t="s">
        <v>900</v>
      </c>
      <c r="F54" s="18" t="s">
        <v>961</v>
      </c>
      <c r="G54" s="18"/>
      <c r="H54" s="18"/>
      <c r="I54" s="18"/>
      <c r="J54" s="18">
        <v>9</v>
      </c>
      <c r="K54" s="18"/>
    </row>
    <row r="55" spans="2:11">
      <c r="B55" s="18" t="s">
        <v>892</v>
      </c>
      <c r="C55" s="18" t="s">
        <v>946</v>
      </c>
      <c r="D55" s="18" t="s">
        <v>947</v>
      </c>
      <c r="E55" s="18" t="s">
        <v>900</v>
      </c>
      <c r="F55" s="18" t="s">
        <v>962</v>
      </c>
      <c r="G55" s="18"/>
      <c r="H55" s="18"/>
      <c r="I55" s="18"/>
      <c r="J55" s="18">
        <v>9</v>
      </c>
      <c r="K55" s="18"/>
    </row>
    <row r="56" spans="2:11">
      <c r="B56" s="18" t="s">
        <v>892</v>
      </c>
      <c r="C56" s="18" t="s">
        <v>946</v>
      </c>
      <c r="D56" s="18" t="s">
        <v>947</v>
      </c>
      <c r="E56" s="18" t="s">
        <v>900</v>
      </c>
      <c r="F56" s="18" t="s">
        <v>963</v>
      </c>
      <c r="G56" s="18"/>
      <c r="H56" s="18"/>
      <c r="I56" s="18"/>
      <c r="J56" s="18">
        <v>9</v>
      </c>
      <c r="K56" s="18"/>
    </row>
    <row r="57" spans="2:11">
      <c r="B57" s="18" t="s">
        <v>892</v>
      </c>
      <c r="C57" s="18" t="s">
        <v>964</v>
      </c>
      <c r="D57" s="18" t="s">
        <v>965</v>
      </c>
      <c r="E57" s="18" t="s">
        <v>900</v>
      </c>
      <c r="F57" s="18" t="s">
        <v>966</v>
      </c>
      <c r="G57" s="18"/>
      <c r="H57" s="18"/>
      <c r="I57" s="18"/>
      <c r="J57" s="18">
        <v>10</v>
      </c>
      <c r="K57" s="18"/>
    </row>
    <row r="58" spans="2:11">
      <c r="B58" s="18" t="s">
        <v>892</v>
      </c>
      <c r="C58" s="18" t="s">
        <v>964</v>
      </c>
      <c r="D58" s="18" t="s">
        <v>965</v>
      </c>
      <c r="E58" s="18" t="s">
        <v>900</v>
      </c>
      <c r="F58" s="18" t="s">
        <v>967</v>
      </c>
      <c r="G58" s="18"/>
      <c r="H58" s="18"/>
      <c r="I58" s="18"/>
      <c r="J58" s="18">
        <v>10</v>
      </c>
      <c r="K58" s="18"/>
    </row>
    <row r="59" spans="2:11">
      <c r="B59" s="18" t="s">
        <v>892</v>
      </c>
      <c r="C59" s="18" t="s">
        <v>964</v>
      </c>
      <c r="D59" s="18" t="s">
        <v>965</v>
      </c>
      <c r="E59" s="18" t="s">
        <v>900</v>
      </c>
      <c r="F59" s="18" t="s">
        <v>968</v>
      </c>
      <c r="G59" s="18"/>
      <c r="H59" s="18"/>
      <c r="I59" s="18"/>
      <c r="J59" s="18">
        <v>10</v>
      </c>
      <c r="K59" s="18"/>
    </row>
    <row r="60" spans="2:11">
      <c r="B60" s="18" t="s">
        <v>892</v>
      </c>
      <c r="C60" s="18" t="s">
        <v>964</v>
      </c>
      <c r="D60" s="18" t="s">
        <v>965</v>
      </c>
      <c r="E60" s="18" t="s">
        <v>900</v>
      </c>
      <c r="F60" s="18" t="s">
        <v>969</v>
      </c>
      <c r="G60" s="18"/>
      <c r="H60" s="18"/>
      <c r="I60" s="18"/>
      <c r="J60" s="18">
        <v>10</v>
      </c>
      <c r="K60" s="18"/>
    </row>
    <row r="61" spans="2:11">
      <c r="B61" s="18" t="s">
        <v>892</v>
      </c>
      <c r="C61" s="18" t="s">
        <v>964</v>
      </c>
      <c r="D61" s="18" t="s">
        <v>965</v>
      </c>
      <c r="E61" s="18" t="s">
        <v>900</v>
      </c>
      <c r="F61" s="18" t="s">
        <v>970</v>
      </c>
      <c r="G61" s="18"/>
      <c r="H61" s="18"/>
      <c r="I61" s="18"/>
      <c r="J61" s="18">
        <v>10</v>
      </c>
      <c r="K61" s="18"/>
    </row>
    <row r="62" spans="2:11">
      <c r="B62" s="18" t="s">
        <v>892</v>
      </c>
      <c r="C62" s="18" t="s">
        <v>964</v>
      </c>
      <c r="D62" s="18" t="s">
        <v>965</v>
      </c>
      <c r="E62" s="18" t="s">
        <v>900</v>
      </c>
      <c r="F62" s="18" t="s">
        <v>971</v>
      </c>
      <c r="G62" s="18"/>
      <c r="H62" s="18"/>
      <c r="I62" s="18"/>
      <c r="J62" s="18">
        <v>10</v>
      </c>
      <c r="K62" s="18"/>
    </row>
    <row r="63" spans="2:11">
      <c r="B63" s="18" t="s">
        <v>892</v>
      </c>
      <c r="C63" s="18" t="s">
        <v>964</v>
      </c>
      <c r="D63" s="18" t="s">
        <v>965</v>
      </c>
      <c r="E63" s="18" t="s">
        <v>900</v>
      </c>
      <c r="F63" s="18" t="s">
        <v>972</v>
      </c>
      <c r="G63" s="18"/>
      <c r="H63" s="18"/>
      <c r="I63" s="18"/>
      <c r="J63" s="18">
        <v>10</v>
      </c>
      <c r="K63" s="18"/>
    </row>
    <row r="64" spans="2:11">
      <c r="B64" s="18" t="s">
        <v>892</v>
      </c>
      <c r="C64" s="18" t="s">
        <v>964</v>
      </c>
      <c r="D64" s="18" t="s">
        <v>965</v>
      </c>
      <c r="E64" s="18" t="s">
        <v>900</v>
      </c>
      <c r="F64" s="18" t="s">
        <v>973</v>
      </c>
      <c r="G64" s="18"/>
      <c r="H64" s="18"/>
      <c r="I64" s="18"/>
      <c r="J64" s="18">
        <v>10</v>
      </c>
      <c r="K64" s="18"/>
    </row>
    <row r="65" spans="2:11">
      <c r="B65" s="18" t="s">
        <v>892</v>
      </c>
      <c r="C65" s="18" t="s">
        <v>964</v>
      </c>
      <c r="D65" s="18" t="s">
        <v>965</v>
      </c>
      <c r="E65" s="18" t="s">
        <v>900</v>
      </c>
      <c r="F65" s="18" t="s">
        <v>974</v>
      </c>
      <c r="G65" s="18"/>
      <c r="H65" s="18"/>
      <c r="I65" s="18"/>
      <c r="J65" s="18">
        <v>10</v>
      </c>
      <c r="K65" s="18"/>
    </row>
    <row r="66" spans="2:11">
      <c r="B66" s="18" t="s">
        <v>892</v>
      </c>
      <c r="C66" s="18" t="s">
        <v>964</v>
      </c>
      <c r="D66" s="18" t="s">
        <v>965</v>
      </c>
      <c r="E66" s="18" t="s">
        <v>900</v>
      </c>
      <c r="F66" s="18" t="s">
        <v>975</v>
      </c>
      <c r="G66" s="18"/>
      <c r="H66" s="18"/>
      <c r="I66" s="18"/>
      <c r="J66" s="18">
        <v>10</v>
      </c>
      <c r="K66" s="18"/>
    </row>
    <row r="67" spans="2:11">
      <c r="B67" s="18" t="s">
        <v>892</v>
      </c>
      <c r="C67" s="18" t="s">
        <v>964</v>
      </c>
      <c r="D67" s="18" t="s">
        <v>965</v>
      </c>
      <c r="E67" s="18" t="s">
        <v>900</v>
      </c>
      <c r="F67" s="18" t="s">
        <v>976</v>
      </c>
      <c r="G67" s="18"/>
      <c r="H67" s="18"/>
      <c r="I67" s="18"/>
      <c r="J67" s="18">
        <v>10</v>
      </c>
      <c r="K67" s="18"/>
    </row>
    <row r="68" spans="2:11">
      <c r="B68" s="18" t="s">
        <v>892</v>
      </c>
      <c r="C68" s="18" t="s">
        <v>964</v>
      </c>
      <c r="D68" s="18" t="s">
        <v>965</v>
      </c>
      <c r="E68" s="18" t="s">
        <v>900</v>
      </c>
      <c r="F68" s="18" t="s">
        <v>977</v>
      </c>
      <c r="G68" s="18"/>
      <c r="H68" s="18"/>
      <c r="I68" s="18"/>
      <c r="J68" s="18">
        <v>10</v>
      </c>
      <c r="K68" s="18"/>
    </row>
    <row r="69" spans="2:11">
      <c r="B69" s="18" t="s">
        <v>892</v>
      </c>
      <c r="C69" s="18" t="s">
        <v>978</v>
      </c>
      <c r="D69" s="18" t="s">
        <v>979</v>
      </c>
      <c r="E69" s="18" t="s">
        <v>980</v>
      </c>
      <c r="F69" s="18" t="s">
        <v>981</v>
      </c>
      <c r="G69" s="18" t="s">
        <v>982</v>
      </c>
      <c r="H69" s="18" t="s">
        <v>982</v>
      </c>
      <c r="I69" s="18" t="s">
        <v>983</v>
      </c>
      <c r="J69" s="18">
        <v>11</v>
      </c>
      <c r="K69" s="18"/>
    </row>
    <row r="70" spans="2:11">
      <c r="B70" s="18" t="s">
        <v>892</v>
      </c>
      <c r="C70" s="18" t="s">
        <v>984</v>
      </c>
      <c r="D70" s="18" t="s">
        <v>985</v>
      </c>
      <c r="E70" s="18" t="s">
        <v>909</v>
      </c>
      <c r="F70" s="18" t="s">
        <v>986</v>
      </c>
      <c r="G70" s="18"/>
      <c r="H70" s="18" t="s">
        <v>982</v>
      </c>
      <c r="I70" s="18" t="s">
        <v>983</v>
      </c>
      <c r="J70" s="18">
        <v>11</v>
      </c>
      <c r="K70" s="18"/>
    </row>
    <row r="71" spans="2:11">
      <c r="B71" s="18" t="s">
        <v>892</v>
      </c>
      <c r="C71" s="18" t="s">
        <v>987</v>
      </c>
      <c r="D71" s="18" t="s">
        <v>988</v>
      </c>
      <c r="E71" s="18" t="s">
        <v>989</v>
      </c>
      <c r="F71" s="18" t="s">
        <v>990</v>
      </c>
      <c r="G71" s="18"/>
      <c r="H71" s="18" t="s">
        <v>991</v>
      </c>
      <c r="I71" s="18" t="s">
        <v>992</v>
      </c>
      <c r="J71" s="18">
        <v>11</v>
      </c>
      <c r="K71" s="18" t="s">
        <v>993</v>
      </c>
    </row>
    <row r="72" spans="2:11">
      <c r="B72" s="18" t="s">
        <v>892</v>
      </c>
      <c r="C72" s="18" t="s">
        <v>994</v>
      </c>
      <c r="D72" s="18" t="s">
        <v>995</v>
      </c>
      <c r="E72" s="18" t="s">
        <v>996</v>
      </c>
      <c r="F72" s="18" t="s">
        <v>997</v>
      </c>
      <c r="G72" s="18"/>
      <c r="H72" s="18" t="s">
        <v>982</v>
      </c>
      <c r="I72" s="18" t="s">
        <v>983</v>
      </c>
      <c r="J72" s="18">
        <v>11</v>
      </c>
      <c r="K72" s="18"/>
    </row>
    <row r="73" spans="2:11">
      <c r="B73" s="18" t="s">
        <v>892</v>
      </c>
      <c r="C73" s="18" t="s">
        <v>998</v>
      </c>
      <c r="D73" s="18" t="s">
        <v>995</v>
      </c>
      <c r="E73" s="18" t="s">
        <v>996</v>
      </c>
      <c r="F73" s="18" t="s">
        <v>999</v>
      </c>
      <c r="G73" s="18"/>
      <c r="H73" s="18" t="s">
        <v>982</v>
      </c>
      <c r="I73" s="18" t="s">
        <v>983</v>
      </c>
      <c r="J73" s="18">
        <v>11</v>
      </c>
      <c r="K73" s="18"/>
    </row>
    <row r="74" spans="2:11">
      <c r="B74" s="18" t="s">
        <v>892</v>
      </c>
      <c r="C74" s="18" t="s">
        <v>978</v>
      </c>
      <c r="D74" s="18" t="s">
        <v>979</v>
      </c>
      <c r="E74" s="18" t="s">
        <v>980</v>
      </c>
      <c r="F74" s="18" t="s">
        <v>1000</v>
      </c>
      <c r="G74" s="18" t="s">
        <v>1001</v>
      </c>
      <c r="H74" s="18" t="s">
        <v>1001</v>
      </c>
      <c r="I74" s="18" t="s">
        <v>983</v>
      </c>
      <c r="J74" s="18">
        <v>12</v>
      </c>
      <c r="K74" s="18"/>
    </row>
    <row r="75" spans="2:11">
      <c r="B75" s="18" t="s">
        <v>892</v>
      </c>
      <c r="C75" s="18" t="s">
        <v>984</v>
      </c>
      <c r="D75" s="18" t="s">
        <v>985</v>
      </c>
      <c r="E75" s="18" t="s">
        <v>909</v>
      </c>
      <c r="F75" s="18" t="s">
        <v>1002</v>
      </c>
      <c r="G75" s="18"/>
      <c r="H75" s="18" t="s">
        <v>1001</v>
      </c>
      <c r="I75" s="18" t="s">
        <v>983</v>
      </c>
      <c r="J75" s="18">
        <v>12</v>
      </c>
      <c r="K75" s="18"/>
    </row>
    <row r="76" spans="2:11">
      <c r="B76" s="18" t="s">
        <v>892</v>
      </c>
      <c r="C76" s="18" t="s">
        <v>987</v>
      </c>
      <c r="D76" s="18" t="s">
        <v>988</v>
      </c>
      <c r="E76" s="18" t="s">
        <v>989</v>
      </c>
      <c r="F76" s="18" t="s">
        <v>1003</v>
      </c>
      <c r="G76" s="18"/>
      <c r="H76" s="18" t="s">
        <v>1004</v>
      </c>
      <c r="I76" s="18" t="s">
        <v>1005</v>
      </c>
      <c r="J76" s="18">
        <v>12</v>
      </c>
      <c r="K76" s="18" t="s">
        <v>1006</v>
      </c>
    </row>
    <row r="77" spans="2:11">
      <c r="B77" s="18" t="s">
        <v>892</v>
      </c>
      <c r="C77" s="18" t="s">
        <v>994</v>
      </c>
      <c r="D77" s="18" t="s">
        <v>995</v>
      </c>
      <c r="E77" s="18" t="s">
        <v>996</v>
      </c>
      <c r="F77" s="18" t="s">
        <v>1007</v>
      </c>
      <c r="G77" s="18"/>
      <c r="H77" s="18" t="s">
        <v>1001</v>
      </c>
      <c r="I77" s="18" t="s">
        <v>983</v>
      </c>
      <c r="J77" s="18">
        <v>12</v>
      </c>
      <c r="K77" s="18"/>
    </row>
    <row r="78" spans="2:11">
      <c r="B78" s="18" t="s">
        <v>892</v>
      </c>
      <c r="C78" s="18" t="s">
        <v>998</v>
      </c>
      <c r="D78" s="18" t="s">
        <v>995</v>
      </c>
      <c r="E78" s="18" t="s">
        <v>996</v>
      </c>
      <c r="F78" s="18" t="s">
        <v>1008</v>
      </c>
      <c r="G78" s="18"/>
      <c r="H78" s="18" t="s">
        <v>1001</v>
      </c>
      <c r="I78" s="18" t="s">
        <v>983</v>
      </c>
      <c r="J78" s="18">
        <v>12</v>
      </c>
      <c r="K78" s="18"/>
    </row>
    <row r="79" spans="2:11">
      <c r="B79" s="18" t="s">
        <v>892</v>
      </c>
      <c r="C79" s="18" t="s">
        <v>1009</v>
      </c>
      <c r="D79" s="18" t="s">
        <v>1010</v>
      </c>
      <c r="E79" s="18" t="s">
        <v>980</v>
      </c>
      <c r="F79" s="18" t="s">
        <v>1011</v>
      </c>
      <c r="G79" s="18" t="s">
        <v>1012</v>
      </c>
      <c r="H79" s="18" t="s">
        <v>1012</v>
      </c>
      <c r="I79" s="18" t="s">
        <v>983</v>
      </c>
      <c r="J79" s="18">
        <v>13</v>
      </c>
      <c r="K79" s="18" t="s">
        <v>1013</v>
      </c>
    </row>
    <row r="80" spans="2:11">
      <c r="B80" s="18" t="s">
        <v>892</v>
      </c>
      <c r="C80" s="18" t="s">
        <v>1009</v>
      </c>
      <c r="D80" s="18" t="s">
        <v>1010</v>
      </c>
      <c r="E80" s="18" t="s">
        <v>980</v>
      </c>
      <c r="F80" s="18" t="s">
        <v>1014</v>
      </c>
      <c r="G80" s="18" t="s">
        <v>1015</v>
      </c>
      <c r="H80" s="18" t="s">
        <v>1015</v>
      </c>
      <c r="I80" s="18" t="s">
        <v>983</v>
      </c>
      <c r="J80" s="18">
        <v>14</v>
      </c>
      <c r="K80" s="18" t="s">
        <v>1013</v>
      </c>
    </row>
    <row r="81" spans="2:11">
      <c r="B81" s="18" t="s">
        <v>892</v>
      </c>
      <c r="C81" s="18" t="s">
        <v>1009</v>
      </c>
      <c r="D81" s="18" t="s">
        <v>1010</v>
      </c>
      <c r="E81" s="18" t="s">
        <v>980</v>
      </c>
      <c r="F81" s="18" t="s">
        <v>1016</v>
      </c>
      <c r="G81" s="18" t="s">
        <v>1017</v>
      </c>
      <c r="H81" s="18" t="s">
        <v>1017</v>
      </c>
      <c r="I81" s="18" t="s">
        <v>983</v>
      </c>
      <c r="J81" s="18">
        <v>15</v>
      </c>
      <c r="K81" s="18" t="s">
        <v>1013</v>
      </c>
    </row>
    <row r="82" spans="2:11">
      <c r="B82" s="18" t="s">
        <v>892</v>
      </c>
      <c r="C82" s="18" t="s">
        <v>1009</v>
      </c>
      <c r="D82" s="18" t="s">
        <v>1010</v>
      </c>
      <c r="E82" s="18" t="s">
        <v>980</v>
      </c>
      <c r="F82" s="18" t="s">
        <v>1018</v>
      </c>
      <c r="G82" s="18" t="s">
        <v>1019</v>
      </c>
      <c r="H82" s="18" t="s">
        <v>1019</v>
      </c>
      <c r="I82" s="18" t="s">
        <v>983</v>
      </c>
      <c r="J82" s="18">
        <v>16</v>
      </c>
      <c r="K82" s="18" t="s">
        <v>1013</v>
      </c>
    </row>
    <row r="83" spans="2:11">
      <c r="B83" s="18" t="s">
        <v>892</v>
      </c>
      <c r="C83" s="18" t="s">
        <v>1009</v>
      </c>
      <c r="D83" s="18" t="s">
        <v>1010</v>
      </c>
      <c r="E83" s="18" t="s">
        <v>980</v>
      </c>
      <c r="F83" s="18" t="s">
        <v>1020</v>
      </c>
      <c r="G83" s="18" t="s">
        <v>1021</v>
      </c>
      <c r="H83" s="18" t="s">
        <v>1021</v>
      </c>
      <c r="I83" s="18" t="s">
        <v>983</v>
      </c>
      <c r="J83" s="18">
        <v>17</v>
      </c>
      <c r="K83" s="18"/>
    </row>
    <row r="84" spans="2:11">
      <c r="B84" s="18" t="s">
        <v>892</v>
      </c>
      <c r="C84" s="18" t="s">
        <v>1022</v>
      </c>
      <c r="D84" s="18" t="s">
        <v>1023</v>
      </c>
      <c r="E84" s="18" t="s">
        <v>989</v>
      </c>
      <c r="F84" s="18" t="s">
        <v>1024</v>
      </c>
      <c r="G84" s="18"/>
      <c r="H84" s="18" t="s">
        <v>1021</v>
      </c>
      <c r="I84" s="18" t="s">
        <v>983</v>
      </c>
      <c r="J84" s="18">
        <v>17</v>
      </c>
      <c r="K84" s="18"/>
    </row>
    <row r="85" spans="2:11">
      <c r="B85" s="18" t="s">
        <v>892</v>
      </c>
      <c r="C85" s="18" t="s">
        <v>1009</v>
      </c>
      <c r="D85" s="18" t="s">
        <v>1010</v>
      </c>
      <c r="E85" s="18" t="s">
        <v>980</v>
      </c>
      <c r="F85" s="18" t="s">
        <v>1025</v>
      </c>
      <c r="G85" s="18" t="s">
        <v>1026</v>
      </c>
      <c r="H85" s="18" t="s">
        <v>1026</v>
      </c>
      <c r="I85" s="18" t="s">
        <v>983</v>
      </c>
      <c r="J85" s="18">
        <v>18</v>
      </c>
      <c r="K85" s="18"/>
    </row>
    <row r="86" spans="2:11">
      <c r="B86" s="18" t="s">
        <v>892</v>
      </c>
      <c r="C86" s="18" t="s">
        <v>1022</v>
      </c>
      <c r="D86" s="18" t="s">
        <v>1023</v>
      </c>
      <c r="E86" s="18" t="s">
        <v>989</v>
      </c>
      <c r="F86" s="18" t="s">
        <v>1027</v>
      </c>
      <c r="G86" s="18"/>
      <c r="H86" s="18" t="s">
        <v>1026</v>
      </c>
      <c r="I86" s="18" t="s">
        <v>983</v>
      </c>
      <c r="J86" s="18">
        <v>18</v>
      </c>
      <c r="K86" s="18"/>
    </row>
    <row r="87" spans="2:11">
      <c r="B87" s="18" t="s">
        <v>892</v>
      </c>
      <c r="C87" s="18" t="s">
        <v>1009</v>
      </c>
      <c r="D87" s="18" t="s">
        <v>1010</v>
      </c>
      <c r="E87" s="18" t="s">
        <v>980</v>
      </c>
      <c r="F87" s="18" t="s">
        <v>1028</v>
      </c>
      <c r="G87" s="18" t="s">
        <v>1029</v>
      </c>
      <c r="H87" s="18" t="s">
        <v>1029</v>
      </c>
      <c r="I87" s="18" t="s">
        <v>983</v>
      </c>
      <c r="J87" s="18">
        <v>19</v>
      </c>
      <c r="K87" s="18"/>
    </row>
    <row r="88" spans="2:11">
      <c r="B88" s="18" t="s">
        <v>892</v>
      </c>
      <c r="C88" s="18" t="s">
        <v>1022</v>
      </c>
      <c r="D88" s="18" t="s">
        <v>1023</v>
      </c>
      <c r="E88" s="18" t="s">
        <v>989</v>
      </c>
      <c r="F88" s="18" t="s">
        <v>1030</v>
      </c>
      <c r="G88" s="18"/>
      <c r="H88" s="18" t="s">
        <v>1029</v>
      </c>
      <c r="I88" s="18" t="s">
        <v>983</v>
      </c>
      <c r="J88" s="18">
        <v>19</v>
      </c>
      <c r="K88" s="18"/>
    </row>
    <row r="89" spans="2:11">
      <c r="B89" s="18" t="s">
        <v>892</v>
      </c>
      <c r="C89" s="18" t="s">
        <v>1009</v>
      </c>
      <c r="D89" s="18" t="s">
        <v>1010</v>
      </c>
      <c r="E89" s="18" t="s">
        <v>980</v>
      </c>
      <c r="F89" s="18" t="s">
        <v>1031</v>
      </c>
      <c r="G89" s="18" t="s">
        <v>1032</v>
      </c>
      <c r="H89" s="18" t="s">
        <v>1032</v>
      </c>
      <c r="I89" s="18" t="s">
        <v>983</v>
      </c>
      <c r="J89" s="18">
        <v>20</v>
      </c>
      <c r="K89" s="18"/>
    </row>
    <row r="90" spans="2:11">
      <c r="B90" s="18" t="s">
        <v>892</v>
      </c>
      <c r="C90" s="18" t="s">
        <v>1022</v>
      </c>
      <c r="D90" s="18" t="s">
        <v>1023</v>
      </c>
      <c r="E90" s="18" t="s">
        <v>989</v>
      </c>
      <c r="F90" s="18" t="s">
        <v>1033</v>
      </c>
      <c r="G90" s="18"/>
      <c r="H90" s="18" t="s">
        <v>1034</v>
      </c>
      <c r="I90" s="18" t="s">
        <v>983</v>
      </c>
      <c r="J90" s="18">
        <v>20</v>
      </c>
      <c r="K90" s="18"/>
    </row>
    <row r="91" spans="2:11">
      <c r="B91" s="18" t="s">
        <v>892</v>
      </c>
      <c r="C91" s="18" t="s">
        <v>1009</v>
      </c>
      <c r="D91" s="18" t="s">
        <v>1010</v>
      </c>
      <c r="E91" s="18" t="s">
        <v>980</v>
      </c>
      <c r="F91" s="18" t="s">
        <v>1035</v>
      </c>
      <c r="G91" s="18" t="s">
        <v>1036</v>
      </c>
      <c r="H91" s="18" t="s">
        <v>1036</v>
      </c>
      <c r="I91" s="18" t="s">
        <v>983</v>
      </c>
      <c r="J91" s="18">
        <v>21</v>
      </c>
      <c r="K91" s="18"/>
    </row>
    <row r="92" spans="2:11">
      <c r="B92" s="18" t="s">
        <v>892</v>
      </c>
      <c r="C92" s="18" t="s">
        <v>1022</v>
      </c>
      <c r="D92" s="18" t="s">
        <v>1023</v>
      </c>
      <c r="E92" s="18" t="s">
        <v>989</v>
      </c>
      <c r="F92" s="18" t="s">
        <v>1037</v>
      </c>
      <c r="G92" s="18"/>
      <c r="H92" s="18" t="s">
        <v>1036</v>
      </c>
      <c r="I92" s="18" t="s">
        <v>983</v>
      </c>
      <c r="J92" s="18">
        <v>21</v>
      </c>
      <c r="K92" s="18"/>
    </row>
    <row r="93" spans="2:11">
      <c r="B93" s="18" t="s">
        <v>892</v>
      </c>
      <c r="C93" s="18" t="s">
        <v>1009</v>
      </c>
      <c r="D93" s="18" t="s">
        <v>1010</v>
      </c>
      <c r="E93" s="18" t="s">
        <v>980</v>
      </c>
      <c r="F93" s="18" t="s">
        <v>1038</v>
      </c>
      <c r="G93" s="18" t="s">
        <v>1039</v>
      </c>
      <c r="H93" s="18" t="s">
        <v>1039</v>
      </c>
      <c r="I93" s="18" t="s">
        <v>983</v>
      </c>
      <c r="J93" s="18">
        <v>22</v>
      </c>
      <c r="K93" s="18"/>
    </row>
    <row r="94" spans="2:11">
      <c r="B94" s="18" t="s">
        <v>892</v>
      </c>
      <c r="C94" s="18" t="s">
        <v>1022</v>
      </c>
      <c r="D94" s="18" t="s">
        <v>1023</v>
      </c>
      <c r="E94" s="18" t="s">
        <v>989</v>
      </c>
      <c r="F94" s="18" t="s">
        <v>1040</v>
      </c>
      <c r="G94" s="18"/>
      <c r="H94" s="18" t="s">
        <v>1039</v>
      </c>
      <c r="I94" s="18" t="s">
        <v>983</v>
      </c>
      <c r="J94" s="18">
        <v>22</v>
      </c>
      <c r="K94" s="18"/>
    </row>
    <row r="95" spans="2:11">
      <c r="B95" s="18" t="s">
        <v>892</v>
      </c>
      <c r="C95" s="18" t="s">
        <v>1009</v>
      </c>
      <c r="D95" s="18" t="s">
        <v>1010</v>
      </c>
      <c r="E95" s="18" t="s">
        <v>980</v>
      </c>
      <c r="F95" s="18" t="s">
        <v>1041</v>
      </c>
      <c r="G95" s="18" t="s">
        <v>1042</v>
      </c>
      <c r="H95" s="18" t="s">
        <v>1042</v>
      </c>
      <c r="I95" s="18" t="s">
        <v>983</v>
      </c>
      <c r="J95" s="18">
        <v>23</v>
      </c>
      <c r="K95" s="18"/>
    </row>
    <row r="96" spans="2:11">
      <c r="B96" s="18" t="s">
        <v>892</v>
      </c>
      <c r="C96" s="18" t="s">
        <v>1022</v>
      </c>
      <c r="D96" s="18" t="s">
        <v>1023</v>
      </c>
      <c r="E96" s="18" t="s">
        <v>989</v>
      </c>
      <c r="F96" s="18" t="s">
        <v>1043</v>
      </c>
      <c r="G96" s="18"/>
      <c r="H96" s="18" t="s">
        <v>1042</v>
      </c>
      <c r="I96" s="18" t="s">
        <v>983</v>
      </c>
      <c r="J96" s="18">
        <v>23</v>
      </c>
      <c r="K96" s="18"/>
    </row>
    <row r="97" spans="2:11">
      <c r="B97" s="18" t="s">
        <v>892</v>
      </c>
      <c r="C97" s="18" t="s">
        <v>1009</v>
      </c>
      <c r="D97" s="18" t="s">
        <v>1010</v>
      </c>
      <c r="E97" s="18" t="s">
        <v>980</v>
      </c>
      <c r="F97" s="18" t="s">
        <v>1044</v>
      </c>
      <c r="G97" s="18" t="s">
        <v>1045</v>
      </c>
      <c r="H97" s="18" t="s">
        <v>1045</v>
      </c>
      <c r="I97" s="18" t="s">
        <v>983</v>
      </c>
      <c r="J97" s="18">
        <v>24</v>
      </c>
      <c r="K97" s="18"/>
    </row>
    <row r="98" spans="2:11">
      <c r="B98" s="18" t="s">
        <v>892</v>
      </c>
      <c r="C98" s="18" t="s">
        <v>1022</v>
      </c>
      <c r="D98" s="18" t="s">
        <v>1023</v>
      </c>
      <c r="E98" s="18" t="s">
        <v>989</v>
      </c>
      <c r="F98" s="18" t="s">
        <v>1046</v>
      </c>
      <c r="G98" s="18"/>
      <c r="H98" s="18" t="s">
        <v>1045</v>
      </c>
      <c r="I98" s="18" t="s">
        <v>983</v>
      </c>
      <c r="J98" s="18">
        <v>24</v>
      </c>
      <c r="K98" s="18"/>
    </row>
    <row r="99" spans="2:11">
      <c r="B99" s="18" t="s">
        <v>892</v>
      </c>
      <c r="C99" s="18" t="s">
        <v>1009</v>
      </c>
      <c r="D99" s="18" t="s">
        <v>1010</v>
      </c>
      <c r="E99" s="18" t="s">
        <v>980</v>
      </c>
      <c r="F99" s="18" t="s">
        <v>1047</v>
      </c>
      <c r="G99" s="18" t="s">
        <v>1048</v>
      </c>
      <c r="H99" s="18" t="s">
        <v>1048</v>
      </c>
      <c r="I99" s="18" t="s">
        <v>983</v>
      </c>
      <c r="J99" s="18">
        <v>25</v>
      </c>
      <c r="K99" s="18"/>
    </row>
    <row r="100" spans="2:11">
      <c r="B100" s="18" t="s">
        <v>892</v>
      </c>
      <c r="C100" s="18" t="s">
        <v>1022</v>
      </c>
      <c r="D100" s="18" t="s">
        <v>1023</v>
      </c>
      <c r="E100" s="18" t="s">
        <v>989</v>
      </c>
      <c r="F100" s="18" t="s">
        <v>1049</v>
      </c>
      <c r="G100" s="18"/>
      <c r="H100" s="18" t="s">
        <v>1048</v>
      </c>
      <c r="I100" s="18" t="s">
        <v>983</v>
      </c>
      <c r="J100" s="18">
        <v>25</v>
      </c>
      <c r="K100" s="18"/>
    </row>
    <row r="101" spans="2:11">
      <c r="B101" s="18" t="s">
        <v>892</v>
      </c>
      <c r="C101" s="18" t="s">
        <v>1009</v>
      </c>
      <c r="D101" s="18" t="s">
        <v>1010</v>
      </c>
      <c r="E101" s="18" t="s">
        <v>980</v>
      </c>
      <c r="F101" s="18" t="s">
        <v>1050</v>
      </c>
      <c r="G101" s="18" t="s">
        <v>1051</v>
      </c>
      <c r="H101" s="18" t="s">
        <v>1051</v>
      </c>
      <c r="I101" s="18" t="s">
        <v>983</v>
      </c>
      <c r="J101" s="18">
        <v>26</v>
      </c>
      <c r="K101" s="18"/>
    </row>
    <row r="102" spans="2:11">
      <c r="B102" s="18" t="s">
        <v>892</v>
      </c>
      <c r="C102" s="18" t="s">
        <v>1022</v>
      </c>
      <c r="D102" s="18" t="s">
        <v>1023</v>
      </c>
      <c r="E102" s="18" t="s">
        <v>989</v>
      </c>
      <c r="F102" s="18" t="s">
        <v>1052</v>
      </c>
      <c r="G102" s="18"/>
      <c r="H102" s="18" t="s">
        <v>1051</v>
      </c>
      <c r="I102" s="18" t="s">
        <v>983</v>
      </c>
      <c r="J102" s="18">
        <v>26</v>
      </c>
      <c r="K102" s="18"/>
    </row>
    <row r="103" spans="2:11">
      <c r="B103" s="18" t="s">
        <v>892</v>
      </c>
      <c r="C103" s="18" t="s">
        <v>1009</v>
      </c>
      <c r="D103" s="18" t="s">
        <v>1010</v>
      </c>
      <c r="E103" s="18" t="s">
        <v>980</v>
      </c>
      <c r="F103" s="18" t="s">
        <v>1053</v>
      </c>
      <c r="G103" s="18" t="s">
        <v>1054</v>
      </c>
      <c r="H103" s="18" t="s">
        <v>1054</v>
      </c>
      <c r="I103" s="18" t="s">
        <v>983</v>
      </c>
      <c r="J103" s="18">
        <v>27</v>
      </c>
      <c r="K103" s="18"/>
    </row>
    <row r="104" spans="2:11">
      <c r="B104" s="18" t="s">
        <v>892</v>
      </c>
      <c r="C104" s="18" t="s">
        <v>1022</v>
      </c>
      <c r="D104" s="18" t="s">
        <v>1023</v>
      </c>
      <c r="E104" s="18" t="s">
        <v>989</v>
      </c>
      <c r="F104" s="18" t="s">
        <v>1055</v>
      </c>
      <c r="G104" s="18"/>
      <c r="H104" s="18" t="s">
        <v>1054</v>
      </c>
      <c r="I104" s="18" t="s">
        <v>983</v>
      </c>
      <c r="J104" s="18">
        <v>27</v>
      </c>
      <c r="K104" s="18"/>
    </row>
    <row r="105" spans="2:11">
      <c r="B105" s="18" t="s">
        <v>892</v>
      </c>
      <c r="C105" s="18" t="s">
        <v>1056</v>
      </c>
      <c r="D105" s="18" t="s">
        <v>1057</v>
      </c>
      <c r="E105" s="18" t="s">
        <v>900</v>
      </c>
      <c r="F105" s="18" t="s">
        <v>1058</v>
      </c>
      <c r="G105" s="18"/>
      <c r="H105" s="18"/>
      <c r="I105" s="18"/>
      <c r="J105" s="18">
        <v>28</v>
      </c>
      <c r="K105" s="18"/>
    </row>
    <row r="106" spans="2:11">
      <c r="B106" s="18" t="s">
        <v>892</v>
      </c>
      <c r="C106" s="18" t="s">
        <v>1056</v>
      </c>
      <c r="D106" s="18" t="s">
        <v>1057</v>
      </c>
      <c r="E106" s="18" t="s">
        <v>900</v>
      </c>
      <c r="F106" s="18" t="s">
        <v>1059</v>
      </c>
      <c r="G106" s="18"/>
      <c r="H106" s="18"/>
      <c r="I106" s="18"/>
      <c r="J106" s="18">
        <v>28</v>
      </c>
      <c r="K106" s="18"/>
    </row>
    <row r="107" spans="2:11">
      <c r="B107" s="18" t="s">
        <v>892</v>
      </c>
      <c r="C107" s="18" t="s">
        <v>1056</v>
      </c>
      <c r="D107" s="18" t="s">
        <v>1057</v>
      </c>
      <c r="E107" s="18" t="s">
        <v>900</v>
      </c>
      <c r="F107" s="18" t="s">
        <v>1060</v>
      </c>
      <c r="G107" s="18"/>
      <c r="H107" s="18"/>
      <c r="I107" s="18"/>
      <c r="J107" s="18">
        <v>28</v>
      </c>
      <c r="K107" s="18"/>
    </row>
    <row r="108" spans="2:11">
      <c r="B108" s="18" t="s">
        <v>892</v>
      </c>
      <c r="C108" s="18" t="s">
        <v>1056</v>
      </c>
      <c r="D108" s="18" t="s">
        <v>1057</v>
      </c>
      <c r="E108" s="18" t="s">
        <v>900</v>
      </c>
      <c r="F108" s="18" t="s">
        <v>1061</v>
      </c>
      <c r="G108" s="18"/>
      <c r="H108" s="18"/>
      <c r="I108" s="18"/>
      <c r="J108" s="18">
        <v>28</v>
      </c>
      <c r="K108" s="18"/>
    </row>
    <row r="109" spans="2:11">
      <c r="B109" s="18" t="s">
        <v>892</v>
      </c>
      <c r="C109" s="18" t="s">
        <v>1056</v>
      </c>
      <c r="D109" s="18" t="s">
        <v>1057</v>
      </c>
      <c r="E109" s="18" t="s">
        <v>900</v>
      </c>
      <c r="F109" s="18" t="s">
        <v>1062</v>
      </c>
      <c r="G109" s="18"/>
      <c r="H109" s="18"/>
      <c r="I109" s="18"/>
      <c r="J109" s="18">
        <v>28</v>
      </c>
      <c r="K109" s="18"/>
    </row>
    <row r="110" spans="2:11">
      <c r="B110" s="18" t="s">
        <v>892</v>
      </c>
      <c r="C110" s="18" t="s">
        <v>1056</v>
      </c>
      <c r="D110" s="18" t="s">
        <v>1057</v>
      </c>
      <c r="E110" s="18" t="s">
        <v>900</v>
      </c>
      <c r="F110" s="18" t="s">
        <v>1063</v>
      </c>
      <c r="G110" s="18"/>
      <c r="H110" s="18"/>
      <c r="I110" s="18"/>
      <c r="J110" s="18">
        <v>28</v>
      </c>
      <c r="K110" s="18"/>
    </row>
    <row r="111" spans="2:11">
      <c r="B111" s="18" t="s">
        <v>892</v>
      </c>
      <c r="C111" s="18" t="s">
        <v>1064</v>
      </c>
      <c r="D111" s="18" t="s">
        <v>1065</v>
      </c>
      <c r="E111" s="18" t="s">
        <v>980</v>
      </c>
      <c r="F111" s="18" t="s">
        <v>1066</v>
      </c>
      <c r="G111" s="18" t="s">
        <v>1067</v>
      </c>
      <c r="H111" s="18" t="s">
        <v>1067</v>
      </c>
      <c r="I111" s="18" t="s">
        <v>983</v>
      </c>
      <c r="J111" s="18">
        <v>29</v>
      </c>
      <c r="K111" s="18" t="s">
        <v>1013</v>
      </c>
    </row>
    <row r="112" spans="2:11">
      <c r="B112" s="18" t="s">
        <v>892</v>
      </c>
      <c r="C112" s="18" t="s">
        <v>1064</v>
      </c>
      <c r="D112" s="18" t="s">
        <v>1065</v>
      </c>
      <c r="E112" s="18" t="s">
        <v>980</v>
      </c>
      <c r="F112" s="18" t="s">
        <v>1068</v>
      </c>
      <c r="G112" s="18" t="s">
        <v>1069</v>
      </c>
      <c r="H112" s="18" t="s">
        <v>1069</v>
      </c>
      <c r="I112" s="18" t="s">
        <v>983</v>
      </c>
      <c r="J112" s="18">
        <v>30</v>
      </c>
      <c r="K112" s="18" t="s">
        <v>1070</v>
      </c>
    </row>
    <row r="113" spans="2:11">
      <c r="B113" s="18" t="s">
        <v>892</v>
      </c>
      <c r="C113" s="18" t="s">
        <v>978</v>
      </c>
      <c r="D113" s="18" t="s">
        <v>1071</v>
      </c>
      <c r="E113" s="18" t="s">
        <v>980</v>
      </c>
      <c r="F113" s="18" t="s">
        <v>1072</v>
      </c>
      <c r="G113" s="18" t="s">
        <v>1073</v>
      </c>
      <c r="H113" s="18" t="s">
        <v>1073</v>
      </c>
      <c r="I113" s="18" t="s">
        <v>983</v>
      </c>
      <c r="J113" s="18">
        <v>31</v>
      </c>
      <c r="K113" s="18"/>
    </row>
    <row r="114" spans="2:11">
      <c r="B114" s="18" t="s">
        <v>892</v>
      </c>
      <c r="C114" s="18" t="s">
        <v>984</v>
      </c>
      <c r="D114" s="18" t="s">
        <v>985</v>
      </c>
      <c r="E114" s="18" t="s">
        <v>909</v>
      </c>
      <c r="F114" s="18" t="s">
        <v>1074</v>
      </c>
      <c r="G114" s="18"/>
      <c r="H114" s="18" t="s">
        <v>1073</v>
      </c>
      <c r="I114" s="18" t="s">
        <v>983</v>
      </c>
      <c r="J114" s="18">
        <v>31</v>
      </c>
      <c r="K114" s="18"/>
    </row>
    <row r="115" spans="2:11">
      <c r="B115" s="18" t="s">
        <v>892</v>
      </c>
      <c r="C115" s="18" t="s">
        <v>1075</v>
      </c>
      <c r="D115" s="18" t="s">
        <v>995</v>
      </c>
      <c r="E115" s="18" t="s">
        <v>996</v>
      </c>
      <c r="F115" s="18" t="s">
        <v>1076</v>
      </c>
      <c r="G115" s="18"/>
      <c r="H115" s="18" t="s">
        <v>1073</v>
      </c>
      <c r="I115" s="18" t="s">
        <v>983</v>
      </c>
      <c r="J115" s="18">
        <v>31</v>
      </c>
      <c r="K115" s="18"/>
    </row>
    <row r="116" spans="2:11">
      <c r="B116" s="18" t="s">
        <v>892</v>
      </c>
      <c r="C116" s="18" t="s">
        <v>1077</v>
      </c>
      <c r="D116" s="18" t="s">
        <v>995</v>
      </c>
      <c r="E116" s="18" t="s">
        <v>996</v>
      </c>
      <c r="F116" s="18" t="s">
        <v>1078</v>
      </c>
      <c r="G116" s="18"/>
      <c r="H116" s="18" t="s">
        <v>1073</v>
      </c>
      <c r="I116" s="18" t="s">
        <v>983</v>
      </c>
      <c r="J116" s="18">
        <v>31</v>
      </c>
      <c r="K116" s="18"/>
    </row>
    <row r="117" spans="2:11">
      <c r="B117" s="18" t="s">
        <v>892</v>
      </c>
      <c r="C117" s="18" t="s">
        <v>1079</v>
      </c>
      <c r="D117" s="18" t="s">
        <v>1080</v>
      </c>
      <c r="E117" s="18" t="s">
        <v>989</v>
      </c>
      <c r="F117" s="18" t="s">
        <v>1081</v>
      </c>
      <c r="G117" s="18"/>
      <c r="H117" s="18" t="s">
        <v>1073</v>
      </c>
      <c r="I117" s="18" t="s">
        <v>983</v>
      </c>
      <c r="J117" s="18">
        <v>31</v>
      </c>
      <c r="K117" s="18"/>
    </row>
    <row r="118" spans="2:11">
      <c r="B118" s="18" t="s">
        <v>892</v>
      </c>
      <c r="C118" s="18" t="s">
        <v>978</v>
      </c>
      <c r="D118" s="18" t="s">
        <v>1071</v>
      </c>
      <c r="E118" s="18" t="s">
        <v>980</v>
      </c>
      <c r="F118" s="18" t="s">
        <v>1082</v>
      </c>
      <c r="G118" s="18" t="s">
        <v>1083</v>
      </c>
      <c r="H118" s="18" t="s">
        <v>1083</v>
      </c>
      <c r="I118" s="18" t="s">
        <v>983</v>
      </c>
      <c r="J118" s="18">
        <v>32</v>
      </c>
      <c r="K118" s="18"/>
    </row>
    <row r="119" spans="2:11">
      <c r="B119" s="18" t="s">
        <v>892</v>
      </c>
      <c r="C119" s="18" t="s">
        <v>984</v>
      </c>
      <c r="D119" s="18" t="s">
        <v>985</v>
      </c>
      <c r="E119" s="18" t="s">
        <v>909</v>
      </c>
      <c r="F119" s="18" t="s">
        <v>1084</v>
      </c>
      <c r="G119" s="18"/>
      <c r="H119" s="18" t="s">
        <v>1083</v>
      </c>
      <c r="I119" s="18" t="s">
        <v>983</v>
      </c>
      <c r="J119" s="18">
        <v>32</v>
      </c>
      <c r="K119" s="18"/>
    </row>
    <row r="120" spans="2:11">
      <c r="B120" s="18" t="s">
        <v>892</v>
      </c>
      <c r="C120" s="18" t="s">
        <v>1075</v>
      </c>
      <c r="D120" s="18" t="s">
        <v>995</v>
      </c>
      <c r="E120" s="18" t="s">
        <v>996</v>
      </c>
      <c r="F120" s="18" t="s">
        <v>1085</v>
      </c>
      <c r="G120" s="18"/>
      <c r="H120" s="18" t="s">
        <v>1083</v>
      </c>
      <c r="I120" s="18" t="s">
        <v>983</v>
      </c>
      <c r="J120" s="18">
        <v>32</v>
      </c>
      <c r="K120" s="18"/>
    </row>
    <row r="121" spans="2:11">
      <c r="B121" s="18" t="s">
        <v>892</v>
      </c>
      <c r="C121" s="18" t="s">
        <v>1077</v>
      </c>
      <c r="D121" s="18" t="s">
        <v>995</v>
      </c>
      <c r="E121" s="18" t="s">
        <v>996</v>
      </c>
      <c r="F121" s="18" t="s">
        <v>1086</v>
      </c>
      <c r="G121" s="18"/>
      <c r="H121" s="18" t="s">
        <v>1083</v>
      </c>
      <c r="I121" s="18" t="s">
        <v>983</v>
      </c>
      <c r="J121" s="18">
        <v>32</v>
      </c>
      <c r="K121" s="18"/>
    </row>
    <row r="122" spans="2:11">
      <c r="B122" s="18" t="s">
        <v>892</v>
      </c>
      <c r="C122" s="18" t="s">
        <v>1079</v>
      </c>
      <c r="D122" s="18" t="s">
        <v>1080</v>
      </c>
      <c r="E122" s="18" t="s">
        <v>989</v>
      </c>
      <c r="F122" s="18" t="s">
        <v>1087</v>
      </c>
      <c r="G122" s="18"/>
      <c r="H122" s="18" t="s">
        <v>1083</v>
      </c>
      <c r="I122" s="18" t="s">
        <v>983</v>
      </c>
      <c r="J122" s="18">
        <v>32</v>
      </c>
      <c r="K122" s="18"/>
    </row>
    <row r="123" spans="2:11">
      <c r="B123" s="18" t="s">
        <v>892</v>
      </c>
      <c r="C123" s="18" t="s">
        <v>978</v>
      </c>
      <c r="D123" s="18" t="s">
        <v>1071</v>
      </c>
      <c r="E123" s="18" t="s">
        <v>980</v>
      </c>
      <c r="F123" s="18" t="s">
        <v>1088</v>
      </c>
      <c r="G123" s="18" t="s">
        <v>1089</v>
      </c>
      <c r="H123" s="18" t="s">
        <v>1089</v>
      </c>
      <c r="I123" s="18" t="s">
        <v>983</v>
      </c>
      <c r="J123" s="18">
        <v>33</v>
      </c>
      <c r="K123" s="18"/>
    </row>
    <row r="124" spans="2:11">
      <c r="B124" s="18" t="s">
        <v>892</v>
      </c>
      <c r="C124" s="18" t="s">
        <v>984</v>
      </c>
      <c r="D124" s="18" t="s">
        <v>985</v>
      </c>
      <c r="E124" s="18" t="s">
        <v>909</v>
      </c>
      <c r="F124" s="18" t="s">
        <v>1090</v>
      </c>
      <c r="G124" s="18"/>
      <c r="H124" s="18" t="s">
        <v>1089</v>
      </c>
      <c r="I124" s="18" t="s">
        <v>983</v>
      </c>
      <c r="J124" s="18">
        <v>33</v>
      </c>
      <c r="K124" s="18"/>
    </row>
    <row r="125" spans="2:11">
      <c r="B125" s="18" t="s">
        <v>892</v>
      </c>
      <c r="C125" s="18" t="s">
        <v>1075</v>
      </c>
      <c r="D125" s="18" t="s">
        <v>995</v>
      </c>
      <c r="E125" s="18" t="s">
        <v>996</v>
      </c>
      <c r="F125" s="18" t="s">
        <v>1091</v>
      </c>
      <c r="G125" s="18"/>
      <c r="H125" s="18" t="s">
        <v>1089</v>
      </c>
      <c r="I125" s="18" t="s">
        <v>983</v>
      </c>
      <c r="J125" s="18">
        <v>33</v>
      </c>
      <c r="K125" s="18"/>
    </row>
    <row r="126" spans="2:11">
      <c r="B126" s="18" t="s">
        <v>892</v>
      </c>
      <c r="C126" s="18" t="s">
        <v>1077</v>
      </c>
      <c r="D126" s="18" t="s">
        <v>995</v>
      </c>
      <c r="E126" s="18" t="s">
        <v>996</v>
      </c>
      <c r="F126" s="18" t="s">
        <v>1092</v>
      </c>
      <c r="G126" s="18"/>
      <c r="H126" s="18" t="s">
        <v>1089</v>
      </c>
      <c r="I126" s="18" t="s">
        <v>983</v>
      </c>
      <c r="J126" s="18">
        <v>33</v>
      </c>
      <c r="K126" s="18"/>
    </row>
    <row r="127" spans="2:11">
      <c r="B127" s="18" t="s">
        <v>892</v>
      </c>
      <c r="C127" s="18" t="s">
        <v>1079</v>
      </c>
      <c r="D127" s="18" t="s">
        <v>1080</v>
      </c>
      <c r="E127" s="18" t="s">
        <v>989</v>
      </c>
      <c r="F127" s="18" t="s">
        <v>1093</v>
      </c>
      <c r="G127" s="18"/>
      <c r="H127" s="18" t="s">
        <v>1089</v>
      </c>
      <c r="I127" s="18" t="s">
        <v>983</v>
      </c>
      <c r="J127" s="18">
        <v>33</v>
      </c>
      <c r="K127" s="18"/>
    </row>
    <row r="128" spans="2:11">
      <c r="B128" s="18" t="s">
        <v>892</v>
      </c>
      <c r="C128" s="18" t="s">
        <v>978</v>
      </c>
      <c r="D128" s="18" t="s">
        <v>1071</v>
      </c>
      <c r="E128" s="18" t="s">
        <v>980</v>
      </c>
      <c r="F128" s="18" t="s">
        <v>1094</v>
      </c>
      <c r="G128" s="18" t="s">
        <v>1095</v>
      </c>
      <c r="H128" s="18" t="s">
        <v>1095</v>
      </c>
      <c r="I128" s="18" t="s">
        <v>983</v>
      </c>
      <c r="J128" s="18">
        <v>34</v>
      </c>
      <c r="K128" s="18"/>
    </row>
    <row r="129" spans="2:11">
      <c r="B129" s="18" t="s">
        <v>892</v>
      </c>
      <c r="C129" s="18" t="s">
        <v>984</v>
      </c>
      <c r="D129" s="18" t="s">
        <v>985</v>
      </c>
      <c r="E129" s="18" t="s">
        <v>909</v>
      </c>
      <c r="F129" s="18" t="s">
        <v>1096</v>
      </c>
      <c r="G129" s="18"/>
      <c r="H129" s="18" t="s">
        <v>1095</v>
      </c>
      <c r="I129" s="18" t="s">
        <v>983</v>
      </c>
      <c r="J129" s="18">
        <v>34</v>
      </c>
      <c r="K129" s="18"/>
    </row>
    <row r="130" spans="2:11">
      <c r="B130" s="18" t="s">
        <v>892</v>
      </c>
      <c r="C130" s="18" t="s">
        <v>1075</v>
      </c>
      <c r="D130" s="18" t="s">
        <v>995</v>
      </c>
      <c r="E130" s="18" t="s">
        <v>996</v>
      </c>
      <c r="F130" s="18" t="s">
        <v>1097</v>
      </c>
      <c r="G130" s="18"/>
      <c r="H130" s="18" t="s">
        <v>1095</v>
      </c>
      <c r="I130" s="18" t="s">
        <v>983</v>
      </c>
      <c r="J130" s="18">
        <v>34</v>
      </c>
      <c r="K130" s="18"/>
    </row>
    <row r="131" spans="2:11">
      <c r="B131" s="18" t="s">
        <v>892</v>
      </c>
      <c r="C131" s="18" t="s">
        <v>1077</v>
      </c>
      <c r="D131" s="18" t="s">
        <v>995</v>
      </c>
      <c r="E131" s="18" t="s">
        <v>996</v>
      </c>
      <c r="F131" s="18" t="s">
        <v>1098</v>
      </c>
      <c r="G131" s="18"/>
      <c r="H131" s="18" t="s">
        <v>1095</v>
      </c>
      <c r="I131" s="18" t="s">
        <v>983</v>
      </c>
      <c r="J131" s="18">
        <v>34</v>
      </c>
      <c r="K131" s="18"/>
    </row>
    <row r="132" spans="2:11">
      <c r="B132" s="18" t="s">
        <v>892</v>
      </c>
      <c r="C132" s="18" t="s">
        <v>1079</v>
      </c>
      <c r="D132" s="18" t="s">
        <v>1080</v>
      </c>
      <c r="E132" s="18" t="s">
        <v>989</v>
      </c>
      <c r="F132" s="18" t="s">
        <v>1099</v>
      </c>
      <c r="G132" s="18"/>
      <c r="H132" s="18" t="s">
        <v>1095</v>
      </c>
      <c r="I132" s="18" t="s">
        <v>983</v>
      </c>
      <c r="J132" s="18">
        <v>34</v>
      </c>
      <c r="K132" s="18"/>
    </row>
    <row r="133" spans="2:11">
      <c r="B133" s="18" t="s">
        <v>892</v>
      </c>
      <c r="C133" s="18" t="s">
        <v>1100</v>
      </c>
      <c r="D133" s="18" t="s">
        <v>1101</v>
      </c>
      <c r="E133" s="18" t="s">
        <v>980</v>
      </c>
      <c r="F133" s="18" t="s">
        <v>1102</v>
      </c>
      <c r="G133" s="18" t="s">
        <v>902</v>
      </c>
      <c r="H133" s="18" t="s">
        <v>902</v>
      </c>
      <c r="I133" s="18" t="s">
        <v>983</v>
      </c>
      <c r="J133" s="18">
        <v>35</v>
      </c>
      <c r="K133" s="18"/>
    </row>
    <row r="134" spans="2:11">
      <c r="B134" s="18" t="s">
        <v>892</v>
      </c>
      <c r="C134" s="18" t="s">
        <v>1100</v>
      </c>
      <c r="D134" s="18" t="s">
        <v>1101</v>
      </c>
      <c r="E134" s="18" t="s">
        <v>980</v>
      </c>
      <c r="F134" s="18" t="s">
        <v>1103</v>
      </c>
      <c r="G134" s="18" t="s">
        <v>905</v>
      </c>
      <c r="H134" s="18" t="s">
        <v>905</v>
      </c>
      <c r="I134" s="18" t="s">
        <v>983</v>
      </c>
      <c r="J134" s="18">
        <v>36</v>
      </c>
      <c r="K134" s="18"/>
    </row>
    <row r="135" spans="2:11">
      <c r="B135" s="18" t="s">
        <v>892</v>
      </c>
      <c r="C135" s="18" t="s">
        <v>1104</v>
      </c>
      <c r="D135" s="18" t="s">
        <v>1105</v>
      </c>
      <c r="E135" s="18" t="s">
        <v>980</v>
      </c>
      <c r="F135" s="18" t="s">
        <v>1106</v>
      </c>
      <c r="G135" s="18" t="s">
        <v>1107</v>
      </c>
      <c r="H135" s="18" t="s">
        <v>1107</v>
      </c>
      <c r="I135" s="18" t="s">
        <v>983</v>
      </c>
      <c r="J135" s="18">
        <v>37</v>
      </c>
      <c r="K135" s="18"/>
    </row>
    <row r="136" spans="2:11">
      <c r="B136" s="18" t="s">
        <v>892</v>
      </c>
      <c r="C136" s="18" t="s">
        <v>984</v>
      </c>
      <c r="D136" s="18" t="s">
        <v>985</v>
      </c>
      <c r="E136" s="18" t="s">
        <v>909</v>
      </c>
      <c r="F136" s="18" t="s">
        <v>1108</v>
      </c>
      <c r="G136" s="18"/>
      <c r="H136" s="18" t="s">
        <v>1107</v>
      </c>
      <c r="I136" s="18" t="s">
        <v>983</v>
      </c>
      <c r="J136" s="18">
        <v>37</v>
      </c>
      <c r="K136" s="18"/>
    </row>
    <row r="137" spans="2:11">
      <c r="B137" s="18" t="s">
        <v>892</v>
      </c>
      <c r="C137" s="18" t="s">
        <v>987</v>
      </c>
      <c r="D137" s="18" t="s">
        <v>988</v>
      </c>
      <c r="E137" s="18" t="s">
        <v>996</v>
      </c>
      <c r="F137" s="18" t="s">
        <v>1109</v>
      </c>
      <c r="G137" s="18"/>
      <c r="H137" s="18" t="s">
        <v>1107</v>
      </c>
      <c r="I137" s="18" t="s">
        <v>983</v>
      </c>
      <c r="J137" s="18">
        <v>37</v>
      </c>
      <c r="K137" s="18"/>
    </row>
    <row r="138" spans="2:11">
      <c r="B138" s="18" t="s">
        <v>892</v>
      </c>
      <c r="C138" s="18" t="s">
        <v>994</v>
      </c>
      <c r="D138" s="18" t="s">
        <v>995</v>
      </c>
      <c r="E138" s="18" t="s">
        <v>996</v>
      </c>
      <c r="F138" s="18" t="s">
        <v>1110</v>
      </c>
      <c r="G138" s="18"/>
      <c r="H138" s="18" t="s">
        <v>1107</v>
      </c>
      <c r="I138" s="18" t="s">
        <v>983</v>
      </c>
      <c r="J138" s="18">
        <v>37</v>
      </c>
      <c r="K138" s="18"/>
    </row>
    <row r="139" spans="2:11">
      <c r="B139" s="18" t="s">
        <v>892</v>
      </c>
      <c r="C139" s="18" t="s">
        <v>998</v>
      </c>
      <c r="D139" s="18" t="s">
        <v>995</v>
      </c>
      <c r="E139" s="18" t="s">
        <v>989</v>
      </c>
      <c r="F139" s="18" t="s">
        <v>1111</v>
      </c>
      <c r="G139" s="18"/>
      <c r="H139" s="18" t="s">
        <v>1107</v>
      </c>
      <c r="I139" s="18" t="s">
        <v>983</v>
      </c>
      <c r="J139" s="18">
        <v>37</v>
      </c>
      <c r="K139" s="18"/>
    </row>
    <row r="140" spans="2:11">
      <c r="B140" s="18" t="s">
        <v>892</v>
      </c>
      <c r="C140" s="18" t="s">
        <v>1104</v>
      </c>
      <c r="D140" s="18" t="s">
        <v>1105</v>
      </c>
      <c r="E140" s="18" t="s">
        <v>980</v>
      </c>
      <c r="F140" s="18" t="s">
        <v>1112</v>
      </c>
      <c r="G140" s="18" t="s">
        <v>1113</v>
      </c>
      <c r="H140" s="18" t="s">
        <v>1113</v>
      </c>
      <c r="I140" s="18" t="s">
        <v>983</v>
      </c>
      <c r="J140" s="18">
        <v>38</v>
      </c>
      <c r="K140" s="18"/>
    </row>
    <row r="141" spans="2:11">
      <c r="B141" s="18" t="s">
        <v>892</v>
      </c>
      <c r="C141" s="18" t="s">
        <v>984</v>
      </c>
      <c r="D141" s="18" t="s">
        <v>985</v>
      </c>
      <c r="E141" s="18" t="s">
        <v>909</v>
      </c>
      <c r="F141" s="18" t="s">
        <v>1114</v>
      </c>
      <c r="G141" s="18"/>
      <c r="H141" s="18" t="s">
        <v>1113</v>
      </c>
      <c r="I141" s="18" t="s">
        <v>983</v>
      </c>
      <c r="J141" s="18">
        <v>38</v>
      </c>
      <c r="K141" s="18"/>
    </row>
    <row r="142" spans="2:11">
      <c r="B142" s="18" t="s">
        <v>892</v>
      </c>
      <c r="C142" s="18" t="s">
        <v>987</v>
      </c>
      <c r="D142" s="18" t="s">
        <v>988</v>
      </c>
      <c r="E142" s="18" t="s">
        <v>996</v>
      </c>
      <c r="F142" s="18" t="s">
        <v>1115</v>
      </c>
      <c r="G142" s="18"/>
      <c r="H142" s="18" t="s">
        <v>1113</v>
      </c>
      <c r="I142" s="18" t="s">
        <v>983</v>
      </c>
      <c r="J142" s="18">
        <v>38</v>
      </c>
      <c r="K142" s="18"/>
    </row>
    <row r="143" spans="2:11">
      <c r="B143" s="18" t="s">
        <v>892</v>
      </c>
      <c r="C143" s="18" t="s">
        <v>994</v>
      </c>
      <c r="D143" s="18" t="s">
        <v>995</v>
      </c>
      <c r="E143" s="18" t="s">
        <v>996</v>
      </c>
      <c r="F143" s="18" t="s">
        <v>1116</v>
      </c>
      <c r="G143" s="18"/>
      <c r="H143" s="18" t="s">
        <v>1113</v>
      </c>
      <c r="I143" s="18" t="s">
        <v>983</v>
      </c>
      <c r="J143" s="18">
        <v>38</v>
      </c>
      <c r="K143" s="18"/>
    </row>
    <row r="144" spans="2:11">
      <c r="B144" s="18" t="s">
        <v>892</v>
      </c>
      <c r="C144" s="18" t="s">
        <v>998</v>
      </c>
      <c r="D144" s="18" t="s">
        <v>995</v>
      </c>
      <c r="E144" s="18" t="s">
        <v>989</v>
      </c>
      <c r="F144" s="18" t="s">
        <v>1117</v>
      </c>
      <c r="G144" s="18"/>
      <c r="H144" s="18" t="s">
        <v>1113</v>
      </c>
      <c r="I144" s="18" t="s">
        <v>983</v>
      </c>
      <c r="J144" s="18">
        <v>38</v>
      </c>
      <c r="K144" s="18"/>
    </row>
    <row r="145" spans="2:11">
      <c r="B145" s="18" t="s">
        <v>892</v>
      </c>
      <c r="C145" s="18" t="s">
        <v>1104</v>
      </c>
      <c r="D145" s="18" t="s">
        <v>1105</v>
      </c>
      <c r="E145" s="18" t="s">
        <v>980</v>
      </c>
      <c r="F145" s="18" t="s">
        <v>1118</v>
      </c>
      <c r="G145" s="18" t="s">
        <v>1119</v>
      </c>
      <c r="H145" s="18" t="s">
        <v>1119</v>
      </c>
      <c r="I145" s="18" t="s">
        <v>983</v>
      </c>
      <c r="J145" s="18">
        <v>39</v>
      </c>
      <c r="K145" s="18"/>
    </row>
    <row r="146" spans="2:11">
      <c r="B146" s="18" t="s">
        <v>892</v>
      </c>
      <c r="C146" s="18" t="s">
        <v>984</v>
      </c>
      <c r="D146" s="18" t="s">
        <v>985</v>
      </c>
      <c r="E146" s="18" t="s">
        <v>909</v>
      </c>
      <c r="F146" s="18" t="s">
        <v>1120</v>
      </c>
      <c r="G146" s="18"/>
      <c r="H146" s="18" t="s">
        <v>1119</v>
      </c>
      <c r="I146" s="18" t="s">
        <v>983</v>
      </c>
      <c r="J146" s="18">
        <v>39</v>
      </c>
      <c r="K146" s="18"/>
    </row>
    <row r="147" spans="2:11">
      <c r="B147" s="18" t="s">
        <v>892</v>
      </c>
      <c r="C147" s="18" t="s">
        <v>987</v>
      </c>
      <c r="D147" s="18" t="s">
        <v>988</v>
      </c>
      <c r="E147" s="18" t="s">
        <v>996</v>
      </c>
      <c r="F147" s="18" t="s">
        <v>1121</v>
      </c>
      <c r="G147" s="18"/>
      <c r="H147" s="18" t="s">
        <v>1119</v>
      </c>
      <c r="I147" s="18" t="s">
        <v>983</v>
      </c>
      <c r="J147" s="18">
        <v>39</v>
      </c>
      <c r="K147" s="18"/>
    </row>
    <row r="148" spans="2:11">
      <c r="B148" s="18" t="s">
        <v>892</v>
      </c>
      <c r="C148" s="18" t="s">
        <v>994</v>
      </c>
      <c r="D148" s="18" t="s">
        <v>995</v>
      </c>
      <c r="E148" s="18" t="s">
        <v>996</v>
      </c>
      <c r="F148" s="18" t="s">
        <v>1122</v>
      </c>
      <c r="G148" s="18"/>
      <c r="H148" s="18" t="s">
        <v>1119</v>
      </c>
      <c r="I148" s="18" t="s">
        <v>983</v>
      </c>
      <c r="J148" s="18">
        <v>39</v>
      </c>
      <c r="K148" s="18"/>
    </row>
    <row r="149" spans="2:11">
      <c r="B149" s="18" t="s">
        <v>892</v>
      </c>
      <c r="C149" s="18" t="s">
        <v>998</v>
      </c>
      <c r="D149" s="18" t="s">
        <v>995</v>
      </c>
      <c r="E149" s="18" t="s">
        <v>989</v>
      </c>
      <c r="F149" s="18" t="s">
        <v>1123</v>
      </c>
      <c r="G149" s="18"/>
      <c r="H149" s="18" t="s">
        <v>1119</v>
      </c>
      <c r="I149" s="18" t="s">
        <v>983</v>
      </c>
      <c r="J149" s="18">
        <v>39</v>
      </c>
      <c r="K149" s="18"/>
    </row>
    <row r="150" spans="2:11">
      <c r="B150" s="18" t="s">
        <v>892</v>
      </c>
      <c r="C150" s="18" t="s">
        <v>1104</v>
      </c>
      <c r="D150" s="18" t="s">
        <v>1105</v>
      </c>
      <c r="E150" s="18" t="s">
        <v>980</v>
      </c>
      <c r="F150" s="18" t="s">
        <v>1124</v>
      </c>
      <c r="G150" s="18" t="s">
        <v>1125</v>
      </c>
      <c r="H150" s="18" t="s">
        <v>1125</v>
      </c>
      <c r="I150" s="18" t="s">
        <v>983</v>
      </c>
      <c r="J150" s="18">
        <v>40</v>
      </c>
      <c r="K150" s="18"/>
    </row>
    <row r="151" spans="2:11">
      <c r="B151" s="18" t="s">
        <v>892</v>
      </c>
      <c r="C151" s="18" t="s">
        <v>984</v>
      </c>
      <c r="D151" s="18" t="s">
        <v>985</v>
      </c>
      <c r="E151" s="18" t="s">
        <v>909</v>
      </c>
      <c r="F151" s="18" t="s">
        <v>1126</v>
      </c>
      <c r="G151" s="18"/>
      <c r="H151" s="18" t="s">
        <v>1125</v>
      </c>
      <c r="I151" s="18" t="s">
        <v>983</v>
      </c>
      <c r="J151" s="18">
        <v>40</v>
      </c>
      <c r="K151" s="18"/>
    </row>
    <row r="152" spans="2:11">
      <c r="B152" s="18" t="s">
        <v>892</v>
      </c>
      <c r="C152" s="18" t="s">
        <v>987</v>
      </c>
      <c r="D152" s="18" t="s">
        <v>988</v>
      </c>
      <c r="E152" s="18" t="s">
        <v>996</v>
      </c>
      <c r="F152" s="18" t="s">
        <v>1127</v>
      </c>
      <c r="G152" s="18"/>
      <c r="H152" s="18" t="s">
        <v>1125</v>
      </c>
      <c r="I152" s="18" t="s">
        <v>983</v>
      </c>
      <c r="J152" s="18">
        <v>40</v>
      </c>
      <c r="K152" s="18"/>
    </row>
    <row r="153" spans="2:11">
      <c r="B153" s="18" t="s">
        <v>892</v>
      </c>
      <c r="C153" s="18" t="s">
        <v>994</v>
      </c>
      <c r="D153" s="18" t="s">
        <v>995</v>
      </c>
      <c r="E153" s="18" t="s">
        <v>996</v>
      </c>
      <c r="F153" s="18" t="s">
        <v>1128</v>
      </c>
      <c r="G153" s="18"/>
      <c r="H153" s="18" t="s">
        <v>1125</v>
      </c>
      <c r="I153" s="18" t="s">
        <v>983</v>
      </c>
      <c r="J153" s="18">
        <v>40</v>
      </c>
      <c r="K153" s="18"/>
    </row>
    <row r="154" spans="2:11">
      <c r="B154" s="18" t="s">
        <v>892</v>
      </c>
      <c r="C154" s="18" t="s">
        <v>998</v>
      </c>
      <c r="D154" s="18" t="s">
        <v>995</v>
      </c>
      <c r="E154" s="18" t="s">
        <v>989</v>
      </c>
      <c r="F154" s="18" t="s">
        <v>1129</v>
      </c>
      <c r="G154" s="18"/>
      <c r="H154" s="18" t="s">
        <v>1125</v>
      </c>
      <c r="I154" s="18" t="s">
        <v>983</v>
      </c>
      <c r="J154" s="18">
        <v>40</v>
      </c>
      <c r="K154" s="18"/>
    </row>
    <row r="155" spans="2:11">
      <c r="B155" s="18" t="s">
        <v>892</v>
      </c>
      <c r="C155" s="18" t="s">
        <v>1104</v>
      </c>
      <c r="D155" s="18" t="s">
        <v>1105</v>
      </c>
      <c r="E155" s="18" t="s">
        <v>980</v>
      </c>
      <c r="F155" s="18" t="s">
        <v>1130</v>
      </c>
      <c r="G155" s="18" t="s">
        <v>1131</v>
      </c>
      <c r="H155" s="18" t="s">
        <v>1131</v>
      </c>
      <c r="I155" s="18" t="s">
        <v>983</v>
      </c>
      <c r="J155" s="18">
        <v>41</v>
      </c>
      <c r="K155" s="18"/>
    </row>
    <row r="156" spans="2:11">
      <c r="B156" s="18" t="s">
        <v>892</v>
      </c>
      <c r="C156" s="18" t="s">
        <v>984</v>
      </c>
      <c r="D156" s="18" t="s">
        <v>985</v>
      </c>
      <c r="E156" s="18" t="s">
        <v>909</v>
      </c>
      <c r="F156" s="18" t="s">
        <v>1132</v>
      </c>
      <c r="G156" s="18"/>
      <c r="H156" s="18" t="s">
        <v>1131</v>
      </c>
      <c r="I156" s="18" t="s">
        <v>983</v>
      </c>
      <c r="J156" s="18">
        <v>41</v>
      </c>
      <c r="K156" s="18"/>
    </row>
    <row r="157" spans="2:11">
      <c r="B157" s="18" t="s">
        <v>892</v>
      </c>
      <c r="C157" s="18" t="s">
        <v>987</v>
      </c>
      <c r="D157" s="18" t="s">
        <v>988</v>
      </c>
      <c r="E157" s="18" t="s">
        <v>996</v>
      </c>
      <c r="F157" s="18" t="s">
        <v>1133</v>
      </c>
      <c r="G157" s="18"/>
      <c r="H157" s="18" t="s">
        <v>1131</v>
      </c>
      <c r="I157" s="18" t="s">
        <v>983</v>
      </c>
      <c r="J157" s="18">
        <v>41</v>
      </c>
      <c r="K157" s="18"/>
    </row>
    <row r="158" spans="2:11">
      <c r="B158" s="18" t="s">
        <v>892</v>
      </c>
      <c r="C158" s="18" t="s">
        <v>994</v>
      </c>
      <c r="D158" s="18" t="s">
        <v>995</v>
      </c>
      <c r="E158" s="18" t="s">
        <v>996</v>
      </c>
      <c r="F158" s="18" t="s">
        <v>1134</v>
      </c>
      <c r="G158" s="18"/>
      <c r="H158" s="18" t="s">
        <v>1131</v>
      </c>
      <c r="I158" s="18" t="s">
        <v>983</v>
      </c>
      <c r="J158" s="18">
        <v>41</v>
      </c>
      <c r="K158" s="18"/>
    </row>
    <row r="159" spans="2:11">
      <c r="B159" s="18" t="s">
        <v>892</v>
      </c>
      <c r="C159" s="18" t="s">
        <v>998</v>
      </c>
      <c r="D159" s="18" t="s">
        <v>995</v>
      </c>
      <c r="E159" s="18" t="s">
        <v>989</v>
      </c>
      <c r="F159" s="18" t="s">
        <v>1135</v>
      </c>
      <c r="G159" s="18"/>
      <c r="H159" s="18" t="s">
        <v>1131</v>
      </c>
      <c r="I159" s="18" t="s">
        <v>983</v>
      </c>
      <c r="J159" s="18">
        <v>41</v>
      </c>
      <c r="K159" s="18"/>
    </row>
    <row r="160" spans="2:11">
      <c r="B160" s="18" t="s">
        <v>892</v>
      </c>
      <c r="C160" s="18" t="s">
        <v>1104</v>
      </c>
      <c r="D160" s="18" t="s">
        <v>1105</v>
      </c>
      <c r="E160" s="18" t="s">
        <v>980</v>
      </c>
      <c r="F160" s="18" t="s">
        <v>1136</v>
      </c>
      <c r="G160" s="18" t="s">
        <v>1137</v>
      </c>
      <c r="H160" s="18" t="s">
        <v>1137</v>
      </c>
      <c r="I160" s="18" t="s">
        <v>983</v>
      </c>
      <c r="J160" s="18">
        <v>42</v>
      </c>
      <c r="K160" s="18"/>
    </row>
    <row r="161" spans="2:11">
      <c r="B161" s="18" t="s">
        <v>892</v>
      </c>
      <c r="C161" s="18" t="s">
        <v>984</v>
      </c>
      <c r="D161" s="18" t="s">
        <v>985</v>
      </c>
      <c r="E161" s="18" t="s">
        <v>909</v>
      </c>
      <c r="F161" s="18" t="s">
        <v>1138</v>
      </c>
      <c r="G161" s="18"/>
      <c r="H161" s="18" t="s">
        <v>1137</v>
      </c>
      <c r="I161" s="18" t="s">
        <v>983</v>
      </c>
      <c r="J161" s="18">
        <v>42</v>
      </c>
      <c r="K161" s="18"/>
    </row>
    <row r="162" spans="2:11">
      <c r="B162" s="18" t="s">
        <v>892</v>
      </c>
      <c r="C162" s="18" t="s">
        <v>987</v>
      </c>
      <c r="D162" s="18" t="s">
        <v>988</v>
      </c>
      <c r="E162" s="18" t="s">
        <v>996</v>
      </c>
      <c r="F162" s="18" t="s">
        <v>1139</v>
      </c>
      <c r="G162" s="18"/>
      <c r="H162" s="18" t="s">
        <v>1137</v>
      </c>
      <c r="I162" s="18" t="s">
        <v>983</v>
      </c>
      <c r="J162" s="18">
        <v>42</v>
      </c>
      <c r="K162" s="18"/>
    </row>
    <row r="163" spans="2:11">
      <c r="B163" s="18" t="s">
        <v>892</v>
      </c>
      <c r="C163" s="18" t="s">
        <v>994</v>
      </c>
      <c r="D163" s="18" t="s">
        <v>995</v>
      </c>
      <c r="E163" s="18" t="s">
        <v>996</v>
      </c>
      <c r="F163" s="18" t="s">
        <v>1140</v>
      </c>
      <c r="G163" s="18"/>
      <c r="H163" s="18" t="s">
        <v>1137</v>
      </c>
      <c r="I163" s="18" t="s">
        <v>983</v>
      </c>
      <c r="J163" s="18">
        <v>42</v>
      </c>
      <c r="K163" s="18"/>
    </row>
    <row r="164" spans="2:11">
      <c r="B164" s="18" t="s">
        <v>892</v>
      </c>
      <c r="C164" s="18" t="s">
        <v>998</v>
      </c>
      <c r="D164" s="18" t="s">
        <v>995</v>
      </c>
      <c r="E164" s="18" t="s">
        <v>989</v>
      </c>
      <c r="F164" s="18" t="s">
        <v>1141</v>
      </c>
      <c r="G164" s="18"/>
      <c r="H164" s="18" t="s">
        <v>1137</v>
      </c>
      <c r="I164" s="18" t="s">
        <v>983</v>
      </c>
      <c r="J164" s="18">
        <v>42</v>
      </c>
      <c r="K164" s="18"/>
    </row>
    <row r="165" spans="2:11">
      <c r="B165" s="18" t="s">
        <v>892</v>
      </c>
      <c r="C165" s="18" t="s">
        <v>1104</v>
      </c>
      <c r="D165" s="18" t="s">
        <v>1105</v>
      </c>
      <c r="E165" s="18" t="s">
        <v>980</v>
      </c>
      <c r="F165" s="18" t="s">
        <v>1142</v>
      </c>
      <c r="G165" s="18" t="s">
        <v>1143</v>
      </c>
      <c r="H165" s="18" t="s">
        <v>1143</v>
      </c>
      <c r="I165" s="18" t="s">
        <v>983</v>
      </c>
      <c r="J165" s="18">
        <v>43</v>
      </c>
      <c r="K165" s="18"/>
    </row>
    <row r="166" spans="2:11">
      <c r="B166" s="18" t="s">
        <v>892</v>
      </c>
      <c r="C166" s="18" t="s">
        <v>984</v>
      </c>
      <c r="D166" s="18" t="s">
        <v>985</v>
      </c>
      <c r="E166" s="18" t="s">
        <v>909</v>
      </c>
      <c r="F166" s="18" t="s">
        <v>1144</v>
      </c>
      <c r="G166" s="18"/>
      <c r="H166" s="18" t="s">
        <v>1143</v>
      </c>
      <c r="I166" s="18" t="s">
        <v>983</v>
      </c>
      <c r="J166" s="18">
        <v>43</v>
      </c>
      <c r="K166" s="18"/>
    </row>
    <row r="167" spans="2:11">
      <c r="B167" s="18" t="s">
        <v>892</v>
      </c>
      <c r="C167" s="18" t="s">
        <v>987</v>
      </c>
      <c r="D167" s="18" t="s">
        <v>988</v>
      </c>
      <c r="E167" s="18" t="s">
        <v>996</v>
      </c>
      <c r="F167" s="18" t="s">
        <v>1145</v>
      </c>
      <c r="G167" s="18"/>
      <c r="H167" s="18" t="s">
        <v>1143</v>
      </c>
      <c r="I167" s="18" t="s">
        <v>983</v>
      </c>
      <c r="J167" s="18">
        <v>43</v>
      </c>
      <c r="K167" s="18"/>
    </row>
    <row r="168" spans="2:11">
      <c r="B168" s="18" t="s">
        <v>892</v>
      </c>
      <c r="C168" s="18" t="s">
        <v>994</v>
      </c>
      <c r="D168" s="18" t="s">
        <v>995</v>
      </c>
      <c r="E168" s="18" t="s">
        <v>996</v>
      </c>
      <c r="F168" s="18" t="s">
        <v>1146</v>
      </c>
      <c r="G168" s="18"/>
      <c r="H168" s="18" t="s">
        <v>1143</v>
      </c>
      <c r="I168" s="18" t="s">
        <v>983</v>
      </c>
      <c r="J168" s="18">
        <v>43</v>
      </c>
      <c r="K168" s="18"/>
    </row>
    <row r="169" spans="2:11">
      <c r="B169" s="18" t="s">
        <v>892</v>
      </c>
      <c r="C169" s="18" t="s">
        <v>998</v>
      </c>
      <c r="D169" s="18" t="s">
        <v>995</v>
      </c>
      <c r="E169" s="18" t="s">
        <v>989</v>
      </c>
      <c r="F169" s="18" t="s">
        <v>1147</v>
      </c>
      <c r="G169" s="18"/>
      <c r="H169" s="18" t="s">
        <v>1143</v>
      </c>
      <c r="I169" s="18" t="s">
        <v>983</v>
      </c>
      <c r="J169" s="18">
        <v>43</v>
      </c>
      <c r="K169" s="18"/>
    </row>
    <row r="170" spans="2:11">
      <c r="B170" s="18" t="s">
        <v>892</v>
      </c>
      <c r="C170" s="18" t="s">
        <v>1148</v>
      </c>
      <c r="D170" s="18" t="s">
        <v>1149</v>
      </c>
      <c r="E170" s="18" t="s">
        <v>1150</v>
      </c>
      <c r="F170" s="18" t="s">
        <v>1151</v>
      </c>
      <c r="G170" s="18"/>
      <c r="H170" s="18"/>
      <c r="I170" s="18"/>
      <c r="J170" s="18">
        <v>44</v>
      </c>
      <c r="K170" s="18"/>
    </row>
    <row r="171" spans="2:11">
      <c r="B171" s="18" t="s">
        <v>892</v>
      </c>
      <c r="C171" s="18" t="s">
        <v>1148</v>
      </c>
      <c r="D171" s="18" t="s">
        <v>1149</v>
      </c>
      <c r="E171" s="18" t="s">
        <v>1150</v>
      </c>
      <c r="F171" s="18" t="s">
        <v>1152</v>
      </c>
      <c r="G171" s="18"/>
      <c r="H171" s="18"/>
      <c r="I171" s="18"/>
      <c r="J171" s="18">
        <v>44</v>
      </c>
      <c r="K171" s="18"/>
    </row>
    <row r="172" spans="2:11">
      <c r="B172" s="18" t="s">
        <v>892</v>
      </c>
      <c r="C172" s="18" t="s">
        <v>1148</v>
      </c>
      <c r="D172" s="18" t="s">
        <v>1149</v>
      </c>
      <c r="E172" s="18" t="s">
        <v>1150</v>
      </c>
      <c r="F172" s="18" t="s">
        <v>1153</v>
      </c>
      <c r="G172" s="18"/>
      <c r="H172" s="18"/>
      <c r="I172" s="18"/>
      <c r="J172" s="18">
        <v>44</v>
      </c>
      <c r="K172" s="18"/>
    </row>
    <row r="173" spans="2:11">
      <c r="B173" s="18" t="s">
        <v>892</v>
      </c>
      <c r="C173" s="18" t="s">
        <v>1148</v>
      </c>
      <c r="D173" s="18" t="s">
        <v>1149</v>
      </c>
      <c r="E173" s="18" t="s">
        <v>1150</v>
      </c>
      <c r="F173" s="18" t="s">
        <v>1154</v>
      </c>
      <c r="G173" s="18"/>
      <c r="H173" s="18"/>
      <c r="I173" s="18"/>
      <c r="J173" s="18">
        <v>44</v>
      </c>
      <c r="K173" s="18"/>
    </row>
    <row r="174" spans="2:11">
      <c r="B174" s="18" t="s">
        <v>892</v>
      </c>
      <c r="C174" s="18" t="s">
        <v>1148</v>
      </c>
      <c r="D174" s="18" t="s">
        <v>1149</v>
      </c>
      <c r="E174" s="18" t="s">
        <v>1150</v>
      </c>
      <c r="F174" s="18" t="s">
        <v>1155</v>
      </c>
      <c r="G174" s="18"/>
      <c r="H174" s="18"/>
      <c r="I174" s="18"/>
      <c r="J174" s="18">
        <v>44</v>
      </c>
      <c r="K174" s="18"/>
    </row>
    <row r="175" spans="2:11">
      <c r="B175" s="18" t="s">
        <v>892</v>
      </c>
      <c r="C175" s="18" t="s">
        <v>1148</v>
      </c>
      <c r="D175" s="18" t="s">
        <v>1149</v>
      </c>
      <c r="E175" s="18" t="s">
        <v>1150</v>
      </c>
      <c r="F175" s="18" t="s">
        <v>1156</v>
      </c>
      <c r="G175" s="18"/>
      <c r="H175" s="18"/>
      <c r="I175" s="18"/>
      <c r="J175" s="18">
        <v>44</v>
      </c>
      <c r="K175" s="18"/>
    </row>
    <row r="176" spans="2:11">
      <c r="B176" s="18" t="s">
        <v>892</v>
      </c>
      <c r="C176" s="18" t="s">
        <v>1148</v>
      </c>
      <c r="D176" s="18" t="s">
        <v>1149</v>
      </c>
      <c r="E176" s="18" t="s">
        <v>1150</v>
      </c>
      <c r="F176" s="18" t="s">
        <v>1157</v>
      </c>
      <c r="G176" s="18"/>
      <c r="H176" s="18"/>
      <c r="I176" s="18"/>
      <c r="J176" s="18">
        <v>44</v>
      </c>
      <c r="K176" s="18"/>
    </row>
    <row r="177" spans="2:11">
      <c r="B177" s="18" t="s">
        <v>892</v>
      </c>
      <c r="C177" s="18" t="s">
        <v>1148</v>
      </c>
      <c r="D177" s="18" t="s">
        <v>1149</v>
      </c>
      <c r="E177" s="18" t="s">
        <v>1150</v>
      </c>
      <c r="F177" s="18" t="s">
        <v>1158</v>
      </c>
      <c r="G177" s="18"/>
      <c r="H177" s="18"/>
      <c r="I177" s="18"/>
      <c r="J177" s="18">
        <v>44</v>
      </c>
      <c r="K177" s="18"/>
    </row>
    <row r="178" spans="2:11">
      <c r="B178" s="18" t="s">
        <v>892</v>
      </c>
      <c r="C178" s="18" t="s">
        <v>1148</v>
      </c>
      <c r="D178" s="18" t="s">
        <v>1149</v>
      </c>
      <c r="E178" s="18" t="s">
        <v>1150</v>
      </c>
      <c r="F178" s="18" t="s">
        <v>1159</v>
      </c>
      <c r="G178" s="18"/>
      <c r="H178" s="18"/>
      <c r="I178" s="18"/>
      <c r="J178" s="18">
        <v>44</v>
      </c>
      <c r="K178" s="18"/>
    </row>
    <row r="179" spans="2:11">
      <c r="B179" s="18" t="s">
        <v>892</v>
      </c>
      <c r="C179" s="18" t="s">
        <v>1148</v>
      </c>
      <c r="D179" s="18" t="s">
        <v>1149</v>
      </c>
      <c r="E179" s="18" t="s">
        <v>1150</v>
      </c>
      <c r="F179" s="18" t="s">
        <v>1160</v>
      </c>
      <c r="G179" s="18"/>
      <c r="H179" s="18"/>
      <c r="I179" s="18"/>
      <c r="J179" s="18">
        <v>44</v>
      </c>
      <c r="K179" s="18"/>
    </row>
    <row r="180" spans="2:11">
      <c r="B180" s="18" t="s">
        <v>892</v>
      </c>
      <c r="C180" s="18" t="s">
        <v>1148</v>
      </c>
      <c r="D180" s="18" t="s">
        <v>1149</v>
      </c>
      <c r="E180" s="18" t="s">
        <v>1150</v>
      </c>
      <c r="F180" s="18" t="s">
        <v>1161</v>
      </c>
      <c r="G180" s="18"/>
      <c r="H180" s="18"/>
      <c r="I180" s="18"/>
      <c r="J180" s="18">
        <v>44</v>
      </c>
      <c r="K180" s="18"/>
    </row>
    <row r="181" spans="2:11">
      <c r="B181" s="18" t="s">
        <v>892</v>
      </c>
      <c r="C181" s="18" t="s">
        <v>1148</v>
      </c>
      <c r="D181" s="18" t="s">
        <v>1149</v>
      </c>
      <c r="E181" s="18" t="s">
        <v>1150</v>
      </c>
      <c r="F181" s="18" t="s">
        <v>1162</v>
      </c>
      <c r="G181" s="18"/>
      <c r="H181" s="18"/>
      <c r="I181" s="18"/>
      <c r="J181" s="18">
        <v>44</v>
      </c>
      <c r="K181" s="18"/>
    </row>
    <row r="182" spans="2:11">
      <c r="B182" s="18" t="s">
        <v>892</v>
      </c>
      <c r="C182" s="18" t="s">
        <v>1148</v>
      </c>
      <c r="D182" s="18" t="s">
        <v>1149</v>
      </c>
      <c r="E182" s="18" t="s">
        <v>1150</v>
      </c>
      <c r="F182" s="18" t="s">
        <v>1163</v>
      </c>
      <c r="G182" s="18"/>
      <c r="H182" s="18"/>
      <c r="I182" s="18"/>
      <c r="J182" s="18">
        <v>44</v>
      </c>
      <c r="K182" s="18"/>
    </row>
    <row r="183" spans="2:11">
      <c r="B183" s="18" t="s">
        <v>892</v>
      </c>
      <c r="C183" s="18" t="s">
        <v>1148</v>
      </c>
      <c r="D183" s="18" t="s">
        <v>1149</v>
      </c>
      <c r="E183" s="18" t="s">
        <v>1150</v>
      </c>
      <c r="F183" s="18" t="s">
        <v>1164</v>
      </c>
      <c r="G183" s="18"/>
      <c r="H183" s="18"/>
      <c r="I183" s="18"/>
      <c r="J183" s="18">
        <v>44</v>
      </c>
      <c r="K183" s="18"/>
    </row>
    <row r="184" spans="2:11">
      <c r="B184" s="18" t="s">
        <v>892</v>
      </c>
      <c r="C184" s="18" t="s">
        <v>1148</v>
      </c>
      <c r="D184" s="18" t="s">
        <v>1149</v>
      </c>
      <c r="E184" s="18" t="s">
        <v>1150</v>
      </c>
      <c r="F184" s="18" t="s">
        <v>1165</v>
      </c>
      <c r="G184" s="18"/>
      <c r="H184" s="18"/>
      <c r="I184" s="18"/>
      <c r="J184" s="18">
        <v>44</v>
      </c>
      <c r="K184" s="18"/>
    </row>
    <row r="185" spans="2:11">
      <c r="B185" s="18" t="s">
        <v>892</v>
      </c>
      <c r="C185" s="18" t="s">
        <v>1148</v>
      </c>
      <c r="D185" s="18" t="s">
        <v>1149</v>
      </c>
      <c r="E185" s="18" t="s">
        <v>1150</v>
      </c>
      <c r="F185" s="18" t="s">
        <v>1166</v>
      </c>
      <c r="G185" s="18"/>
      <c r="H185" s="18"/>
      <c r="I185" s="18"/>
      <c r="J185" s="18">
        <v>44</v>
      </c>
      <c r="K185" s="18"/>
    </row>
    <row r="186" spans="2:11">
      <c r="B186" s="18" t="s">
        <v>892</v>
      </c>
      <c r="C186" s="18" t="s">
        <v>1148</v>
      </c>
      <c r="D186" s="18" t="s">
        <v>1149</v>
      </c>
      <c r="E186" s="18" t="s">
        <v>1150</v>
      </c>
      <c r="F186" s="18" t="s">
        <v>1167</v>
      </c>
      <c r="G186" s="18"/>
      <c r="H186" s="18"/>
      <c r="I186" s="18"/>
      <c r="J186" s="18">
        <v>44</v>
      </c>
      <c r="K186" s="18"/>
    </row>
    <row r="187" spans="2:11">
      <c r="B187" s="18" t="s">
        <v>892</v>
      </c>
      <c r="C187" s="18" t="s">
        <v>1148</v>
      </c>
      <c r="D187" s="18" t="s">
        <v>1149</v>
      </c>
      <c r="E187" s="18" t="s">
        <v>1150</v>
      </c>
      <c r="F187" s="18" t="s">
        <v>1168</v>
      </c>
      <c r="G187" s="18"/>
      <c r="H187" s="18"/>
      <c r="I187" s="18"/>
      <c r="J187" s="18">
        <v>44</v>
      </c>
      <c r="K187" s="18"/>
    </row>
    <row r="188" spans="2:11">
      <c r="B188" s="18" t="s">
        <v>892</v>
      </c>
      <c r="C188" s="18" t="s">
        <v>1148</v>
      </c>
      <c r="D188" s="18" t="s">
        <v>1149</v>
      </c>
      <c r="E188" s="18" t="s">
        <v>1150</v>
      </c>
      <c r="F188" s="18" t="s">
        <v>1169</v>
      </c>
      <c r="G188" s="18"/>
      <c r="H188" s="18"/>
      <c r="I188" s="18"/>
      <c r="J188" s="18">
        <v>44</v>
      </c>
      <c r="K188" s="18"/>
    </row>
    <row r="189" spans="2:11">
      <c r="B189" s="18" t="s">
        <v>892</v>
      </c>
      <c r="C189" s="18" t="s">
        <v>1148</v>
      </c>
      <c r="D189" s="18" t="s">
        <v>1149</v>
      </c>
      <c r="E189" s="18" t="s">
        <v>1150</v>
      </c>
      <c r="F189" s="18" t="s">
        <v>1170</v>
      </c>
      <c r="G189" s="18"/>
      <c r="H189" s="18"/>
      <c r="I189" s="18"/>
      <c r="J189" s="18">
        <v>44</v>
      </c>
      <c r="K189" s="18"/>
    </row>
    <row r="190" spans="2:11">
      <c r="B190" s="18" t="s">
        <v>892</v>
      </c>
      <c r="C190" s="18" t="s">
        <v>1148</v>
      </c>
      <c r="D190" s="18" t="s">
        <v>1149</v>
      </c>
      <c r="E190" s="18" t="s">
        <v>1150</v>
      </c>
      <c r="F190" s="18" t="s">
        <v>1171</v>
      </c>
      <c r="G190" s="18"/>
      <c r="H190" s="18"/>
      <c r="I190" s="18"/>
      <c r="J190" s="18">
        <v>44</v>
      </c>
      <c r="K190" s="18"/>
    </row>
    <row r="191" spans="2:11">
      <c r="B191" s="18" t="s">
        <v>892</v>
      </c>
      <c r="C191" s="18" t="s">
        <v>1148</v>
      </c>
      <c r="D191" s="18" t="s">
        <v>1149</v>
      </c>
      <c r="E191" s="18" t="s">
        <v>1150</v>
      </c>
      <c r="F191" s="18" t="s">
        <v>1172</v>
      </c>
      <c r="G191" s="18"/>
      <c r="H191" s="18"/>
      <c r="I191" s="18"/>
      <c r="J191" s="18">
        <v>44</v>
      </c>
      <c r="K191" s="18"/>
    </row>
    <row r="192" spans="2:11">
      <c r="B192" s="18" t="s">
        <v>892</v>
      </c>
      <c r="C192" s="18" t="s">
        <v>1148</v>
      </c>
      <c r="D192" s="18" t="s">
        <v>1149</v>
      </c>
      <c r="E192" s="18" t="s">
        <v>1150</v>
      </c>
      <c r="F192" s="18" t="s">
        <v>1173</v>
      </c>
      <c r="G192" s="18"/>
      <c r="H192" s="18"/>
      <c r="I192" s="18"/>
      <c r="J192" s="18">
        <v>44</v>
      </c>
      <c r="K192" s="18"/>
    </row>
    <row r="193" spans="2:11">
      <c r="B193" s="18" t="s">
        <v>892</v>
      </c>
      <c r="C193" s="18" t="s">
        <v>1148</v>
      </c>
      <c r="D193" s="18" t="s">
        <v>1149</v>
      </c>
      <c r="E193" s="18" t="s">
        <v>1150</v>
      </c>
      <c r="F193" s="18" t="s">
        <v>1174</v>
      </c>
      <c r="G193" s="18"/>
      <c r="H193" s="18"/>
      <c r="I193" s="18"/>
      <c r="J193" s="18">
        <v>44</v>
      </c>
      <c r="K193" s="18"/>
    </row>
    <row r="194" spans="2:11">
      <c r="B194" s="18" t="s">
        <v>892</v>
      </c>
      <c r="C194" s="18" t="s">
        <v>1148</v>
      </c>
      <c r="D194" s="18" t="s">
        <v>1149</v>
      </c>
      <c r="E194" s="18" t="s">
        <v>1150</v>
      </c>
      <c r="F194" s="18" t="s">
        <v>1175</v>
      </c>
      <c r="G194" s="18"/>
      <c r="H194" s="18"/>
      <c r="I194" s="18"/>
      <c r="J194" s="18">
        <v>44</v>
      </c>
      <c r="K194" s="18"/>
    </row>
    <row r="195" spans="2:11">
      <c r="B195" s="18" t="s">
        <v>892</v>
      </c>
      <c r="C195" s="18" t="s">
        <v>1148</v>
      </c>
      <c r="D195" s="18" t="s">
        <v>1149</v>
      </c>
      <c r="E195" s="18" t="s">
        <v>1150</v>
      </c>
      <c r="F195" s="18" t="s">
        <v>1176</v>
      </c>
      <c r="G195" s="18"/>
      <c r="H195" s="18"/>
      <c r="I195" s="18"/>
      <c r="J195" s="18">
        <v>44</v>
      </c>
      <c r="K195" s="18"/>
    </row>
    <row r="196" spans="2:11">
      <c r="B196" s="18" t="s">
        <v>892</v>
      </c>
      <c r="C196" s="18" t="s">
        <v>1148</v>
      </c>
      <c r="D196" s="18" t="s">
        <v>1149</v>
      </c>
      <c r="E196" s="18" t="s">
        <v>1150</v>
      </c>
      <c r="F196" s="18" t="s">
        <v>1177</v>
      </c>
      <c r="G196" s="18"/>
      <c r="H196" s="18"/>
      <c r="I196" s="18"/>
      <c r="J196" s="18">
        <v>44</v>
      </c>
      <c r="K196" s="18"/>
    </row>
    <row r="197" spans="2:11">
      <c r="B197" s="18" t="s">
        <v>892</v>
      </c>
      <c r="C197" s="18" t="s">
        <v>1148</v>
      </c>
      <c r="D197" s="18" t="s">
        <v>1149</v>
      </c>
      <c r="E197" s="18" t="s">
        <v>1150</v>
      </c>
      <c r="F197" s="18" t="s">
        <v>1178</v>
      </c>
      <c r="G197" s="18"/>
      <c r="H197" s="18"/>
      <c r="I197" s="18"/>
      <c r="J197" s="18">
        <v>44</v>
      </c>
      <c r="K197" s="18"/>
    </row>
    <row r="198" spans="2:11">
      <c r="B198" s="18" t="s">
        <v>892</v>
      </c>
      <c r="C198" s="18" t="s">
        <v>1148</v>
      </c>
      <c r="D198" s="18" t="s">
        <v>1149</v>
      </c>
      <c r="E198" s="18" t="s">
        <v>1150</v>
      </c>
      <c r="F198" s="18" t="s">
        <v>1179</v>
      </c>
      <c r="G198" s="18"/>
      <c r="H198" s="18"/>
      <c r="I198" s="18"/>
      <c r="J198" s="18">
        <v>44</v>
      </c>
      <c r="K198" s="18"/>
    </row>
    <row r="199" spans="2:11">
      <c r="B199" s="18" t="s">
        <v>892</v>
      </c>
      <c r="C199" s="18" t="s">
        <v>1148</v>
      </c>
      <c r="D199" s="18" t="s">
        <v>1149</v>
      </c>
      <c r="E199" s="18" t="s">
        <v>1150</v>
      </c>
      <c r="F199" s="18" t="s">
        <v>1180</v>
      </c>
      <c r="G199" s="18"/>
      <c r="H199" s="18"/>
      <c r="I199" s="18"/>
      <c r="J199" s="18">
        <v>44</v>
      </c>
      <c r="K199" s="18"/>
    </row>
    <row r="200" spans="2:11">
      <c r="B200" s="18" t="s">
        <v>892</v>
      </c>
      <c r="C200" s="18" t="s">
        <v>1148</v>
      </c>
      <c r="D200" s="18" t="s">
        <v>1149</v>
      </c>
      <c r="E200" s="18" t="s">
        <v>1150</v>
      </c>
      <c r="F200" s="18" t="s">
        <v>1181</v>
      </c>
      <c r="G200" s="18"/>
      <c r="H200" s="18"/>
      <c r="I200" s="18"/>
      <c r="J200" s="18">
        <v>44</v>
      </c>
      <c r="K200" s="18"/>
    </row>
    <row r="201" spans="2:11">
      <c r="B201" s="18" t="s">
        <v>892</v>
      </c>
      <c r="C201" s="18" t="s">
        <v>1148</v>
      </c>
      <c r="D201" s="18" t="s">
        <v>1149</v>
      </c>
      <c r="E201" s="18" t="s">
        <v>1150</v>
      </c>
      <c r="F201" s="18" t="s">
        <v>1182</v>
      </c>
      <c r="G201" s="18"/>
      <c r="H201" s="18"/>
      <c r="I201" s="18"/>
      <c r="J201" s="18">
        <v>44</v>
      </c>
      <c r="K201" s="18"/>
    </row>
    <row r="202" spans="2:11">
      <c r="B202" s="18" t="s">
        <v>892</v>
      </c>
      <c r="C202" s="18" t="s">
        <v>1148</v>
      </c>
      <c r="D202" s="18" t="s">
        <v>1149</v>
      </c>
      <c r="E202" s="18" t="s">
        <v>1150</v>
      </c>
      <c r="F202" s="18" t="s">
        <v>1183</v>
      </c>
      <c r="G202" s="18"/>
      <c r="H202" s="18"/>
      <c r="I202" s="18"/>
      <c r="J202" s="18">
        <v>44</v>
      </c>
      <c r="K202" s="18"/>
    </row>
    <row r="203" spans="2:11">
      <c r="B203" s="18" t="s">
        <v>892</v>
      </c>
      <c r="C203" s="18" t="s">
        <v>1148</v>
      </c>
      <c r="D203" s="18" t="s">
        <v>1149</v>
      </c>
      <c r="E203" s="18" t="s">
        <v>1150</v>
      </c>
      <c r="F203" s="18" t="s">
        <v>1184</v>
      </c>
      <c r="G203" s="18"/>
      <c r="H203" s="18"/>
      <c r="I203" s="18"/>
      <c r="J203" s="18">
        <v>44</v>
      </c>
      <c r="K203" s="18"/>
    </row>
    <row r="204" spans="2:11">
      <c r="B204" s="18" t="s">
        <v>892</v>
      </c>
      <c r="C204" s="18" t="s">
        <v>1148</v>
      </c>
      <c r="D204" s="18" t="s">
        <v>1149</v>
      </c>
      <c r="E204" s="18" t="s">
        <v>1150</v>
      </c>
      <c r="F204" s="18" t="s">
        <v>1185</v>
      </c>
      <c r="G204" s="18"/>
      <c r="H204" s="18"/>
      <c r="I204" s="18"/>
      <c r="J204" s="18">
        <v>44</v>
      </c>
      <c r="K204" s="18"/>
    </row>
    <row r="205" spans="2:11">
      <c r="B205" s="18" t="s">
        <v>892</v>
      </c>
      <c r="C205" s="18" t="s">
        <v>1148</v>
      </c>
      <c r="D205" s="18" t="s">
        <v>1149</v>
      </c>
      <c r="E205" s="18" t="s">
        <v>1150</v>
      </c>
      <c r="F205" s="18" t="s">
        <v>1186</v>
      </c>
      <c r="G205" s="18"/>
      <c r="H205" s="18"/>
      <c r="I205" s="18"/>
      <c r="J205" s="18">
        <v>44</v>
      </c>
      <c r="K205" s="18"/>
    </row>
    <row r="206" spans="2:11">
      <c r="B206" s="18" t="s">
        <v>892</v>
      </c>
      <c r="C206" s="18" t="s">
        <v>1148</v>
      </c>
      <c r="D206" s="18" t="s">
        <v>1149</v>
      </c>
      <c r="E206" s="18" t="s">
        <v>1150</v>
      </c>
      <c r="F206" s="18" t="s">
        <v>1187</v>
      </c>
      <c r="G206" s="18"/>
      <c r="H206" s="18"/>
      <c r="I206" s="18"/>
      <c r="J206" s="18">
        <v>44</v>
      </c>
      <c r="K206" s="18"/>
    </row>
    <row r="207" spans="2:11">
      <c r="B207" s="18" t="s">
        <v>892</v>
      </c>
      <c r="C207" s="18" t="s">
        <v>1148</v>
      </c>
      <c r="D207" s="18" t="s">
        <v>1149</v>
      </c>
      <c r="E207" s="18" t="s">
        <v>1150</v>
      </c>
      <c r="F207" s="18" t="s">
        <v>1188</v>
      </c>
      <c r="G207" s="18"/>
      <c r="H207" s="18"/>
      <c r="I207" s="18"/>
      <c r="J207" s="18">
        <v>44</v>
      </c>
      <c r="K207" s="18"/>
    </row>
    <row r="208" spans="2:11">
      <c r="B208" s="18" t="s">
        <v>892</v>
      </c>
      <c r="C208" s="18" t="s">
        <v>1148</v>
      </c>
      <c r="D208" s="18" t="s">
        <v>1149</v>
      </c>
      <c r="E208" s="18" t="s">
        <v>1150</v>
      </c>
      <c r="F208" s="18" t="s">
        <v>1189</v>
      </c>
      <c r="G208" s="18"/>
      <c r="H208" s="18"/>
      <c r="I208" s="18"/>
      <c r="J208" s="18">
        <v>44</v>
      </c>
      <c r="K208" s="18"/>
    </row>
    <row r="209" spans="2:11">
      <c r="B209" s="18" t="s">
        <v>892</v>
      </c>
      <c r="C209" s="18" t="s">
        <v>1148</v>
      </c>
      <c r="D209" s="18" t="s">
        <v>1149</v>
      </c>
      <c r="E209" s="18" t="s">
        <v>1150</v>
      </c>
      <c r="F209" s="18" t="s">
        <v>1190</v>
      </c>
      <c r="G209" s="18"/>
      <c r="H209" s="18"/>
      <c r="I209" s="18"/>
      <c r="J209" s="18">
        <v>44</v>
      </c>
      <c r="K209" s="18"/>
    </row>
    <row r="210" spans="2:11">
      <c r="B210" s="18" t="s">
        <v>892</v>
      </c>
      <c r="C210" s="18" t="s">
        <v>1148</v>
      </c>
      <c r="D210" s="18" t="s">
        <v>1149</v>
      </c>
      <c r="E210" s="18" t="s">
        <v>1150</v>
      </c>
      <c r="F210" s="18" t="s">
        <v>1191</v>
      </c>
      <c r="G210" s="18"/>
      <c r="H210" s="18"/>
      <c r="I210" s="18"/>
      <c r="J210" s="18">
        <v>44</v>
      </c>
      <c r="K210" s="18"/>
    </row>
    <row r="211" spans="2:11">
      <c r="B211" s="18" t="s">
        <v>892</v>
      </c>
      <c r="C211" s="18" t="s">
        <v>1148</v>
      </c>
      <c r="D211" s="18" t="s">
        <v>1149</v>
      </c>
      <c r="E211" s="18" t="s">
        <v>1150</v>
      </c>
      <c r="F211" s="18" t="s">
        <v>1192</v>
      </c>
      <c r="G211" s="18"/>
      <c r="H211" s="18"/>
      <c r="I211" s="18"/>
      <c r="J211" s="18">
        <v>44</v>
      </c>
      <c r="K211" s="18"/>
    </row>
    <row r="212" spans="2:11">
      <c r="B212" s="18" t="s">
        <v>892</v>
      </c>
      <c r="C212" s="18" t="s">
        <v>1148</v>
      </c>
      <c r="D212" s="18" t="s">
        <v>1149</v>
      </c>
      <c r="E212" s="18" t="s">
        <v>1150</v>
      </c>
      <c r="F212" s="18" t="s">
        <v>1193</v>
      </c>
      <c r="G212" s="18"/>
      <c r="H212" s="18"/>
      <c r="I212" s="18"/>
      <c r="J212" s="18">
        <v>44</v>
      </c>
      <c r="K212" s="18"/>
    </row>
    <row r="213" spans="2:11">
      <c r="B213" s="18" t="s">
        <v>892</v>
      </c>
      <c r="C213" s="18" t="s">
        <v>1148</v>
      </c>
      <c r="D213" s="18" t="s">
        <v>1149</v>
      </c>
      <c r="E213" s="18" t="s">
        <v>1150</v>
      </c>
      <c r="F213" s="18" t="s">
        <v>1194</v>
      </c>
      <c r="G213" s="18"/>
      <c r="H213" s="18"/>
      <c r="I213" s="18"/>
      <c r="J213" s="18">
        <v>44</v>
      </c>
      <c r="K213" s="18"/>
    </row>
    <row r="214" spans="2:11">
      <c r="B214" s="18" t="s">
        <v>892</v>
      </c>
      <c r="C214" s="18" t="s">
        <v>1148</v>
      </c>
      <c r="D214" s="18" t="s">
        <v>1149</v>
      </c>
      <c r="E214" s="18" t="s">
        <v>1150</v>
      </c>
      <c r="F214" s="18" t="s">
        <v>1195</v>
      </c>
      <c r="G214" s="18"/>
      <c r="H214" s="18"/>
      <c r="I214" s="18"/>
      <c r="J214" s="18">
        <v>44</v>
      </c>
      <c r="K214" s="18"/>
    </row>
    <row r="215" spans="2:11">
      <c r="B215" s="18" t="s">
        <v>892</v>
      </c>
      <c r="C215" s="18" t="s">
        <v>1148</v>
      </c>
      <c r="D215" s="18" t="s">
        <v>1149</v>
      </c>
      <c r="E215" s="18" t="s">
        <v>1150</v>
      </c>
      <c r="F215" s="18" t="s">
        <v>1196</v>
      </c>
      <c r="G215" s="18"/>
      <c r="H215" s="18"/>
      <c r="I215" s="18"/>
      <c r="J215" s="18">
        <v>44</v>
      </c>
      <c r="K215" s="18"/>
    </row>
    <row r="216" spans="2:11">
      <c r="B216" s="18" t="s">
        <v>892</v>
      </c>
      <c r="C216" s="18" t="s">
        <v>1148</v>
      </c>
      <c r="D216" s="18" t="s">
        <v>1149</v>
      </c>
      <c r="E216" s="18" t="s">
        <v>1150</v>
      </c>
      <c r="F216" s="18" t="s">
        <v>1197</v>
      </c>
      <c r="G216" s="18"/>
      <c r="H216" s="18"/>
      <c r="I216" s="18"/>
      <c r="J216" s="18">
        <v>44</v>
      </c>
      <c r="K216" s="18"/>
    </row>
    <row r="217" spans="2:11">
      <c r="B217" s="18" t="s">
        <v>892</v>
      </c>
      <c r="C217" s="18" t="s">
        <v>1148</v>
      </c>
      <c r="D217" s="18" t="s">
        <v>1149</v>
      </c>
      <c r="E217" s="18" t="s">
        <v>1150</v>
      </c>
      <c r="F217" s="18" t="s">
        <v>1198</v>
      </c>
      <c r="G217" s="18"/>
      <c r="H217" s="18"/>
      <c r="I217" s="18"/>
      <c r="J217" s="18">
        <v>44</v>
      </c>
      <c r="K217" s="18"/>
    </row>
    <row r="218" spans="2:11">
      <c r="B218" s="18" t="s">
        <v>892</v>
      </c>
      <c r="C218" s="18" t="s">
        <v>1148</v>
      </c>
      <c r="D218" s="18" t="s">
        <v>1149</v>
      </c>
      <c r="E218" s="18" t="s">
        <v>1150</v>
      </c>
      <c r="F218" s="18" t="s">
        <v>1199</v>
      </c>
      <c r="G218" s="18"/>
      <c r="H218" s="18"/>
      <c r="I218" s="18"/>
      <c r="J218" s="18">
        <v>44</v>
      </c>
      <c r="K218" s="18"/>
    </row>
    <row r="219" spans="2:11">
      <c r="B219" s="18" t="s">
        <v>892</v>
      </c>
      <c r="C219" s="18" t="s">
        <v>1148</v>
      </c>
      <c r="D219" s="18" t="s">
        <v>1149</v>
      </c>
      <c r="E219" s="18" t="s">
        <v>1150</v>
      </c>
      <c r="F219" s="18" t="s">
        <v>1200</v>
      </c>
      <c r="G219" s="18"/>
      <c r="H219" s="18"/>
      <c r="I219" s="18"/>
      <c r="J219" s="18">
        <v>44</v>
      </c>
      <c r="K219" s="18"/>
    </row>
    <row r="220" spans="2:11">
      <c r="B220" s="18" t="s">
        <v>892</v>
      </c>
      <c r="C220" s="18" t="s">
        <v>1148</v>
      </c>
      <c r="D220" s="18" t="s">
        <v>1149</v>
      </c>
      <c r="E220" s="18" t="s">
        <v>1150</v>
      </c>
      <c r="F220" s="18" t="s">
        <v>1201</v>
      </c>
      <c r="G220" s="18"/>
      <c r="H220" s="18"/>
      <c r="I220" s="18"/>
      <c r="J220" s="18">
        <v>44</v>
      </c>
      <c r="K220" s="18"/>
    </row>
    <row r="221" spans="2:11">
      <c r="B221" s="18" t="s">
        <v>892</v>
      </c>
      <c r="C221" s="18" t="s">
        <v>1148</v>
      </c>
      <c r="D221" s="18" t="s">
        <v>1149</v>
      </c>
      <c r="E221" s="18" t="s">
        <v>1150</v>
      </c>
      <c r="F221" s="18" t="s">
        <v>1202</v>
      </c>
      <c r="G221" s="18"/>
      <c r="H221" s="18"/>
      <c r="I221" s="18"/>
      <c r="J221" s="18">
        <v>44</v>
      </c>
      <c r="K221" s="18"/>
    </row>
    <row r="222" spans="2:11">
      <c r="B222" s="18" t="s">
        <v>892</v>
      </c>
      <c r="C222" s="18" t="s">
        <v>1148</v>
      </c>
      <c r="D222" s="18" t="s">
        <v>1149</v>
      </c>
      <c r="E222" s="18" t="s">
        <v>1150</v>
      </c>
      <c r="F222" s="18" t="s">
        <v>1203</v>
      </c>
      <c r="G222" s="18"/>
      <c r="H222" s="18"/>
      <c r="I222" s="18"/>
      <c r="J222" s="18">
        <v>44</v>
      </c>
      <c r="K222" s="18"/>
    </row>
    <row r="223" spans="2:11">
      <c r="B223" s="18" t="s">
        <v>892</v>
      </c>
      <c r="C223" s="18" t="s">
        <v>1148</v>
      </c>
      <c r="D223" s="18" t="s">
        <v>1149</v>
      </c>
      <c r="E223" s="18" t="s">
        <v>1150</v>
      </c>
      <c r="F223" s="18" t="s">
        <v>1204</v>
      </c>
      <c r="G223" s="18"/>
      <c r="H223" s="18"/>
      <c r="I223" s="18"/>
      <c r="J223" s="18">
        <v>44</v>
      </c>
      <c r="K223" s="18"/>
    </row>
    <row r="224" spans="2:11">
      <c r="B224" s="18" t="s">
        <v>892</v>
      </c>
      <c r="C224" s="18" t="s">
        <v>1148</v>
      </c>
      <c r="D224" s="18" t="s">
        <v>1149</v>
      </c>
      <c r="E224" s="18" t="s">
        <v>1150</v>
      </c>
      <c r="F224" s="18" t="s">
        <v>1205</v>
      </c>
      <c r="G224" s="18"/>
      <c r="H224" s="18"/>
      <c r="I224" s="18"/>
      <c r="J224" s="18">
        <v>44</v>
      </c>
      <c r="K224" s="18"/>
    </row>
    <row r="225" spans="2:11">
      <c r="B225" s="18" t="s">
        <v>892</v>
      </c>
      <c r="C225" s="18" t="s">
        <v>1148</v>
      </c>
      <c r="D225" s="18" t="s">
        <v>1149</v>
      </c>
      <c r="E225" s="18" t="s">
        <v>1150</v>
      </c>
      <c r="F225" s="18" t="s">
        <v>1206</v>
      </c>
      <c r="G225" s="18"/>
      <c r="H225" s="18"/>
      <c r="I225" s="18"/>
      <c r="J225" s="18">
        <v>44</v>
      </c>
      <c r="K225" s="18"/>
    </row>
    <row r="226" spans="2:11">
      <c r="B226" s="18" t="s">
        <v>892</v>
      </c>
      <c r="C226" s="18" t="s">
        <v>1148</v>
      </c>
      <c r="D226" s="18" t="s">
        <v>1149</v>
      </c>
      <c r="E226" s="18" t="s">
        <v>1150</v>
      </c>
      <c r="F226" s="18" t="s">
        <v>1207</v>
      </c>
      <c r="G226" s="18"/>
      <c r="H226" s="18"/>
      <c r="I226" s="18"/>
      <c r="J226" s="18">
        <v>44</v>
      </c>
      <c r="K226" s="18"/>
    </row>
    <row r="227" spans="2:11">
      <c r="B227" s="18" t="s">
        <v>892</v>
      </c>
      <c r="C227" s="18" t="s">
        <v>1148</v>
      </c>
      <c r="D227" s="18" t="s">
        <v>1149</v>
      </c>
      <c r="E227" s="18" t="s">
        <v>1150</v>
      </c>
      <c r="F227" s="18" t="s">
        <v>1208</v>
      </c>
      <c r="G227" s="18"/>
      <c r="H227" s="18"/>
      <c r="I227" s="18"/>
      <c r="J227" s="18">
        <v>44</v>
      </c>
      <c r="K227" s="18"/>
    </row>
    <row r="228" spans="2:11">
      <c r="B228" s="18" t="s">
        <v>892</v>
      </c>
      <c r="C228" s="18" t="s">
        <v>1148</v>
      </c>
      <c r="D228" s="18" t="s">
        <v>1149</v>
      </c>
      <c r="E228" s="18" t="s">
        <v>1150</v>
      </c>
      <c r="F228" s="18" t="s">
        <v>1209</v>
      </c>
      <c r="G228" s="18"/>
      <c r="H228" s="18"/>
      <c r="I228" s="18"/>
      <c r="J228" s="18">
        <v>44</v>
      </c>
      <c r="K228" s="18"/>
    </row>
    <row r="229" spans="2:11">
      <c r="B229" s="18" t="s">
        <v>892</v>
      </c>
      <c r="C229" s="18" t="s">
        <v>1148</v>
      </c>
      <c r="D229" s="18" t="s">
        <v>1149</v>
      </c>
      <c r="E229" s="18" t="s">
        <v>1150</v>
      </c>
      <c r="F229" s="18" t="s">
        <v>1210</v>
      </c>
      <c r="G229" s="18"/>
      <c r="H229" s="18"/>
      <c r="I229" s="18"/>
      <c r="J229" s="18">
        <v>44</v>
      </c>
      <c r="K229" s="18"/>
    </row>
    <row r="230" spans="2:11">
      <c r="B230" s="18" t="s">
        <v>892</v>
      </c>
      <c r="C230" s="18" t="s">
        <v>1148</v>
      </c>
      <c r="D230" s="18" t="s">
        <v>1149</v>
      </c>
      <c r="E230" s="18" t="s">
        <v>1150</v>
      </c>
      <c r="F230" s="18" t="s">
        <v>1211</v>
      </c>
      <c r="G230" s="18"/>
      <c r="H230" s="18"/>
      <c r="I230" s="18"/>
      <c r="J230" s="18">
        <v>44</v>
      </c>
      <c r="K230" s="18"/>
    </row>
    <row r="231" spans="2:11">
      <c r="B231" s="18" t="s">
        <v>892</v>
      </c>
      <c r="C231" s="18" t="s">
        <v>1148</v>
      </c>
      <c r="D231" s="18" t="s">
        <v>1149</v>
      </c>
      <c r="E231" s="18" t="s">
        <v>1150</v>
      </c>
      <c r="F231" s="18" t="s">
        <v>1212</v>
      </c>
      <c r="G231" s="18"/>
      <c r="H231" s="18"/>
      <c r="I231" s="18"/>
      <c r="J231" s="18">
        <v>44</v>
      </c>
      <c r="K231" s="18"/>
    </row>
    <row r="232" spans="2:11">
      <c r="B232" s="18" t="s">
        <v>892</v>
      </c>
      <c r="C232" s="18" t="s">
        <v>1148</v>
      </c>
      <c r="D232" s="18" t="s">
        <v>1149</v>
      </c>
      <c r="E232" s="18" t="s">
        <v>1150</v>
      </c>
      <c r="F232" s="18" t="s">
        <v>1213</v>
      </c>
      <c r="G232" s="18"/>
      <c r="H232" s="18"/>
      <c r="I232" s="18"/>
      <c r="J232" s="18">
        <v>44</v>
      </c>
      <c r="K232" s="18"/>
    </row>
    <row r="233" spans="2:11">
      <c r="B233" s="18" t="s">
        <v>892</v>
      </c>
      <c r="C233" s="18" t="s">
        <v>1148</v>
      </c>
      <c r="D233" s="18" t="s">
        <v>1149</v>
      </c>
      <c r="E233" s="18" t="s">
        <v>1150</v>
      </c>
      <c r="F233" s="18" t="s">
        <v>1214</v>
      </c>
      <c r="G233" s="18"/>
      <c r="H233" s="18"/>
      <c r="I233" s="18"/>
      <c r="J233" s="18">
        <v>44</v>
      </c>
      <c r="K233" s="18"/>
    </row>
    <row r="234" spans="2:11">
      <c r="B234" s="18" t="s">
        <v>892</v>
      </c>
      <c r="C234" s="18" t="s">
        <v>1148</v>
      </c>
      <c r="D234" s="18" t="s">
        <v>1149</v>
      </c>
      <c r="E234" s="18" t="s">
        <v>1150</v>
      </c>
      <c r="F234" s="18" t="s">
        <v>1215</v>
      </c>
      <c r="G234" s="18"/>
      <c r="H234" s="18"/>
      <c r="I234" s="18"/>
      <c r="J234" s="18">
        <v>44</v>
      </c>
      <c r="K234" s="18"/>
    </row>
    <row r="235" spans="2:11">
      <c r="B235" s="18" t="s">
        <v>892</v>
      </c>
      <c r="C235" s="18" t="s">
        <v>1148</v>
      </c>
      <c r="D235" s="18" t="s">
        <v>1149</v>
      </c>
      <c r="E235" s="18" t="s">
        <v>1150</v>
      </c>
      <c r="F235" s="18" t="s">
        <v>1216</v>
      </c>
      <c r="G235" s="18"/>
      <c r="H235" s="18"/>
      <c r="I235" s="18"/>
      <c r="J235" s="18">
        <v>44</v>
      </c>
      <c r="K235" s="18"/>
    </row>
    <row r="236" spans="2:11">
      <c r="B236" s="18" t="s">
        <v>892</v>
      </c>
      <c r="C236" s="18" t="s">
        <v>1148</v>
      </c>
      <c r="D236" s="18" t="s">
        <v>1149</v>
      </c>
      <c r="E236" s="18" t="s">
        <v>1150</v>
      </c>
      <c r="F236" s="18" t="s">
        <v>1217</v>
      </c>
      <c r="G236" s="18"/>
      <c r="H236" s="18"/>
      <c r="I236" s="18"/>
      <c r="J236" s="18">
        <v>44</v>
      </c>
      <c r="K236" s="18"/>
    </row>
    <row r="237" spans="2:11">
      <c r="B237" s="18" t="s">
        <v>892</v>
      </c>
      <c r="C237" s="18" t="s">
        <v>1148</v>
      </c>
      <c r="D237" s="18" t="s">
        <v>1149</v>
      </c>
      <c r="E237" s="18" t="s">
        <v>1150</v>
      </c>
      <c r="F237" s="18" t="s">
        <v>1218</v>
      </c>
      <c r="G237" s="18"/>
      <c r="H237" s="18"/>
      <c r="I237" s="18"/>
      <c r="J237" s="18">
        <v>44</v>
      </c>
      <c r="K237" s="18"/>
    </row>
    <row r="238" spans="2:11">
      <c r="B238" s="18" t="s">
        <v>892</v>
      </c>
      <c r="C238" s="18" t="s">
        <v>1148</v>
      </c>
      <c r="D238" s="18" t="s">
        <v>1149</v>
      </c>
      <c r="E238" s="18" t="s">
        <v>1150</v>
      </c>
      <c r="F238" s="18" t="s">
        <v>1219</v>
      </c>
      <c r="G238" s="18"/>
      <c r="H238" s="18"/>
      <c r="I238" s="18"/>
      <c r="J238" s="18">
        <v>44</v>
      </c>
      <c r="K238" s="18"/>
    </row>
    <row r="239" spans="2:11">
      <c r="B239" s="18" t="s">
        <v>892</v>
      </c>
      <c r="C239" s="18" t="s">
        <v>1148</v>
      </c>
      <c r="D239" s="18" t="s">
        <v>1149</v>
      </c>
      <c r="E239" s="18" t="s">
        <v>1150</v>
      </c>
      <c r="F239" s="18" t="s">
        <v>1220</v>
      </c>
      <c r="G239" s="18"/>
      <c r="H239" s="18"/>
      <c r="I239" s="18"/>
      <c r="J239" s="18">
        <v>44</v>
      </c>
      <c r="K239" s="18"/>
    </row>
    <row r="240" spans="2:11">
      <c r="B240" s="18" t="s">
        <v>892</v>
      </c>
      <c r="C240" s="18" t="s">
        <v>1148</v>
      </c>
      <c r="D240" s="18" t="s">
        <v>1149</v>
      </c>
      <c r="E240" s="18" t="s">
        <v>1150</v>
      </c>
      <c r="F240" s="18" t="s">
        <v>1221</v>
      </c>
      <c r="G240" s="18"/>
      <c r="H240" s="18"/>
      <c r="I240" s="18"/>
      <c r="J240" s="18">
        <v>44</v>
      </c>
      <c r="K240" s="18"/>
    </row>
    <row r="241" spans="2:11">
      <c r="B241" s="18" t="s">
        <v>892</v>
      </c>
      <c r="C241" s="18" t="s">
        <v>1148</v>
      </c>
      <c r="D241" s="18" t="s">
        <v>1149</v>
      </c>
      <c r="E241" s="18" t="s">
        <v>1150</v>
      </c>
      <c r="F241" s="18" t="s">
        <v>1222</v>
      </c>
      <c r="G241" s="18"/>
      <c r="H241" s="18"/>
      <c r="I241" s="18"/>
      <c r="J241" s="18">
        <v>44</v>
      </c>
      <c r="K241" s="18"/>
    </row>
    <row r="242" spans="2:11">
      <c r="B242" s="18" t="s">
        <v>892</v>
      </c>
      <c r="C242" s="18" t="s">
        <v>1148</v>
      </c>
      <c r="D242" s="18" t="s">
        <v>1149</v>
      </c>
      <c r="E242" s="18" t="s">
        <v>1150</v>
      </c>
      <c r="F242" s="18" t="s">
        <v>1223</v>
      </c>
      <c r="G242" s="18"/>
      <c r="H242" s="18"/>
      <c r="I242" s="18"/>
      <c r="J242" s="18">
        <v>44</v>
      </c>
      <c r="K242" s="18"/>
    </row>
    <row r="243" spans="2:11">
      <c r="B243" s="18" t="s">
        <v>892</v>
      </c>
      <c r="C243" s="18" t="s">
        <v>1148</v>
      </c>
      <c r="D243" s="18" t="s">
        <v>1149</v>
      </c>
      <c r="E243" s="18" t="s">
        <v>1150</v>
      </c>
      <c r="F243" s="18" t="s">
        <v>1224</v>
      </c>
      <c r="G243" s="18"/>
      <c r="H243" s="18"/>
      <c r="I243" s="18"/>
      <c r="J243" s="18">
        <v>44</v>
      </c>
      <c r="K243" s="18"/>
    </row>
    <row r="244" spans="2:11">
      <c r="B244" s="18" t="s">
        <v>892</v>
      </c>
      <c r="C244" s="18" t="s">
        <v>1148</v>
      </c>
      <c r="D244" s="18" t="s">
        <v>1149</v>
      </c>
      <c r="E244" s="18" t="s">
        <v>1150</v>
      </c>
      <c r="F244" s="18" t="s">
        <v>1225</v>
      </c>
      <c r="G244" s="18"/>
      <c r="H244" s="18"/>
      <c r="I244" s="18"/>
      <c r="J244" s="18">
        <v>44</v>
      </c>
      <c r="K244" s="18"/>
    </row>
    <row r="245" spans="2:11">
      <c r="B245" s="18" t="s">
        <v>892</v>
      </c>
      <c r="C245" s="18" t="s">
        <v>1148</v>
      </c>
      <c r="D245" s="18" t="s">
        <v>1149</v>
      </c>
      <c r="E245" s="18" t="s">
        <v>1150</v>
      </c>
      <c r="F245" s="18" t="s">
        <v>1226</v>
      </c>
      <c r="G245" s="18"/>
      <c r="H245" s="18"/>
      <c r="I245" s="18"/>
      <c r="J245" s="18">
        <v>44</v>
      </c>
      <c r="K245" s="18"/>
    </row>
    <row r="246" spans="2:11">
      <c r="B246" s="18" t="s">
        <v>892</v>
      </c>
      <c r="C246" s="18" t="s">
        <v>1148</v>
      </c>
      <c r="D246" s="18" t="s">
        <v>1149</v>
      </c>
      <c r="E246" s="18" t="s">
        <v>1150</v>
      </c>
      <c r="F246" s="18" t="s">
        <v>1227</v>
      </c>
      <c r="G246" s="18"/>
      <c r="H246" s="18"/>
      <c r="I246" s="18"/>
      <c r="J246" s="18">
        <v>44</v>
      </c>
      <c r="K246" s="18"/>
    </row>
    <row r="247" spans="2:11">
      <c r="B247" s="18" t="s">
        <v>892</v>
      </c>
      <c r="C247" s="18" t="s">
        <v>1148</v>
      </c>
      <c r="D247" s="18" t="s">
        <v>1149</v>
      </c>
      <c r="E247" s="18" t="s">
        <v>1150</v>
      </c>
      <c r="F247" s="18" t="s">
        <v>1228</v>
      </c>
      <c r="G247" s="18"/>
      <c r="H247" s="18"/>
      <c r="I247" s="18"/>
      <c r="J247" s="18">
        <v>44</v>
      </c>
      <c r="K247" s="18"/>
    </row>
    <row r="248" spans="2:11">
      <c r="B248" s="18" t="s">
        <v>892</v>
      </c>
      <c r="C248" s="18" t="s">
        <v>1148</v>
      </c>
      <c r="D248" s="18" t="s">
        <v>1149</v>
      </c>
      <c r="E248" s="18" t="s">
        <v>1150</v>
      </c>
      <c r="F248" s="18" t="s">
        <v>1229</v>
      </c>
      <c r="G248" s="18"/>
      <c r="H248" s="18"/>
      <c r="I248" s="18"/>
      <c r="J248" s="18">
        <v>44</v>
      </c>
      <c r="K248" s="18"/>
    </row>
    <row r="249" spans="2:11">
      <c r="B249" s="18" t="s">
        <v>892</v>
      </c>
      <c r="C249" s="18" t="s">
        <v>1148</v>
      </c>
      <c r="D249" s="18" t="s">
        <v>1149</v>
      </c>
      <c r="E249" s="18" t="s">
        <v>1150</v>
      </c>
      <c r="F249" s="18" t="s">
        <v>1230</v>
      </c>
      <c r="G249" s="18"/>
      <c r="H249" s="18"/>
      <c r="I249" s="18"/>
      <c r="J249" s="18">
        <v>44</v>
      </c>
      <c r="K249" s="18"/>
    </row>
    <row r="250" spans="2:11">
      <c r="B250" s="18" t="s">
        <v>892</v>
      </c>
      <c r="C250" s="18" t="s">
        <v>1148</v>
      </c>
      <c r="D250" s="18" t="s">
        <v>1149</v>
      </c>
      <c r="E250" s="18" t="s">
        <v>1150</v>
      </c>
      <c r="F250" s="18" t="s">
        <v>1231</v>
      </c>
      <c r="G250" s="18"/>
      <c r="H250" s="18"/>
      <c r="I250" s="18"/>
      <c r="J250" s="18">
        <v>44</v>
      </c>
      <c r="K250" s="18"/>
    </row>
    <row r="251" spans="2:11">
      <c r="B251" s="18" t="s">
        <v>892</v>
      </c>
      <c r="C251" s="18" t="s">
        <v>1148</v>
      </c>
      <c r="D251" s="18" t="s">
        <v>1149</v>
      </c>
      <c r="E251" s="18" t="s">
        <v>1150</v>
      </c>
      <c r="F251" s="18" t="s">
        <v>1232</v>
      </c>
      <c r="G251" s="18"/>
      <c r="H251" s="18"/>
      <c r="I251" s="18"/>
      <c r="J251" s="18">
        <v>44</v>
      </c>
      <c r="K251" s="18"/>
    </row>
    <row r="252" spans="2:11">
      <c r="B252" s="18" t="s">
        <v>892</v>
      </c>
      <c r="C252" s="18" t="s">
        <v>1148</v>
      </c>
      <c r="D252" s="18" t="s">
        <v>1149</v>
      </c>
      <c r="E252" s="18" t="s">
        <v>1150</v>
      </c>
      <c r="F252" s="18" t="s">
        <v>1233</v>
      </c>
      <c r="G252" s="18"/>
      <c r="H252" s="18"/>
      <c r="I252" s="18"/>
      <c r="J252" s="18">
        <v>44</v>
      </c>
      <c r="K252" s="18"/>
    </row>
    <row r="253" spans="2:11">
      <c r="B253" s="18" t="s">
        <v>892</v>
      </c>
      <c r="C253" s="18" t="s">
        <v>1148</v>
      </c>
      <c r="D253" s="18" t="s">
        <v>1149</v>
      </c>
      <c r="E253" s="18" t="s">
        <v>1150</v>
      </c>
      <c r="F253" s="18" t="s">
        <v>1234</v>
      </c>
      <c r="G253" s="18"/>
      <c r="H253" s="18"/>
      <c r="I253" s="18"/>
      <c r="J253" s="18">
        <v>44</v>
      </c>
      <c r="K253" s="18"/>
    </row>
    <row r="254" spans="2:11">
      <c r="B254" s="18" t="s">
        <v>892</v>
      </c>
      <c r="C254" s="18" t="s">
        <v>1148</v>
      </c>
      <c r="D254" s="18" t="s">
        <v>1149</v>
      </c>
      <c r="E254" s="18" t="s">
        <v>1150</v>
      </c>
      <c r="F254" s="18" t="s">
        <v>1235</v>
      </c>
      <c r="G254" s="18"/>
      <c r="H254" s="18"/>
      <c r="I254" s="18"/>
      <c r="J254" s="18">
        <v>44</v>
      </c>
      <c r="K254" s="18"/>
    </row>
    <row r="255" spans="2:11">
      <c r="B255" s="18" t="s">
        <v>892</v>
      </c>
      <c r="C255" s="18" t="s">
        <v>1148</v>
      </c>
      <c r="D255" s="18" t="s">
        <v>1149</v>
      </c>
      <c r="E255" s="18" t="s">
        <v>1150</v>
      </c>
      <c r="F255" s="18" t="s">
        <v>1236</v>
      </c>
      <c r="G255" s="18"/>
      <c r="H255" s="18"/>
      <c r="I255" s="18"/>
      <c r="J255" s="18">
        <v>44</v>
      </c>
      <c r="K255" s="18"/>
    </row>
    <row r="256" spans="2:11">
      <c r="B256" s="18" t="s">
        <v>892</v>
      </c>
      <c r="C256" s="18" t="s">
        <v>1148</v>
      </c>
      <c r="D256" s="18" t="s">
        <v>1149</v>
      </c>
      <c r="E256" s="18" t="s">
        <v>1150</v>
      </c>
      <c r="F256" s="18" t="s">
        <v>1237</v>
      </c>
      <c r="G256" s="18"/>
      <c r="H256" s="18"/>
      <c r="I256" s="18"/>
      <c r="J256" s="18">
        <v>44</v>
      </c>
      <c r="K256" s="18"/>
    </row>
    <row r="257" spans="2:11">
      <c r="B257" s="18" t="s">
        <v>892</v>
      </c>
      <c r="C257" s="18" t="s">
        <v>1148</v>
      </c>
      <c r="D257" s="18" t="s">
        <v>1149</v>
      </c>
      <c r="E257" s="18" t="s">
        <v>1150</v>
      </c>
      <c r="F257" s="18" t="s">
        <v>1238</v>
      </c>
      <c r="G257" s="18"/>
      <c r="H257" s="18"/>
      <c r="I257" s="18"/>
      <c r="J257" s="18">
        <v>44</v>
      </c>
      <c r="K257" s="18"/>
    </row>
    <row r="258" spans="2:11">
      <c r="B258" s="18" t="s">
        <v>892</v>
      </c>
      <c r="C258" s="18" t="s">
        <v>1148</v>
      </c>
      <c r="D258" s="18" t="s">
        <v>1149</v>
      </c>
      <c r="E258" s="18" t="s">
        <v>1150</v>
      </c>
      <c r="F258" s="18" t="s">
        <v>1239</v>
      </c>
      <c r="G258" s="18"/>
      <c r="H258" s="18"/>
      <c r="I258" s="18"/>
      <c r="J258" s="18">
        <v>44</v>
      </c>
      <c r="K258" s="18"/>
    </row>
    <row r="259" spans="2:11">
      <c r="B259" s="18" t="s">
        <v>892</v>
      </c>
      <c r="C259" s="18" t="s">
        <v>1148</v>
      </c>
      <c r="D259" s="18" t="s">
        <v>1149</v>
      </c>
      <c r="E259" s="18" t="s">
        <v>1150</v>
      </c>
      <c r="F259" s="18" t="s">
        <v>1240</v>
      </c>
      <c r="G259" s="18"/>
      <c r="H259" s="18"/>
      <c r="I259" s="18"/>
      <c r="J259" s="18">
        <v>44</v>
      </c>
      <c r="K259" s="18"/>
    </row>
    <row r="260" spans="2:11">
      <c r="B260" s="18" t="s">
        <v>892</v>
      </c>
      <c r="C260" s="18" t="s">
        <v>1148</v>
      </c>
      <c r="D260" s="18" t="s">
        <v>1149</v>
      </c>
      <c r="E260" s="18" t="s">
        <v>1150</v>
      </c>
      <c r="F260" s="18" t="s">
        <v>1241</v>
      </c>
      <c r="G260" s="18"/>
      <c r="H260" s="18"/>
      <c r="I260" s="18"/>
      <c r="J260" s="18">
        <v>44</v>
      </c>
      <c r="K260" s="18"/>
    </row>
    <row r="261" spans="2:11">
      <c r="B261" s="18" t="s">
        <v>892</v>
      </c>
      <c r="C261" s="18" t="s">
        <v>1148</v>
      </c>
      <c r="D261" s="18" t="s">
        <v>1149</v>
      </c>
      <c r="E261" s="18" t="s">
        <v>1150</v>
      </c>
      <c r="F261" s="18" t="s">
        <v>1242</v>
      </c>
      <c r="G261" s="18"/>
      <c r="H261" s="18"/>
      <c r="I261" s="18"/>
      <c r="J261" s="18">
        <v>44</v>
      </c>
      <c r="K261" s="18"/>
    </row>
    <row r="262" spans="2:11">
      <c r="B262" s="18" t="s">
        <v>892</v>
      </c>
      <c r="C262" s="18" t="s">
        <v>1148</v>
      </c>
      <c r="D262" s="18" t="s">
        <v>1149</v>
      </c>
      <c r="E262" s="18" t="s">
        <v>1150</v>
      </c>
      <c r="F262" s="18" t="s">
        <v>1243</v>
      </c>
      <c r="G262" s="18"/>
      <c r="H262" s="18"/>
      <c r="I262" s="18"/>
      <c r="J262" s="18">
        <v>44</v>
      </c>
      <c r="K262" s="18"/>
    </row>
    <row r="263" spans="2:11">
      <c r="B263" s="18" t="s">
        <v>892</v>
      </c>
      <c r="C263" s="18" t="s">
        <v>1148</v>
      </c>
      <c r="D263" s="18" t="s">
        <v>1149</v>
      </c>
      <c r="E263" s="18" t="s">
        <v>1150</v>
      </c>
      <c r="F263" s="18" t="s">
        <v>1244</v>
      </c>
      <c r="G263" s="18"/>
      <c r="H263" s="18"/>
      <c r="I263" s="18"/>
      <c r="J263" s="18">
        <v>44</v>
      </c>
      <c r="K263" s="18"/>
    </row>
    <row r="264" spans="2:11">
      <c r="B264" s="18" t="s">
        <v>892</v>
      </c>
      <c r="C264" s="18" t="s">
        <v>1148</v>
      </c>
      <c r="D264" s="18" t="s">
        <v>1149</v>
      </c>
      <c r="E264" s="18" t="s">
        <v>1150</v>
      </c>
      <c r="F264" s="18" t="s">
        <v>1245</v>
      </c>
      <c r="G264" s="18"/>
      <c r="H264" s="18"/>
      <c r="I264" s="18"/>
      <c r="J264" s="18">
        <v>44</v>
      </c>
      <c r="K264" s="18"/>
    </row>
    <row r="265" spans="2:11">
      <c r="B265" s="18" t="s">
        <v>892</v>
      </c>
      <c r="C265" s="18" t="s">
        <v>1148</v>
      </c>
      <c r="D265" s="18" t="s">
        <v>1149</v>
      </c>
      <c r="E265" s="18" t="s">
        <v>1150</v>
      </c>
      <c r="F265" s="18" t="s">
        <v>1246</v>
      </c>
      <c r="G265" s="18"/>
      <c r="H265" s="18"/>
      <c r="I265" s="18"/>
      <c r="J265" s="18">
        <v>44</v>
      </c>
      <c r="K265" s="18"/>
    </row>
    <row r="266" spans="2:11">
      <c r="B266" s="18" t="s">
        <v>892</v>
      </c>
      <c r="C266" s="18" t="s">
        <v>1148</v>
      </c>
      <c r="D266" s="18" t="s">
        <v>1149</v>
      </c>
      <c r="E266" s="18" t="s">
        <v>1150</v>
      </c>
      <c r="F266" s="18" t="s">
        <v>1247</v>
      </c>
      <c r="G266" s="18"/>
      <c r="H266" s="18"/>
      <c r="I266" s="18"/>
      <c r="J266" s="18">
        <v>44</v>
      </c>
      <c r="K266" s="18"/>
    </row>
    <row r="267" spans="2:11">
      <c r="B267" s="18" t="s">
        <v>892</v>
      </c>
      <c r="C267" s="18" t="s">
        <v>1148</v>
      </c>
      <c r="D267" s="18" t="s">
        <v>1149</v>
      </c>
      <c r="E267" s="18" t="s">
        <v>1150</v>
      </c>
      <c r="F267" s="18" t="s">
        <v>1248</v>
      </c>
      <c r="G267" s="18"/>
      <c r="H267" s="18"/>
      <c r="I267" s="18"/>
      <c r="J267" s="18">
        <v>44</v>
      </c>
      <c r="K267" s="18"/>
    </row>
    <row r="268" spans="2:11">
      <c r="B268" s="18" t="s">
        <v>892</v>
      </c>
      <c r="C268" s="18" t="s">
        <v>1148</v>
      </c>
      <c r="D268" s="18" t="s">
        <v>1149</v>
      </c>
      <c r="E268" s="18" t="s">
        <v>1150</v>
      </c>
      <c r="F268" s="18" t="s">
        <v>1249</v>
      </c>
      <c r="G268" s="18"/>
      <c r="H268" s="18"/>
      <c r="I268" s="18"/>
      <c r="J268" s="18">
        <v>44</v>
      </c>
      <c r="K268" s="18"/>
    </row>
    <row r="269" spans="2:11">
      <c r="B269" s="18" t="s">
        <v>892</v>
      </c>
      <c r="C269" s="18" t="s">
        <v>1148</v>
      </c>
      <c r="D269" s="18" t="s">
        <v>1149</v>
      </c>
      <c r="E269" s="18" t="s">
        <v>1150</v>
      </c>
      <c r="F269" s="18" t="s">
        <v>1250</v>
      </c>
      <c r="G269" s="18"/>
      <c r="H269" s="18"/>
      <c r="I269" s="18"/>
      <c r="J269" s="18">
        <v>44</v>
      </c>
      <c r="K269" s="18"/>
    </row>
    <row r="270" spans="2:11">
      <c r="B270" s="18" t="s">
        <v>892</v>
      </c>
      <c r="C270" s="18" t="s">
        <v>1148</v>
      </c>
      <c r="D270" s="18" t="s">
        <v>1149</v>
      </c>
      <c r="E270" s="18" t="s">
        <v>1150</v>
      </c>
      <c r="F270" s="18" t="s">
        <v>1251</v>
      </c>
      <c r="G270" s="18"/>
      <c r="H270" s="18"/>
      <c r="I270" s="18"/>
      <c r="J270" s="18">
        <v>45</v>
      </c>
      <c r="K270" s="18"/>
    </row>
    <row r="271" spans="2:11">
      <c r="B271" s="18" t="s">
        <v>892</v>
      </c>
      <c r="C271" s="18" t="s">
        <v>1148</v>
      </c>
      <c r="D271" s="18" t="s">
        <v>1149</v>
      </c>
      <c r="E271" s="18" t="s">
        <v>1150</v>
      </c>
      <c r="F271" s="18" t="s">
        <v>1252</v>
      </c>
      <c r="G271" s="18"/>
      <c r="H271" s="18"/>
      <c r="I271" s="18"/>
      <c r="J271" s="18">
        <v>45</v>
      </c>
      <c r="K271" s="18"/>
    </row>
    <row r="272" spans="2:11">
      <c r="B272" s="18" t="s">
        <v>892</v>
      </c>
      <c r="C272" s="18" t="s">
        <v>1148</v>
      </c>
      <c r="D272" s="18" t="s">
        <v>1149</v>
      </c>
      <c r="E272" s="18" t="s">
        <v>1150</v>
      </c>
      <c r="F272" s="18" t="s">
        <v>1253</v>
      </c>
      <c r="G272" s="18"/>
      <c r="H272" s="18"/>
      <c r="I272" s="18"/>
      <c r="J272" s="18">
        <v>45</v>
      </c>
      <c r="K272" s="18"/>
    </row>
    <row r="273" spans="2:11">
      <c r="B273" s="18" t="s">
        <v>892</v>
      </c>
      <c r="C273" s="18" t="s">
        <v>1148</v>
      </c>
      <c r="D273" s="18" t="s">
        <v>1149</v>
      </c>
      <c r="E273" s="18" t="s">
        <v>1150</v>
      </c>
      <c r="F273" s="18" t="s">
        <v>1254</v>
      </c>
      <c r="G273" s="18"/>
      <c r="H273" s="18"/>
      <c r="I273" s="18"/>
      <c r="J273" s="18">
        <v>45</v>
      </c>
      <c r="K273" s="18"/>
    </row>
    <row r="274" spans="2:11">
      <c r="B274" s="18" t="s">
        <v>892</v>
      </c>
      <c r="C274" s="18" t="s">
        <v>1148</v>
      </c>
      <c r="D274" s="18" t="s">
        <v>1149</v>
      </c>
      <c r="E274" s="18" t="s">
        <v>1150</v>
      </c>
      <c r="F274" s="18" t="s">
        <v>1255</v>
      </c>
      <c r="G274" s="18"/>
      <c r="H274" s="18"/>
      <c r="I274" s="18"/>
      <c r="J274" s="18">
        <v>45</v>
      </c>
      <c r="K274" s="18"/>
    </row>
    <row r="275" spans="2:11">
      <c r="B275" s="18" t="s">
        <v>892</v>
      </c>
      <c r="C275" s="18" t="s">
        <v>1148</v>
      </c>
      <c r="D275" s="18" t="s">
        <v>1149</v>
      </c>
      <c r="E275" s="18" t="s">
        <v>1150</v>
      </c>
      <c r="F275" s="18" t="s">
        <v>1256</v>
      </c>
      <c r="G275" s="18"/>
      <c r="H275" s="18"/>
      <c r="I275" s="18"/>
      <c r="J275" s="18">
        <v>45</v>
      </c>
      <c r="K275" s="18"/>
    </row>
    <row r="276" spans="2:11">
      <c r="B276" s="18" t="s">
        <v>892</v>
      </c>
      <c r="C276" s="18" t="s">
        <v>1148</v>
      </c>
      <c r="D276" s="18" t="s">
        <v>1149</v>
      </c>
      <c r="E276" s="18" t="s">
        <v>1150</v>
      </c>
      <c r="F276" s="18" t="s">
        <v>1257</v>
      </c>
      <c r="G276" s="18"/>
      <c r="H276" s="18"/>
      <c r="I276" s="18"/>
      <c r="J276" s="18">
        <v>45</v>
      </c>
      <c r="K276" s="18"/>
    </row>
    <row r="277" spans="2:11">
      <c r="B277" s="18" t="s">
        <v>892</v>
      </c>
      <c r="C277" s="18" t="s">
        <v>1148</v>
      </c>
      <c r="D277" s="18" t="s">
        <v>1149</v>
      </c>
      <c r="E277" s="18" t="s">
        <v>1150</v>
      </c>
      <c r="F277" s="18" t="s">
        <v>1258</v>
      </c>
      <c r="G277" s="18"/>
      <c r="H277" s="18"/>
      <c r="I277" s="18"/>
      <c r="J277" s="18">
        <v>45</v>
      </c>
      <c r="K277" s="18"/>
    </row>
    <row r="278" spans="2:11">
      <c r="B278" s="18" t="s">
        <v>892</v>
      </c>
      <c r="C278" s="18" t="s">
        <v>1148</v>
      </c>
      <c r="D278" s="18" t="s">
        <v>1149</v>
      </c>
      <c r="E278" s="18" t="s">
        <v>1150</v>
      </c>
      <c r="F278" s="18" t="s">
        <v>1259</v>
      </c>
      <c r="G278" s="18"/>
      <c r="H278" s="18"/>
      <c r="I278" s="18"/>
      <c r="J278" s="18">
        <v>45</v>
      </c>
      <c r="K278" s="18"/>
    </row>
    <row r="279" spans="2:11">
      <c r="B279" s="18" t="s">
        <v>892</v>
      </c>
      <c r="C279" s="18" t="s">
        <v>1148</v>
      </c>
      <c r="D279" s="18" t="s">
        <v>1149</v>
      </c>
      <c r="E279" s="18" t="s">
        <v>1150</v>
      </c>
      <c r="F279" s="18" t="s">
        <v>1260</v>
      </c>
      <c r="G279" s="18"/>
      <c r="H279" s="18"/>
      <c r="I279" s="18"/>
      <c r="J279" s="18">
        <v>45</v>
      </c>
      <c r="K279" s="18"/>
    </row>
    <row r="280" spans="2:11">
      <c r="B280" s="18" t="s">
        <v>892</v>
      </c>
      <c r="C280" s="18" t="s">
        <v>1148</v>
      </c>
      <c r="D280" s="18" t="s">
        <v>1149</v>
      </c>
      <c r="E280" s="18" t="s">
        <v>1150</v>
      </c>
      <c r="F280" s="18" t="s">
        <v>1261</v>
      </c>
      <c r="G280" s="18"/>
      <c r="H280" s="18"/>
      <c r="I280" s="18"/>
      <c r="J280" s="18">
        <v>45</v>
      </c>
      <c r="K280" s="18"/>
    </row>
    <row r="281" spans="2:11">
      <c r="B281" s="18" t="s">
        <v>892</v>
      </c>
      <c r="C281" s="18" t="s">
        <v>1148</v>
      </c>
      <c r="D281" s="18" t="s">
        <v>1149</v>
      </c>
      <c r="E281" s="18" t="s">
        <v>1150</v>
      </c>
      <c r="F281" s="18" t="s">
        <v>1262</v>
      </c>
      <c r="G281" s="18"/>
      <c r="H281" s="18"/>
      <c r="I281" s="18"/>
      <c r="J281" s="18">
        <v>45</v>
      </c>
      <c r="K281" s="18"/>
    </row>
    <row r="282" spans="2:11">
      <c r="B282" s="18" t="s">
        <v>892</v>
      </c>
      <c r="C282" s="18" t="s">
        <v>1148</v>
      </c>
      <c r="D282" s="18" t="s">
        <v>1149</v>
      </c>
      <c r="E282" s="18" t="s">
        <v>1150</v>
      </c>
      <c r="F282" s="18" t="s">
        <v>1263</v>
      </c>
      <c r="G282" s="18"/>
      <c r="H282" s="18"/>
      <c r="I282" s="18"/>
      <c r="J282" s="18">
        <v>45</v>
      </c>
      <c r="K282" s="18"/>
    </row>
    <row r="283" spans="2:11">
      <c r="B283" s="18" t="s">
        <v>892</v>
      </c>
      <c r="C283" s="18" t="s">
        <v>1148</v>
      </c>
      <c r="D283" s="18" t="s">
        <v>1149</v>
      </c>
      <c r="E283" s="18" t="s">
        <v>1150</v>
      </c>
      <c r="F283" s="18" t="s">
        <v>1264</v>
      </c>
      <c r="G283" s="18"/>
      <c r="H283" s="18"/>
      <c r="I283" s="18"/>
      <c r="J283" s="18">
        <v>45</v>
      </c>
      <c r="K283" s="18"/>
    </row>
    <row r="284" spans="2:11">
      <c r="B284" s="18" t="s">
        <v>892</v>
      </c>
      <c r="C284" s="18" t="s">
        <v>1148</v>
      </c>
      <c r="D284" s="18" t="s">
        <v>1149</v>
      </c>
      <c r="E284" s="18" t="s">
        <v>1150</v>
      </c>
      <c r="F284" s="18" t="s">
        <v>1265</v>
      </c>
      <c r="G284" s="18"/>
      <c r="H284" s="18"/>
      <c r="I284" s="18"/>
      <c r="J284" s="18">
        <v>45</v>
      </c>
      <c r="K284" s="18"/>
    </row>
    <row r="285" spans="2:11">
      <c r="B285" s="18" t="s">
        <v>892</v>
      </c>
      <c r="C285" s="18" t="s">
        <v>1148</v>
      </c>
      <c r="D285" s="18" t="s">
        <v>1149</v>
      </c>
      <c r="E285" s="18" t="s">
        <v>1150</v>
      </c>
      <c r="F285" s="18" t="s">
        <v>1266</v>
      </c>
      <c r="G285" s="18"/>
      <c r="H285" s="18"/>
      <c r="I285" s="18"/>
      <c r="J285" s="18">
        <v>45</v>
      </c>
      <c r="K285" s="18"/>
    </row>
    <row r="286" spans="2:11">
      <c r="B286" s="18" t="s">
        <v>892</v>
      </c>
      <c r="C286" s="18" t="s">
        <v>1148</v>
      </c>
      <c r="D286" s="18" t="s">
        <v>1149</v>
      </c>
      <c r="E286" s="18" t="s">
        <v>1150</v>
      </c>
      <c r="F286" s="18" t="s">
        <v>1267</v>
      </c>
      <c r="G286" s="18"/>
      <c r="H286" s="18"/>
      <c r="I286" s="18"/>
      <c r="J286" s="18">
        <v>45</v>
      </c>
      <c r="K286" s="18"/>
    </row>
    <row r="287" spans="2:11">
      <c r="B287" s="18" t="s">
        <v>892</v>
      </c>
      <c r="C287" s="18" t="s">
        <v>1148</v>
      </c>
      <c r="D287" s="18" t="s">
        <v>1149</v>
      </c>
      <c r="E287" s="18" t="s">
        <v>1150</v>
      </c>
      <c r="F287" s="18" t="s">
        <v>1268</v>
      </c>
      <c r="G287" s="18"/>
      <c r="H287" s="18"/>
      <c r="I287" s="18"/>
      <c r="J287" s="18">
        <v>45</v>
      </c>
      <c r="K287" s="18"/>
    </row>
    <row r="288" spans="2:11">
      <c r="B288" s="18" t="s">
        <v>892</v>
      </c>
      <c r="C288" s="18" t="s">
        <v>1148</v>
      </c>
      <c r="D288" s="18" t="s">
        <v>1149</v>
      </c>
      <c r="E288" s="18" t="s">
        <v>1150</v>
      </c>
      <c r="F288" s="18" t="s">
        <v>1269</v>
      </c>
      <c r="G288" s="18"/>
      <c r="H288" s="18"/>
      <c r="I288" s="18"/>
      <c r="J288" s="18">
        <v>45</v>
      </c>
      <c r="K288" s="18"/>
    </row>
    <row r="289" spans="2:11">
      <c r="B289" s="18" t="s">
        <v>892</v>
      </c>
      <c r="C289" s="18" t="s">
        <v>1148</v>
      </c>
      <c r="D289" s="18" t="s">
        <v>1149</v>
      </c>
      <c r="E289" s="18" t="s">
        <v>1150</v>
      </c>
      <c r="F289" s="18" t="s">
        <v>1270</v>
      </c>
      <c r="G289" s="18"/>
      <c r="H289" s="18"/>
      <c r="I289" s="18"/>
      <c r="J289" s="18">
        <v>45</v>
      </c>
      <c r="K289" s="18"/>
    </row>
    <row r="290" spans="2:11">
      <c r="B290" s="18" t="s">
        <v>892</v>
      </c>
      <c r="C290" s="18" t="s">
        <v>1148</v>
      </c>
      <c r="D290" s="18" t="s">
        <v>1149</v>
      </c>
      <c r="E290" s="18" t="s">
        <v>1150</v>
      </c>
      <c r="F290" s="18" t="s">
        <v>1271</v>
      </c>
      <c r="G290" s="18"/>
      <c r="H290" s="18"/>
      <c r="I290" s="18"/>
      <c r="J290" s="18">
        <v>45</v>
      </c>
      <c r="K290" s="18"/>
    </row>
    <row r="291" spans="2:11">
      <c r="B291" s="18" t="s">
        <v>892</v>
      </c>
      <c r="C291" s="18" t="s">
        <v>1148</v>
      </c>
      <c r="D291" s="18" t="s">
        <v>1149</v>
      </c>
      <c r="E291" s="18" t="s">
        <v>1150</v>
      </c>
      <c r="F291" s="18" t="s">
        <v>1272</v>
      </c>
      <c r="G291" s="18"/>
      <c r="H291" s="18"/>
      <c r="I291" s="18"/>
      <c r="J291" s="18">
        <v>45</v>
      </c>
      <c r="K291" s="18"/>
    </row>
    <row r="292" spans="2:11">
      <c r="B292" s="18" t="s">
        <v>892</v>
      </c>
      <c r="C292" s="18" t="s">
        <v>1148</v>
      </c>
      <c r="D292" s="18" t="s">
        <v>1149</v>
      </c>
      <c r="E292" s="18" t="s">
        <v>1150</v>
      </c>
      <c r="F292" s="18" t="s">
        <v>1273</v>
      </c>
      <c r="G292" s="18"/>
      <c r="H292" s="18"/>
      <c r="I292" s="18"/>
      <c r="J292" s="18">
        <v>45</v>
      </c>
      <c r="K292" s="18"/>
    </row>
    <row r="293" spans="2:11">
      <c r="B293" s="18" t="s">
        <v>892</v>
      </c>
      <c r="C293" s="18" t="s">
        <v>1148</v>
      </c>
      <c r="D293" s="18" t="s">
        <v>1149</v>
      </c>
      <c r="E293" s="18" t="s">
        <v>1150</v>
      </c>
      <c r="F293" s="18" t="s">
        <v>1274</v>
      </c>
      <c r="G293" s="18"/>
      <c r="H293" s="18"/>
      <c r="I293" s="18"/>
      <c r="J293" s="18">
        <v>45</v>
      </c>
      <c r="K293" s="18"/>
    </row>
    <row r="294" spans="2:11">
      <c r="B294" s="18" t="s">
        <v>892</v>
      </c>
      <c r="C294" s="18" t="s">
        <v>1148</v>
      </c>
      <c r="D294" s="18" t="s">
        <v>1149</v>
      </c>
      <c r="E294" s="18" t="s">
        <v>1150</v>
      </c>
      <c r="F294" s="18" t="s">
        <v>1275</v>
      </c>
      <c r="G294" s="18"/>
      <c r="H294" s="18"/>
      <c r="I294" s="18"/>
      <c r="J294" s="18">
        <v>45</v>
      </c>
      <c r="K294" s="18"/>
    </row>
    <row r="295" spans="2:11">
      <c r="B295" s="18" t="s">
        <v>892</v>
      </c>
      <c r="C295" s="18" t="s">
        <v>1148</v>
      </c>
      <c r="D295" s="18" t="s">
        <v>1149</v>
      </c>
      <c r="E295" s="18" t="s">
        <v>1150</v>
      </c>
      <c r="F295" s="18" t="s">
        <v>1276</v>
      </c>
      <c r="G295" s="18"/>
      <c r="H295" s="18"/>
      <c r="I295" s="18"/>
      <c r="J295" s="18">
        <v>45</v>
      </c>
      <c r="K295" s="18"/>
    </row>
    <row r="296" spans="2:11">
      <c r="B296" s="18" t="s">
        <v>892</v>
      </c>
      <c r="C296" s="18" t="s">
        <v>1277</v>
      </c>
      <c r="D296" s="18" t="s">
        <v>1278</v>
      </c>
      <c r="E296" s="18" t="s">
        <v>900</v>
      </c>
      <c r="F296" s="18" t="s">
        <v>1279</v>
      </c>
      <c r="G296" s="18"/>
      <c r="H296" s="18"/>
      <c r="I296" s="18"/>
      <c r="J296" s="18">
        <v>46</v>
      </c>
      <c r="K296" s="18"/>
    </row>
    <row r="297" spans="2:11">
      <c r="B297" s="18" t="s">
        <v>892</v>
      </c>
      <c r="C297" s="18" t="s">
        <v>1277</v>
      </c>
      <c r="D297" s="18" t="s">
        <v>1278</v>
      </c>
      <c r="E297" s="18" t="s">
        <v>900</v>
      </c>
      <c r="F297" s="18" t="s">
        <v>1280</v>
      </c>
      <c r="G297" s="18"/>
      <c r="H297" s="18"/>
      <c r="I297" s="18"/>
      <c r="J297" s="18">
        <v>46</v>
      </c>
      <c r="K297" s="18"/>
    </row>
    <row r="298" spans="2:11">
      <c r="B298" s="18" t="s">
        <v>892</v>
      </c>
      <c r="C298" s="18" t="s">
        <v>1277</v>
      </c>
      <c r="D298" s="18" t="s">
        <v>1278</v>
      </c>
      <c r="E298" s="18" t="s">
        <v>900</v>
      </c>
      <c r="F298" s="18" t="s">
        <v>1281</v>
      </c>
      <c r="G298" s="18"/>
      <c r="H298" s="18"/>
      <c r="I298" s="18"/>
      <c r="J298" s="18">
        <v>46</v>
      </c>
      <c r="K298" s="18"/>
    </row>
    <row r="299" spans="2:11">
      <c r="B299" s="18" t="s">
        <v>892</v>
      </c>
      <c r="C299" s="18" t="s">
        <v>1277</v>
      </c>
      <c r="D299" s="18" t="s">
        <v>1278</v>
      </c>
      <c r="E299" s="18" t="s">
        <v>900</v>
      </c>
      <c r="F299" s="18" t="s">
        <v>1282</v>
      </c>
      <c r="G299" s="18"/>
      <c r="H299" s="18"/>
      <c r="I299" s="18"/>
      <c r="J299" s="18">
        <v>46</v>
      </c>
      <c r="K299" s="18"/>
    </row>
    <row r="300" spans="2:11">
      <c r="B300" s="18" t="s">
        <v>892</v>
      </c>
      <c r="C300" s="18" t="s">
        <v>1064</v>
      </c>
      <c r="D300" s="18" t="s">
        <v>1283</v>
      </c>
      <c r="E300" s="18" t="s">
        <v>980</v>
      </c>
      <c r="F300" s="18" t="s">
        <v>1284</v>
      </c>
      <c r="G300" s="18" t="s">
        <v>1285</v>
      </c>
      <c r="H300" s="18" t="s">
        <v>1285</v>
      </c>
      <c r="I300" s="18" t="s">
        <v>983</v>
      </c>
      <c r="J300" s="18">
        <v>47</v>
      </c>
      <c r="K300" s="18"/>
    </row>
    <row r="301" spans="2:11">
      <c r="B301" s="18" t="s">
        <v>892</v>
      </c>
      <c r="C301" s="18" t="s">
        <v>1286</v>
      </c>
      <c r="D301" s="18" t="s">
        <v>1287</v>
      </c>
      <c r="E301" s="18" t="s">
        <v>1288</v>
      </c>
      <c r="F301" s="18" t="s">
        <v>1289</v>
      </c>
      <c r="G301" s="18"/>
      <c r="H301" s="18" t="s">
        <v>1285</v>
      </c>
      <c r="I301" s="18" t="s">
        <v>983</v>
      </c>
      <c r="J301" s="18">
        <v>47</v>
      </c>
      <c r="K301" s="18"/>
    </row>
    <row r="302" spans="2:11">
      <c r="B302" s="18" t="s">
        <v>892</v>
      </c>
      <c r="C302" s="18" t="s">
        <v>1286</v>
      </c>
      <c r="D302" s="18" t="s">
        <v>1287</v>
      </c>
      <c r="E302" s="18" t="s">
        <v>1288</v>
      </c>
      <c r="F302" s="18" t="s">
        <v>1290</v>
      </c>
      <c r="G302" s="18"/>
      <c r="H302" s="18" t="s">
        <v>1285</v>
      </c>
      <c r="I302" s="18" t="s">
        <v>983</v>
      </c>
      <c r="J302" s="18">
        <v>47</v>
      </c>
      <c r="K302" s="18"/>
    </row>
    <row r="303" spans="2:11">
      <c r="B303" s="18" t="s">
        <v>892</v>
      </c>
      <c r="C303" s="18" t="s">
        <v>1022</v>
      </c>
      <c r="D303" s="18" t="s">
        <v>1023</v>
      </c>
      <c r="E303" s="18" t="s">
        <v>989</v>
      </c>
      <c r="F303" s="18" t="s">
        <v>1291</v>
      </c>
      <c r="G303" s="18"/>
      <c r="H303" s="18" t="s">
        <v>1285</v>
      </c>
      <c r="I303" s="18" t="s">
        <v>983</v>
      </c>
      <c r="J303" s="18">
        <v>47</v>
      </c>
      <c r="K303" s="18"/>
    </row>
    <row r="304" spans="2:11">
      <c r="B304" s="18" t="s">
        <v>892</v>
      </c>
      <c r="C304" s="18" t="s">
        <v>1292</v>
      </c>
      <c r="D304" s="18" t="s">
        <v>985</v>
      </c>
      <c r="E304" s="18" t="s">
        <v>909</v>
      </c>
      <c r="F304" s="18" t="s">
        <v>1293</v>
      </c>
      <c r="G304" s="18"/>
      <c r="H304" s="18" t="s">
        <v>1285</v>
      </c>
      <c r="I304" s="18" t="s">
        <v>983</v>
      </c>
      <c r="J304" s="18">
        <v>47</v>
      </c>
      <c r="K304" s="18"/>
    </row>
    <row r="305" spans="2:11">
      <c r="B305" s="18" t="s">
        <v>892</v>
      </c>
      <c r="C305" s="18" t="s">
        <v>1064</v>
      </c>
      <c r="D305" s="18" t="s">
        <v>1283</v>
      </c>
      <c r="E305" s="18" t="s">
        <v>980</v>
      </c>
      <c r="F305" s="18" t="s">
        <v>1294</v>
      </c>
      <c r="G305" s="18" t="s">
        <v>1295</v>
      </c>
      <c r="H305" s="18" t="s">
        <v>1295</v>
      </c>
      <c r="I305" s="18" t="s">
        <v>983</v>
      </c>
      <c r="J305" s="18">
        <v>48</v>
      </c>
      <c r="K305" s="18"/>
    </row>
    <row r="306" spans="2:11">
      <c r="B306" s="18" t="s">
        <v>892</v>
      </c>
      <c r="C306" s="18" t="s">
        <v>1286</v>
      </c>
      <c r="D306" s="18" t="s">
        <v>1287</v>
      </c>
      <c r="E306" s="18" t="s">
        <v>1288</v>
      </c>
      <c r="F306" s="18" t="s">
        <v>1296</v>
      </c>
      <c r="G306" s="18"/>
      <c r="H306" s="18" t="s">
        <v>1297</v>
      </c>
      <c r="I306" s="18" t="s">
        <v>983</v>
      </c>
      <c r="J306" s="18">
        <v>48</v>
      </c>
      <c r="K306" s="18"/>
    </row>
    <row r="307" spans="2:11">
      <c r="B307" s="18" t="s">
        <v>892</v>
      </c>
      <c r="C307" s="18" t="s">
        <v>1286</v>
      </c>
      <c r="D307" s="18" t="s">
        <v>1287</v>
      </c>
      <c r="E307" s="18" t="s">
        <v>1288</v>
      </c>
      <c r="F307" s="18" t="s">
        <v>1298</v>
      </c>
      <c r="G307" s="18"/>
      <c r="H307" s="18" t="s">
        <v>1297</v>
      </c>
      <c r="I307" s="18" t="s">
        <v>983</v>
      </c>
      <c r="J307" s="18">
        <v>48</v>
      </c>
      <c r="K307" s="18"/>
    </row>
    <row r="308" spans="2:11">
      <c r="B308" s="18" t="s">
        <v>892</v>
      </c>
      <c r="C308" s="18" t="s">
        <v>1022</v>
      </c>
      <c r="D308" s="18" t="s">
        <v>1023</v>
      </c>
      <c r="E308" s="18" t="s">
        <v>989</v>
      </c>
      <c r="F308" s="18" t="s">
        <v>1299</v>
      </c>
      <c r="G308" s="18"/>
      <c r="H308" s="18" t="s">
        <v>1297</v>
      </c>
      <c r="I308" s="18" t="s">
        <v>983</v>
      </c>
      <c r="J308" s="18">
        <v>48</v>
      </c>
      <c r="K308" s="18"/>
    </row>
    <row r="309" spans="2:11">
      <c r="B309" s="18" t="s">
        <v>892</v>
      </c>
      <c r="C309" s="18" t="s">
        <v>1292</v>
      </c>
      <c r="D309" s="18" t="s">
        <v>985</v>
      </c>
      <c r="E309" s="18" t="s">
        <v>909</v>
      </c>
      <c r="F309" s="18" t="s">
        <v>1300</v>
      </c>
      <c r="G309" s="18"/>
      <c r="H309" s="18" t="s">
        <v>1297</v>
      </c>
      <c r="I309" s="18" t="s">
        <v>983</v>
      </c>
      <c r="J309" s="18">
        <v>48</v>
      </c>
      <c r="K309" s="18"/>
    </row>
    <row r="310" spans="2:11">
      <c r="B310" s="18" t="s">
        <v>892</v>
      </c>
      <c r="C310" s="18" t="s">
        <v>1064</v>
      </c>
      <c r="D310" s="18" t="s">
        <v>1283</v>
      </c>
      <c r="E310" s="18" t="s">
        <v>980</v>
      </c>
      <c r="F310" s="18" t="s">
        <v>1301</v>
      </c>
      <c r="G310" s="18" t="s">
        <v>1302</v>
      </c>
      <c r="H310" s="18" t="s">
        <v>1302</v>
      </c>
      <c r="I310" s="18" t="s">
        <v>983</v>
      </c>
      <c r="J310" s="18">
        <v>49</v>
      </c>
      <c r="K310" s="18"/>
    </row>
    <row r="311" spans="2:11">
      <c r="B311" s="18" t="s">
        <v>892</v>
      </c>
      <c r="C311" s="18" t="s">
        <v>1286</v>
      </c>
      <c r="D311" s="18" t="s">
        <v>1287</v>
      </c>
      <c r="E311" s="18" t="s">
        <v>1288</v>
      </c>
      <c r="F311" s="18" t="s">
        <v>1303</v>
      </c>
      <c r="G311" s="18"/>
      <c r="H311" s="18" t="s">
        <v>1302</v>
      </c>
      <c r="I311" s="18" t="s">
        <v>983</v>
      </c>
      <c r="J311" s="18">
        <v>49</v>
      </c>
      <c r="K311" s="18"/>
    </row>
    <row r="312" spans="2:11">
      <c r="B312" s="18" t="s">
        <v>892</v>
      </c>
      <c r="C312" s="18" t="s">
        <v>1286</v>
      </c>
      <c r="D312" s="18" t="s">
        <v>1287</v>
      </c>
      <c r="E312" s="18" t="s">
        <v>1288</v>
      </c>
      <c r="F312" s="18" t="s">
        <v>1304</v>
      </c>
      <c r="G312" s="18"/>
      <c r="H312" s="18" t="s">
        <v>1302</v>
      </c>
      <c r="I312" s="18" t="s">
        <v>983</v>
      </c>
      <c r="J312" s="18">
        <v>49</v>
      </c>
      <c r="K312" s="18"/>
    </row>
    <row r="313" spans="2:11">
      <c r="B313" s="18" t="s">
        <v>892</v>
      </c>
      <c r="C313" s="18" t="s">
        <v>1022</v>
      </c>
      <c r="D313" s="18" t="s">
        <v>1023</v>
      </c>
      <c r="E313" s="18" t="s">
        <v>989</v>
      </c>
      <c r="F313" s="18" t="s">
        <v>1305</v>
      </c>
      <c r="G313" s="18"/>
      <c r="H313" s="18" t="s">
        <v>1302</v>
      </c>
      <c r="I313" s="18" t="s">
        <v>983</v>
      </c>
      <c r="J313" s="18">
        <v>49</v>
      </c>
      <c r="K313" s="18"/>
    </row>
    <row r="314" spans="2:11">
      <c r="B314" s="18" t="s">
        <v>892</v>
      </c>
      <c r="C314" s="18" t="s">
        <v>1292</v>
      </c>
      <c r="D314" s="18" t="s">
        <v>985</v>
      </c>
      <c r="E314" s="18" t="s">
        <v>909</v>
      </c>
      <c r="F314" s="18" t="s">
        <v>1306</v>
      </c>
      <c r="G314" s="18"/>
      <c r="H314" s="18" t="s">
        <v>1302</v>
      </c>
      <c r="I314" s="18" t="s">
        <v>983</v>
      </c>
      <c r="J314" s="18">
        <v>49</v>
      </c>
      <c r="K314" s="18"/>
    </row>
    <row r="315" spans="2:11">
      <c r="B315" s="18" t="s">
        <v>892</v>
      </c>
      <c r="C315" s="18" t="s">
        <v>1307</v>
      </c>
      <c r="D315" s="18" t="s">
        <v>1308</v>
      </c>
      <c r="E315" s="18" t="s">
        <v>1150</v>
      </c>
      <c r="F315" s="18" t="s">
        <v>1309</v>
      </c>
      <c r="G315" s="18"/>
      <c r="H315" s="18"/>
      <c r="I315" s="18"/>
      <c r="J315" s="18">
        <v>50</v>
      </c>
      <c r="K315" s="18"/>
    </row>
    <row r="316" spans="2:11">
      <c r="B316" s="18" t="s">
        <v>892</v>
      </c>
      <c r="C316" s="18" t="s">
        <v>1307</v>
      </c>
      <c r="D316" s="18" t="s">
        <v>1308</v>
      </c>
      <c r="E316" s="18" t="s">
        <v>1150</v>
      </c>
      <c r="F316" s="18" t="s">
        <v>1310</v>
      </c>
      <c r="G316" s="18"/>
      <c r="H316" s="18"/>
      <c r="I316" s="18"/>
      <c r="J316" s="18">
        <v>50</v>
      </c>
      <c r="K316" s="18"/>
    </row>
    <row r="317" spans="2:11">
      <c r="B317" s="18" t="s">
        <v>892</v>
      </c>
      <c r="C317" s="18" t="s">
        <v>1307</v>
      </c>
      <c r="D317" s="18" t="s">
        <v>1308</v>
      </c>
      <c r="E317" s="18" t="s">
        <v>1150</v>
      </c>
      <c r="F317" s="18" t="s">
        <v>1311</v>
      </c>
      <c r="G317" s="18"/>
      <c r="H317" s="18"/>
      <c r="I317" s="18"/>
      <c r="J317" s="18">
        <v>50</v>
      </c>
      <c r="K317" s="18"/>
    </row>
    <row r="318" spans="2:11">
      <c r="B318" s="18" t="s">
        <v>892</v>
      </c>
      <c r="C318" s="18" t="s">
        <v>1307</v>
      </c>
      <c r="D318" s="18" t="s">
        <v>1308</v>
      </c>
      <c r="E318" s="18" t="s">
        <v>1150</v>
      </c>
      <c r="F318" s="18" t="s">
        <v>1312</v>
      </c>
      <c r="G318" s="18"/>
      <c r="H318" s="18"/>
      <c r="I318" s="18"/>
      <c r="J318" s="18">
        <v>50</v>
      </c>
      <c r="K318" s="18"/>
    </row>
    <row r="319" spans="2:11">
      <c r="B319" s="18" t="s">
        <v>892</v>
      </c>
      <c r="C319" s="18" t="s">
        <v>1307</v>
      </c>
      <c r="D319" s="18" t="s">
        <v>1308</v>
      </c>
      <c r="E319" s="18" t="s">
        <v>1150</v>
      </c>
      <c r="F319" s="18" t="s">
        <v>1313</v>
      </c>
      <c r="G319" s="18"/>
      <c r="H319" s="18"/>
      <c r="I319" s="18"/>
      <c r="J319" s="18">
        <v>50</v>
      </c>
      <c r="K319" s="18"/>
    </row>
    <row r="320" spans="2:11">
      <c r="B320" s="18" t="s">
        <v>892</v>
      </c>
      <c r="C320" s="18" t="s">
        <v>1307</v>
      </c>
      <c r="D320" s="18" t="s">
        <v>1308</v>
      </c>
      <c r="E320" s="18" t="s">
        <v>1150</v>
      </c>
      <c r="F320" s="18" t="s">
        <v>1314</v>
      </c>
      <c r="G320" s="18"/>
      <c r="H320" s="18"/>
      <c r="I320" s="18"/>
      <c r="J320" s="18">
        <v>50</v>
      </c>
      <c r="K320" s="18"/>
    </row>
    <row r="321" spans="2:11">
      <c r="B321" s="18" t="s">
        <v>892</v>
      </c>
      <c r="C321" s="18" t="s">
        <v>1307</v>
      </c>
      <c r="D321" s="18" t="s">
        <v>1308</v>
      </c>
      <c r="E321" s="18" t="s">
        <v>1150</v>
      </c>
      <c r="F321" s="18" t="s">
        <v>1315</v>
      </c>
      <c r="G321" s="18"/>
      <c r="H321" s="18"/>
      <c r="I321" s="18"/>
      <c r="J321" s="18">
        <v>50</v>
      </c>
      <c r="K321" s="18"/>
    </row>
    <row r="322" spans="2:11">
      <c r="B322" s="18" t="s">
        <v>892</v>
      </c>
      <c r="C322" s="18" t="s">
        <v>1307</v>
      </c>
      <c r="D322" s="18" t="s">
        <v>1308</v>
      </c>
      <c r="E322" s="18" t="s">
        <v>1150</v>
      </c>
      <c r="F322" s="18" t="s">
        <v>1316</v>
      </c>
      <c r="G322" s="18"/>
      <c r="H322" s="18"/>
      <c r="I322" s="18"/>
      <c r="J322" s="18">
        <v>50</v>
      </c>
      <c r="K322" s="18"/>
    </row>
    <row r="323" spans="2:11">
      <c r="B323" s="18" t="s">
        <v>892</v>
      </c>
      <c r="C323" s="18" t="s">
        <v>1307</v>
      </c>
      <c r="D323" s="18" t="s">
        <v>1308</v>
      </c>
      <c r="E323" s="18" t="s">
        <v>1150</v>
      </c>
      <c r="F323" s="18" t="s">
        <v>1317</v>
      </c>
      <c r="G323" s="18"/>
      <c r="H323" s="18"/>
      <c r="I323" s="18"/>
      <c r="J323" s="18">
        <v>50</v>
      </c>
      <c r="K323" s="18"/>
    </row>
    <row r="324" spans="2:11">
      <c r="B324" s="18" t="s">
        <v>892</v>
      </c>
      <c r="C324" s="18" t="s">
        <v>1307</v>
      </c>
      <c r="D324" s="18" t="s">
        <v>1308</v>
      </c>
      <c r="E324" s="18" t="s">
        <v>1150</v>
      </c>
      <c r="F324" s="18" t="s">
        <v>1318</v>
      </c>
      <c r="G324" s="18"/>
      <c r="H324" s="18"/>
      <c r="I324" s="18"/>
      <c r="J324" s="18">
        <v>50</v>
      </c>
      <c r="K324" s="18"/>
    </row>
    <row r="325" spans="2:11">
      <c r="B325" s="18" t="s">
        <v>892</v>
      </c>
      <c r="C325" s="18" t="s">
        <v>1307</v>
      </c>
      <c r="D325" s="18" t="s">
        <v>1308</v>
      </c>
      <c r="E325" s="18" t="s">
        <v>1150</v>
      </c>
      <c r="F325" s="18" t="s">
        <v>1319</v>
      </c>
      <c r="G325" s="18"/>
      <c r="H325" s="18"/>
      <c r="I325" s="18"/>
      <c r="J325" s="18">
        <v>50</v>
      </c>
      <c r="K325" s="18"/>
    </row>
    <row r="326" spans="2:11">
      <c r="B326" s="18" t="s">
        <v>892</v>
      </c>
      <c r="C326" s="18" t="s">
        <v>1307</v>
      </c>
      <c r="D326" s="18" t="s">
        <v>1308</v>
      </c>
      <c r="E326" s="18" t="s">
        <v>1150</v>
      </c>
      <c r="F326" s="18" t="s">
        <v>1320</v>
      </c>
      <c r="G326" s="18"/>
      <c r="H326" s="18"/>
      <c r="I326" s="18"/>
      <c r="J326" s="18">
        <v>50</v>
      </c>
      <c r="K326" s="18"/>
    </row>
    <row r="327" spans="2:11">
      <c r="B327" s="18" t="s">
        <v>892</v>
      </c>
      <c r="C327" s="18" t="s">
        <v>1104</v>
      </c>
      <c r="D327" s="18" t="s">
        <v>1105</v>
      </c>
      <c r="E327" s="18" t="s">
        <v>980</v>
      </c>
      <c r="F327" s="18" t="s">
        <v>1321</v>
      </c>
      <c r="G327" s="18" t="s">
        <v>991</v>
      </c>
      <c r="H327" s="18" t="s">
        <v>991</v>
      </c>
      <c r="I327" s="18" t="s">
        <v>983</v>
      </c>
      <c r="J327" s="18">
        <v>51</v>
      </c>
      <c r="K327" s="18"/>
    </row>
    <row r="328" spans="2:11">
      <c r="B328" s="18" t="s">
        <v>892</v>
      </c>
      <c r="C328" s="18" t="s">
        <v>984</v>
      </c>
      <c r="D328" s="18" t="s">
        <v>985</v>
      </c>
      <c r="E328" s="18" t="s">
        <v>909</v>
      </c>
      <c r="F328" s="18" t="s">
        <v>1322</v>
      </c>
      <c r="G328" s="18"/>
      <c r="H328" s="18" t="s">
        <v>991</v>
      </c>
      <c r="I328" s="18" t="s">
        <v>983</v>
      </c>
      <c r="J328" s="18">
        <v>51</v>
      </c>
      <c r="K328" s="18"/>
    </row>
    <row r="329" spans="2:11">
      <c r="B329" s="18" t="s">
        <v>892</v>
      </c>
      <c r="C329" s="18" t="s">
        <v>1079</v>
      </c>
      <c r="D329" s="18" t="s">
        <v>1080</v>
      </c>
      <c r="E329" s="18" t="s">
        <v>989</v>
      </c>
      <c r="F329" s="18" t="s">
        <v>1323</v>
      </c>
      <c r="G329" s="18"/>
      <c r="H329" s="18" t="s">
        <v>982</v>
      </c>
      <c r="I329" s="18" t="s">
        <v>1324</v>
      </c>
      <c r="J329" s="18">
        <v>51</v>
      </c>
      <c r="K329" s="18" t="s">
        <v>1325</v>
      </c>
    </row>
    <row r="330" spans="2:11">
      <c r="B330" s="18" t="s">
        <v>892</v>
      </c>
      <c r="C330" s="18" t="s">
        <v>994</v>
      </c>
      <c r="D330" s="18" t="s">
        <v>995</v>
      </c>
      <c r="E330" s="18" t="s">
        <v>996</v>
      </c>
      <c r="F330" s="18" t="s">
        <v>1326</v>
      </c>
      <c r="G330" s="18"/>
      <c r="H330" s="18" t="s">
        <v>991</v>
      </c>
      <c r="I330" s="18" t="s">
        <v>983</v>
      </c>
      <c r="J330" s="18">
        <v>51</v>
      </c>
      <c r="K330" s="18"/>
    </row>
    <row r="331" spans="2:11">
      <c r="B331" s="18" t="s">
        <v>892</v>
      </c>
      <c r="C331" s="18" t="s">
        <v>998</v>
      </c>
      <c r="D331" s="18" t="s">
        <v>995</v>
      </c>
      <c r="E331" s="18" t="s">
        <v>996</v>
      </c>
      <c r="F331" s="18" t="s">
        <v>1327</v>
      </c>
      <c r="G331" s="18"/>
      <c r="H331" s="18" t="s">
        <v>991</v>
      </c>
      <c r="I331" s="18" t="s">
        <v>983</v>
      </c>
      <c r="J331" s="18">
        <v>51</v>
      </c>
      <c r="K331" s="18"/>
    </row>
    <row r="332" spans="2:11">
      <c r="B332" s="18" t="s">
        <v>892</v>
      </c>
      <c r="C332" s="18" t="s">
        <v>1104</v>
      </c>
      <c r="D332" s="18" t="s">
        <v>1105</v>
      </c>
      <c r="E332" s="18" t="s">
        <v>980</v>
      </c>
      <c r="F332" s="18" t="s">
        <v>1328</v>
      </c>
      <c r="G332" s="18" t="s">
        <v>1004</v>
      </c>
      <c r="H332" s="18" t="s">
        <v>1004</v>
      </c>
      <c r="I332" s="18" t="s">
        <v>983</v>
      </c>
      <c r="J332" s="18">
        <v>52</v>
      </c>
      <c r="K332" s="18"/>
    </row>
    <row r="333" spans="2:11">
      <c r="B333" s="18" t="s">
        <v>892</v>
      </c>
      <c r="C333" s="18" t="s">
        <v>1292</v>
      </c>
      <c r="D333" s="18" t="s">
        <v>985</v>
      </c>
      <c r="E333" s="18" t="s">
        <v>909</v>
      </c>
      <c r="F333" s="18" t="s">
        <v>1329</v>
      </c>
      <c r="G333" s="18"/>
      <c r="H333" s="18" t="s">
        <v>1004</v>
      </c>
      <c r="I333" s="18" t="s">
        <v>983</v>
      </c>
      <c r="J333" s="18">
        <v>52</v>
      </c>
      <c r="K333" s="18"/>
    </row>
    <row r="334" spans="2:11">
      <c r="B334" s="18" t="s">
        <v>892</v>
      </c>
      <c r="C334" s="18" t="s">
        <v>1079</v>
      </c>
      <c r="D334" s="18" t="s">
        <v>1080</v>
      </c>
      <c r="E334" s="18" t="s">
        <v>989</v>
      </c>
      <c r="F334" s="18" t="s">
        <v>1330</v>
      </c>
      <c r="G334" s="18"/>
      <c r="H334" s="18" t="s">
        <v>1001</v>
      </c>
      <c r="I334" s="18" t="s">
        <v>1331</v>
      </c>
      <c r="J334" s="18">
        <v>52</v>
      </c>
      <c r="K334" s="18" t="s">
        <v>1332</v>
      </c>
    </row>
    <row r="335" spans="2:11">
      <c r="B335" s="18" t="s">
        <v>892</v>
      </c>
      <c r="C335" s="18" t="s">
        <v>994</v>
      </c>
      <c r="D335" s="18" t="s">
        <v>995</v>
      </c>
      <c r="E335" s="18" t="s">
        <v>996</v>
      </c>
      <c r="F335" s="18" t="s">
        <v>1333</v>
      </c>
      <c r="G335" s="18"/>
      <c r="H335" s="18" t="s">
        <v>1004</v>
      </c>
      <c r="I335" s="18" t="s">
        <v>983</v>
      </c>
      <c r="J335" s="18">
        <v>52</v>
      </c>
      <c r="K335" s="18"/>
    </row>
    <row r="336" spans="2:11">
      <c r="B336" s="18" t="s">
        <v>892</v>
      </c>
      <c r="C336" s="18" t="s">
        <v>998</v>
      </c>
      <c r="D336" s="18" t="s">
        <v>995</v>
      </c>
      <c r="E336" s="18" t="s">
        <v>996</v>
      </c>
      <c r="F336" s="18" t="s">
        <v>1334</v>
      </c>
      <c r="G336" s="18"/>
      <c r="H336" s="18" t="s">
        <v>1004</v>
      </c>
      <c r="I336" s="18" t="s">
        <v>983</v>
      </c>
      <c r="J336" s="18">
        <v>52</v>
      </c>
      <c r="K336" s="18"/>
    </row>
    <row r="337" spans="2:11">
      <c r="B337" s="18" t="s">
        <v>892</v>
      </c>
      <c r="C337" s="18" t="s">
        <v>1335</v>
      </c>
      <c r="D337" s="18" t="s">
        <v>1336</v>
      </c>
      <c r="E337" s="18" t="s">
        <v>1337</v>
      </c>
      <c r="F337" s="18" t="s">
        <v>1338</v>
      </c>
      <c r="G337" s="18" t="s">
        <v>1339</v>
      </c>
      <c r="H337" s="18" t="s">
        <v>1339</v>
      </c>
      <c r="I337" s="18" t="s">
        <v>983</v>
      </c>
      <c r="J337" s="18">
        <v>53</v>
      </c>
      <c r="K337" s="18"/>
    </row>
    <row r="338" spans="2:11">
      <c r="B338" s="18" t="s">
        <v>892</v>
      </c>
      <c r="C338" s="18" t="s">
        <v>1340</v>
      </c>
      <c r="D338" s="18" t="s">
        <v>1341</v>
      </c>
      <c r="E338" s="18" t="s">
        <v>1342</v>
      </c>
      <c r="F338" s="18" t="s">
        <v>1343</v>
      </c>
      <c r="G338" s="18"/>
      <c r="H338" s="18" t="s">
        <v>1339</v>
      </c>
      <c r="I338" s="18" t="s">
        <v>983</v>
      </c>
      <c r="J338" s="18">
        <v>53</v>
      </c>
      <c r="K338" s="18"/>
    </row>
    <row r="339" spans="2:11">
      <c r="B339" s="18" t="s">
        <v>892</v>
      </c>
      <c r="C339" s="18" t="s">
        <v>1344</v>
      </c>
      <c r="D339" s="18" t="s">
        <v>1345</v>
      </c>
      <c r="E339" s="18" t="s">
        <v>1342</v>
      </c>
      <c r="F339" s="18" t="s">
        <v>1346</v>
      </c>
      <c r="G339" s="18"/>
      <c r="H339" s="18" t="s">
        <v>1339</v>
      </c>
      <c r="I339" s="18" t="s">
        <v>983</v>
      </c>
      <c r="J339" s="18">
        <v>53</v>
      </c>
      <c r="K339" s="18"/>
    </row>
    <row r="340" spans="2:11">
      <c r="B340" s="18" t="s">
        <v>892</v>
      </c>
      <c r="C340" s="18" t="s">
        <v>1347</v>
      </c>
      <c r="D340" s="18" t="s">
        <v>1348</v>
      </c>
      <c r="E340" s="18" t="s">
        <v>1342</v>
      </c>
      <c r="F340" s="18" t="s">
        <v>1349</v>
      </c>
      <c r="G340" s="18"/>
      <c r="H340" s="18" t="s">
        <v>1339</v>
      </c>
      <c r="I340" s="18" t="s">
        <v>983</v>
      </c>
      <c r="J340" s="18">
        <v>53</v>
      </c>
      <c r="K340" s="18"/>
    </row>
    <row r="341" spans="2:11">
      <c r="B341" s="18" t="s">
        <v>892</v>
      </c>
      <c r="C341" s="18" t="s">
        <v>1350</v>
      </c>
      <c r="D341" s="18" t="s">
        <v>1351</v>
      </c>
      <c r="E341" s="18" t="s">
        <v>1342</v>
      </c>
      <c r="F341" s="18" t="s">
        <v>1352</v>
      </c>
      <c r="G341" s="18"/>
      <c r="H341" s="18" t="s">
        <v>1339</v>
      </c>
      <c r="I341" s="18" t="s">
        <v>983</v>
      </c>
      <c r="J341" s="18">
        <v>53</v>
      </c>
      <c r="K341" s="18"/>
    </row>
    <row r="342" spans="2:11">
      <c r="B342" s="18" t="s">
        <v>892</v>
      </c>
      <c r="C342" s="18" t="s">
        <v>1353</v>
      </c>
      <c r="D342" s="18" t="s">
        <v>1354</v>
      </c>
      <c r="E342" s="18" t="s">
        <v>1342</v>
      </c>
      <c r="F342" s="18" t="s">
        <v>1355</v>
      </c>
      <c r="G342" s="18"/>
      <c r="H342" s="18" t="s">
        <v>1339</v>
      </c>
      <c r="I342" s="18" t="s">
        <v>983</v>
      </c>
      <c r="J342" s="18">
        <v>53</v>
      </c>
      <c r="K342" s="18"/>
    </row>
    <row r="343" spans="2:11">
      <c r="B343" s="18" t="s">
        <v>892</v>
      </c>
      <c r="C343" s="18" t="s">
        <v>1356</v>
      </c>
      <c r="D343" s="18" t="s">
        <v>1357</v>
      </c>
      <c r="E343" s="18" t="s">
        <v>980</v>
      </c>
      <c r="F343" s="18" t="s">
        <v>1358</v>
      </c>
      <c r="G343" s="18" t="s">
        <v>1359</v>
      </c>
      <c r="H343" s="18" t="s">
        <v>1359</v>
      </c>
      <c r="I343" s="18" t="s">
        <v>983</v>
      </c>
      <c r="J343" s="18">
        <v>54</v>
      </c>
      <c r="K343" s="18"/>
    </row>
    <row r="344" spans="2:11">
      <c r="B344" s="18" t="s">
        <v>892</v>
      </c>
      <c r="C344" s="18" t="s">
        <v>1360</v>
      </c>
      <c r="D344" s="18" t="s">
        <v>1361</v>
      </c>
      <c r="E344" s="18" t="s">
        <v>996</v>
      </c>
      <c r="F344" s="18" t="s">
        <v>1362</v>
      </c>
      <c r="G344" s="18"/>
      <c r="H344" s="18" t="s">
        <v>1359</v>
      </c>
      <c r="I344" s="18" t="s">
        <v>983</v>
      </c>
      <c r="J344" s="18">
        <v>54</v>
      </c>
      <c r="K344" s="18"/>
    </row>
    <row r="345" spans="2:11">
      <c r="B345" s="18" t="s">
        <v>892</v>
      </c>
      <c r="C345" s="18" t="s">
        <v>1363</v>
      </c>
      <c r="D345" s="18" t="s">
        <v>1361</v>
      </c>
      <c r="E345" s="18" t="s">
        <v>996</v>
      </c>
      <c r="F345" s="18" t="s">
        <v>1364</v>
      </c>
      <c r="G345" s="18"/>
      <c r="H345" s="18" t="s">
        <v>1359</v>
      </c>
      <c r="I345" s="18" t="s">
        <v>983</v>
      </c>
      <c r="J345" s="18">
        <v>54</v>
      </c>
      <c r="K345" s="18"/>
    </row>
    <row r="346" spans="2:11">
      <c r="B346" s="18" t="s">
        <v>892</v>
      </c>
      <c r="C346" s="18" t="s">
        <v>1356</v>
      </c>
      <c r="D346" s="18" t="s">
        <v>1357</v>
      </c>
      <c r="E346" s="18" t="s">
        <v>980</v>
      </c>
      <c r="F346" s="18" t="s">
        <v>1358</v>
      </c>
      <c r="G346" s="18" t="s">
        <v>1365</v>
      </c>
      <c r="H346" s="18" t="s">
        <v>1365</v>
      </c>
      <c r="I346" s="18" t="s">
        <v>983</v>
      </c>
      <c r="J346" s="18">
        <v>55</v>
      </c>
      <c r="K346" s="18"/>
    </row>
    <row r="347" spans="2:11">
      <c r="B347" s="18" t="s">
        <v>892</v>
      </c>
      <c r="C347" s="18" t="s">
        <v>1360</v>
      </c>
      <c r="D347" s="18" t="s">
        <v>1361</v>
      </c>
      <c r="E347" s="18" t="s">
        <v>996</v>
      </c>
      <c r="F347" s="18" t="s">
        <v>1366</v>
      </c>
      <c r="G347" s="18"/>
      <c r="H347" s="18" t="s">
        <v>1365</v>
      </c>
      <c r="I347" s="18" t="s">
        <v>983</v>
      </c>
      <c r="J347" s="18">
        <v>55</v>
      </c>
      <c r="K347" s="18"/>
    </row>
    <row r="348" spans="2:11">
      <c r="B348" s="18" t="s">
        <v>892</v>
      </c>
      <c r="C348" s="18" t="s">
        <v>1363</v>
      </c>
      <c r="D348" s="18" t="s">
        <v>1361</v>
      </c>
      <c r="E348" s="18" t="s">
        <v>996</v>
      </c>
      <c r="F348" s="18" t="s">
        <v>1367</v>
      </c>
      <c r="G348" s="18"/>
      <c r="H348" s="18" t="s">
        <v>1365</v>
      </c>
      <c r="I348" s="18" t="s">
        <v>983</v>
      </c>
      <c r="J348" s="18">
        <v>55</v>
      </c>
      <c r="K348" s="18"/>
    </row>
    <row r="349" spans="2:11">
      <c r="B349" s="18" t="s">
        <v>892</v>
      </c>
      <c r="C349" s="18" t="s">
        <v>1368</v>
      </c>
      <c r="D349" s="18" t="s">
        <v>1369</v>
      </c>
      <c r="E349" s="18" t="s">
        <v>980</v>
      </c>
      <c r="F349" s="18" t="s">
        <v>1370</v>
      </c>
      <c r="G349" s="18" t="s">
        <v>1371</v>
      </c>
      <c r="H349" s="18" t="s">
        <v>1371</v>
      </c>
      <c r="I349" s="18" t="s">
        <v>983</v>
      </c>
      <c r="J349" s="18">
        <v>56</v>
      </c>
      <c r="K349" s="18"/>
    </row>
    <row r="350" spans="2:11">
      <c r="B350" s="18" t="s">
        <v>892</v>
      </c>
      <c r="C350" s="18" t="s">
        <v>1360</v>
      </c>
      <c r="D350" s="18" t="s">
        <v>1361</v>
      </c>
      <c r="E350" s="18" t="s">
        <v>996</v>
      </c>
      <c r="F350" s="18" t="s">
        <v>1372</v>
      </c>
      <c r="G350" s="18"/>
      <c r="H350" s="18" t="s">
        <v>1371</v>
      </c>
      <c r="I350" s="18" t="s">
        <v>983</v>
      </c>
      <c r="J350" s="18">
        <v>56</v>
      </c>
      <c r="K350" s="18"/>
    </row>
    <row r="351" spans="2:11">
      <c r="B351" s="18" t="s">
        <v>892</v>
      </c>
      <c r="C351" s="18" t="s">
        <v>1363</v>
      </c>
      <c r="D351" s="18" t="s">
        <v>1361</v>
      </c>
      <c r="E351" s="18" t="s">
        <v>996</v>
      </c>
      <c r="F351" s="18" t="s">
        <v>1373</v>
      </c>
      <c r="G351" s="18"/>
      <c r="H351" s="18" t="s">
        <v>1371</v>
      </c>
      <c r="I351" s="18" t="s">
        <v>983</v>
      </c>
      <c r="J351" s="18">
        <v>56</v>
      </c>
      <c r="K351" s="18"/>
    </row>
    <row r="352" spans="2:11">
      <c r="B352" s="18" t="s">
        <v>892</v>
      </c>
      <c r="C352" s="18" t="s">
        <v>1368</v>
      </c>
      <c r="D352" s="18" t="s">
        <v>1369</v>
      </c>
      <c r="E352" s="18" t="s">
        <v>980</v>
      </c>
      <c r="F352" s="18" t="s">
        <v>1374</v>
      </c>
      <c r="G352" s="18" t="s">
        <v>1375</v>
      </c>
      <c r="H352" s="18" t="s">
        <v>1375</v>
      </c>
      <c r="I352" s="18" t="s">
        <v>983</v>
      </c>
      <c r="J352" s="18">
        <v>57</v>
      </c>
      <c r="K352" s="18"/>
    </row>
    <row r="353" spans="2:11">
      <c r="B353" s="18" t="s">
        <v>892</v>
      </c>
      <c r="C353" s="18" t="s">
        <v>1360</v>
      </c>
      <c r="D353" s="18" t="s">
        <v>1361</v>
      </c>
      <c r="E353" s="18" t="s">
        <v>996</v>
      </c>
      <c r="F353" s="18" t="s">
        <v>1376</v>
      </c>
      <c r="G353" s="18"/>
      <c r="H353" s="18" t="s">
        <v>1375</v>
      </c>
      <c r="I353" s="18" t="s">
        <v>983</v>
      </c>
      <c r="J353" s="18">
        <v>57</v>
      </c>
      <c r="K353" s="18"/>
    </row>
    <row r="354" spans="2:11">
      <c r="B354" s="18" t="s">
        <v>892</v>
      </c>
      <c r="C354" s="18" t="s">
        <v>1363</v>
      </c>
      <c r="D354" s="18" t="s">
        <v>1361</v>
      </c>
      <c r="E354" s="18" t="s">
        <v>996</v>
      </c>
      <c r="F354" s="18" t="s">
        <v>1377</v>
      </c>
      <c r="G354" s="18"/>
      <c r="H354" s="18" t="s">
        <v>1375</v>
      </c>
      <c r="I354" s="18" t="s">
        <v>983</v>
      </c>
      <c r="J354" s="18">
        <v>57</v>
      </c>
      <c r="K354" s="18"/>
    </row>
    <row r="355" spans="2:11">
      <c r="B355" s="18" t="s">
        <v>892</v>
      </c>
      <c r="C355" s="18" t="s">
        <v>1368</v>
      </c>
      <c r="D355" s="18" t="s">
        <v>1369</v>
      </c>
      <c r="E355" s="18" t="s">
        <v>980</v>
      </c>
      <c r="F355" s="18" t="s">
        <v>1378</v>
      </c>
      <c r="G355" s="18" t="s">
        <v>1379</v>
      </c>
      <c r="H355" s="18" t="s">
        <v>1379</v>
      </c>
      <c r="I355" s="18" t="s">
        <v>983</v>
      </c>
      <c r="J355" s="18">
        <v>58</v>
      </c>
      <c r="K355" s="18"/>
    </row>
    <row r="356" spans="2:11">
      <c r="B356" s="18" t="s">
        <v>892</v>
      </c>
      <c r="C356" s="18" t="s">
        <v>1360</v>
      </c>
      <c r="D356" s="18" t="s">
        <v>1361</v>
      </c>
      <c r="E356" s="18" t="s">
        <v>996</v>
      </c>
      <c r="F356" s="18" t="s">
        <v>1380</v>
      </c>
      <c r="G356" s="18"/>
      <c r="H356" s="18" t="s">
        <v>1379</v>
      </c>
      <c r="I356" s="18" t="s">
        <v>983</v>
      </c>
      <c r="J356" s="18">
        <v>58</v>
      </c>
      <c r="K356" s="18"/>
    </row>
    <row r="357" spans="2:11">
      <c r="B357" s="18" t="s">
        <v>892</v>
      </c>
      <c r="C357" s="18" t="s">
        <v>1363</v>
      </c>
      <c r="D357" s="18" t="s">
        <v>1361</v>
      </c>
      <c r="E357" s="18" t="s">
        <v>996</v>
      </c>
      <c r="F357" s="18" t="s">
        <v>1381</v>
      </c>
      <c r="G357" s="18"/>
      <c r="H357" s="18" t="s">
        <v>1379</v>
      </c>
      <c r="I357" s="18" t="s">
        <v>983</v>
      </c>
      <c r="J357" s="18">
        <v>58</v>
      </c>
      <c r="K357" s="18"/>
    </row>
    <row r="358" spans="2:11">
      <c r="B358" s="18" t="s">
        <v>892</v>
      </c>
      <c r="C358" s="18" t="s">
        <v>1368</v>
      </c>
      <c r="D358" s="18" t="s">
        <v>1369</v>
      </c>
      <c r="E358" s="18" t="s">
        <v>980</v>
      </c>
      <c r="F358" s="18" t="s">
        <v>1382</v>
      </c>
      <c r="G358" s="18" t="s">
        <v>1383</v>
      </c>
      <c r="H358" s="18" t="s">
        <v>1383</v>
      </c>
      <c r="I358" s="18" t="s">
        <v>983</v>
      </c>
      <c r="J358" s="18">
        <v>59</v>
      </c>
      <c r="K358" s="18"/>
    </row>
    <row r="359" spans="2:11">
      <c r="B359" s="18" t="s">
        <v>892</v>
      </c>
      <c r="C359" s="18" t="s">
        <v>1360</v>
      </c>
      <c r="D359" s="18" t="s">
        <v>1361</v>
      </c>
      <c r="E359" s="18" t="s">
        <v>996</v>
      </c>
      <c r="F359" s="18" t="s">
        <v>1384</v>
      </c>
      <c r="G359" s="18"/>
      <c r="H359" s="18" t="s">
        <v>1383</v>
      </c>
      <c r="I359" s="18" t="s">
        <v>983</v>
      </c>
      <c r="J359" s="18">
        <v>59</v>
      </c>
      <c r="K359" s="18"/>
    </row>
    <row r="360" spans="2:11">
      <c r="B360" s="18" t="s">
        <v>892</v>
      </c>
      <c r="C360" s="18" t="s">
        <v>1363</v>
      </c>
      <c r="D360" s="18" t="s">
        <v>1361</v>
      </c>
      <c r="E360" s="18" t="s">
        <v>996</v>
      </c>
      <c r="F360" s="18" t="s">
        <v>1385</v>
      </c>
      <c r="G360" s="18"/>
      <c r="H360" s="18" t="s">
        <v>1383</v>
      </c>
      <c r="I360" s="18" t="s">
        <v>983</v>
      </c>
      <c r="J360" s="18">
        <v>59</v>
      </c>
      <c r="K360" s="18"/>
    </row>
    <row r="361" spans="2:11">
      <c r="B361" s="18" t="s">
        <v>892</v>
      </c>
      <c r="C361" s="18" t="s">
        <v>1368</v>
      </c>
      <c r="D361" s="18" t="s">
        <v>1369</v>
      </c>
      <c r="E361" s="18" t="s">
        <v>980</v>
      </c>
      <c r="F361" s="18" t="s">
        <v>1386</v>
      </c>
      <c r="G361" s="18" t="s">
        <v>1387</v>
      </c>
      <c r="H361" s="18" t="s">
        <v>1387</v>
      </c>
      <c r="I361" s="18" t="s">
        <v>983</v>
      </c>
      <c r="J361" s="18">
        <v>60</v>
      </c>
      <c r="K361" s="18"/>
    </row>
    <row r="362" spans="2:11">
      <c r="B362" s="18" t="s">
        <v>892</v>
      </c>
      <c r="C362" s="18" t="s">
        <v>1360</v>
      </c>
      <c r="D362" s="18" t="s">
        <v>1361</v>
      </c>
      <c r="E362" s="18" t="s">
        <v>996</v>
      </c>
      <c r="F362" s="18" t="s">
        <v>1388</v>
      </c>
      <c r="G362" s="18"/>
      <c r="H362" s="18" t="s">
        <v>1387</v>
      </c>
      <c r="I362" s="18" t="s">
        <v>983</v>
      </c>
      <c r="J362" s="18">
        <v>60</v>
      </c>
      <c r="K362" s="18"/>
    </row>
    <row r="363" spans="2:11">
      <c r="B363" s="18" t="s">
        <v>892</v>
      </c>
      <c r="C363" s="18" t="s">
        <v>1363</v>
      </c>
      <c r="D363" s="18" t="s">
        <v>1361</v>
      </c>
      <c r="E363" s="18" t="s">
        <v>996</v>
      </c>
      <c r="F363" s="18" t="s">
        <v>1389</v>
      </c>
      <c r="G363" s="18"/>
      <c r="H363" s="18" t="s">
        <v>1387</v>
      </c>
      <c r="I363" s="18" t="s">
        <v>983</v>
      </c>
      <c r="J363" s="18">
        <v>60</v>
      </c>
      <c r="K363" s="18"/>
    </row>
    <row r="364" spans="2:11">
      <c r="B364" s="18" t="s">
        <v>892</v>
      </c>
      <c r="C364" s="18" t="s">
        <v>1368</v>
      </c>
      <c r="D364" s="18" t="s">
        <v>1369</v>
      </c>
      <c r="E364" s="18" t="s">
        <v>980</v>
      </c>
      <c r="F364" s="18" t="s">
        <v>1390</v>
      </c>
      <c r="G364" s="18" t="s">
        <v>1391</v>
      </c>
      <c r="H364" s="18" t="s">
        <v>1391</v>
      </c>
      <c r="I364" s="18" t="s">
        <v>983</v>
      </c>
      <c r="J364" s="18">
        <v>61</v>
      </c>
      <c r="K364" s="18"/>
    </row>
    <row r="365" spans="2:11">
      <c r="B365" s="18" t="s">
        <v>892</v>
      </c>
      <c r="C365" s="18" t="s">
        <v>1360</v>
      </c>
      <c r="D365" s="18" t="s">
        <v>1361</v>
      </c>
      <c r="E365" s="18" t="s">
        <v>996</v>
      </c>
      <c r="F365" s="18" t="s">
        <v>1392</v>
      </c>
      <c r="G365" s="18"/>
      <c r="H365" s="18" t="s">
        <v>1391</v>
      </c>
      <c r="I365" s="18" t="s">
        <v>983</v>
      </c>
      <c r="J365" s="18">
        <v>61</v>
      </c>
      <c r="K365" s="18"/>
    </row>
    <row r="366" spans="2:11">
      <c r="B366" s="18" t="s">
        <v>892</v>
      </c>
      <c r="C366" s="18" t="s">
        <v>1363</v>
      </c>
      <c r="D366" s="18" t="s">
        <v>1361</v>
      </c>
      <c r="E366" s="18" t="s">
        <v>996</v>
      </c>
      <c r="F366" s="18" t="s">
        <v>1393</v>
      </c>
      <c r="G366" s="18"/>
      <c r="H366" s="18" t="s">
        <v>1391</v>
      </c>
      <c r="I366" s="18" t="s">
        <v>983</v>
      </c>
      <c r="J366" s="18">
        <v>61</v>
      </c>
      <c r="K366" s="18"/>
    </row>
    <row r="367" spans="2:11">
      <c r="B367" s="18" t="s">
        <v>892</v>
      </c>
      <c r="C367" s="18" t="s">
        <v>1064</v>
      </c>
      <c r="D367" s="18" t="s">
        <v>1283</v>
      </c>
      <c r="E367" s="18" t="s">
        <v>980</v>
      </c>
      <c r="F367" s="18" t="s">
        <v>1394</v>
      </c>
      <c r="G367" s="18" t="s">
        <v>1395</v>
      </c>
      <c r="H367" s="18" t="s">
        <v>1395</v>
      </c>
      <c r="I367" s="18" t="s">
        <v>983</v>
      </c>
      <c r="J367" s="18">
        <v>62</v>
      </c>
      <c r="K367" s="18"/>
    </row>
    <row r="368" spans="2:11">
      <c r="B368" s="18" t="s">
        <v>892</v>
      </c>
      <c r="C368" s="18" t="s">
        <v>1286</v>
      </c>
      <c r="D368" s="18" t="s">
        <v>1396</v>
      </c>
      <c r="E368" s="18" t="s">
        <v>1288</v>
      </c>
      <c r="F368" s="18" t="s">
        <v>1397</v>
      </c>
      <c r="G368" s="18"/>
      <c r="H368" s="18" t="s">
        <v>1395</v>
      </c>
      <c r="I368" s="18" t="s">
        <v>983</v>
      </c>
      <c r="J368" s="18">
        <v>62</v>
      </c>
      <c r="K368" s="18"/>
    </row>
    <row r="369" spans="2:11">
      <c r="B369" s="18" t="s">
        <v>892</v>
      </c>
      <c r="C369" s="18" t="s">
        <v>1286</v>
      </c>
      <c r="D369" s="18" t="s">
        <v>1396</v>
      </c>
      <c r="E369" s="18" t="s">
        <v>1288</v>
      </c>
      <c r="F369" s="18" t="s">
        <v>1398</v>
      </c>
      <c r="G369" s="18"/>
      <c r="H369" s="18" t="s">
        <v>1395</v>
      </c>
      <c r="I369" s="18" t="s">
        <v>983</v>
      </c>
      <c r="J369" s="18">
        <v>62</v>
      </c>
      <c r="K369" s="18"/>
    </row>
    <row r="370" spans="2:11">
      <c r="B370" s="18" t="s">
        <v>892</v>
      </c>
      <c r="C370" s="18" t="s">
        <v>1022</v>
      </c>
      <c r="D370" s="18" t="s">
        <v>1399</v>
      </c>
      <c r="E370" s="18" t="s">
        <v>989</v>
      </c>
      <c r="F370" s="18" t="s">
        <v>1400</v>
      </c>
      <c r="G370" s="18"/>
      <c r="H370" s="18" t="s">
        <v>1395</v>
      </c>
      <c r="I370" s="18" t="s">
        <v>983</v>
      </c>
      <c r="J370" s="18">
        <v>62</v>
      </c>
      <c r="K370" s="18"/>
    </row>
    <row r="371" spans="2:11">
      <c r="B371" s="18" t="s">
        <v>892</v>
      </c>
      <c r="C371" s="18" t="s">
        <v>1292</v>
      </c>
      <c r="D371" s="18" t="s">
        <v>1401</v>
      </c>
      <c r="E371" s="18" t="s">
        <v>909</v>
      </c>
      <c r="F371" s="18" t="s">
        <v>1402</v>
      </c>
      <c r="G371" s="18"/>
      <c r="H371" s="18" t="s">
        <v>1395</v>
      </c>
      <c r="I371" s="18" t="s">
        <v>983</v>
      </c>
      <c r="J371" s="18">
        <v>62</v>
      </c>
      <c r="K371" s="18"/>
    </row>
    <row r="372" spans="2:11">
      <c r="B372" s="18" t="s">
        <v>892</v>
      </c>
      <c r="C372" s="18" t="s">
        <v>1064</v>
      </c>
      <c r="D372" s="18" t="s">
        <v>1283</v>
      </c>
      <c r="E372" s="18" t="s">
        <v>980</v>
      </c>
      <c r="F372" s="18" t="s">
        <v>1403</v>
      </c>
      <c r="G372" s="18" t="s">
        <v>1404</v>
      </c>
      <c r="H372" s="18" t="s">
        <v>1404</v>
      </c>
      <c r="I372" s="18" t="s">
        <v>983</v>
      </c>
      <c r="J372" s="18">
        <v>63</v>
      </c>
      <c r="K372" s="18"/>
    </row>
    <row r="373" spans="2:11">
      <c r="B373" s="18" t="s">
        <v>892</v>
      </c>
      <c r="C373" s="18" t="s">
        <v>1286</v>
      </c>
      <c r="D373" s="18" t="s">
        <v>1396</v>
      </c>
      <c r="E373" s="18" t="s">
        <v>1288</v>
      </c>
      <c r="F373" s="18" t="s">
        <v>1405</v>
      </c>
      <c r="G373" s="18"/>
      <c r="H373" s="18" t="s">
        <v>1404</v>
      </c>
      <c r="I373" s="18" t="s">
        <v>983</v>
      </c>
      <c r="J373" s="18">
        <v>63</v>
      </c>
      <c r="K373" s="18"/>
    </row>
    <row r="374" spans="2:11">
      <c r="B374" s="18" t="s">
        <v>892</v>
      </c>
      <c r="C374" s="18" t="s">
        <v>1286</v>
      </c>
      <c r="D374" s="18" t="s">
        <v>1396</v>
      </c>
      <c r="E374" s="18" t="s">
        <v>1288</v>
      </c>
      <c r="F374" s="18" t="s">
        <v>1406</v>
      </c>
      <c r="G374" s="18"/>
      <c r="H374" s="18" t="s">
        <v>1404</v>
      </c>
      <c r="I374" s="18" t="s">
        <v>983</v>
      </c>
      <c r="J374" s="18">
        <v>63</v>
      </c>
      <c r="K374" s="18"/>
    </row>
    <row r="375" spans="2:11">
      <c r="B375" s="18" t="s">
        <v>892</v>
      </c>
      <c r="C375" s="18" t="s">
        <v>1022</v>
      </c>
      <c r="D375" s="18" t="s">
        <v>1399</v>
      </c>
      <c r="E375" s="18" t="s">
        <v>989</v>
      </c>
      <c r="F375" s="18" t="s">
        <v>1407</v>
      </c>
      <c r="G375" s="18"/>
      <c r="H375" s="18" t="s">
        <v>1404</v>
      </c>
      <c r="I375" s="18" t="s">
        <v>983</v>
      </c>
      <c r="J375" s="18">
        <v>63</v>
      </c>
      <c r="K375" s="18"/>
    </row>
    <row r="376" spans="2:11">
      <c r="B376" s="18" t="s">
        <v>892</v>
      </c>
      <c r="C376" s="18" t="s">
        <v>1292</v>
      </c>
      <c r="D376" s="18" t="s">
        <v>1401</v>
      </c>
      <c r="E376" s="18" t="s">
        <v>909</v>
      </c>
      <c r="F376" s="18" t="s">
        <v>1408</v>
      </c>
      <c r="G376" s="18"/>
      <c r="H376" s="18" t="s">
        <v>1404</v>
      </c>
      <c r="I376" s="18" t="s">
        <v>983</v>
      </c>
      <c r="J376" s="18">
        <v>63</v>
      </c>
      <c r="K376" s="18"/>
    </row>
    <row r="377" spans="2:11">
      <c r="B377" s="18" t="s">
        <v>892</v>
      </c>
      <c r="C377" s="18" t="s">
        <v>1064</v>
      </c>
      <c r="D377" s="18" t="s">
        <v>1283</v>
      </c>
      <c r="E377" s="18" t="s">
        <v>980</v>
      </c>
      <c r="F377" s="18" t="s">
        <v>1409</v>
      </c>
      <c r="G377" s="18" t="s">
        <v>1410</v>
      </c>
      <c r="H377" s="18" t="s">
        <v>1410</v>
      </c>
      <c r="I377" s="18" t="s">
        <v>983</v>
      </c>
      <c r="J377" s="18">
        <v>64</v>
      </c>
      <c r="K377" s="18"/>
    </row>
    <row r="378" spans="2:11">
      <c r="B378" s="18" t="s">
        <v>892</v>
      </c>
      <c r="C378" s="18" t="s">
        <v>1286</v>
      </c>
      <c r="D378" s="18" t="s">
        <v>1396</v>
      </c>
      <c r="E378" s="18" t="s">
        <v>1288</v>
      </c>
      <c r="F378" s="18" t="s">
        <v>1411</v>
      </c>
      <c r="G378" s="18"/>
      <c r="H378" s="18" t="s">
        <v>1410</v>
      </c>
      <c r="I378" s="18" t="s">
        <v>983</v>
      </c>
      <c r="J378" s="18">
        <v>64</v>
      </c>
      <c r="K378" s="18"/>
    </row>
    <row r="379" spans="2:11">
      <c r="B379" s="18" t="s">
        <v>892</v>
      </c>
      <c r="C379" s="18" t="s">
        <v>1286</v>
      </c>
      <c r="D379" s="18" t="s">
        <v>1396</v>
      </c>
      <c r="E379" s="18" t="s">
        <v>1288</v>
      </c>
      <c r="F379" s="18" t="s">
        <v>1412</v>
      </c>
      <c r="G379" s="18"/>
      <c r="H379" s="18" t="s">
        <v>1410</v>
      </c>
      <c r="I379" s="18" t="s">
        <v>983</v>
      </c>
      <c r="J379" s="18">
        <v>64</v>
      </c>
      <c r="K379" s="18"/>
    </row>
    <row r="380" spans="2:11">
      <c r="B380" s="18" t="s">
        <v>892</v>
      </c>
      <c r="C380" s="18" t="s">
        <v>1022</v>
      </c>
      <c r="D380" s="18" t="s">
        <v>1399</v>
      </c>
      <c r="E380" s="18" t="s">
        <v>989</v>
      </c>
      <c r="F380" s="18" t="s">
        <v>1413</v>
      </c>
      <c r="G380" s="18"/>
      <c r="H380" s="18" t="s">
        <v>1410</v>
      </c>
      <c r="I380" s="18" t="s">
        <v>983</v>
      </c>
      <c r="J380" s="18">
        <v>64</v>
      </c>
      <c r="K380" s="18"/>
    </row>
    <row r="381" spans="2:11">
      <c r="B381" s="18" t="s">
        <v>892</v>
      </c>
      <c r="C381" s="18" t="s">
        <v>1292</v>
      </c>
      <c r="D381" s="18" t="s">
        <v>1401</v>
      </c>
      <c r="E381" s="18" t="s">
        <v>909</v>
      </c>
      <c r="F381" s="18" t="s">
        <v>1414</v>
      </c>
      <c r="G381" s="18"/>
      <c r="H381" s="18" t="s">
        <v>1410</v>
      </c>
      <c r="I381" s="18" t="s">
        <v>983</v>
      </c>
      <c r="J381" s="18">
        <v>64</v>
      </c>
      <c r="K381" s="18"/>
    </row>
    <row r="382" spans="2:11">
      <c r="B382" s="18" t="s">
        <v>892</v>
      </c>
      <c r="C382" s="18" t="s">
        <v>1064</v>
      </c>
      <c r="D382" s="18" t="s">
        <v>1283</v>
      </c>
      <c r="E382" s="18" t="s">
        <v>980</v>
      </c>
      <c r="F382" s="18" t="s">
        <v>1415</v>
      </c>
      <c r="G382" s="18" t="s">
        <v>1416</v>
      </c>
      <c r="H382" s="18" t="s">
        <v>1416</v>
      </c>
      <c r="I382" s="18" t="s">
        <v>983</v>
      </c>
      <c r="J382" s="18">
        <v>65</v>
      </c>
      <c r="K382" s="18"/>
    </row>
    <row r="383" spans="2:11">
      <c r="B383" s="18" t="s">
        <v>892</v>
      </c>
      <c r="C383" s="18" t="s">
        <v>1286</v>
      </c>
      <c r="D383" s="18" t="s">
        <v>1396</v>
      </c>
      <c r="E383" s="18" t="s">
        <v>1288</v>
      </c>
      <c r="F383" s="18" t="s">
        <v>1417</v>
      </c>
      <c r="G383" s="18"/>
      <c r="H383" s="18" t="s">
        <v>1416</v>
      </c>
      <c r="I383" s="18" t="s">
        <v>983</v>
      </c>
      <c r="J383" s="18">
        <v>65</v>
      </c>
      <c r="K383" s="18"/>
    </row>
    <row r="384" spans="2:11">
      <c r="B384" s="18" t="s">
        <v>892</v>
      </c>
      <c r="C384" s="18" t="s">
        <v>1286</v>
      </c>
      <c r="D384" s="18" t="s">
        <v>1396</v>
      </c>
      <c r="E384" s="18" t="s">
        <v>1288</v>
      </c>
      <c r="F384" s="18" t="s">
        <v>1418</v>
      </c>
      <c r="G384" s="18"/>
      <c r="H384" s="18" t="s">
        <v>1416</v>
      </c>
      <c r="I384" s="18" t="s">
        <v>983</v>
      </c>
      <c r="J384" s="18">
        <v>65</v>
      </c>
      <c r="K384" s="18"/>
    </row>
    <row r="385" spans="2:11">
      <c r="B385" s="18" t="s">
        <v>892</v>
      </c>
      <c r="C385" s="18" t="s">
        <v>1022</v>
      </c>
      <c r="D385" s="18" t="s">
        <v>1399</v>
      </c>
      <c r="E385" s="18" t="s">
        <v>989</v>
      </c>
      <c r="F385" s="18" t="s">
        <v>1419</v>
      </c>
      <c r="G385" s="18"/>
      <c r="H385" s="18" t="s">
        <v>1416</v>
      </c>
      <c r="I385" s="18" t="s">
        <v>983</v>
      </c>
      <c r="J385" s="18">
        <v>65</v>
      </c>
      <c r="K385" s="18"/>
    </row>
    <row r="386" spans="2:11">
      <c r="B386" s="18" t="s">
        <v>892</v>
      </c>
      <c r="C386" s="18" t="s">
        <v>1292</v>
      </c>
      <c r="D386" s="18" t="s">
        <v>1401</v>
      </c>
      <c r="E386" s="18" t="s">
        <v>909</v>
      </c>
      <c r="F386" s="18" t="s">
        <v>1420</v>
      </c>
      <c r="G386" s="18"/>
      <c r="H386" s="18" t="s">
        <v>1416</v>
      </c>
      <c r="I386" s="18" t="s">
        <v>983</v>
      </c>
      <c r="J386" s="18">
        <v>65</v>
      </c>
      <c r="K386" s="18"/>
    </row>
    <row r="387" spans="2:11">
      <c r="B387" s="18" t="s">
        <v>892</v>
      </c>
      <c r="C387" s="18" t="s">
        <v>1064</v>
      </c>
      <c r="D387" s="18" t="s">
        <v>1283</v>
      </c>
      <c r="E387" s="18" t="s">
        <v>980</v>
      </c>
      <c r="F387" s="18" t="s">
        <v>1421</v>
      </c>
      <c r="G387" s="18" t="s">
        <v>1422</v>
      </c>
      <c r="H387" s="18" t="s">
        <v>1422</v>
      </c>
      <c r="I387" s="18" t="s">
        <v>983</v>
      </c>
      <c r="J387" s="18">
        <v>66</v>
      </c>
      <c r="K387" s="18"/>
    </row>
    <row r="388" spans="2:11">
      <c r="B388" s="18" t="s">
        <v>892</v>
      </c>
      <c r="C388" s="18" t="s">
        <v>1286</v>
      </c>
      <c r="D388" s="18" t="s">
        <v>1396</v>
      </c>
      <c r="E388" s="18" t="s">
        <v>1288</v>
      </c>
      <c r="F388" s="18" t="s">
        <v>1423</v>
      </c>
      <c r="G388" s="18"/>
      <c r="H388" s="18" t="s">
        <v>1422</v>
      </c>
      <c r="I388" s="18" t="s">
        <v>983</v>
      </c>
      <c r="J388" s="18">
        <v>66</v>
      </c>
      <c r="K388" s="18"/>
    </row>
    <row r="389" spans="2:11">
      <c r="B389" s="18" t="s">
        <v>892</v>
      </c>
      <c r="C389" s="18" t="s">
        <v>1286</v>
      </c>
      <c r="D389" s="18" t="s">
        <v>1396</v>
      </c>
      <c r="E389" s="18" t="s">
        <v>1288</v>
      </c>
      <c r="F389" s="18" t="s">
        <v>1424</v>
      </c>
      <c r="G389" s="18"/>
      <c r="H389" s="18" t="s">
        <v>1422</v>
      </c>
      <c r="I389" s="18" t="s">
        <v>983</v>
      </c>
      <c r="J389" s="18">
        <v>66</v>
      </c>
      <c r="K389" s="18"/>
    </row>
    <row r="390" spans="2:11">
      <c r="B390" s="18" t="s">
        <v>892</v>
      </c>
      <c r="C390" s="18" t="s">
        <v>1022</v>
      </c>
      <c r="D390" s="18" t="s">
        <v>1399</v>
      </c>
      <c r="E390" s="18" t="s">
        <v>989</v>
      </c>
      <c r="F390" s="18" t="s">
        <v>1425</v>
      </c>
      <c r="G390" s="18"/>
      <c r="H390" s="18" t="s">
        <v>1422</v>
      </c>
      <c r="I390" s="18" t="s">
        <v>983</v>
      </c>
      <c r="J390" s="18">
        <v>66</v>
      </c>
      <c r="K390" s="18"/>
    </row>
    <row r="391" spans="2:11">
      <c r="B391" s="18" t="s">
        <v>892</v>
      </c>
      <c r="C391" s="18" t="s">
        <v>1292</v>
      </c>
      <c r="D391" s="18" t="s">
        <v>1401</v>
      </c>
      <c r="E391" s="18" t="s">
        <v>909</v>
      </c>
      <c r="F391" s="18" t="s">
        <v>1426</v>
      </c>
      <c r="G391" s="18"/>
      <c r="H391" s="18" t="s">
        <v>1422</v>
      </c>
      <c r="I391" s="18" t="s">
        <v>983</v>
      </c>
      <c r="J391" s="18">
        <v>66</v>
      </c>
      <c r="K391" s="18"/>
    </row>
    <row r="392" spans="2:11">
      <c r="B392" s="18" t="s">
        <v>892</v>
      </c>
      <c r="C392" s="18" t="s">
        <v>1064</v>
      </c>
      <c r="D392" s="18" t="s">
        <v>1283</v>
      </c>
      <c r="E392" s="18" t="s">
        <v>980</v>
      </c>
      <c r="F392" s="18" t="s">
        <v>1427</v>
      </c>
      <c r="G392" s="18" t="s">
        <v>1428</v>
      </c>
      <c r="H392" s="18" t="s">
        <v>1428</v>
      </c>
      <c r="I392" s="18" t="s">
        <v>983</v>
      </c>
      <c r="J392" s="18">
        <v>67</v>
      </c>
      <c r="K392" s="18"/>
    </row>
    <row r="393" spans="2:11">
      <c r="B393" s="18" t="s">
        <v>892</v>
      </c>
      <c r="C393" s="18" t="s">
        <v>1286</v>
      </c>
      <c r="D393" s="18" t="s">
        <v>1396</v>
      </c>
      <c r="E393" s="18" t="s">
        <v>1288</v>
      </c>
      <c r="F393" s="18" t="s">
        <v>1429</v>
      </c>
      <c r="G393" s="18"/>
      <c r="H393" s="18" t="s">
        <v>1428</v>
      </c>
      <c r="I393" s="18" t="s">
        <v>983</v>
      </c>
      <c r="J393" s="18">
        <v>67</v>
      </c>
      <c r="K393" s="18"/>
    </row>
    <row r="394" spans="2:11">
      <c r="B394" s="18" t="s">
        <v>892</v>
      </c>
      <c r="C394" s="18" t="s">
        <v>1286</v>
      </c>
      <c r="D394" s="18" t="s">
        <v>1396</v>
      </c>
      <c r="E394" s="18" t="s">
        <v>1288</v>
      </c>
      <c r="F394" s="18" t="s">
        <v>1430</v>
      </c>
      <c r="G394" s="18"/>
      <c r="H394" s="18" t="s">
        <v>1428</v>
      </c>
      <c r="I394" s="18" t="s">
        <v>983</v>
      </c>
      <c r="J394" s="18">
        <v>67</v>
      </c>
      <c r="K394" s="18"/>
    </row>
    <row r="395" spans="2:11">
      <c r="B395" s="18" t="s">
        <v>892</v>
      </c>
      <c r="C395" s="18" t="s">
        <v>1022</v>
      </c>
      <c r="D395" s="18" t="s">
        <v>1399</v>
      </c>
      <c r="E395" s="18" t="s">
        <v>989</v>
      </c>
      <c r="F395" s="18" t="s">
        <v>1431</v>
      </c>
      <c r="G395" s="18"/>
      <c r="H395" s="18" t="s">
        <v>1428</v>
      </c>
      <c r="I395" s="18" t="s">
        <v>983</v>
      </c>
      <c r="J395" s="18">
        <v>67</v>
      </c>
      <c r="K395" s="18"/>
    </row>
    <row r="396" spans="2:11">
      <c r="B396" s="18" t="s">
        <v>892</v>
      </c>
      <c r="C396" s="18" t="s">
        <v>1292</v>
      </c>
      <c r="D396" s="18" t="s">
        <v>1401</v>
      </c>
      <c r="E396" s="18" t="s">
        <v>909</v>
      </c>
      <c r="F396" s="18" t="s">
        <v>1432</v>
      </c>
      <c r="G396" s="18"/>
      <c r="H396" s="18" t="s">
        <v>1428</v>
      </c>
      <c r="I396" s="18" t="s">
        <v>983</v>
      </c>
      <c r="J396" s="18">
        <v>67</v>
      </c>
      <c r="K396" s="18"/>
    </row>
    <row r="397" spans="2:11">
      <c r="B397" s="18" t="s">
        <v>892</v>
      </c>
      <c r="C397" s="18" t="s">
        <v>1064</v>
      </c>
      <c r="D397" s="18" t="s">
        <v>1283</v>
      </c>
      <c r="E397" s="18" t="s">
        <v>980</v>
      </c>
      <c r="F397" s="18" t="s">
        <v>1433</v>
      </c>
      <c r="G397" s="18" t="s">
        <v>1434</v>
      </c>
      <c r="H397" s="18" t="s">
        <v>1434</v>
      </c>
      <c r="I397" s="18" t="s">
        <v>983</v>
      </c>
      <c r="J397" s="18">
        <v>68</v>
      </c>
      <c r="K397" s="18"/>
    </row>
    <row r="398" spans="2:11">
      <c r="B398" s="18" t="s">
        <v>892</v>
      </c>
      <c r="C398" s="18" t="s">
        <v>1286</v>
      </c>
      <c r="D398" s="18" t="s">
        <v>1396</v>
      </c>
      <c r="E398" s="18" t="s">
        <v>1288</v>
      </c>
      <c r="F398" s="18" t="s">
        <v>1435</v>
      </c>
      <c r="G398" s="18"/>
      <c r="H398" s="18" t="s">
        <v>1434</v>
      </c>
      <c r="I398" s="18" t="s">
        <v>983</v>
      </c>
      <c r="J398" s="18">
        <v>68</v>
      </c>
      <c r="K398" s="18"/>
    </row>
    <row r="399" spans="2:11">
      <c r="B399" s="18" t="s">
        <v>892</v>
      </c>
      <c r="C399" s="18" t="s">
        <v>1286</v>
      </c>
      <c r="D399" s="18" t="s">
        <v>1396</v>
      </c>
      <c r="E399" s="18" t="s">
        <v>1288</v>
      </c>
      <c r="F399" s="18" t="s">
        <v>1436</v>
      </c>
      <c r="G399" s="18"/>
      <c r="H399" s="18" t="s">
        <v>1434</v>
      </c>
      <c r="I399" s="18" t="s">
        <v>983</v>
      </c>
      <c r="J399" s="18">
        <v>68</v>
      </c>
      <c r="K399" s="18"/>
    </row>
    <row r="400" spans="2:11">
      <c r="B400" s="18" t="s">
        <v>892</v>
      </c>
      <c r="C400" s="18" t="s">
        <v>1022</v>
      </c>
      <c r="D400" s="18" t="s">
        <v>1399</v>
      </c>
      <c r="E400" s="18" t="s">
        <v>989</v>
      </c>
      <c r="F400" s="18" t="s">
        <v>1437</v>
      </c>
      <c r="G400" s="18"/>
      <c r="H400" s="18" t="s">
        <v>1434</v>
      </c>
      <c r="I400" s="18" t="s">
        <v>983</v>
      </c>
      <c r="J400" s="18">
        <v>68</v>
      </c>
      <c r="K400" s="18"/>
    </row>
    <row r="401" spans="2:11">
      <c r="B401" s="18" t="s">
        <v>892</v>
      </c>
      <c r="C401" s="18" t="s">
        <v>1292</v>
      </c>
      <c r="D401" s="18" t="s">
        <v>1401</v>
      </c>
      <c r="E401" s="18" t="s">
        <v>909</v>
      </c>
      <c r="F401" s="18" t="s">
        <v>1438</v>
      </c>
      <c r="G401" s="18"/>
      <c r="H401" s="18" t="s">
        <v>1434</v>
      </c>
      <c r="I401" s="18" t="s">
        <v>983</v>
      </c>
      <c r="J401" s="18">
        <v>68</v>
      </c>
      <c r="K401" s="18"/>
    </row>
    <row r="402" spans="2:11">
      <c r="B402" s="18" t="s">
        <v>892</v>
      </c>
      <c r="C402" s="18" t="s">
        <v>1064</v>
      </c>
      <c r="D402" s="18" t="s">
        <v>1283</v>
      </c>
      <c r="E402" s="18" t="s">
        <v>980</v>
      </c>
      <c r="F402" s="18" t="s">
        <v>1439</v>
      </c>
      <c r="G402" s="18" t="s">
        <v>1440</v>
      </c>
      <c r="H402" s="18" t="s">
        <v>1440</v>
      </c>
      <c r="I402" s="18" t="s">
        <v>983</v>
      </c>
      <c r="J402" s="18">
        <v>69</v>
      </c>
      <c r="K402" s="18"/>
    </row>
    <row r="403" spans="2:11">
      <c r="B403" s="18" t="s">
        <v>892</v>
      </c>
      <c r="C403" s="18" t="s">
        <v>1286</v>
      </c>
      <c r="D403" s="18" t="s">
        <v>1396</v>
      </c>
      <c r="E403" s="18" t="s">
        <v>1288</v>
      </c>
      <c r="F403" s="18" t="s">
        <v>1441</v>
      </c>
      <c r="G403" s="18"/>
      <c r="H403" s="18" t="s">
        <v>1440</v>
      </c>
      <c r="I403" s="18" t="s">
        <v>983</v>
      </c>
      <c r="J403" s="18">
        <v>69</v>
      </c>
      <c r="K403" s="18"/>
    </row>
    <row r="404" spans="2:11">
      <c r="B404" s="18" t="s">
        <v>892</v>
      </c>
      <c r="C404" s="18" t="s">
        <v>1286</v>
      </c>
      <c r="D404" s="18" t="s">
        <v>1396</v>
      </c>
      <c r="E404" s="18" t="s">
        <v>1288</v>
      </c>
      <c r="F404" s="18" t="s">
        <v>1442</v>
      </c>
      <c r="G404" s="18"/>
      <c r="H404" s="18" t="s">
        <v>1440</v>
      </c>
      <c r="I404" s="18" t="s">
        <v>983</v>
      </c>
      <c r="J404" s="18">
        <v>69</v>
      </c>
      <c r="K404" s="18"/>
    </row>
    <row r="405" spans="2:11">
      <c r="B405" s="18" t="s">
        <v>892</v>
      </c>
      <c r="C405" s="18" t="s">
        <v>1022</v>
      </c>
      <c r="D405" s="18" t="s">
        <v>1399</v>
      </c>
      <c r="E405" s="18" t="s">
        <v>989</v>
      </c>
      <c r="F405" s="18" t="s">
        <v>1443</v>
      </c>
      <c r="G405" s="18"/>
      <c r="H405" s="18" t="s">
        <v>1440</v>
      </c>
      <c r="I405" s="18" t="s">
        <v>983</v>
      </c>
      <c r="J405" s="18">
        <v>69</v>
      </c>
      <c r="K405" s="18"/>
    </row>
    <row r="406" spans="2:11">
      <c r="B406" s="18" t="s">
        <v>892</v>
      </c>
      <c r="C406" s="18" t="s">
        <v>1292</v>
      </c>
      <c r="D406" s="18" t="s">
        <v>1401</v>
      </c>
      <c r="E406" s="18" t="s">
        <v>909</v>
      </c>
      <c r="F406" s="18" t="s">
        <v>1444</v>
      </c>
      <c r="G406" s="18"/>
      <c r="H406" s="18" t="s">
        <v>1440</v>
      </c>
      <c r="I406" s="18" t="s">
        <v>983</v>
      </c>
      <c r="J406" s="18">
        <v>69</v>
      </c>
      <c r="K406" s="18"/>
    </row>
    <row r="407" spans="2:11">
      <c r="B407" s="18" t="s">
        <v>892</v>
      </c>
      <c r="C407" s="18" t="s">
        <v>1064</v>
      </c>
      <c r="D407" s="18" t="s">
        <v>1283</v>
      </c>
      <c r="E407" s="18" t="s">
        <v>980</v>
      </c>
      <c r="F407" s="18" t="s">
        <v>1445</v>
      </c>
      <c r="G407" s="18" t="s">
        <v>1446</v>
      </c>
      <c r="H407" s="18" t="s">
        <v>1446</v>
      </c>
      <c r="I407" s="18" t="s">
        <v>983</v>
      </c>
      <c r="J407" s="18">
        <v>70</v>
      </c>
      <c r="K407" s="18"/>
    </row>
    <row r="408" spans="2:11">
      <c r="B408" s="18" t="s">
        <v>892</v>
      </c>
      <c r="C408" s="18" t="s">
        <v>1286</v>
      </c>
      <c r="D408" s="18" t="s">
        <v>1396</v>
      </c>
      <c r="E408" s="18" t="s">
        <v>1288</v>
      </c>
      <c r="F408" s="18" t="s">
        <v>1447</v>
      </c>
      <c r="G408" s="18"/>
      <c r="H408" s="18" t="s">
        <v>1448</v>
      </c>
      <c r="I408" s="18" t="s">
        <v>983</v>
      </c>
      <c r="J408" s="18">
        <v>70</v>
      </c>
      <c r="K408" s="18"/>
    </row>
    <row r="409" spans="2:11">
      <c r="B409" s="18" t="s">
        <v>892</v>
      </c>
      <c r="C409" s="18" t="s">
        <v>1286</v>
      </c>
      <c r="D409" s="18" t="s">
        <v>1396</v>
      </c>
      <c r="E409" s="18" t="s">
        <v>1288</v>
      </c>
      <c r="F409" s="18" t="s">
        <v>1449</v>
      </c>
      <c r="G409" s="18"/>
      <c r="H409" s="18" t="s">
        <v>1448</v>
      </c>
      <c r="I409" s="18" t="s">
        <v>983</v>
      </c>
      <c r="J409" s="18">
        <v>70</v>
      </c>
      <c r="K409" s="18"/>
    </row>
    <row r="410" spans="2:11">
      <c r="B410" s="18" t="s">
        <v>892</v>
      </c>
      <c r="C410" s="18" t="s">
        <v>1022</v>
      </c>
      <c r="D410" s="18" t="s">
        <v>1399</v>
      </c>
      <c r="E410" s="18" t="s">
        <v>989</v>
      </c>
      <c r="F410" s="18" t="s">
        <v>1450</v>
      </c>
      <c r="G410" s="18"/>
      <c r="H410" s="18" t="s">
        <v>1448</v>
      </c>
      <c r="I410" s="18" t="s">
        <v>983</v>
      </c>
      <c r="J410" s="18">
        <v>70</v>
      </c>
      <c r="K410" s="18"/>
    </row>
    <row r="411" spans="2:11">
      <c r="B411" s="18" t="s">
        <v>892</v>
      </c>
      <c r="C411" s="18" t="s">
        <v>1292</v>
      </c>
      <c r="D411" s="18" t="s">
        <v>1401</v>
      </c>
      <c r="E411" s="18" t="s">
        <v>909</v>
      </c>
      <c r="F411" s="18" t="s">
        <v>1451</v>
      </c>
      <c r="G411" s="18"/>
      <c r="H411" s="18" t="s">
        <v>1448</v>
      </c>
      <c r="I411" s="18" t="s">
        <v>983</v>
      </c>
      <c r="J411" s="18">
        <v>70</v>
      </c>
      <c r="K411" s="18"/>
    </row>
    <row r="412" spans="2:11">
      <c r="B412" s="18" t="s">
        <v>892</v>
      </c>
      <c r="C412" s="18" t="s">
        <v>1064</v>
      </c>
      <c r="D412" s="18" t="s">
        <v>1283</v>
      </c>
      <c r="E412" s="18" t="s">
        <v>980</v>
      </c>
      <c r="F412" s="18" t="s">
        <v>1452</v>
      </c>
      <c r="G412" s="18" t="s">
        <v>1453</v>
      </c>
      <c r="H412" s="18" t="s">
        <v>1453</v>
      </c>
      <c r="I412" s="18" t="s">
        <v>983</v>
      </c>
      <c r="J412" s="18">
        <v>71</v>
      </c>
      <c r="K412" s="18"/>
    </row>
    <row r="413" spans="2:11">
      <c r="B413" s="18" t="s">
        <v>892</v>
      </c>
      <c r="C413" s="18" t="s">
        <v>1286</v>
      </c>
      <c r="D413" s="18" t="s">
        <v>1396</v>
      </c>
      <c r="E413" s="18" t="s">
        <v>1288</v>
      </c>
      <c r="F413" s="18" t="s">
        <v>1454</v>
      </c>
      <c r="G413" s="18"/>
      <c r="H413" s="18" t="s">
        <v>1455</v>
      </c>
      <c r="I413" s="18" t="s">
        <v>983</v>
      </c>
      <c r="J413" s="18">
        <v>71</v>
      </c>
      <c r="K413" s="18"/>
    </row>
    <row r="414" spans="2:11">
      <c r="B414" s="18" t="s">
        <v>892</v>
      </c>
      <c r="C414" s="18" t="s">
        <v>1286</v>
      </c>
      <c r="D414" s="18" t="s">
        <v>1396</v>
      </c>
      <c r="E414" s="18" t="s">
        <v>1288</v>
      </c>
      <c r="F414" s="18" t="s">
        <v>1456</v>
      </c>
      <c r="G414" s="18"/>
      <c r="H414" s="18" t="s">
        <v>1455</v>
      </c>
      <c r="I414" s="18" t="s">
        <v>983</v>
      </c>
      <c r="J414" s="18">
        <v>71</v>
      </c>
      <c r="K414" s="18"/>
    </row>
    <row r="415" spans="2:11">
      <c r="B415" s="18" t="s">
        <v>892</v>
      </c>
      <c r="C415" s="18" t="s">
        <v>1022</v>
      </c>
      <c r="D415" s="18" t="s">
        <v>1399</v>
      </c>
      <c r="E415" s="18" t="s">
        <v>989</v>
      </c>
      <c r="F415" s="18" t="s">
        <v>1457</v>
      </c>
      <c r="G415" s="18"/>
      <c r="H415" s="18" t="s">
        <v>1455</v>
      </c>
      <c r="I415" s="18" t="s">
        <v>983</v>
      </c>
      <c r="J415" s="18">
        <v>71</v>
      </c>
      <c r="K415" s="18"/>
    </row>
    <row r="416" spans="2:11">
      <c r="B416" s="18" t="s">
        <v>892</v>
      </c>
      <c r="C416" s="18" t="s">
        <v>1292</v>
      </c>
      <c r="D416" s="18" t="s">
        <v>1401</v>
      </c>
      <c r="E416" s="18" t="s">
        <v>909</v>
      </c>
      <c r="F416" s="18" t="s">
        <v>1458</v>
      </c>
      <c r="G416" s="18"/>
      <c r="H416" s="18" t="s">
        <v>1455</v>
      </c>
      <c r="I416" s="18" t="s">
        <v>983</v>
      </c>
      <c r="J416" s="18">
        <v>71</v>
      </c>
      <c r="K416" s="18"/>
    </row>
    <row r="417" spans="2:11">
      <c r="B417" s="18" t="s">
        <v>892</v>
      </c>
      <c r="C417" s="18" t="s">
        <v>1064</v>
      </c>
      <c r="D417" s="18" t="s">
        <v>1283</v>
      </c>
      <c r="E417" s="18" t="s">
        <v>980</v>
      </c>
      <c r="F417" s="18" t="s">
        <v>1459</v>
      </c>
      <c r="G417" s="18" t="s">
        <v>1460</v>
      </c>
      <c r="H417" s="18" t="s">
        <v>1460</v>
      </c>
      <c r="I417" s="18" t="s">
        <v>983</v>
      </c>
      <c r="J417" s="18">
        <v>72</v>
      </c>
      <c r="K417" s="18"/>
    </row>
    <row r="418" spans="2:11">
      <c r="B418" s="18" t="s">
        <v>892</v>
      </c>
      <c r="C418" s="18" t="s">
        <v>1286</v>
      </c>
      <c r="D418" s="18" t="s">
        <v>1396</v>
      </c>
      <c r="E418" s="18" t="s">
        <v>1288</v>
      </c>
      <c r="F418" s="18" t="s">
        <v>1461</v>
      </c>
      <c r="G418" s="18"/>
      <c r="H418" s="18" t="s">
        <v>1460</v>
      </c>
      <c r="I418" s="18" t="s">
        <v>983</v>
      </c>
      <c r="J418" s="18">
        <v>72</v>
      </c>
      <c r="K418" s="18"/>
    </row>
    <row r="419" spans="2:11">
      <c r="B419" s="18" t="s">
        <v>892</v>
      </c>
      <c r="C419" s="18" t="s">
        <v>1286</v>
      </c>
      <c r="D419" s="18" t="s">
        <v>1396</v>
      </c>
      <c r="E419" s="18" t="s">
        <v>1288</v>
      </c>
      <c r="F419" s="18" t="s">
        <v>1462</v>
      </c>
      <c r="G419" s="18"/>
      <c r="H419" s="18" t="s">
        <v>1460</v>
      </c>
      <c r="I419" s="18" t="s">
        <v>983</v>
      </c>
      <c r="J419" s="18">
        <v>72</v>
      </c>
      <c r="K419" s="18"/>
    </row>
    <row r="420" spans="2:11">
      <c r="B420" s="18" t="s">
        <v>892</v>
      </c>
      <c r="C420" s="18" t="s">
        <v>1022</v>
      </c>
      <c r="D420" s="18" t="s">
        <v>1399</v>
      </c>
      <c r="E420" s="18" t="s">
        <v>989</v>
      </c>
      <c r="F420" s="18" t="s">
        <v>1463</v>
      </c>
      <c r="G420" s="18"/>
      <c r="H420" s="18" t="s">
        <v>1460</v>
      </c>
      <c r="I420" s="18" t="s">
        <v>983</v>
      </c>
      <c r="J420" s="18">
        <v>72</v>
      </c>
      <c r="K420" s="18"/>
    </row>
    <row r="421" spans="2:11">
      <c r="B421" s="18" t="s">
        <v>892</v>
      </c>
      <c r="C421" s="18" t="s">
        <v>1292</v>
      </c>
      <c r="D421" s="18" t="s">
        <v>1401</v>
      </c>
      <c r="E421" s="18" t="s">
        <v>909</v>
      </c>
      <c r="F421" s="18" t="s">
        <v>1464</v>
      </c>
      <c r="G421" s="18"/>
      <c r="H421" s="18" t="s">
        <v>1460</v>
      </c>
      <c r="I421" s="18" t="s">
        <v>983</v>
      </c>
      <c r="J421" s="18">
        <v>72</v>
      </c>
      <c r="K421" s="18"/>
    </row>
    <row r="422" spans="2:11">
      <c r="B422" s="18" t="s">
        <v>892</v>
      </c>
      <c r="C422" s="18" t="s">
        <v>1064</v>
      </c>
      <c r="D422" s="18" t="s">
        <v>1283</v>
      </c>
      <c r="E422" s="18" t="s">
        <v>980</v>
      </c>
      <c r="F422" s="18" t="s">
        <v>1465</v>
      </c>
      <c r="G422" s="18" t="s">
        <v>1466</v>
      </c>
      <c r="H422" s="18" t="s">
        <v>1466</v>
      </c>
      <c r="I422" s="18" t="s">
        <v>983</v>
      </c>
      <c r="J422" s="18">
        <v>73</v>
      </c>
      <c r="K422" s="18"/>
    </row>
    <row r="423" spans="2:11">
      <c r="B423" s="18" t="s">
        <v>892</v>
      </c>
      <c r="C423" s="18" t="s">
        <v>1286</v>
      </c>
      <c r="D423" s="18" t="s">
        <v>1396</v>
      </c>
      <c r="E423" s="18" t="s">
        <v>1288</v>
      </c>
      <c r="F423" s="18" t="s">
        <v>1467</v>
      </c>
      <c r="G423" s="18"/>
      <c r="H423" s="18" t="s">
        <v>1466</v>
      </c>
      <c r="I423" s="18" t="s">
        <v>983</v>
      </c>
      <c r="J423" s="18">
        <v>73</v>
      </c>
      <c r="K423" s="18"/>
    </row>
    <row r="424" spans="2:11">
      <c r="B424" s="18" t="s">
        <v>892</v>
      </c>
      <c r="C424" s="18" t="s">
        <v>1286</v>
      </c>
      <c r="D424" s="18" t="s">
        <v>1396</v>
      </c>
      <c r="E424" s="18" t="s">
        <v>1288</v>
      </c>
      <c r="F424" s="18" t="s">
        <v>1468</v>
      </c>
      <c r="G424" s="18"/>
      <c r="H424" s="18" t="s">
        <v>1466</v>
      </c>
      <c r="I424" s="18" t="s">
        <v>983</v>
      </c>
      <c r="J424" s="18">
        <v>73</v>
      </c>
      <c r="K424" s="18"/>
    </row>
    <row r="425" spans="2:11">
      <c r="B425" s="18" t="s">
        <v>892</v>
      </c>
      <c r="C425" s="18" t="s">
        <v>1022</v>
      </c>
      <c r="D425" s="18" t="s">
        <v>1399</v>
      </c>
      <c r="E425" s="18" t="s">
        <v>989</v>
      </c>
      <c r="F425" s="18" t="s">
        <v>1469</v>
      </c>
      <c r="G425" s="18"/>
      <c r="H425" s="18" t="s">
        <v>1466</v>
      </c>
      <c r="I425" s="18" t="s">
        <v>983</v>
      </c>
      <c r="J425" s="18">
        <v>73</v>
      </c>
      <c r="K425" s="18"/>
    </row>
    <row r="426" spans="2:11">
      <c r="B426" s="18" t="s">
        <v>892</v>
      </c>
      <c r="C426" s="18" t="s">
        <v>1292</v>
      </c>
      <c r="D426" s="18" t="s">
        <v>1401</v>
      </c>
      <c r="E426" s="18" t="s">
        <v>909</v>
      </c>
      <c r="F426" s="18" t="s">
        <v>1470</v>
      </c>
      <c r="G426" s="18"/>
      <c r="H426" s="18" t="s">
        <v>1466</v>
      </c>
      <c r="I426" s="18" t="s">
        <v>983</v>
      </c>
      <c r="J426" s="18">
        <v>73</v>
      </c>
      <c r="K426" s="18"/>
    </row>
    <row r="427" spans="2:11">
      <c r="B427" s="18" t="s">
        <v>892</v>
      </c>
      <c r="C427" s="18" t="s">
        <v>1064</v>
      </c>
      <c r="D427" s="18" t="s">
        <v>1283</v>
      </c>
      <c r="E427" s="18" t="s">
        <v>980</v>
      </c>
      <c r="F427" s="18" t="s">
        <v>1471</v>
      </c>
      <c r="G427" s="18" t="s">
        <v>1472</v>
      </c>
      <c r="H427" s="18" t="s">
        <v>1472</v>
      </c>
      <c r="I427" s="18" t="s">
        <v>983</v>
      </c>
      <c r="J427" s="18">
        <v>74</v>
      </c>
      <c r="K427" s="18"/>
    </row>
    <row r="428" spans="2:11">
      <c r="B428" s="18" t="s">
        <v>892</v>
      </c>
      <c r="C428" s="18" t="s">
        <v>1286</v>
      </c>
      <c r="D428" s="18" t="s">
        <v>1396</v>
      </c>
      <c r="E428" s="18" t="s">
        <v>1288</v>
      </c>
      <c r="F428" s="18" t="s">
        <v>1473</v>
      </c>
      <c r="G428" s="18"/>
      <c r="H428" s="18" t="s">
        <v>1472</v>
      </c>
      <c r="I428" s="18" t="s">
        <v>983</v>
      </c>
      <c r="J428" s="18">
        <v>74</v>
      </c>
      <c r="K428" s="18"/>
    </row>
    <row r="429" spans="2:11">
      <c r="B429" s="18" t="s">
        <v>892</v>
      </c>
      <c r="C429" s="18" t="s">
        <v>1286</v>
      </c>
      <c r="D429" s="18" t="s">
        <v>1396</v>
      </c>
      <c r="E429" s="18" t="s">
        <v>1288</v>
      </c>
      <c r="F429" s="18" t="s">
        <v>1474</v>
      </c>
      <c r="G429" s="18"/>
      <c r="H429" s="18" t="s">
        <v>1472</v>
      </c>
      <c r="I429" s="18" t="s">
        <v>983</v>
      </c>
      <c r="J429" s="18">
        <v>74</v>
      </c>
      <c r="K429" s="18"/>
    </row>
    <row r="430" spans="2:11">
      <c r="B430" s="18" t="s">
        <v>892</v>
      </c>
      <c r="C430" s="18" t="s">
        <v>1022</v>
      </c>
      <c r="D430" s="18" t="s">
        <v>1399</v>
      </c>
      <c r="E430" s="18" t="s">
        <v>989</v>
      </c>
      <c r="F430" s="18" t="s">
        <v>1475</v>
      </c>
      <c r="G430" s="18"/>
      <c r="H430" s="18" t="s">
        <v>1472</v>
      </c>
      <c r="I430" s="18" t="s">
        <v>983</v>
      </c>
      <c r="J430" s="18">
        <v>74</v>
      </c>
      <c r="K430" s="18"/>
    </row>
    <row r="431" spans="2:11">
      <c r="B431" s="18" t="s">
        <v>892</v>
      </c>
      <c r="C431" s="18" t="s">
        <v>1292</v>
      </c>
      <c r="D431" s="18" t="s">
        <v>1401</v>
      </c>
      <c r="E431" s="18" t="s">
        <v>909</v>
      </c>
      <c r="F431" s="18" t="s">
        <v>1476</v>
      </c>
      <c r="G431" s="18"/>
      <c r="H431" s="18" t="s">
        <v>1472</v>
      </c>
      <c r="I431" s="18" t="s">
        <v>983</v>
      </c>
      <c r="J431" s="18">
        <v>74</v>
      </c>
      <c r="K431" s="18"/>
    </row>
    <row r="432" spans="2:11">
      <c r="B432" s="18" t="s">
        <v>892</v>
      </c>
      <c r="C432" s="18" t="s">
        <v>1064</v>
      </c>
      <c r="D432" s="18" t="s">
        <v>1283</v>
      </c>
      <c r="E432" s="18" t="s">
        <v>980</v>
      </c>
      <c r="F432" s="18" t="s">
        <v>1477</v>
      </c>
      <c r="G432" s="18" t="s">
        <v>1478</v>
      </c>
      <c r="H432" s="18" t="s">
        <v>1478</v>
      </c>
      <c r="I432" s="18" t="s">
        <v>983</v>
      </c>
      <c r="J432" s="18">
        <v>75</v>
      </c>
      <c r="K432" s="18"/>
    </row>
    <row r="433" spans="2:11">
      <c r="B433" s="18" t="s">
        <v>892</v>
      </c>
      <c r="C433" s="18" t="s">
        <v>1286</v>
      </c>
      <c r="D433" s="18" t="s">
        <v>1396</v>
      </c>
      <c r="E433" s="18" t="s">
        <v>1288</v>
      </c>
      <c r="F433" s="18" t="s">
        <v>1479</v>
      </c>
      <c r="G433" s="18"/>
      <c r="H433" s="18" t="s">
        <v>1012</v>
      </c>
      <c r="I433" s="18" t="s">
        <v>1480</v>
      </c>
      <c r="J433" s="18">
        <v>75</v>
      </c>
      <c r="K433" s="18"/>
    </row>
    <row r="434" spans="2:11">
      <c r="B434" s="18" t="s">
        <v>892</v>
      </c>
      <c r="C434" s="18" t="s">
        <v>1286</v>
      </c>
      <c r="D434" s="18" t="s">
        <v>1396</v>
      </c>
      <c r="E434" s="18" t="s">
        <v>1288</v>
      </c>
      <c r="F434" s="18" t="s">
        <v>1481</v>
      </c>
      <c r="G434" s="18"/>
      <c r="H434" s="18" t="s">
        <v>1012</v>
      </c>
      <c r="I434" s="18" t="s">
        <v>1480</v>
      </c>
      <c r="J434" s="18">
        <v>75</v>
      </c>
      <c r="K434" s="18"/>
    </row>
    <row r="435" spans="2:11">
      <c r="B435" s="18" t="s">
        <v>892</v>
      </c>
      <c r="C435" s="18" t="s">
        <v>1022</v>
      </c>
      <c r="D435" s="18" t="s">
        <v>1399</v>
      </c>
      <c r="E435" s="18" t="s">
        <v>989</v>
      </c>
      <c r="F435" s="18" t="s">
        <v>1482</v>
      </c>
      <c r="G435" s="18"/>
      <c r="H435" s="18" t="s">
        <v>1478</v>
      </c>
      <c r="I435" s="18" t="s">
        <v>983</v>
      </c>
      <c r="J435" s="18">
        <v>75</v>
      </c>
      <c r="K435" s="18"/>
    </row>
    <row r="436" spans="2:11">
      <c r="B436" s="18" t="s">
        <v>892</v>
      </c>
      <c r="C436" s="18" t="s">
        <v>1292</v>
      </c>
      <c r="D436" s="18" t="s">
        <v>1401</v>
      </c>
      <c r="E436" s="18" t="s">
        <v>909</v>
      </c>
      <c r="F436" s="18" t="s">
        <v>1483</v>
      </c>
      <c r="G436" s="18"/>
      <c r="H436" s="18" t="s">
        <v>1012</v>
      </c>
      <c r="I436" s="18" t="s">
        <v>1480</v>
      </c>
      <c r="J436" s="18">
        <v>75</v>
      </c>
      <c r="K436" s="18"/>
    </row>
    <row r="437" spans="2:11">
      <c r="B437" s="18" t="s">
        <v>892</v>
      </c>
      <c r="C437" s="18" t="s">
        <v>1064</v>
      </c>
      <c r="D437" s="18" t="s">
        <v>1283</v>
      </c>
      <c r="E437" s="18" t="s">
        <v>980</v>
      </c>
      <c r="F437" s="18" t="s">
        <v>1484</v>
      </c>
      <c r="G437" s="18" t="s">
        <v>1485</v>
      </c>
      <c r="H437" s="18" t="s">
        <v>1485</v>
      </c>
      <c r="I437" s="18" t="s">
        <v>983</v>
      </c>
      <c r="J437" s="18">
        <v>76</v>
      </c>
      <c r="K437" s="18"/>
    </row>
    <row r="438" spans="2:11">
      <c r="B438" s="18" t="s">
        <v>892</v>
      </c>
      <c r="C438" s="18" t="s">
        <v>1286</v>
      </c>
      <c r="D438" s="18" t="s">
        <v>1396</v>
      </c>
      <c r="E438" s="18" t="s">
        <v>1288</v>
      </c>
      <c r="F438" s="18" t="s">
        <v>1486</v>
      </c>
      <c r="G438" s="18"/>
      <c r="H438" s="18" t="s">
        <v>1485</v>
      </c>
      <c r="I438" s="18" t="s">
        <v>983</v>
      </c>
      <c r="J438" s="18">
        <v>76</v>
      </c>
      <c r="K438" s="18"/>
    </row>
    <row r="439" spans="2:11">
      <c r="B439" s="18" t="s">
        <v>892</v>
      </c>
      <c r="C439" s="18" t="s">
        <v>1286</v>
      </c>
      <c r="D439" s="18" t="s">
        <v>1396</v>
      </c>
      <c r="E439" s="18" t="s">
        <v>1288</v>
      </c>
      <c r="F439" s="18" t="s">
        <v>1487</v>
      </c>
      <c r="G439" s="18"/>
      <c r="H439" s="18" t="s">
        <v>1485</v>
      </c>
      <c r="I439" s="18" t="s">
        <v>983</v>
      </c>
      <c r="J439" s="18">
        <v>76</v>
      </c>
      <c r="K439" s="18"/>
    </row>
    <row r="440" spans="2:11">
      <c r="B440" s="18" t="s">
        <v>892</v>
      </c>
      <c r="C440" s="18" t="s">
        <v>1022</v>
      </c>
      <c r="D440" s="18" t="s">
        <v>1399</v>
      </c>
      <c r="E440" s="18" t="s">
        <v>989</v>
      </c>
      <c r="F440" s="18" t="s">
        <v>1488</v>
      </c>
      <c r="G440" s="18"/>
      <c r="H440" s="18" t="s">
        <v>1485</v>
      </c>
      <c r="I440" s="18" t="s">
        <v>983</v>
      </c>
      <c r="J440" s="18">
        <v>76</v>
      </c>
      <c r="K440" s="18"/>
    </row>
    <row r="441" spans="2:11">
      <c r="B441" s="18" t="s">
        <v>892</v>
      </c>
      <c r="C441" s="18" t="s">
        <v>1292</v>
      </c>
      <c r="D441" s="18" t="s">
        <v>1401</v>
      </c>
      <c r="E441" s="18" t="s">
        <v>909</v>
      </c>
      <c r="F441" s="18" t="s">
        <v>1489</v>
      </c>
      <c r="G441" s="18"/>
      <c r="H441" s="18" t="s">
        <v>1485</v>
      </c>
      <c r="I441" s="18" t="s">
        <v>983</v>
      </c>
      <c r="J441" s="18">
        <v>76</v>
      </c>
      <c r="K441" s="18"/>
    </row>
    <row r="442" spans="2:11">
      <c r="B442" s="18" t="s">
        <v>892</v>
      </c>
      <c r="C442" s="18" t="s">
        <v>1064</v>
      </c>
      <c r="D442" s="18" t="s">
        <v>1283</v>
      </c>
      <c r="E442" s="18" t="s">
        <v>980</v>
      </c>
      <c r="F442" s="18" t="s">
        <v>1490</v>
      </c>
      <c r="G442" s="18" t="s">
        <v>1491</v>
      </c>
      <c r="H442" s="18" t="s">
        <v>1491</v>
      </c>
      <c r="I442" s="18" t="s">
        <v>983</v>
      </c>
      <c r="J442" s="18">
        <v>77</v>
      </c>
      <c r="K442" s="18"/>
    </row>
    <row r="443" spans="2:11">
      <c r="B443" s="18" t="s">
        <v>892</v>
      </c>
      <c r="C443" s="18" t="s">
        <v>1286</v>
      </c>
      <c r="D443" s="18" t="s">
        <v>1396</v>
      </c>
      <c r="E443" s="18" t="s">
        <v>1288</v>
      </c>
      <c r="F443" s="18" t="s">
        <v>1492</v>
      </c>
      <c r="G443" s="18"/>
      <c r="H443" s="18" t="s">
        <v>1069</v>
      </c>
      <c r="I443" s="18" t="s">
        <v>1493</v>
      </c>
      <c r="J443" s="18">
        <v>77</v>
      </c>
      <c r="K443" s="18"/>
    </row>
    <row r="444" spans="2:11">
      <c r="B444" s="18" t="s">
        <v>892</v>
      </c>
      <c r="C444" s="18" t="s">
        <v>1286</v>
      </c>
      <c r="D444" s="18" t="s">
        <v>1396</v>
      </c>
      <c r="E444" s="18" t="s">
        <v>1288</v>
      </c>
      <c r="F444" s="18" t="s">
        <v>1494</v>
      </c>
      <c r="G444" s="18"/>
      <c r="H444" s="18" t="s">
        <v>1069</v>
      </c>
      <c r="I444" s="18" t="s">
        <v>1493</v>
      </c>
      <c r="J444" s="18">
        <v>77</v>
      </c>
      <c r="K444" s="18"/>
    </row>
    <row r="445" spans="2:11">
      <c r="B445" s="18" t="s">
        <v>892</v>
      </c>
      <c r="C445" s="18" t="s">
        <v>1022</v>
      </c>
      <c r="D445" s="18" t="s">
        <v>1399</v>
      </c>
      <c r="E445" s="18" t="s">
        <v>989</v>
      </c>
      <c r="F445" s="18" t="s">
        <v>1495</v>
      </c>
      <c r="G445" s="18"/>
      <c r="H445" s="18" t="s">
        <v>1491</v>
      </c>
      <c r="I445" s="18" t="s">
        <v>983</v>
      </c>
      <c r="J445" s="18">
        <v>77</v>
      </c>
      <c r="K445" s="18"/>
    </row>
    <row r="446" spans="2:11">
      <c r="B446" s="18" t="s">
        <v>892</v>
      </c>
      <c r="C446" s="18" t="s">
        <v>1292</v>
      </c>
      <c r="D446" s="18" t="s">
        <v>1401</v>
      </c>
      <c r="E446" s="18" t="s">
        <v>909</v>
      </c>
      <c r="F446" s="18" t="s">
        <v>1496</v>
      </c>
      <c r="G446" s="18"/>
      <c r="H446" s="18" t="s">
        <v>1069</v>
      </c>
      <c r="I446" s="18" t="s">
        <v>1493</v>
      </c>
      <c r="J446" s="18">
        <v>77</v>
      </c>
      <c r="K446" s="18"/>
    </row>
    <row r="447" spans="2:11">
      <c r="B447" s="18" t="s">
        <v>892</v>
      </c>
      <c r="C447" s="18" t="s">
        <v>1064</v>
      </c>
      <c r="D447" s="18" t="s">
        <v>1283</v>
      </c>
      <c r="E447" s="18" t="s">
        <v>980</v>
      </c>
      <c r="F447" s="18" t="s">
        <v>1497</v>
      </c>
      <c r="G447" s="18" t="s">
        <v>1498</v>
      </c>
      <c r="H447" s="18" t="s">
        <v>1498</v>
      </c>
      <c r="I447" s="18" t="s">
        <v>983</v>
      </c>
      <c r="J447" s="18">
        <v>78</v>
      </c>
      <c r="K447" s="18"/>
    </row>
    <row r="448" spans="2:11">
      <c r="B448" s="18" t="s">
        <v>892</v>
      </c>
      <c r="C448" s="18" t="s">
        <v>1286</v>
      </c>
      <c r="D448" s="18" t="s">
        <v>1396</v>
      </c>
      <c r="E448" s="18" t="s">
        <v>1288</v>
      </c>
      <c r="F448" s="18" t="s">
        <v>1499</v>
      </c>
      <c r="G448" s="18"/>
      <c r="H448" s="18" t="s">
        <v>1019</v>
      </c>
      <c r="I448" s="18" t="s">
        <v>1500</v>
      </c>
      <c r="J448" s="18">
        <v>78</v>
      </c>
      <c r="K448" s="18"/>
    </row>
    <row r="449" spans="2:11">
      <c r="B449" s="18" t="s">
        <v>892</v>
      </c>
      <c r="C449" s="18" t="s">
        <v>1286</v>
      </c>
      <c r="D449" s="18" t="s">
        <v>1396</v>
      </c>
      <c r="E449" s="18" t="s">
        <v>1288</v>
      </c>
      <c r="F449" s="18" t="s">
        <v>1501</v>
      </c>
      <c r="G449" s="18"/>
      <c r="H449" s="18" t="s">
        <v>1019</v>
      </c>
      <c r="I449" s="18" t="s">
        <v>1500</v>
      </c>
      <c r="J449" s="18">
        <v>78</v>
      </c>
      <c r="K449" s="18"/>
    </row>
    <row r="450" spans="2:11">
      <c r="B450" s="18" t="s">
        <v>892</v>
      </c>
      <c r="C450" s="18" t="s">
        <v>1022</v>
      </c>
      <c r="D450" s="18" t="s">
        <v>1399</v>
      </c>
      <c r="E450" s="18" t="s">
        <v>989</v>
      </c>
      <c r="F450" s="18" t="s">
        <v>1502</v>
      </c>
      <c r="G450" s="18"/>
      <c r="H450" s="18" t="s">
        <v>1498</v>
      </c>
      <c r="I450" s="18" t="s">
        <v>983</v>
      </c>
      <c r="J450" s="18">
        <v>78</v>
      </c>
      <c r="K450" s="18"/>
    </row>
    <row r="451" spans="2:11">
      <c r="B451" s="18" t="s">
        <v>892</v>
      </c>
      <c r="C451" s="18" t="s">
        <v>1292</v>
      </c>
      <c r="D451" s="18" t="s">
        <v>1401</v>
      </c>
      <c r="E451" s="18" t="s">
        <v>909</v>
      </c>
      <c r="F451" s="18" t="s">
        <v>1503</v>
      </c>
      <c r="G451" s="18"/>
      <c r="H451" s="18" t="s">
        <v>1019</v>
      </c>
      <c r="I451" s="18" t="s">
        <v>1500</v>
      </c>
      <c r="J451" s="18">
        <v>78</v>
      </c>
      <c r="K451" s="18"/>
    </row>
    <row r="452" spans="2:11">
      <c r="B452" s="18" t="s">
        <v>892</v>
      </c>
      <c r="C452" s="18" t="s">
        <v>1064</v>
      </c>
      <c r="D452" s="18" t="s">
        <v>1283</v>
      </c>
      <c r="E452" s="18" t="s">
        <v>980</v>
      </c>
      <c r="F452" s="18" t="s">
        <v>1504</v>
      </c>
      <c r="G452" s="18" t="s">
        <v>1505</v>
      </c>
      <c r="H452" s="18" t="s">
        <v>1505</v>
      </c>
      <c r="I452" s="18" t="s">
        <v>983</v>
      </c>
      <c r="J452" s="18">
        <v>79</v>
      </c>
      <c r="K452" s="18"/>
    </row>
    <row r="453" spans="2:11">
      <c r="B453" s="18" t="s">
        <v>892</v>
      </c>
      <c r="C453" s="18" t="s">
        <v>1286</v>
      </c>
      <c r="D453" s="18" t="s">
        <v>1396</v>
      </c>
      <c r="E453" s="18" t="s">
        <v>1288</v>
      </c>
      <c r="F453" s="18" t="s">
        <v>1506</v>
      </c>
      <c r="G453" s="18"/>
      <c r="H453" s="18" t="s">
        <v>1505</v>
      </c>
      <c r="I453" s="18" t="s">
        <v>983</v>
      </c>
      <c r="J453" s="18">
        <v>79</v>
      </c>
      <c r="K453" s="18"/>
    </row>
    <row r="454" spans="2:11">
      <c r="B454" s="18" t="s">
        <v>892</v>
      </c>
      <c r="C454" s="18" t="s">
        <v>1286</v>
      </c>
      <c r="D454" s="18" t="s">
        <v>1396</v>
      </c>
      <c r="E454" s="18" t="s">
        <v>1288</v>
      </c>
      <c r="F454" s="18" t="s">
        <v>1507</v>
      </c>
      <c r="G454" s="18"/>
      <c r="H454" s="18" t="s">
        <v>1505</v>
      </c>
      <c r="I454" s="18" t="s">
        <v>983</v>
      </c>
      <c r="J454" s="18">
        <v>79</v>
      </c>
      <c r="K454" s="18"/>
    </row>
    <row r="455" spans="2:11">
      <c r="B455" s="18" t="s">
        <v>892</v>
      </c>
      <c r="C455" s="18" t="s">
        <v>1022</v>
      </c>
      <c r="D455" s="18" t="s">
        <v>1399</v>
      </c>
      <c r="E455" s="18" t="s">
        <v>989</v>
      </c>
      <c r="F455" s="18" t="s">
        <v>1508</v>
      </c>
      <c r="G455" s="18"/>
      <c r="H455" s="18" t="s">
        <v>1015</v>
      </c>
      <c r="I455" s="18" t="s">
        <v>1509</v>
      </c>
      <c r="J455" s="18">
        <v>79</v>
      </c>
      <c r="K455" s="18"/>
    </row>
    <row r="456" spans="2:11">
      <c r="B456" s="18" t="s">
        <v>892</v>
      </c>
      <c r="C456" s="18" t="s">
        <v>1292</v>
      </c>
      <c r="D456" s="18" t="s">
        <v>1401</v>
      </c>
      <c r="E456" s="18" t="s">
        <v>909</v>
      </c>
      <c r="F456" s="18" t="s">
        <v>1510</v>
      </c>
      <c r="G456" s="18"/>
      <c r="H456" s="18" t="s">
        <v>1505</v>
      </c>
      <c r="I456" s="18" t="s">
        <v>983</v>
      </c>
      <c r="J456" s="18">
        <v>79</v>
      </c>
      <c r="K456" s="18"/>
    </row>
    <row r="457" spans="2:11">
      <c r="B457" s="18" t="s">
        <v>892</v>
      </c>
      <c r="C457" s="18" t="s">
        <v>1064</v>
      </c>
      <c r="D457" s="18" t="s">
        <v>1283</v>
      </c>
      <c r="E457" s="18" t="s">
        <v>980</v>
      </c>
      <c r="F457" s="18" t="s">
        <v>1511</v>
      </c>
      <c r="G457" s="18" t="s">
        <v>1512</v>
      </c>
      <c r="H457" s="18" t="s">
        <v>1512</v>
      </c>
      <c r="I457" s="18" t="s">
        <v>983</v>
      </c>
      <c r="J457" s="18">
        <v>80</v>
      </c>
      <c r="K457" s="18"/>
    </row>
    <row r="458" spans="2:11">
      <c r="B458" s="18" t="s">
        <v>892</v>
      </c>
      <c r="C458" s="18" t="s">
        <v>1286</v>
      </c>
      <c r="D458" s="18" t="s">
        <v>1396</v>
      </c>
      <c r="E458" s="18" t="s">
        <v>1288</v>
      </c>
      <c r="F458" s="18" t="s">
        <v>1513</v>
      </c>
      <c r="G458" s="18"/>
      <c r="H458" s="18" t="s">
        <v>1512</v>
      </c>
      <c r="I458" s="18" t="s">
        <v>983</v>
      </c>
      <c r="J458" s="18">
        <v>80</v>
      </c>
      <c r="K458" s="18"/>
    </row>
    <row r="459" spans="2:11">
      <c r="B459" s="18" t="s">
        <v>892</v>
      </c>
      <c r="C459" s="18" t="s">
        <v>1286</v>
      </c>
      <c r="D459" s="18" t="s">
        <v>1396</v>
      </c>
      <c r="E459" s="18" t="s">
        <v>1288</v>
      </c>
      <c r="F459" s="18" t="s">
        <v>1514</v>
      </c>
      <c r="G459" s="18"/>
      <c r="H459" s="18" t="s">
        <v>1512</v>
      </c>
      <c r="I459" s="18" t="s">
        <v>983</v>
      </c>
      <c r="J459" s="18">
        <v>80</v>
      </c>
      <c r="K459" s="18"/>
    </row>
    <row r="460" spans="2:11">
      <c r="B460" s="18" t="s">
        <v>892</v>
      </c>
      <c r="C460" s="18" t="s">
        <v>1022</v>
      </c>
      <c r="D460" s="18" t="s">
        <v>1399</v>
      </c>
      <c r="E460" s="18" t="s">
        <v>989</v>
      </c>
      <c r="F460" s="18" t="s">
        <v>1515</v>
      </c>
      <c r="G460" s="18"/>
      <c r="H460" s="18" t="s">
        <v>1017</v>
      </c>
      <c r="I460" s="18" t="s">
        <v>1516</v>
      </c>
      <c r="J460" s="18">
        <v>80</v>
      </c>
      <c r="K460" s="18"/>
    </row>
    <row r="461" spans="2:11">
      <c r="B461" s="18" t="s">
        <v>892</v>
      </c>
      <c r="C461" s="18" t="s">
        <v>1292</v>
      </c>
      <c r="D461" s="18" t="s">
        <v>1401</v>
      </c>
      <c r="E461" s="18" t="s">
        <v>909</v>
      </c>
      <c r="F461" s="18" t="s">
        <v>1517</v>
      </c>
      <c r="G461" s="18"/>
      <c r="H461" s="18" t="s">
        <v>1512</v>
      </c>
      <c r="I461" s="18" t="s">
        <v>983</v>
      </c>
      <c r="J461" s="18">
        <v>80</v>
      </c>
      <c r="K461" s="18"/>
    </row>
    <row r="462" spans="2:11">
      <c r="B462" s="18" t="s">
        <v>892</v>
      </c>
      <c r="C462" s="18" t="s">
        <v>1064</v>
      </c>
      <c r="D462" s="18" t="s">
        <v>1283</v>
      </c>
      <c r="E462" s="18" t="s">
        <v>980</v>
      </c>
      <c r="F462" s="18" t="s">
        <v>1518</v>
      </c>
      <c r="G462" s="18" t="s">
        <v>1519</v>
      </c>
      <c r="H462" s="18" t="s">
        <v>1519</v>
      </c>
      <c r="I462" s="18" t="s">
        <v>983</v>
      </c>
      <c r="J462" s="18">
        <v>81</v>
      </c>
      <c r="K462" s="18"/>
    </row>
    <row r="463" spans="2:11">
      <c r="B463" s="18" t="s">
        <v>892</v>
      </c>
      <c r="C463" s="18" t="s">
        <v>1286</v>
      </c>
      <c r="D463" s="18" t="s">
        <v>1396</v>
      </c>
      <c r="E463" s="18" t="s">
        <v>1288</v>
      </c>
      <c r="F463" s="18" t="s">
        <v>1520</v>
      </c>
      <c r="G463" s="18"/>
      <c r="H463" s="18" t="s">
        <v>1519</v>
      </c>
      <c r="I463" s="18" t="s">
        <v>983</v>
      </c>
      <c r="J463" s="18">
        <v>81</v>
      </c>
      <c r="K463" s="18"/>
    </row>
    <row r="464" spans="2:11">
      <c r="B464" s="18" t="s">
        <v>892</v>
      </c>
      <c r="C464" s="18" t="s">
        <v>1286</v>
      </c>
      <c r="D464" s="18" t="s">
        <v>1396</v>
      </c>
      <c r="E464" s="18" t="s">
        <v>1288</v>
      </c>
      <c r="F464" s="18" t="s">
        <v>1521</v>
      </c>
      <c r="G464" s="18"/>
      <c r="H464" s="18" t="s">
        <v>1519</v>
      </c>
      <c r="I464" s="18" t="s">
        <v>983</v>
      </c>
      <c r="J464" s="18">
        <v>81</v>
      </c>
      <c r="K464" s="18"/>
    </row>
    <row r="465" spans="2:11">
      <c r="B465" s="18" t="s">
        <v>892</v>
      </c>
      <c r="C465" s="18" t="s">
        <v>1022</v>
      </c>
      <c r="D465" s="18" t="s">
        <v>1399</v>
      </c>
      <c r="E465" s="18" t="s">
        <v>989</v>
      </c>
      <c r="F465" s="18" t="s">
        <v>1522</v>
      </c>
      <c r="G465" s="18"/>
      <c r="H465" s="18" t="s">
        <v>1012</v>
      </c>
      <c r="I465" s="18" t="s">
        <v>1480</v>
      </c>
      <c r="J465" s="18">
        <v>81</v>
      </c>
      <c r="K465" s="18"/>
    </row>
    <row r="466" spans="2:11">
      <c r="B466" s="18" t="s">
        <v>892</v>
      </c>
      <c r="C466" s="18" t="s">
        <v>1292</v>
      </c>
      <c r="D466" s="18" t="s">
        <v>1401</v>
      </c>
      <c r="E466" s="18" t="s">
        <v>909</v>
      </c>
      <c r="F466" s="18" t="s">
        <v>1523</v>
      </c>
      <c r="G466" s="18"/>
      <c r="H466" s="18" t="s">
        <v>1519</v>
      </c>
      <c r="I466" s="18" t="s">
        <v>983</v>
      </c>
      <c r="J466" s="18">
        <v>81</v>
      </c>
      <c r="K466" s="18"/>
    </row>
    <row r="467" spans="2:11">
      <c r="B467" s="18" t="s">
        <v>892</v>
      </c>
      <c r="C467" s="18" t="s">
        <v>1064</v>
      </c>
      <c r="D467" s="18" t="s">
        <v>1283</v>
      </c>
      <c r="E467" s="18" t="s">
        <v>980</v>
      </c>
      <c r="F467" s="18" t="s">
        <v>1524</v>
      </c>
      <c r="G467" s="18" t="s">
        <v>1525</v>
      </c>
      <c r="H467" s="18" t="s">
        <v>1525</v>
      </c>
      <c r="I467" s="18" t="s">
        <v>983</v>
      </c>
      <c r="J467" s="18">
        <v>82</v>
      </c>
      <c r="K467" s="18"/>
    </row>
    <row r="468" spans="2:11">
      <c r="B468" s="18" t="s">
        <v>892</v>
      </c>
      <c r="C468" s="18" t="s">
        <v>1286</v>
      </c>
      <c r="D468" s="18" t="s">
        <v>1396</v>
      </c>
      <c r="E468" s="18" t="s">
        <v>1288</v>
      </c>
      <c r="F468" s="18" t="s">
        <v>1526</v>
      </c>
      <c r="G468" s="18"/>
      <c r="H468" s="18" t="s">
        <v>1525</v>
      </c>
      <c r="I468" s="18" t="s">
        <v>983</v>
      </c>
      <c r="J468" s="18">
        <v>82</v>
      </c>
      <c r="K468" s="18"/>
    </row>
    <row r="469" spans="2:11">
      <c r="B469" s="18" t="s">
        <v>892</v>
      </c>
      <c r="C469" s="18" t="s">
        <v>1286</v>
      </c>
      <c r="D469" s="18" t="s">
        <v>1396</v>
      </c>
      <c r="E469" s="18" t="s">
        <v>1288</v>
      </c>
      <c r="F469" s="18" t="s">
        <v>1527</v>
      </c>
      <c r="G469" s="18"/>
      <c r="H469" s="18" t="s">
        <v>1525</v>
      </c>
      <c r="I469" s="18" t="s">
        <v>983</v>
      </c>
      <c r="J469" s="18">
        <v>82</v>
      </c>
      <c r="K469" s="18"/>
    </row>
    <row r="470" spans="2:11">
      <c r="B470" s="18" t="s">
        <v>892</v>
      </c>
      <c r="C470" s="18" t="s">
        <v>1022</v>
      </c>
      <c r="D470" s="18" t="s">
        <v>1399</v>
      </c>
      <c r="E470" s="18" t="s">
        <v>989</v>
      </c>
      <c r="F470" s="18" t="s">
        <v>1528</v>
      </c>
      <c r="G470" s="18"/>
      <c r="H470" s="18" t="s">
        <v>1067</v>
      </c>
      <c r="I470" s="18" t="s">
        <v>1529</v>
      </c>
      <c r="J470" s="18">
        <v>82</v>
      </c>
      <c r="K470" s="18"/>
    </row>
    <row r="471" spans="2:11">
      <c r="B471" s="18" t="s">
        <v>892</v>
      </c>
      <c r="C471" s="18" t="s">
        <v>1292</v>
      </c>
      <c r="D471" s="18" t="s">
        <v>1401</v>
      </c>
      <c r="E471" s="18" t="s">
        <v>909</v>
      </c>
      <c r="F471" s="18" t="s">
        <v>1530</v>
      </c>
      <c r="G471" s="18"/>
      <c r="H471" s="18" t="s">
        <v>1525</v>
      </c>
      <c r="I471" s="18" t="s">
        <v>983</v>
      </c>
      <c r="J471" s="18">
        <v>82</v>
      </c>
      <c r="K471" s="18"/>
    </row>
    <row r="472" spans="2:11">
      <c r="B472" s="18" t="s">
        <v>892</v>
      </c>
      <c r="C472" s="18" t="s">
        <v>1064</v>
      </c>
      <c r="D472" s="18" t="s">
        <v>1283</v>
      </c>
      <c r="E472" s="18" t="s">
        <v>980</v>
      </c>
      <c r="F472" s="18" t="s">
        <v>1531</v>
      </c>
      <c r="G472" s="18" t="s">
        <v>1532</v>
      </c>
      <c r="H472" s="18" t="s">
        <v>1532</v>
      </c>
      <c r="I472" s="18" t="s">
        <v>983</v>
      </c>
      <c r="J472" s="18">
        <v>83</v>
      </c>
      <c r="K472" s="18"/>
    </row>
    <row r="473" spans="2:11">
      <c r="B473" s="18" t="s">
        <v>892</v>
      </c>
      <c r="C473" s="18" t="s">
        <v>1286</v>
      </c>
      <c r="D473" s="18" t="s">
        <v>1396</v>
      </c>
      <c r="E473" s="18" t="s">
        <v>1288</v>
      </c>
      <c r="F473" s="18" t="s">
        <v>1533</v>
      </c>
      <c r="G473" s="18"/>
      <c r="H473" s="18" t="s">
        <v>1532</v>
      </c>
      <c r="I473" s="18" t="s">
        <v>983</v>
      </c>
      <c r="J473" s="18">
        <v>83</v>
      </c>
      <c r="K473" s="18"/>
    </row>
    <row r="474" spans="2:11">
      <c r="B474" s="18" t="s">
        <v>892</v>
      </c>
      <c r="C474" s="18" t="s">
        <v>1286</v>
      </c>
      <c r="D474" s="18" t="s">
        <v>1396</v>
      </c>
      <c r="E474" s="18" t="s">
        <v>1288</v>
      </c>
      <c r="F474" s="18" t="s">
        <v>1534</v>
      </c>
      <c r="G474" s="18"/>
      <c r="H474" s="18" t="s">
        <v>1532</v>
      </c>
      <c r="I474" s="18" t="s">
        <v>983</v>
      </c>
      <c r="J474" s="18">
        <v>83</v>
      </c>
      <c r="K474" s="18"/>
    </row>
    <row r="475" spans="2:11">
      <c r="B475" s="18" t="s">
        <v>892</v>
      </c>
      <c r="C475" s="18" t="s">
        <v>1022</v>
      </c>
      <c r="D475" s="18" t="s">
        <v>1399</v>
      </c>
      <c r="E475" s="18" t="s">
        <v>989</v>
      </c>
      <c r="F475" s="18" t="s">
        <v>1535</v>
      </c>
      <c r="G475" s="18"/>
      <c r="H475" s="18" t="s">
        <v>1069</v>
      </c>
      <c r="I475" s="18" t="s">
        <v>1493</v>
      </c>
      <c r="J475" s="18">
        <v>83</v>
      </c>
      <c r="K475" s="18"/>
    </row>
    <row r="476" spans="2:11">
      <c r="B476" s="18" t="s">
        <v>892</v>
      </c>
      <c r="C476" s="18" t="s">
        <v>1292</v>
      </c>
      <c r="D476" s="18" t="s">
        <v>1401</v>
      </c>
      <c r="E476" s="18" t="s">
        <v>909</v>
      </c>
      <c r="F476" s="18" t="s">
        <v>1536</v>
      </c>
      <c r="G476" s="18"/>
      <c r="H476" s="18" t="s">
        <v>1532</v>
      </c>
      <c r="I476" s="18" t="s">
        <v>983</v>
      </c>
      <c r="J476" s="18">
        <v>83</v>
      </c>
      <c r="K476" s="18"/>
    </row>
    <row r="477" spans="2:11">
      <c r="B477" s="18" t="s">
        <v>892</v>
      </c>
      <c r="C477" s="18" t="s">
        <v>1064</v>
      </c>
      <c r="D477" s="18" t="s">
        <v>1283</v>
      </c>
      <c r="E477" s="18" t="s">
        <v>980</v>
      </c>
      <c r="F477" s="18" t="s">
        <v>1537</v>
      </c>
      <c r="G477" s="18" t="s">
        <v>1538</v>
      </c>
      <c r="H477" s="18" t="s">
        <v>1538</v>
      </c>
      <c r="I477" s="18" t="s">
        <v>983</v>
      </c>
      <c r="J477" s="18">
        <v>84</v>
      </c>
      <c r="K477" s="18"/>
    </row>
    <row r="478" spans="2:11">
      <c r="B478" s="18" t="s">
        <v>892</v>
      </c>
      <c r="C478" s="18" t="s">
        <v>1286</v>
      </c>
      <c r="D478" s="18" t="s">
        <v>1396</v>
      </c>
      <c r="E478" s="18" t="s">
        <v>1288</v>
      </c>
      <c r="F478" s="18" t="s">
        <v>1539</v>
      </c>
      <c r="G478" s="18"/>
      <c r="H478" s="18" t="s">
        <v>1538</v>
      </c>
      <c r="I478" s="18" t="s">
        <v>983</v>
      </c>
      <c r="J478" s="18">
        <v>84</v>
      </c>
      <c r="K478" s="18"/>
    </row>
    <row r="479" spans="2:11">
      <c r="B479" s="18" t="s">
        <v>892</v>
      </c>
      <c r="C479" s="18" t="s">
        <v>1286</v>
      </c>
      <c r="D479" s="18" t="s">
        <v>1396</v>
      </c>
      <c r="E479" s="18" t="s">
        <v>1288</v>
      </c>
      <c r="F479" s="18" t="s">
        <v>1540</v>
      </c>
      <c r="G479" s="18"/>
      <c r="H479" s="18" t="s">
        <v>1538</v>
      </c>
      <c r="I479" s="18" t="s">
        <v>983</v>
      </c>
      <c r="J479" s="18">
        <v>84</v>
      </c>
      <c r="K479" s="18"/>
    </row>
    <row r="480" spans="2:11">
      <c r="B480" s="18" t="s">
        <v>892</v>
      </c>
      <c r="C480" s="18" t="s">
        <v>1022</v>
      </c>
      <c r="D480" s="18" t="s">
        <v>1399</v>
      </c>
      <c r="E480" s="18" t="s">
        <v>989</v>
      </c>
      <c r="F480" s="18" t="s">
        <v>1541</v>
      </c>
      <c r="G480" s="18"/>
      <c r="H480" s="18" t="s">
        <v>1019</v>
      </c>
      <c r="I480" s="18" t="s">
        <v>1500</v>
      </c>
      <c r="J480" s="18">
        <v>84</v>
      </c>
      <c r="K480" s="18"/>
    </row>
    <row r="481" spans="2:11">
      <c r="B481" s="18" t="s">
        <v>892</v>
      </c>
      <c r="C481" s="18" t="s">
        <v>1292</v>
      </c>
      <c r="D481" s="18" t="s">
        <v>1401</v>
      </c>
      <c r="E481" s="18" t="s">
        <v>909</v>
      </c>
      <c r="F481" s="18" t="s">
        <v>1542</v>
      </c>
      <c r="G481" s="18"/>
      <c r="H481" s="18" t="s">
        <v>1538</v>
      </c>
      <c r="I481" s="18"/>
      <c r="J481" s="18">
        <v>84</v>
      </c>
      <c r="K481" s="18"/>
    </row>
    <row r="482" spans="2:11">
      <c r="B482" s="18" t="s">
        <v>892</v>
      </c>
      <c r="C482" s="18" t="s">
        <v>1064</v>
      </c>
      <c r="D482" s="18" t="s">
        <v>1283</v>
      </c>
      <c r="E482" s="18" t="s">
        <v>980</v>
      </c>
      <c r="F482" s="18" t="s">
        <v>1543</v>
      </c>
      <c r="G482" s="18" t="s">
        <v>1544</v>
      </c>
      <c r="H482" s="18" t="s">
        <v>1544</v>
      </c>
      <c r="I482" s="18"/>
      <c r="J482" s="18">
        <v>85</v>
      </c>
      <c r="K482" s="18"/>
    </row>
    <row r="483" spans="2:11">
      <c r="B483" s="18" t="s">
        <v>892</v>
      </c>
      <c r="C483" s="18" t="s">
        <v>1064</v>
      </c>
      <c r="D483" s="18" t="s">
        <v>1283</v>
      </c>
      <c r="E483" s="18" t="s">
        <v>980</v>
      </c>
      <c r="F483" s="18" t="s">
        <v>1545</v>
      </c>
      <c r="G483" s="18" t="s">
        <v>1546</v>
      </c>
      <c r="H483" s="18" t="s">
        <v>1546</v>
      </c>
      <c r="I483" s="18"/>
      <c r="J483" s="18">
        <v>86</v>
      </c>
      <c r="K483" s="18"/>
    </row>
    <row r="484" spans="2:11">
      <c r="B484" s="18" t="s">
        <v>892</v>
      </c>
      <c r="C484" s="18" t="s">
        <v>1064</v>
      </c>
      <c r="D484" s="18" t="s">
        <v>1283</v>
      </c>
      <c r="E484" s="18" t="s">
        <v>980</v>
      </c>
      <c r="F484" s="18" t="s">
        <v>1547</v>
      </c>
      <c r="G484" s="18" t="s">
        <v>1548</v>
      </c>
      <c r="H484" s="18" t="s">
        <v>1548</v>
      </c>
      <c r="I484" s="18"/>
      <c r="J484" s="18">
        <v>87</v>
      </c>
      <c r="K484" s="18"/>
    </row>
    <row r="485" spans="2:11">
      <c r="B485" s="18" t="s">
        <v>892</v>
      </c>
      <c r="C485" s="18" t="s">
        <v>1022</v>
      </c>
      <c r="D485" s="18" t="s">
        <v>1399</v>
      </c>
      <c r="E485" s="18" t="s">
        <v>989</v>
      </c>
      <c r="F485" s="18" t="s">
        <v>1549</v>
      </c>
      <c r="G485" s="18"/>
      <c r="H485" s="18"/>
      <c r="I485" s="18" t="s">
        <v>1550</v>
      </c>
      <c r="J485" s="18">
        <v>88</v>
      </c>
      <c r="K485" s="18" t="s">
        <v>1551</v>
      </c>
    </row>
    <row r="486" spans="2:11">
      <c r="B486" s="18" t="s">
        <v>892</v>
      </c>
      <c r="C486" s="18" t="s">
        <v>1022</v>
      </c>
      <c r="D486" s="18" t="s">
        <v>1399</v>
      </c>
      <c r="E486" s="18" t="s">
        <v>989</v>
      </c>
      <c r="F486" s="18" t="s">
        <v>1552</v>
      </c>
      <c r="G486" s="18"/>
      <c r="H486" s="18"/>
      <c r="I486" s="18" t="s">
        <v>1551</v>
      </c>
      <c r="J486" s="18">
        <v>89</v>
      </c>
      <c r="K486" s="18" t="s">
        <v>1551</v>
      </c>
    </row>
    <row r="487" spans="2:11">
      <c r="B487" s="18" t="s">
        <v>892</v>
      </c>
      <c r="C487" s="18" t="s">
        <v>1286</v>
      </c>
      <c r="D487" s="18" t="s">
        <v>1396</v>
      </c>
      <c r="E487" s="18" t="s">
        <v>1288</v>
      </c>
      <c r="F487" s="18" t="s">
        <v>1553</v>
      </c>
      <c r="G487" s="18"/>
      <c r="H487" s="18"/>
      <c r="I487" s="18" t="s">
        <v>983</v>
      </c>
      <c r="J487" s="18">
        <v>90</v>
      </c>
      <c r="K487" s="18" t="s">
        <v>1554</v>
      </c>
    </row>
    <row r="488" spans="2:11">
      <c r="B488" s="18" t="s">
        <v>892</v>
      </c>
      <c r="C488" s="18" t="s">
        <v>1286</v>
      </c>
      <c r="D488" s="18" t="s">
        <v>1396</v>
      </c>
      <c r="E488" s="18" t="s">
        <v>1288</v>
      </c>
      <c r="F488" s="18" t="s">
        <v>1555</v>
      </c>
      <c r="G488" s="18"/>
      <c r="H488" s="18"/>
      <c r="I488" s="18" t="s">
        <v>983</v>
      </c>
      <c r="J488" s="18">
        <v>90</v>
      </c>
      <c r="K488" s="18" t="s">
        <v>1554</v>
      </c>
    </row>
    <row r="489" spans="2:11">
      <c r="B489" s="18" t="s">
        <v>892</v>
      </c>
      <c r="C489" s="18" t="s">
        <v>1292</v>
      </c>
      <c r="D489" s="18" t="s">
        <v>1401</v>
      </c>
      <c r="E489" s="18" t="s">
        <v>909</v>
      </c>
      <c r="F489" s="18" t="s">
        <v>1556</v>
      </c>
      <c r="G489" s="18"/>
      <c r="H489" s="18"/>
      <c r="I489" s="18" t="s">
        <v>983</v>
      </c>
      <c r="J489" s="18">
        <v>90</v>
      </c>
      <c r="K489" s="18" t="s">
        <v>1554</v>
      </c>
    </row>
    <row r="490" spans="2:11">
      <c r="B490" s="18" t="s">
        <v>892</v>
      </c>
      <c r="C490" s="18" t="s">
        <v>1286</v>
      </c>
      <c r="D490" s="18" t="s">
        <v>1396</v>
      </c>
      <c r="E490" s="18" t="s">
        <v>1288</v>
      </c>
      <c r="F490" s="18" t="s">
        <v>1557</v>
      </c>
      <c r="G490" s="18"/>
      <c r="H490" s="18"/>
      <c r="I490" s="18" t="s">
        <v>983</v>
      </c>
      <c r="J490" s="18">
        <v>91</v>
      </c>
      <c r="K490" s="18" t="s">
        <v>1554</v>
      </c>
    </row>
    <row r="491" spans="2:11">
      <c r="B491" s="18" t="s">
        <v>892</v>
      </c>
      <c r="C491" s="18" t="s">
        <v>1286</v>
      </c>
      <c r="D491" s="18" t="s">
        <v>1396</v>
      </c>
      <c r="E491" s="18" t="s">
        <v>1288</v>
      </c>
      <c r="F491" s="18" t="s">
        <v>1558</v>
      </c>
      <c r="G491" s="18"/>
      <c r="H491" s="18"/>
      <c r="I491" s="18" t="s">
        <v>983</v>
      </c>
      <c r="J491" s="18">
        <v>91</v>
      </c>
      <c r="K491" s="18" t="s">
        <v>1554</v>
      </c>
    </row>
    <row r="492" spans="2:11">
      <c r="B492" s="18" t="s">
        <v>892</v>
      </c>
      <c r="C492" s="18" t="s">
        <v>1292</v>
      </c>
      <c r="D492" s="18" t="s">
        <v>1401</v>
      </c>
      <c r="E492" s="18" t="s">
        <v>909</v>
      </c>
      <c r="F492" s="18" t="s">
        <v>1559</v>
      </c>
      <c r="G492" s="18"/>
      <c r="H492" s="18"/>
      <c r="I492" s="18" t="s">
        <v>983</v>
      </c>
      <c r="J492" s="18">
        <v>91</v>
      </c>
      <c r="K492" s="18" t="s">
        <v>1554</v>
      </c>
    </row>
    <row r="493" spans="2:11">
      <c r="B493" s="18" t="s">
        <v>892</v>
      </c>
      <c r="C493" s="18" t="s">
        <v>1286</v>
      </c>
      <c r="D493" s="18" t="s">
        <v>1396</v>
      </c>
      <c r="E493" s="18" t="s">
        <v>1288</v>
      </c>
      <c r="F493" s="18" t="s">
        <v>1560</v>
      </c>
      <c r="G493" s="18"/>
      <c r="H493" s="18"/>
      <c r="I493" s="18" t="s">
        <v>983</v>
      </c>
      <c r="J493" s="18">
        <v>92</v>
      </c>
      <c r="K493" s="18" t="s">
        <v>1554</v>
      </c>
    </row>
    <row r="494" spans="2:11">
      <c r="B494" s="18" t="s">
        <v>892</v>
      </c>
      <c r="C494" s="18" t="s">
        <v>1286</v>
      </c>
      <c r="D494" s="18" t="s">
        <v>1396</v>
      </c>
      <c r="E494" s="18" t="s">
        <v>1288</v>
      </c>
      <c r="F494" s="18" t="s">
        <v>1561</v>
      </c>
      <c r="G494" s="18"/>
      <c r="H494" s="18"/>
      <c r="I494" s="18" t="s">
        <v>983</v>
      </c>
      <c r="J494" s="18">
        <v>92</v>
      </c>
      <c r="K494" s="18" t="s">
        <v>1554</v>
      </c>
    </row>
    <row r="495" spans="2:11">
      <c r="B495" s="18" t="s">
        <v>892</v>
      </c>
      <c r="C495" s="18" t="s">
        <v>1292</v>
      </c>
      <c r="D495" s="18" t="s">
        <v>1401</v>
      </c>
      <c r="E495" s="18" t="s">
        <v>909</v>
      </c>
      <c r="F495" s="18" t="s">
        <v>1562</v>
      </c>
      <c r="G495" s="18"/>
      <c r="H495" s="18"/>
      <c r="I495" s="18" t="s">
        <v>983</v>
      </c>
      <c r="J495" s="18">
        <v>92</v>
      </c>
      <c r="K495" s="18" t="s">
        <v>1554</v>
      </c>
    </row>
    <row r="496" spans="2:11"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</sheetData>
  <pageMargins left="0.59055118110236227" right="0.59055118110236227" top="1.1811023622047245" bottom="0.98425196850393704" header="0.39370078740157483" footer="0.39370078740157483"/>
  <pageSetup paperSize="9" scale="81" fitToHeight="0" orientation="landscape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34E7-4D08-45AE-AC4C-D89A6CDE9F7B}">
  <sheetPr codeName="Sheet27">
    <tabColor rgb="FF0070C0"/>
    <pageSetUpPr fitToPage="1"/>
  </sheetPr>
  <dimension ref="A1:AC372"/>
  <sheetViews>
    <sheetView topLeftCell="A306" workbookViewId="0">
      <selection activeCell="A336" sqref="A336"/>
    </sheetView>
  </sheetViews>
  <sheetFormatPr defaultRowHeight="10.199999999999999"/>
  <cols>
    <col min="1" max="1" width="1.6640625" customWidth="1"/>
    <col min="2" max="2" width="23.33203125" customWidth="1"/>
    <col min="3" max="3" width="11.88671875" bestFit="1" customWidth="1"/>
    <col min="4" max="4" width="12.44140625" customWidth="1"/>
    <col min="5" max="5" width="37.109375" bestFit="1" customWidth="1"/>
    <col min="6" max="6" width="3.88671875" customWidth="1"/>
    <col min="7" max="7" width="9" customWidth="1"/>
    <col min="8" max="8" width="11.109375" customWidth="1"/>
    <col min="9" max="9" width="8.88671875" bestFit="1" customWidth="1"/>
    <col min="10" max="10" width="13" bestFit="1" customWidth="1"/>
    <col min="11" max="11" width="11.6640625" bestFit="1" customWidth="1"/>
    <col min="12" max="12" width="24" customWidth="1"/>
    <col min="13" max="14" width="13.6640625" customWidth="1"/>
    <col min="15" max="15" width="7.77734375" bestFit="1" customWidth="1"/>
    <col min="16" max="16" width="10.6640625" bestFit="1" customWidth="1"/>
    <col min="17" max="17" width="12.33203125" customWidth="1"/>
    <col min="18" max="18" width="14" bestFit="1" customWidth="1"/>
    <col min="19" max="19" width="14.44140625" customWidth="1"/>
    <col min="20" max="20" width="12.88671875" bestFit="1" customWidth="1"/>
    <col min="21" max="21" width="23.109375" customWidth="1"/>
    <col min="22" max="22" width="42.21875" customWidth="1"/>
  </cols>
  <sheetData>
    <row r="1" spans="1:29" ht="21">
      <c r="A1" s="12" t="s">
        <v>1977</v>
      </c>
      <c r="B1" s="12"/>
      <c r="C1" s="12"/>
      <c r="D1" s="12"/>
      <c r="E1" s="12"/>
      <c r="F1" s="12" t="s">
        <v>49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9" ht="13.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57"/>
      <c r="R2" s="38"/>
      <c r="S2" s="40"/>
      <c r="T2" s="40"/>
      <c r="U2" s="40"/>
      <c r="V2" s="40"/>
    </row>
    <row r="3" spans="1:29" ht="15.6">
      <c r="A3" s="40"/>
      <c r="B3" s="144" t="s">
        <v>889</v>
      </c>
      <c r="C3" s="145" t="s">
        <v>1978</v>
      </c>
      <c r="D3" s="145" t="s">
        <v>1564</v>
      </c>
      <c r="E3" s="145" t="s">
        <v>887</v>
      </c>
      <c r="F3" s="146" t="s">
        <v>1830</v>
      </c>
      <c r="G3" s="147" t="s">
        <v>44</v>
      </c>
      <c r="H3" s="148" t="s">
        <v>1565</v>
      </c>
      <c r="I3" s="149" t="s">
        <v>53</v>
      </c>
      <c r="J3" s="145" t="s">
        <v>1979</v>
      </c>
      <c r="K3" s="145" t="s">
        <v>1980</v>
      </c>
      <c r="L3" s="145" t="s">
        <v>1981</v>
      </c>
      <c r="M3" s="145" t="s">
        <v>45</v>
      </c>
      <c r="N3" s="145" t="s">
        <v>1982</v>
      </c>
      <c r="O3" s="145" t="s">
        <v>1983</v>
      </c>
      <c r="P3" s="145" t="s">
        <v>46</v>
      </c>
      <c r="Q3" s="145" t="s">
        <v>48</v>
      </c>
      <c r="R3" s="145" t="s">
        <v>49</v>
      </c>
      <c r="S3" s="145" t="s">
        <v>1572</v>
      </c>
      <c r="T3" s="145" t="s">
        <v>1984</v>
      </c>
      <c r="U3" s="145" t="s">
        <v>1985</v>
      </c>
      <c r="V3" s="150" t="s">
        <v>16</v>
      </c>
    </row>
    <row r="4" spans="1:29">
      <c r="A4" s="40"/>
      <c r="B4" s="129" t="s">
        <v>1339</v>
      </c>
      <c r="C4" s="152" t="s">
        <v>1986</v>
      </c>
      <c r="D4" s="118" t="str">
        <f>IF(CONNECTIONS_TABLE[[#This Row],[Device Name]]="","",VLOOKUP(CONNECTIONS_TABLE[[#This Row],[Device Name]],DEVICE_TABLE[#Data],MATCH(D$3,DEVICE_TABLE[#Headers],0),FALSE))</f>
        <v>DNAC</v>
      </c>
      <c r="E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FGHLHN221/enp94s0f0 (DNAC)</v>
      </c>
      <c r="F4" s="154"/>
      <c r="G4" s="118" t="str">
        <f>IF(CONNECTIONS_TABLE[[#This Row],[Device Name]]="","",VLOOKUP(CONNECTIONS_TABLE[[#This Row],[Device Name]],DEVICE_TABLE[],MATCH(G$3,DEVICE_TABLE[#Headers],0),FALSE))</f>
        <v>Listerhills</v>
      </c>
      <c r="H4" s="153" t="str">
        <f>IF(B4="","",VLOOKUP(B4,DEVICE_TABLE[#Data],MATCH(H$3,DEVICE_TABLE[#Headers],0),FALSE))</f>
        <v>CR1</v>
      </c>
      <c r="I4" s="122" t="s">
        <v>1575</v>
      </c>
      <c r="J4" s="122" t="s">
        <v>1371</v>
      </c>
      <c r="K4" s="122" t="s">
        <v>1987</v>
      </c>
      <c r="L4" s="153" t="str">
        <f>J4&amp;" "&amp;K4</f>
        <v>FGHLHN41-1 Twe1/0/1</v>
      </c>
      <c r="M4" s="122" t="s">
        <v>1872</v>
      </c>
      <c r="N4" s="122" t="s">
        <v>1988</v>
      </c>
      <c r="O4" s="152"/>
      <c r="P4" s="152">
        <v>1021</v>
      </c>
      <c r="Q4" s="156" t="str">
        <f>IF(L4="","",IFERROR(VLOOKUP(UPPER($G4)&amp;"/"&amp;$P4,NETWORKS_TABLE[],MATCH(Q$3,NETWORKS_TABLE[#Headers],0),FALSE),""))</f>
        <v>SYSTEM</v>
      </c>
      <c r="R4" s="156" t="str">
        <f>IF(B4="","",IFERROR(VLOOKUP(UPPER($G4)&amp;"/"&amp;$P4,NETWORKS_TABLE[],MATCH(R$3,NETWORKS_TABLE[#Headers],0),FALSE),""))</f>
        <v>10.224.21.0/24</v>
      </c>
      <c r="S4" s="188" t="s" cm="1">
        <v>1654</v>
      </c>
      <c r="T4" s="152"/>
      <c r="U4" s="152"/>
      <c r="V4" s="155"/>
      <c r="AC4" t="s">
        <v>1653</v>
      </c>
    </row>
    <row r="5" spans="1:29">
      <c r="A5" s="40"/>
      <c r="B5" s="151" t="s">
        <v>1339</v>
      </c>
      <c r="C5" s="152" t="s">
        <v>1989</v>
      </c>
      <c r="D5" s="118" t="str">
        <f>IF(CONNECTIONS_TABLE[[#This Row],[Device Name]]="","",VLOOKUP(CONNECTIONS_TABLE[[#This Row],[Device Name]],DEVICE_TABLE[#Data],MATCH(D$3,DEVICE_TABLE[#Headers],0),FALSE))</f>
        <v>DNAC</v>
      </c>
      <c r="E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FGHLHN221/enp94s0f1 (DNAC)</v>
      </c>
      <c r="F5" s="154"/>
      <c r="G5" s="118" t="str">
        <f>IF(CONNECTIONS_TABLE[[#This Row],[Device Name]]="","",VLOOKUP(CONNECTIONS_TABLE[[#This Row],[Device Name]],DEVICE_TABLE[],MATCH(G$3,DEVICE_TABLE[#Headers],0),FALSE))</f>
        <v>Listerhills</v>
      </c>
      <c r="H5" s="153" t="str">
        <f>IF(B5="","",VLOOKUP(B5,DEVICE_TABLE[#Data],MATCH(H$3,DEVICE_TABLE[#Headers],0),FALSE))</f>
        <v>CR1</v>
      </c>
      <c r="I5" s="122" t="s">
        <v>1575</v>
      </c>
      <c r="J5" s="122" t="s">
        <v>1375</v>
      </c>
      <c r="K5" s="122" t="s">
        <v>1886</v>
      </c>
      <c r="L5" s="153" t="str">
        <f t="shared" ref="L5:L68" si="0">J5&amp;" "&amp;K5</f>
        <v>FGHLHN41-2 twe2/0/1</v>
      </c>
      <c r="M5" s="122" t="s">
        <v>1872</v>
      </c>
      <c r="N5" s="122" t="s">
        <v>1988</v>
      </c>
      <c r="O5" s="152"/>
      <c r="P5" s="152">
        <v>1029</v>
      </c>
      <c r="Q5" s="156" t="str">
        <f>IF(L5="","",IFERROR(VLOOKUP(UPPER($G5)&amp;"/"&amp;$P5,NETWORKS_TABLE[],MATCH(Q$3,NETWORKS_TABLE[#Headers],0),FALSE),""))</f>
        <v>DNACLUSTER</v>
      </c>
      <c r="R5" s="156" t="str">
        <f>IF(B5="","",IFERROR(VLOOKUP(UPPER($G5)&amp;"/"&amp;$P5,NETWORKS_TABLE[],MATCH(R$3,NETWORKS_TABLE[#Headers],0),FALSE),""))</f>
        <v>10.224.29.0/24</v>
      </c>
      <c r="S5" s="188" t="s" cm="1">
        <v>2114</v>
      </c>
      <c r="T5" s="152"/>
      <c r="U5" s="152"/>
      <c r="V5" s="155"/>
      <c r="AC5" t="s">
        <v>1653</v>
      </c>
    </row>
    <row r="6" spans="1:29">
      <c r="A6" s="40"/>
      <c r="B6" s="151" t="s">
        <v>1339</v>
      </c>
      <c r="C6" s="152" t="s">
        <v>1990</v>
      </c>
      <c r="D6" s="118" t="str">
        <f>IF(CONNECTIONS_TABLE[[#This Row],[Device Name]]="","",VLOOKUP(CONNECTIONS_TABLE[[#This Row],[Device Name]],DEVICE_TABLE[#Data],MATCH(D$3,DEVICE_TABLE[#Headers],0),FALSE))</f>
        <v>DNAC</v>
      </c>
      <c r="E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FGHLHN221/eno1 (DNAC)</v>
      </c>
      <c r="F6" s="154"/>
      <c r="G6" s="118" t="str">
        <f>IF(CONNECTIONS_TABLE[[#This Row],[Device Name]]="","",VLOOKUP(CONNECTIONS_TABLE[[#This Row],[Device Name]],DEVICE_TABLE[],MATCH(G$3,DEVICE_TABLE[#Headers],0),FALSE))</f>
        <v>Listerhills</v>
      </c>
      <c r="H6" s="153" t="str">
        <f>IF(B6="","",VLOOKUP(B6,DEVICE_TABLE[#Data],MATCH(H$3,DEVICE_TABLE[#Headers],0),FALSE))</f>
        <v>CR1</v>
      </c>
      <c r="I6" s="122" t="s">
        <v>1575</v>
      </c>
      <c r="J6" s="122" t="s">
        <v>1073</v>
      </c>
      <c r="K6" s="122" t="s">
        <v>882</v>
      </c>
      <c r="L6" s="153" t="str">
        <f t="shared" si="0"/>
        <v>FGHLHN141-1 Gi1/0/1</v>
      </c>
      <c r="M6" s="122" t="s">
        <v>1991</v>
      </c>
      <c r="N6" s="122" t="s">
        <v>1988</v>
      </c>
      <c r="O6" s="152"/>
      <c r="P6" s="152">
        <v>1021</v>
      </c>
      <c r="Q6" s="156" t="str">
        <f>IF(L6="","",IFERROR(VLOOKUP(UPPER($G6)&amp;"/"&amp;$P6,NETWORKS_TABLE[],MATCH(Q$3,NETWORKS_TABLE[#Headers],0),FALSE),""))</f>
        <v>SYSTEM</v>
      </c>
      <c r="R6" s="156" t="str">
        <f>IF(B6="","",IFERROR(VLOOKUP(UPPER($G6)&amp;"/"&amp;$P6,NETWORKS_TABLE[],MATCH(R$3,NETWORKS_TABLE[#Headers],0),FALSE),""))</f>
        <v>10.224.21.0/24</v>
      </c>
      <c r="S6" s="188" t="s" cm="1">
        <v>1654</v>
      </c>
      <c r="T6" s="152"/>
      <c r="U6" s="152"/>
      <c r="V6" s="155"/>
      <c r="AC6" t="s">
        <v>1653</v>
      </c>
    </row>
    <row r="7" spans="1:29">
      <c r="A7" s="40"/>
      <c r="B7" s="151" t="s">
        <v>1339</v>
      </c>
      <c r="C7" s="152" t="s">
        <v>1992</v>
      </c>
      <c r="D7" s="118" t="str">
        <f>IF(CONNECTIONS_TABLE[[#This Row],[Device Name]]="","",VLOOKUP(CONNECTIONS_TABLE[[#This Row],[Device Name]],DEVICE_TABLE[#Data],MATCH(D$3,DEVICE_TABLE[#Headers],0),FALSE))</f>
        <v>DNAC</v>
      </c>
      <c r="E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FGHLHN221/CIMC (DNAC)</v>
      </c>
      <c r="F7" s="154"/>
      <c r="G7" s="118" t="str">
        <f>IF(CONNECTIONS_TABLE[[#This Row],[Device Name]]="","",VLOOKUP(CONNECTIONS_TABLE[[#This Row],[Device Name]],DEVICE_TABLE[],MATCH(G$3,DEVICE_TABLE[#Headers],0),FALSE))</f>
        <v>Listerhills</v>
      </c>
      <c r="H7" s="153" t="str">
        <f>IF(B7="","",VLOOKUP(B7,DEVICE_TABLE[#Data],MATCH(H$3,DEVICE_TABLE[#Headers],0),FALSE))</f>
        <v>CR1</v>
      </c>
      <c r="I7" s="122" t="s">
        <v>1575</v>
      </c>
      <c r="J7" s="122" t="s">
        <v>1083</v>
      </c>
      <c r="K7" s="122" t="s">
        <v>1993</v>
      </c>
      <c r="L7" s="153" t="str">
        <f t="shared" si="0"/>
        <v>FGHLHN141-2 Gi2/0/1</v>
      </c>
      <c r="M7" s="122" t="s">
        <v>1991</v>
      </c>
      <c r="N7" s="122" t="s">
        <v>1988</v>
      </c>
      <c r="O7" s="152"/>
      <c r="P7" s="152">
        <v>1018</v>
      </c>
      <c r="Q7" s="156" t="str">
        <f>IF(L7="","",IFERROR(VLOOKUP(UPPER($G7)&amp;"/"&amp;$P7,NETWORKS_TABLE[],MATCH(Q$3,NETWORKS_TABLE[#Headers],0),FALSE),""))</f>
        <v>OOB</v>
      </c>
      <c r="R7" s="156" t="str">
        <f>IF(B7="","",IFERROR(VLOOKUP(UPPER($G7)&amp;"/"&amp;$P7,NETWORKS_TABLE[],MATCH(R$3,NETWORKS_TABLE[#Headers],0),FALSE),""))</f>
        <v>10.224.18.0/24</v>
      </c>
      <c r="S7" s="188" t="s" cm="1">
        <v>2115</v>
      </c>
      <c r="T7" s="152"/>
      <c r="U7" s="152"/>
      <c r="V7" s="155"/>
      <c r="AC7" t="s">
        <v>1653</v>
      </c>
    </row>
    <row r="8" spans="1:29">
      <c r="A8" s="40"/>
      <c r="B8" s="151"/>
      <c r="C8" s="152"/>
      <c r="D8" s="118" t="str">
        <f>IF(CONNECTIONS_TABLE[[#This Row],[Device Name]]="","",VLOOKUP(CONNECTIONS_TABLE[[#This Row],[Device Name]],DEVICE_TABLE[#Data],MATCH(D$3,DEVICE_TABLE[#Headers],0),FALSE))</f>
        <v/>
      </c>
      <c r="E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8" s="154"/>
      <c r="G8" s="118" t="str">
        <f>IF(CONNECTIONS_TABLE[[#This Row],[Device Name]]="","",VLOOKUP(CONNECTIONS_TABLE[[#This Row],[Device Name]],DEVICE_TABLE[],MATCH(G$3,DEVICE_TABLE[#Headers],0),FALSE))</f>
        <v/>
      </c>
      <c r="H8" s="153" t="str">
        <f>IF(B8="","",VLOOKUP(B8,DEVICE_TABLE[#Data],MATCH(H$3,DEVICE_TABLE[#Headers],0),FALSE))</f>
        <v/>
      </c>
      <c r="I8" s="122"/>
      <c r="J8" s="122"/>
      <c r="K8" s="122"/>
      <c r="L8" s="153" t="str">
        <f t="shared" si="0"/>
        <v xml:space="preserve"> </v>
      </c>
      <c r="M8" s="122"/>
      <c r="N8" s="122"/>
      <c r="O8" s="152"/>
      <c r="P8" s="152"/>
      <c r="Q8" s="156" t="str">
        <f>IF(L8="","",IFERROR(VLOOKUP(UPPER($G8)&amp;"/"&amp;$P8,NETWORKS_TABLE[],MATCH(Q$3,NETWORKS_TABLE[#Headers],0),FALSE),""))</f>
        <v/>
      </c>
      <c r="R8" s="156" t="str">
        <f>IF(B8="","",IFERROR(VLOOKUP(UPPER($G8)&amp;"/"&amp;$P8,NETWORKS_TABLE[],MATCH(R$3,NETWORKS_TABLE[#Headers],0),FALSE),""))</f>
        <v/>
      </c>
      <c r="S8" s="188" t="s" cm="1">
        <v>78</v>
      </c>
      <c r="T8" s="152"/>
      <c r="U8" s="152"/>
      <c r="V8" s="155"/>
      <c r="AC8" t="s">
        <v>78</v>
      </c>
    </row>
    <row r="9" spans="1:29">
      <c r="A9" s="40"/>
      <c r="B9" s="151" t="s">
        <v>1694</v>
      </c>
      <c r="C9" s="152" t="s">
        <v>1994</v>
      </c>
      <c r="D9" s="118" t="str">
        <f>IF(CONNECTIONS_TABLE[[#This Row],[Device Name]]="","",VLOOKUP(CONNECTIONS_TABLE[[#This Row],[Device Name]],DEVICE_TABLE[#Data],MATCH(D$3,DEVICE_TABLE[#Headers],0),FALSE))</f>
        <v>LEGACY</v>
      </c>
      <c r="E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LHCR1C01/Te10/2 (LEGACY)</v>
      </c>
      <c r="F9" s="154"/>
      <c r="G9" s="118" t="str">
        <f>IF(CONNECTIONS_TABLE[[#This Row],[Device Name]]="","",VLOOKUP(CONNECTIONS_TABLE[[#This Row],[Device Name]],DEVICE_TABLE[],MATCH(G$3,DEVICE_TABLE[#Headers],0),FALSE))</f>
        <v>Listerhills</v>
      </c>
      <c r="H9" s="153" t="str">
        <f>IF(B9="","",VLOOKUP(B9,DEVICE_TABLE[#Data],MATCH(H$3,DEVICE_TABLE[#Headers],0),FALSE))</f>
        <v>CR1</v>
      </c>
      <c r="I9" s="122" t="s">
        <v>1575</v>
      </c>
      <c r="J9" s="122" t="s">
        <v>1371</v>
      </c>
      <c r="K9" s="122" t="s">
        <v>1995</v>
      </c>
      <c r="L9" s="153" t="str">
        <f t="shared" si="0"/>
        <v>FGHLHN41-1 Twe1/0/45</v>
      </c>
      <c r="M9" s="122" t="s">
        <v>1996</v>
      </c>
      <c r="N9" s="122" t="s">
        <v>1988</v>
      </c>
      <c r="O9" s="152"/>
      <c r="P9" s="152" t="s">
        <v>2075</v>
      </c>
      <c r="Q9" s="156" t="str">
        <f>IF(L9="","",IFERROR(VLOOKUP(UPPER($G9)&amp;"/"&amp;$P9,NETWORKS_TABLE[],MATCH(Q$3,NETWORKS_TABLE[#Headers],0),FALSE),""))</f>
        <v/>
      </c>
      <c r="R9" s="156" t="str">
        <f>IF(B9="","",IFERROR(VLOOKUP(UPPER($G9)&amp;"/"&amp;$P9,NETWORKS_TABLE[],MATCH(R$3,NETWORKS_TABLE[#Headers],0),FALSE),""))</f>
        <v/>
      </c>
      <c r="S9" s="188" t="s" cm="1">
        <v>78</v>
      </c>
      <c r="T9" s="152"/>
      <c r="U9" s="152"/>
      <c r="V9" s="155" t="s">
        <v>1997</v>
      </c>
    </row>
    <row r="10" spans="1:29">
      <c r="A10" s="40"/>
      <c r="B10" s="151" t="s">
        <v>1694</v>
      </c>
      <c r="C10" s="152" t="s">
        <v>1998</v>
      </c>
      <c r="D10" s="118" t="str">
        <f>IF(CONNECTIONS_TABLE[[#This Row],[Device Name]]="","",VLOOKUP(CONNECTIONS_TABLE[[#This Row],[Device Name]],DEVICE_TABLE[#Data],MATCH(D$3,DEVICE_TABLE[#Headers],0),FALSE))</f>
        <v>LEGACY</v>
      </c>
      <c r="E1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LHCR1C01/Te10/3 (LEGACY)</v>
      </c>
      <c r="F10" s="154"/>
      <c r="G10" s="118" t="str">
        <f>IF(CONNECTIONS_TABLE[[#This Row],[Device Name]]="","",VLOOKUP(CONNECTIONS_TABLE[[#This Row],[Device Name]],DEVICE_TABLE[],MATCH(G$3,DEVICE_TABLE[#Headers],0),FALSE))</f>
        <v>Listerhills</v>
      </c>
      <c r="H10" s="153" t="str">
        <f>IF(B10="","",VLOOKUP(B10,DEVICE_TABLE[#Data],MATCH(H$3,DEVICE_TABLE[#Headers],0),FALSE))</f>
        <v>CR1</v>
      </c>
      <c r="I10" s="122" t="s">
        <v>1575</v>
      </c>
      <c r="J10" s="122" t="s">
        <v>1371</v>
      </c>
      <c r="K10" s="122" t="s">
        <v>1999</v>
      </c>
      <c r="L10" s="153" t="str">
        <f t="shared" si="0"/>
        <v>FGHLHN41-1 Twe1/0/44</v>
      </c>
      <c r="M10" s="122" t="s">
        <v>1996</v>
      </c>
      <c r="N10" s="122" t="s">
        <v>1988</v>
      </c>
      <c r="O10" s="152">
        <v>44</v>
      </c>
      <c r="P10" s="152" t="s">
        <v>2075</v>
      </c>
      <c r="Q10" s="156" t="str">
        <f>IF(L10="","",IFERROR(VLOOKUP(UPPER($G10)&amp;"/"&amp;$P10,NETWORKS_TABLE[],MATCH(Q$3,NETWORKS_TABLE[#Headers],0),FALSE),""))</f>
        <v/>
      </c>
      <c r="R10" s="156" t="str">
        <f>IF(B10="","",IFERROR(VLOOKUP(UPPER($G10)&amp;"/"&amp;$P10,NETWORKS_TABLE[],MATCH(R$3,NETWORKS_TABLE[#Headers],0),FALSE),""))</f>
        <v/>
      </c>
      <c r="S10" s="188" t="s" cm="1">
        <v>78</v>
      </c>
      <c r="T10" s="152"/>
      <c r="U10" s="152"/>
      <c r="V10" s="155"/>
    </row>
    <row r="11" spans="1:29">
      <c r="A11" s="40"/>
      <c r="B11" s="151" t="s">
        <v>1694</v>
      </c>
      <c r="C11" s="152" t="s">
        <v>2000</v>
      </c>
      <c r="D11" s="118" t="str">
        <f>IF(CONNECTIONS_TABLE[[#This Row],[Device Name]]="","",VLOOKUP(CONNECTIONS_TABLE[[#This Row],[Device Name]],DEVICE_TABLE[#Data],MATCH(D$3,DEVICE_TABLE[#Headers],0),FALSE))</f>
        <v>LEGACY</v>
      </c>
      <c r="E1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LHCR1C01/Te10/4 (LEGACY)</v>
      </c>
      <c r="F11" s="154"/>
      <c r="G11" s="118" t="str">
        <f>IF(CONNECTIONS_TABLE[[#This Row],[Device Name]]="","",VLOOKUP(CONNECTIONS_TABLE[[#This Row],[Device Name]],DEVICE_TABLE[],MATCH(G$3,DEVICE_TABLE[#Headers],0),FALSE))</f>
        <v>Listerhills</v>
      </c>
      <c r="H11" s="153" t="str">
        <f>IF(B11="","",VLOOKUP(B11,DEVICE_TABLE[#Data],MATCH(H$3,DEVICE_TABLE[#Headers],0),FALSE))</f>
        <v>CR1</v>
      </c>
      <c r="I11" s="122" t="s">
        <v>1575</v>
      </c>
      <c r="J11" s="122" t="s">
        <v>1375</v>
      </c>
      <c r="K11" s="122" t="s">
        <v>2001</v>
      </c>
      <c r="L11" s="153" t="str">
        <f t="shared" si="0"/>
        <v>FGHLHN41-2 Twe2/0/44</v>
      </c>
      <c r="M11" s="122" t="s">
        <v>1996</v>
      </c>
      <c r="N11" s="122" t="s">
        <v>1988</v>
      </c>
      <c r="O11" s="152">
        <v>44</v>
      </c>
      <c r="P11" s="152" t="s">
        <v>2075</v>
      </c>
      <c r="Q11" s="156" t="str">
        <f>IF(L11="","",IFERROR(VLOOKUP(UPPER($G11)&amp;"/"&amp;$P11,NETWORKS_TABLE[],MATCH(Q$3,NETWORKS_TABLE[#Headers],0),FALSE),""))</f>
        <v/>
      </c>
      <c r="R11" s="156" t="str">
        <f>IF(B11="","",IFERROR(VLOOKUP(UPPER($G11)&amp;"/"&amp;$P11,NETWORKS_TABLE[],MATCH(R$3,NETWORKS_TABLE[#Headers],0),FALSE),""))</f>
        <v/>
      </c>
      <c r="S11" s="188" t="s" cm="1">
        <v>78</v>
      </c>
      <c r="T11" s="152"/>
      <c r="U11" s="152"/>
      <c r="V11" s="155"/>
    </row>
    <row r="12" spans="1:29">
      <c r="A12" s="40"/>
      <c r="B12" s="151" t="s">
        <v>1698</v>
      </c>
      <c r="C12" s="152" t="s">
        <v>1998</v>
      </c>
      <c r="D12" s="118" t="str">
        <f>IF(CONNECTIONS_TABLE[[#This Row],[Device Name]]="","",VLOOKUP(CONNECTIONS_TABLE[[#This Row],[Device Name]],DEVICE_TABLE[#Data],MATCH(D$3,DEVICE_TABLE[#Headers],0),FALSE))</f>
        <v>LEGACY</v>
      </c>
      <c r="E1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LHCR2C01/Te10/3 (LEGACY)</v>
      </c>
      <c r="F12" s="154"/>
      <c r="G12" s="118" t="str">
        <f>IF(CONNECTIONS_TABLE[[#This Row],[Device Name]]="","",VLOOKUP(CONNECTIONS_TABLE[[#This Row],[Device Name]],DEVICE_TABLE[],MATCH(G$3,DEVICE_TABLE[#Headers],0),FALSE))</f>
        <v>Listerhills</v>
      </c>
      <c r="H12" s="153" t="str">
        <f>IF(B12="","",VLOOKUP(B12,DEVICE_TABLE[#Data],MATCH(H$3,DEVICE_TABLE[#Headers],0),FALSE))</f>
        <v>CR2</v>
      </c>
      <c r="I12" s="122" t="s">
        <v>1575</v>
      </c>
      <c r="J12" s="122" t="s">
        <v>1379</v>
      </c>
      <c r="K12" s="122" t="s">
        <v>1999</v>
      </c>
      <c r="L12" s="153" t="str">
        <f t="shared" si="0"/>
        <v>FGHLHN42-1 Twe1/0/44</v>
      </c>
      <c r="M12" s="122" t="s">
        <v>1996</v>
      </c>
      <c r="N12" s="122" t="s">
        <v>1988</v>
      </c>
      <c r="O12" s="152">
        <v>44</v>
      </c>
      <c r="P12" s="152" t="s">
        <v>2075</v>
      </c>
      <c r="Q12" s="156" t="str">
        <f>IF(L12="","",IFERROR(VLOOKUP(UPPER($G12)&amp;"/"&amp;$P12,NETWORKS_TABLE[],MATCH(Q$3,NETWORKS_TABLE[#Headers],0),FALSE),""))</f>
        <v/>
      </c>
      <c r="R12" s="156" t="str">
        <f>IF(B12="","",IFERROR(VLOOKUP(UPPER($G12)&amp;"/"&amp;$P12,NETWORKS_TABLE[],MATCH(R$3,NETWORKS_TABLE[#Headers],0),FALSE),""))</f>
        <v/>
      </c>
      <c r="S12" s="188" t="s" cm="1">
        <v>78</v>
      </c>
      <c r="T12" s="152"/>
      <c r="U12" s="152"/>
      <c r="V12" s="155"/>
    </row>
    <row r="13" spans="1:29">
      <c r="A13" s="40"/>
      <c r="B13" s="151" t="s">
        <v>1698</v>
      </c>
      <c r="C13" s="152" t="s">
        <v>2000</v>
      </c>
      <c r="D13" s="118" t="str">
        <f>IF(CONNECTIONS_TABLE[[#This Row],[Device Name]]="","",VLOOKUP(CONNECTIONS_TABLE[[#This Row],[Device Name]],DEVICE_TABLE[#Data],MATCH(D$3,DEVICE_TABLE[#Headers],0),FALSE))</f>
        <v>LEGACY</v>
      </c>
      <c r="E1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LHCR2C01/Te10/4 (LEGACY)</v>
      </c>
      <c r="F13" s="154"/>
      <c r="G13" s="118" t="str">
        <f>IF(CONNECTIONS_TABLE[[#This Row],[Device Name]]="","",VLOOKUP(CONNECTIONS_TABLE[[#This Row],[Device Name]],DEVICE_TABLE[],MATCH(G$3,DEVICE_TABLE[#Headers],0),FALSE))</f>
        <v>Listerhills</v>
      </c>
      <c r="H13" s="153" t="str">
        <f>IF(B13="","",VLOOKUP(B13,DEVICE_TABLE[#Data],MATCH(H$3,DEVICE_TABLE[#Headers],0),FALSE))</f>
        <v>CR2</v>
      </c>
      <c r="I13" s="122" t="s">
        <v>1575</v>
      </c>
      <c r="J13" s="122" t="s">
        <v>1383</v>
      </c>
      <c r="K13" s="122" t="s">
        <v>2001</v>
      </c>
      <c r="L13" s="153" t="str">
        <f t="shared" si="0"/>
        <v>FGHLHN42-2 Twe2/0/44</v>
      </c>
      <c r="M13" s="122" t="s">
        <v>1996</v>
      </c>
      <c r="N13" s="122" t="s">
        <v>1988</v>
      </c>
      <c r="O13" s="152">
        <v>44</v>
      </c>
      <c r="P13" s="152" t="s">
        <v>2075</v>
      </c>
      <c r="Q13" s="156" t="str">
        <f>IF(L13="","",IFERROR(VLOOKUP(UPPER($G13)&amp;"/"&amp;$P13,NETWORKS_TABLE[],MATCH(Q$3,NETWORKS_TABLE[#Headers],0),FALSE),""))</f>
        <v/>
      </c>
      <c r="R13" s="156" t="str">
        <f>IF(B13="","",IFERROR(VLOOKUP(UPPER($G13)&amp;"/"&amp;$P13,NETWORKS_TABLE[],MATCH(R$3,NETWORKS_TABLE[#Headers],0),FALSE),""))</f>
        <v/>
      </c>
      <c r="S13" s="188" t="s" cm="1">
        <v>78</v>
      </c>
      <c r="T13" s="152"/>
      <c r="U13" s="152"/>
      <c r="V13" s="155"/>
    </row>
    <row r="14" spans="1:29">
      <c r="A14" s="40"/>
      <c r="B14" s="151"/>
      <c r="C14" s="152"/>
      <c r="D14" s="118" t="str">
        <f>IF(CONNECTIONS_TABLE[[#This Row],[Device Name]]="","",VLOOKUP(CONNECTIONS_TABLE[[#This Row],[Device Name]],DEVICE_TABLE[#Data],MATCH(D$3,DEVICE_TABLE[#Headers],0),FALSE))</f>
        <v/>
      </c>
      <c r="E1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4" s="154"/>
      <c r="G14" s="118" t="str">
        <f>IF(CONNECTIONS_TABLE[[#This Row],[Device Name]]="","",VLOOKUP(CONNECTIONS_TABLE[[#This Row],[Device Name]],DEVICE_TABLE[],MATCH(G$3,DEVICE_TABLE[#Headers],0),FALSE))</f>
        <v/>
      </c>
      <c r="H14" s="153" t="str">
        <f>IF(B14="","",VLOOKUP(B14,DEVICE_TABLE[#Data],MATCH(H$3,DEVICE_TABLE[#Headers],0),FALSE))</f>
        <v/>
      </c>
      <c r="I14" s="122"/>
      <c r="J14" s="122"/>
      <c r="K14" s="122"/>
      <c r="L14" s="153" t="str">
        <f t="shared" si="0"/>
        <v xml:space="preserve"> </v>
      </c>
      <c r="M14" s="122"/>
      <c r="N14" s="122"/>
      <c r="O14" s="152"/>
      <c r="P14" s="152"/>
      <c r="Q14" s="156" t="str">
        <f>IF(L14="","",IFERROR(VLOOKUP(UPPER($G14)&amp;"/"&amp;$P14,NETWORKS_TABLE[],MATCH(Q$3,NETWORKS_TABLE[#Headers],0),FALSE),""))</f>
        <v/>
      </c>
      <c r="R14" s="156" t="str">
        <f>IF(B14="","",IFERROR(VLOOKUP(UPPER($G14)&amp;"/"&amp;$P14,NETWORKS_TABLE[],MATCH(R$3,NETWORKS_TABLE[#Headers],0),FALSE),""))</f>
        <v/>
      </c>
      <c r="S14" s="188" t="s" cm="1">
        <v>78</v>
      </c>
      <c r="T14" s="152"/>
      <c r="U14" s="152"/>
      <c r="V14" s="155"/>
      <c r="AC14" t="s">
        <v>78</v>
      </c>
    </row>
    <row r="15" spans="1:29">
      <c r="A15" s="40"/>
      <c r="B15" s="151" t="s">
        <v>1751</v>
      </c>
      <c r="C15" s="152" t="s">
        <v>2002</v>
      </c>
      <c r="D15" s="118" t="str">
        <f>IF(CONNECTIONS_TABLE[[#This Row],[Device Name]]="","",VLOOKUP(CONNECTIONS_TABLE[[#This Row],[Device Name]],DEVICE_TABLE[#Data],MATCH(D$3,DEVICE_TABLE[#Headers],0),FALSE))</f>
        <v>VDI</v>
      </c>
      <c r="E1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FGHVIEW01/IDRAC (VDI)</v>
      </c>
      <c r="F15" s="154"/>
      <c r="G15" s="118" t="str">
        <f>IF(CONNECTIONS_TABLE[[#This Row],[Device Name]]="","",VLOOKUP(CONNECTIONS_TABLE[[#This Row],[Device Name]],DEVICE_TABLE[],MATCH(G$3,DEVICE_TABLE[#Headers],0),FALSE))</f>
        <v>Listerhills</v>
      </c>
      <c r="H15" s="153" t="str">
        <f>IF(B15="","",VLOOKUP(B15,DEVICE_TABLE[#Data],MATCH(H$3,DEVICE_TABLE[#Headers],0),FALSE))</f>
        <v>CR1</v>
      </c>
      <c r="I15" s="122" t="s">
        <v>1575</v>
      </c>
      <c r="J15" s="122" t="s">
        <v>1073</v>
      </c>
      <c r="K15" s="122" t="s">
        <v>2004</v>
      </c>
      <c r="L15" s="153" t="str">
        <f t="shared" si="0"/>
        <v>FGHLHN141-1 gi1/0/11</v>
      </c>
      <c r="M15" s="122" t="s">
        <v>1991</v>
      </c>
      <c r="N15" s="122" t="s">
        <v>1988</v>
      </c>
      <c r="O15" s="152"/>
      <c r="P15" s="152">
        <v>400</v>
      </c>
      <c r="Q15" s="156" t="str">
        <f>IF(L15="","",IFERROR(VLOOKUP(UPPER($G15)&amp;"/"&amp;$P15,NETWORKS_TABLE[],MATCH(Q$3,NETWORKS_TABLE[#Headers],0),FALSE),""))</f>
        <v>VDIMGNT</v>
      </c>
      <c r="R15" s="156" t="str">
        <f>IF(B15="","",IFERROR(VLOOKUP(UPPER($G15)&amp;"/"&amp;$P15,NETWORKS_TABLE[],MATCH(R$3,NETWORKS_TABLE[#Headers],0),FALSE),""))</f>
        <v>10.224.200.0/24</v>
      </c>
      <c r="S15" s="188" t="s" cm="1">
        <v>78</v>
      </c>
      <c r="T15" s="152"/>
      <c r="U15" s="152"/>
      <c r="V15" s="155"/>
      <c r="AC15">
        <v>0</v>
      </c>
    </row>
    <row r="16" spans="1:29">
      <c r="A16" s="40"/>
      <c r="B16" s="151" t="s">
        <v>1751</v>
      </c>
      <c r="C16" s="152" t="s">
        <v>155</v>
      </c>
      <c r="D16" s="118" t="str">
        <f>IF(CONNECTIONS_TABLE[[#This Row],[Device Name]]="","",VLOOKUP(CONNECTIONS_TABLE[[#This Row],[Device Name]],DEVICE_TABLE[#Data],MATCH(D$3,DEVICE_TABLE[#Headers],0),FALSE))</f>
        <v>VDI</v>
      </c>
      <c r="E1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FGHVIEW01/ISCSI (VDI)</v>
      </c>
      <c r="F16" s="154"/>
      <c r="G16" s="118" t="str">
        <f>IF(CONNECTIONS_TABLE[[#This Row],[Device Name]]="","",VLOOKUP(CONNECTIONS_TABLE[[#This Row],[Device Name]],DEVICE_TABLE[],MATCH(G$3,DEVICE_TABLE[#Headers],0),FALSE))</f>
        <v>Listerhills</v>
      </c>
      <c r="H16" s="153" t="str">
        <f>IF(B16="","",VLOOKUP(B16,DEVICE_TABLE[#Data],MATCH(H$3,DEVICE_TABLE[#Headers],0),FALSE))</f>
        <v>CR1</v>
      </c>
      <c r="I16" s="122" t="s">
        <v>1575</v>
      </c>
      <c r="J16" s="122" t="s">
        <v>1083</v>
      </c>
      <c r="K16" s="122" t="s">
        <v>2011</v>
      </c>
      <c r="L16" s="153" t="str">
        <f t="shared" si="0"/>
        <v>FGHLHN141-2 gi2/0/11</v>
      </c>
      <c r="M16" s="122" t="s">
        <v>1991</v>
      </c>
      <c r="N16" s="122" t="s">
        <v>1988</v>
      </c>
      <c r="O16" s="152"/>
      <c r="P16" s="152">
        <v>230</v>
      </c>
      <c r="Q16" s="156" t="str">
        <f>IF(L16="","",IFERROR(VLOOKUP(UPPER($G16)&amp;"/"&amp;$P16,NETWORKS_TABLE[],MATCH(Q$3,NETWORKS_TABLE[#Headers],0),FALSE),""))</f>
        <v>HPISCSI</v>
      </c>
      <c r="R16" s="156" t="str">
        <f>IF(B16="","",IFERROR(VLOOKUP(UPPER($G16)&amp;"/"&amp;$P16,NETWORKS_TABLE[],MATCH(R$3,NETWORKS_TABLE[#Headers],0),FALSE),""))</f>
        <v>10.224.30.0/24</v>
      </c>
      <c r="S16" s="188" t="s" cm="1">
        <v>78</v>
      </c>
      <c r="T16" s="152"/>
      <c r="U16" s="152"/>
      <c r="V16" s="155"/>
      <c r="AC16">
        <v>0</v>
      </c>
    </row>
    <row r="17" spans="1:29">
      <c r="A17" s="40"/>
      <c r="B17" s="151" t="s">
        <v>1751</v>
      </c>
      <c r="C17" s="152" t="s">
        <v>2018</v>
      </c>
      <c r="D17" s="118" t="str">
        <f>IF(CONNECTIONS_TABLE[[#This Row],[Device Name]]="","",VLOOKUP(CONNECTIONS_TABLE[[#This Row],[Device Name]],DEVICE_TABLE[#Data],MATCH(D$3,DEVICE_TABLE[#Headers],0),FALSE))</f>
        <v>VDI</v>
      </c>
      <c r="E1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FGHVIEW01/MGNT (VDI)</v>
      </c>
      <c r="F17" s="154"/>
      <c r="G17" s="118" t="str">
        <f>IF(CONNECTIONS_TABLE[[#This Row],[Device Name]]="","",VLOOKUP(CONNECTIONS_TABLE[[#This Row],[Device Name]],DEVICE_TABLE[],MATCH(G$3,DEVICE_TABLE[#Headers],0),FALSE))</f>
        <v>Listerhills</v>
      </c>
      <c r="H17" s="153" t="str">
        <f>IF(B17="","",VLOOKUP(B17,DEVICE_TABLE[#Data],MATCH(H$3,DEVICE_TABLE[#Headers],0),FALSE))</f>
        <v>CR1</v>
      </c>
      <c r="I17" s="122" t="s">
        <v>1575</v>
      </c>
      <c r="J17" s="122" t="s">
        <v>1073</v>
      </c>
      <c r="K17" s="122" t="s">
        <v>2019</v>
      </c>
      <c r="L17" s="153" t="str">
        <f t="shared" si="0"/>
        <v>FGHLHN141-1 gi1/0/21</v>
      </c>
      <c r="M17" s="122" t="s">
        <v>1991</v>
      </c>
      <c r="N17" s="122" t="s">
        <v>1988</v>
      </c>
      <c r="O17" s="152"/>
      <c r="P17" s="152">
        <v>400</v>
      </c>
      <c r="Q17" s="156" t="str">
        <f>IF(L17="","",IFERROR(VLOOKUP(UPPER($G17)&amp;"/"&amp;$P17,NETWORKS_TABLE[],MATCH(Q$3,NETWORKS_TABLE[#Headers],0),FALSE),""))</f>
        <v>VDIMGNT</v>
      </c>
      <c r="R17" s="156" t="str">
        <f>IF(B17="","",IFERROR(VLOOKUP(UPPER($G17)&amp;"/"&amp;$P17,NETWORKS_TABLE[],MATCH(R$3,NETWORKS_TABLE[#Headers],0),FALSE),""))</f>
        <v>10.224.200.0/24</v>
      </c>
      <c r="S17" s="188" t="s" cm="1">
        <v>2838</v>
      </c>
      <c r="T17" s="152"/>
      <c r="U17" s="152"/>
      <c r="V17" s="155"/>
      <c r="AC17">
        <v>0</v>
      </c>
    </row>
    <row r="18" spans="1:29">
      <c r="A18" s="40"/>
      <c r="B18" s="151" t="s">
        <v>1751</v>
      </c>
      <c r="C18" s="152" t="s">
        <v>2026</v>
      </c>
      <c r="D18" s="118" t="str">
        <f>IF(CONNECTIONS_TABLE[[#This Row],[Device Name]]="","",VLOOKUP(CONNECTIONS_TABLE[[#This Row],[Device Name]],DEVICE_TABLE[#Data],MATCH(D$3,DEVICE_TABLE[#Headers],0),FALSE))</f>
        <v>VDI</v>
      </c>
      <c r="E1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FGHVIEW01/MGNT2 (VDI)</v>
      </c>
      <c r="F18" s="154"/>
      <c r="G18" s="118" t="str">
        <f>IF(CONNECTIONS_TABLE[[#This Row],[Device Name]]="","",VLOOKUP(CONNECTIONS_TABLE[[#This Row],[Device Name]],DEVICE_TABLE[],MATCH(G$3,DEVICE_TABLE[#Headers],0),FALSE))</f>
        <v>Listerhills</v>
      </c>
      <c r="H18" s="153" t="str">
        <f>IF(B18="","",VLOOKUP(B18,DEVICE_TABLE[#Data],MATCH(H$3,DEVICE_TABLE[#Headers],0),FALSE))</f>
        <v>CR1</v>
      </c>
      <c r="I18" s="122" t="s">
        <v>1575</v>
      </c>
      <c r="J18" s="122" t="s">
        <v>1083</v>
      </c>
      <c r="K18" s="122" t="s">
        <v>2027</v>
      </c>
      <c r="L18" s="153" t="str">
        <f t="shared" si="0"/>
        <v>FGHLHN141-2 gi2/0/21</v>
      </c>
      <c r="M18" s="122" t="s">
        <v>1991</v>
      </c>
      <c r="N18" s="122" t="s">
        <v>1988</v>
      </c>
      <c r="O18" s="152"/>
      <c r="P18" s="152">
        <v>400</v>
      </c>
      <c r="Q18" s="156" t="str">
        <f>IF(L18="","",IFERROR(VLOOKUP(UPPER($G18)&amp;"/"&amp;$P18,NETWORKS_TABLE[],MATCH(Q$3,NETWORKS_TABLE[#Headers],0),FALSE),""))</f>
        <v>VDIMGNT</v>
      </c>
      <c r="R18" s="156" t="str">
        <f>IF(B18="","",IFERROR(VLOOKUP(UPPER($G18)&amp;"/"&amp;$P18,NETWORKS_TABLE[],MATCH(R$3,NETWORKS_TABLE[#Headers],0),FALSE),""))</f>
        <v>10.224.200.0/24</v>
      </c>
      <c r="S18" s="188" t="s" cm="1">
        <v>2838</v>
      </c>
      <c r="T18" s="152"/>
      <c r="U18" s="152"/>
      <c r="V18" s="155"/>
      <c r="AC18">
        <v>0</v>
      </c>
    </row>
    <row r="19" spans="1:29">
      <c r="A19" s="40"/>
      <c r="B19" s="151" t="s">
        <v>1751</v>
      </c>
      <c r="C19" s="152" t="s">
        <v>2034</v>
      </c>
      <c r="D19" s="118" t="str">
        <f>IF(CONNECTIONS_TABLE[[#This Row],[Device Name]]="","",VLOOKUP(CONNECTIONS_TABLE[[#This Row],[Device Name]],DEVICE_TABLE[#Data],MATCH(D$3,DEVICE_TABLE[#Headers],0),FALSE))</f>
        <v>VDI</v>
      </c>
      <c r="E1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FGHVIEW01/DATA (VDI)</v>
      </c>
      <c r="F19" s="154"/>
      <c r="G19" s="118" t="str">
        <f>IF(CONNECTIONS_TABLE[[#This Row],[Device Name]]="","",VLOOKUP(CONNECTIONS_TABLE[[#This Row],[Device Name]],DEVICE_TABLE[],MATCH(G$3,DEVICE_TABLE[#Headers],0),FALSE))</f>
        <v>Listerhills</v>
      </c>
      <c r="H19" s="153" t="str">
        <f>IF(B19="","",VLOOKUP(B19,DEVICE_TABLE[#Data],MATCH(H$3,DEVICE_TABLE[#Headers],0),FALSE))</f>
        <v>CR1</v>
      </c>
      <c r="I19" s="122" t="s">
        <v>1575</v>
      </c>
      <c r="J19" s="122" t="s">
        <v>1371</v>
      </c>
      <c r="K19" s="122" t="s">
        <v>2035</v>
      </c>
      <c r="L19" s="153" t="str">
        <f t="shared" si="0"/>
        <v>FGHLHN41-1 Twe1/0/11</v>
      </c>
      <c r="M19" s="122" t="s">
        <v>1872</v>
      </c>
      <c r="N19" s="122" t="s">
        <v>1988</v>
      </c>
      <c r="O19" s="152"/>
      <c r="P19" s="152">
        <v>401</v>
      </c>
      <c r="Q19" s="156" t="str">
        <f>IF(L19="","",IFERROR(VLOOKUP(UPPER($G19)&amp;"/"&amp;$P19,NETWORKS_TABLE[],MATCH(Q$3,NETWORKS_TABLE[#Headers],0),FALSE),""))</f>
        <v>FGHVIEW1</v>
      </c>
      <c r="R19" s="156" t="str">
        <f>IF(B19="","",IFERROR(VLOOKUP(UPPER($G19)&amp;"/"&amp;$P19,NETWORKS_TABLE[],MATCH(R$3,NETWORKS_TABLE[#Headers],0),FALSE),""))</f>
        <v>10.224.201.0/24</v>
      </c>
      <c r="S19" s="188" t="s" cm="1">
        <v>78</v>
      </c>
      <c r="T19" s="152"/>
      <c r="U19" s="152"/>
      <c r="V19" s="155"/>
      <c r="AC19">
        <v>0</v>
      </c>
    </row>
    <row r="20" spans="1:29">
      <c r="A20" s="40"/>
      <c r="B20" s="151" t="s">
        <v>1751</v>
      </c>
      <c r="C20" s="152" t="s">
        <v>2042</v>
      </c>
      <c r="D20" s="118" t="str">
        <f>IF(CONNECTIONS_TABLE[[#This Row],[Device Name]]="","",VLOOKUP(CONNECTIONS_TABLE[[#This Row],[Device Name]],DEVICE_TABLE[#Data],MATCH(D$3,DEVICE_TABLE[#Headers],0),FALSE))</f>
        <v>VDI</v>
      </c>
      <c r="E2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FGHVIEW01/DATA2 (VDI)</v>
      </c>
      <c r="F20" s="154"/>
      <c r="G20" s="118" t="str">
        <f>IF(CONNECTIONS_TABLE[[#This Row],[Device Name]]="","",VLOOKUP(CONNECTIONS_TABLE[[#This Row],[Device Name]],DEVICE_TABLE[],MATCH(G$3,DEVICE_TABLE[#Headers],0),FALSE))</f>
        <v>Listerhills</v>
      </c>
      <c r="H20" s="153" t="str">
        <f>IF(B20="","",VLOOKUP(B20,DEVICE_TABLE[#Data],MATCH(H$3,DEVICE_TABLE[#Headers],0),FALSE))</f>
        <v>CR1</v>
      </c>
      <c r="I20" s="122" t="s">
        <v>1575</v>
      </c>
      <c r="J20" s="122" t="s">
        <v>1375</v>
      </c>
      <c r="K20" s="122" t="s">
        <v>2043</v>
      </c>
      <c r="L20" s="153" t="str">
        <f t="shared" si="0"/>
        <v>FGHLHN41-2 Twe2/0/11</v>
      </c>
      <c r="M20" s="122" t="s">
        <v>1872</v>
      </c>
      <c r="N20" s="122" t="s">
        <v>1988</v>
      </c>
      <c r="O20" s="152"/>
      <c r="P20" s="152">
        <v>401</v>
      </c>
      <c r="Q20" s="156" t="str">
        <f>IF(L20="","",IFERROR(VLOOKUP(UPPER($G20)&amp;"/"&amp;$P20,NETWORKS_TABLE[],MATCH(Q$3,NETWORKS_TABLE[#Headers],0),FALSE),""))</f>
        <v>FGHVIEW1</v>
      </c>
      <c r="R20" s="156" t="str">
        <f>IF(B20="","",IFERROR(VLOOKUP(UPPER($G20)&amp;"/"&amp;$P20,NETWORKS_TABLE[],MATCH(R$3,NETWORKS_TABLE[#Headers],0),FALSE),""))</f>
        <v>10.224.201.0/24</v>
      </c>
      <c r="S20" s="188" t="s" cm="1">
        <v>78</v>
      </c>
      <c r="T20" s="152"/>
      <c r="U20" s="152"/>
      <c r="V20" s="155"/>
      <c r="AC20">
        <v>0</v>
      </c>
    </row>
    <row r="21" spans="1:29">
      <c r="A21" s="40"/>
      <c r="B21" s="151"/>
      <c r="C21" s="152"/>
      <c r="D21" s="118" t="str">
        <f>IF(CONNECTIONS_TABLE[[#This Row],[Device Name]]="","",VLOOKUP(CONNECTIONS_TABLE[[#This Row],[Device Name]],DEVICE_TABLE[#Data],MATCH(D$3,DEVICE_TABLE[#Headers],0),FALSE))</f>
        <v/>
      </c>
      <c r="E2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1" s="154"/>
      <c r="G21" s="118" t="str">
        <f>IF(CONNECTIONS_TABLE[[#This Row],[Device Name]]="","",VLOOKUP(CONNECTIONS_TABLE[[#This Row],[Device Name]],DEVICE_TABLE[],MATCH(G$3,DEVICE_TABLE[#Headers],0),FALSE))</f>
        <v/>
      </c>
      <c r="H21" s="153" t="str">
        <f>IF(B21="","",VLOOKUP(B21,DEVICE_TABLE[#Data],MATCH(H$3,DEVICE_TABLE[#Headers],0),FALSE))</f>
        <v/>
      </c>
      <c r="I21" s="122"/>
      <c r="J21" s="122"/>
      <c r="K21" s="122"/>
      <c r="L21" s="153" t="str">
        <f t="shared" si="0"/>
        <v xml:space="preserve"> </v>
      </c>
      <c r="M21" s="122"/>
      <c r="N21" s="122"/>
      <c r="O21" s="152"/>
      <c r="P21" s="152"/>
      <c r="Q21" s="156" t="str">
        <f>IF(L21="","",IFERROR(VLOOKUP(UPPER($G21)&amp;"/"&amp;$P21,NETWORKS_TABLE[],MATCH(Q$3,NETWORKS_TABLE[#Headers],0),FALSE),""))</f>
        <v/>
      </c>
      <c r="R21" s="156" t="str">
        <f>IF(B21="","",IFERROR(VLOOKUP(UPPER($G21)&amp;"/"&amp;$P21,NETWORKS_TABLE[],MATCH(R$3,NETWORKS_TABLE[#Headers],0),FALSE),""))</f>
        <v/>
      </c>
      <c r="S21" s="188" t="s" cm="1">
        <v>78</v>
      </c>
      <c r="T21" s="152"/>
      <c r="U21" s="152"/>
      <c r="V21" s="155"/>
      <c r="AC21" t="s">
        <v>78</v>
      </c>
    </row>
    <row r="22" spans="1:29">
      <c r="A22" s="40"/>
      <c r="B22" s="151" t="s">
        <v>1756</v>
      </c>
      <c r="C22" s="152" t="s">
        <v>2002</v>
      </c>
      <c r="D22" s="118" t="str">
        <f>IF(CONNECTIONS_TABLE[[#This Row],[Device Name]]="","",VLOOKUP(CONNECTIONS_TABLE[[#This Row],[Device Name]],DEVICE_TABLE[#Data],MATCH(D$3,DEVICE_TABLE[#Headers],0),FALSE))</f>
        <v>VDI</v>
      </c>
      <c r="E2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FGHVIEW02/IDRAC (VDI)</v>
      </c>
      <c r="F22" s="154"/>
      <c r="G22" s="118" t="str">
        <f>IF(CONNECTIONS_TABLE[[#This Row],[Device Name]]="","",VLOOKUP(CONNECTIONS_TABLE[[#This Row],[Device Name]],DEVICE_TABLE[],MATCH(G$3,DEVICE_TABLE[#Headers],0),FALSE))</f>
        <v>Listerhills</v>
      </c>
      <c r="H22" s="153" t="str">
        <f>IF(B22="","",VLOOKUP(B22,DEVICE_TABLE[#Data],MATCH(H$3,DEVICE_TABLE[#Headers],0),FALSE))</f>
        <v>CR1</v>
      </c>
      <c r="I22" s="122" t="s">
        <v>1575</v>
      </c>
      <c r="J22" s="122" t="s">
        <v>1073</v>
      </c>
      <c r="K22" s="122" t="s">
        <v>2005</v>
      </c>
      <c r="L22" s="153" t="str">
        <f t="shared" si="0"/>
        <v>FGHLHN141-1 gi1/0/12</v>
      </c>
      <c r="M22" s="122" t="s">
        <v>1991</v>
      </c>
      <c r="N22" s="122" t="s">
        <v>1988</v>
      </c>
      <c r="O22" s="152"/>
      <c r="P22" s="152">
        <v>400</v>
      </c>
      <c r="Q22" s="156" t="str">
        <f>IF(L22="","",IFERROR(VLOOKUP(UPPER($G22)&amp;"/"&amp;$P22,NETWORKS_TABLE[],MATCH(Q$3,NETWORKS_TABLE[#Headers],0),FALSE),""))</f>
        <v>VDIMGNT</v>
      </c>
      <c r="R22" s="156" t="str">
        <f>IF(B22="","",IFERROR(VLOOKUP(UPPER($G22)&amp;"/"&amp;$P22,NETWORKS_TABLE[],MATCH(R$3,NETWORKS_TABLE[#Headers],0),FALSE),""))</f>
        <v>10.224.200.0/24</v>
      </c>
      <c r="S22" s="188" t="s" cm="1">
        <v>78</v>
      </c>
      <c r="T22" s="152"/>
      <c r="U22" s="152"/>
      <c r="V22" s="155"/>
      <c r="AC22">
        <v>0</v>
      </c>
    </row>
    <row r="23" spans="1:29">
      <c r="A23" s="40"/>
      <c r="B23" s="151" t="s">
        <v>1756</v>
      </c>
      <c r="C23" s="152" t="s">
        <v>155</v>
      </c>
      <c r="D23" s="118" t="str">
        <f>IF(CONNECTIONS_TABLE[[#This Row],[Device Name]]="","",VLOOKUP(CONNECTIONS_TABLE[[#This Row],[Device Name]],DEVICE_TABLE[#Data],MATCH(D$3,DEVICE_TABLE[#Headers],0),FALSE))</f>
        <v>VDI</v>
      </c>
      <c r="E2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FGHVIEW02/ISCSI (VDI)</v>
      </c>
      <c r="F23" s="154"/>
      <c r="G23" s="118" t="str">
        <f>IF(CONNECTIONS_TABLE[[#This Row],[Device Name]]="","",VLOOKUP(CONNECTIONS_TABLE[[#This Row],[Device Name]],DEVICE_TABLE[],MATCH(G$3,DEVICE_TABLE[#Headers],0),FALSE))</f>
        <v>Listerhills</v>
      </c>
      <c r="H23" s="153" t="str">
        <f>IF(B23="","",VLOOKUP(B23,DEVICE_TABLE[#Data],MATCH(H$3,DEVICE_TABLE[#Headers],0),FALSE))</f>
        <v>CR1</v>
      </c>
      <c r="I23" s="122" t="s">
        <v>1575</v>
      </c>
      <c r="J23" s="122" t="s">
        <v>1083</v>
      </c>
      <c r="K23" s="122" t="s">
        <v>2012</v>
      </c>
      <c r="L23" s="153" t="str">
        <f t="shared" si="0"/>
        <v>FGHLHN141-2 gi2/0/12</v>
      </c>
      <c r="M23" s="122" t="s">
        <v>1991</v>
      </c>
      <c r="N23" s="122" t="s">
        <v>1988</v>
      </c>
      <c r="O23" s="152"/>
      <c r="P23" s="152">
        <v>230</v>
      </c>
      <c r="Q23" s="156" t="str">
        <f>IF(L23="","",IFERROR(VLOOKUP(UPPER($G23)&amp;"/"&amp;$P23,NETWORKS_TABLE[],MATCH(Q$3,NETWORKS_TABLE[#Headers],0),FALSE),""))</f>
        <v>HPISCSI</v>
      </c>
      <c r="R23" s="156" t="str">
        <f>IF(B23="","",IFERROR(VLOOKUP(UPPER($G23)&amp;"/"&amp;$P23,NETWORKS_TABLE[],MATCH(R$3,NETWORKS_TABLE[#Headers],0),FALSE),""))</f>
        <v>10.224.30.0/24</v>
      </c>
      <c r="S23" s="188" t="s" cm="1">
        <v>78</v>
      </c>
      <c r="T23" s="152"/>
      <c r="U23" s="152"/>
      <c r="V23" s="155"/>
      <c r="AC23">
        <v>0</v>
      </c>
    </row>
    <row r="24" spans="1:29">
      <c r="A24" s="40"/>
      <c r="B24" s="151" t="s">
        <v>1756</v>
      </c>
      <c r="C24" s="152" t="s">
        <v>2018</v>
      </c>
      <c r="D24" s="118" t="str">
        <f>IF(CONNECTIONS_TABLE[[#This Row],[Device Name]]="","",VLOOKUP(CONNECTIONS_TABLE[[#This Row],[Device Name]],DEVICE_TABLE[#Data],MATCH(D$3,DEVICE_TABLE[#Headers],0),FALSE))</f>
        <v>VDI</v>
      </c>
      <c r="E2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FGHVIEW02/MGNT (VDI)</v>
      </c>
      <c r="F24" s="154"/>
      <c r="G24" s="118" t="str">
        <f>IF(CONNECTIONS_TABLE[[#This Row],[Device Name]]="","",VLOOKUP(CONNECTIONS_TABLE[[#This Row],[Device Name]],DEVICE_TABLE[],MATCH(G$3,DEVICE_TABLE[#Headers],0),FALSE))</f>
        <v>Listerhills</v>
      </c>
      <c r="H24" s="153" t="str">
        <f>IF(B24="","",VLOOKUP(B24,DEVICE_TABLE[#Data],MATCH(H$3,DEVICE_TABLE[#Headers],0),FALSE))</f>
        <v>CR1</v>
      </c>
      <c r="I24" s="122" t="s">
        <v>1575</v>
      </c>
      <c r="J24" s="122" t="s">
        <v>1073</v>
      </c>
      <c r="K24" s="122" t="s">
        <v>2020</v>
      </c>
      <c r="L24" s="153" t="str">
        <f t="shared" si="0"/>
        <v>FGHLHN141-1 gi1/0/22</v>
      </c>
      <c r="M24" s="122" t="s">
        <v>1991</v>
      </c>
      <c r="N24" s="122" t="s">
        <v>1988</v>
      </c>
      <c r="O24" s="152"/>
      <c r="P24" s="152">
        <v>400</v>
      </c>
      <c r="Q24" s="156" t="str">
        <f>IF(L24="","",IFERROR(VLOOKUP(UPPER($G24)&amp;"/"&amp;$P24,NETWORKS_TABLE[],MATCH(Q$3,NETWORKS_TABLE[#Headers],0),FALSE),""))</f>
        <v>VDIMGNT</v>
      </c>
      <c r="R24" s="156" t="str">
        <f>IF(B24="","",IFERROR(VLOOKUP(UPPER($G24)&amp;"/"&amp;$P24,NETWORKS_TABLE[],MATCH(R$3,NETWORKS_TABLE[#Headers],0),FALSE),""))</f>
        <v>10.224.200.0/24</v>
      </c>
      <c r="S24" s="188" t="s" cm="1">
        <v>2839</v>
      </c>
      <c r="T24" s="152"/>
      <c r="U24" s="152"/>
      <c r="V24" s="155"/>
      <c r="AC24">
        <v>0</v>
      </c>
    </row>
    <row r="25" spans="1:29">
      <c r="A25" s="40"/>
      <c r="B25" s="151" t="s">
        <v>1756</v>
      </c>
      <c r="C25" s="152" t="s">
        <v>2026</v>
      </c>
      <c r="D25" s="118" t="str">
        <f>IF(CONNECTIONS_TABLE[[#This Row],[Device Name]]="","",VLOOKUP(CONNECTIONS_TABLE[[#This Row],[Device Name]],DEVICE_TABLE[#Data],MATCH(D$3,DEVICE_TABLE[#Headers],0),FALSE))</f>
        <v>VDI</v>
      </c>
      <c r="E2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FGHVIEW02/MGNT2 (VDI)</v>
      </c>
      <c r="F25" s="154"/>
      <c r="G25" s="118" t="str">
        <f>IF(CONNECTIONS_TABLE[[#This Row],[Device Name]]="","",VLOOKUP(CONNECTIONS_TABLE[[#This Row],[Device Name]],DEVICE_TABLE[],MATCH(G$3,DEVICE_TABLE[#Headers],0),FALSE))</f>
        <v>Listerhills</v>
      </c>
      <c r="H25" s="153" t="str">
        <f>IF(B25="","",VLOOKUP(B25,DEVICE_TABLE[#Data],MATCH(H$3,DEVICE_TABLE[#Headers],0),FALSE))</f>
        <v>CR1</v>
      </c>
      <c r="I25" s="122" t="s">
        <v>1575</v>
      </c>
      <c r="J25" s="122" t="s">
        <v>1083</v>
      </c>
      <c r="K25" s="122" t="s">
        <v>2028</v>
      </c>
      <c r="L25" s="153" t="str">
        <f t="shared" si="0"/>
        <v>FGHLHN141-2 gi2/0/22</v>
      </c>
      <c r="M25" s="122" t="s">
        <v>1991</v>
      </c>
      <c r="N25" s="122" t="s">
        <v>1988</v>
      </c>
      <c r="O25" s="152"/>
      <c r="P25" s="152">
        <v>400</v>
      </c>
      <c r="Q25" s="156" t="str">
        <f>IF(L25="","",IFERROR(VLOOKUP(UPPER($G25)&amp;"/"&amp;$P25,NETWORKS_TABLE[],MATCH(Q$3,NETWORKS_TABLE[#Headers],0),FALSE),""))</f>
        <v>VDIMGNT</v>
      </c>
      <c r="R25" s="156" t="str">
        <f>IF(B25="","",IFERROR(VLOOKUP(UPPER($G25)&amp;"/"&amp;$P25,NETWORKS_TABLE[],MATCH(R$3,NETWORKS_TABLE[#Headers],0),FALSE),""))</f>
        <v>10.224.200.0/24</v>
      </c>
      <c r="S25" s="188" t="s" cm="1">
        <v>2839</v>
      </c>
      <c r="T25" s="152"/>
      <c r="U25" s="152"/>
      <c r="V25" s="155"/>
      <c r="AC25">
        <v>0</v>
      </c>
    </row>
    <row r="26" spans="1:29">
      <c r="A26" s="40"/>
      <c r="B26" s="151" t="s">
        <v>1756</v>
      </c>
      <c r="C26" s="152" t="s">
        <v>2034</v>
      </c>
      <c r="D26" s="118" t="str">
        <f>IF(CONNECTIONS_TABLE[[#This Row],[Device Name]]="","",VLOOKUP(CONNECTIONS_TABLE[[#This Row],[Device Name]],DEVICE_TABLE[#Data],MATCH(D$3,DEVICE_TABLE[#Headers],0),FALSE))</f>
        <v>VDI</v>
      </c>
      <c r="E2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FGHVIEW02/DATA (VDI)</v>
      </c>
      <c r="F26" s="154"/>
      <c r="G26" s="118" t="str">
        <f>IF(CONNECTIONS_TABLE[[#This Row],[Device Name]]="","",VLOOKUP(CONNECTIONS_TABLE[[#This Row],[Device Name]],DEVICE_TABLE[],MATCH(G$3,DEVICE_TABLE[#Headers],0),FALSE))</f>
        <v>Listerhills</v>
      </c>
      <c r="H26" s="153" t="str">
        <f>IF(B26="","",VLOOKUP(B26,DEVICE_TABLE[#Data],MATCH(H$3,DEVICE_TABLE[#Headers],0),FALSE))</f>
        <v>CR1</v>
      </c>
      <c r="I26" s="122" t="s">
        <v>1575</v>
      </c>
      <c r="J26" s="122" t="s">
        <v>1371</v>
      </c>
      <c r="K26" s="122" t="s">
        <v>2036</v>
      </c>
      <c r="L26" s="153" t="str">
        <f t="shared" si="0"/>
        <v>FGHLHN41-1 Twe1/0/12</v>
      </c>
      <c r="M26" s="122" t="s">
        <v>1872</v>
      </c>
      <c r="N26" s="122" t="s">
        <v>1988</v>
      </c>
      <c r="O26" s="152"/>
      <c r="P26" s="152">
        <v>402</v>
      </c>
      <c r="Q26" s="156" t="str">
        <f>IF(L26="","",IFERROR(VLOOKUP(UPPER($G26)&amp;"/"&amp;$P26,NETWORKS_TABLE[],MATCH(Q$3,NETWORKS_TABLE[#Headers],0),FALSE),""))</f>
        <v>FGHVIEW2</v>
      </c>
      <c r="R26" s="156" t="str">
        <f>IF(B26="","",IFERROR(VLOOKUP(UPPER($G26)&amp;"/"&amp;$P26,NETWORKS_TABLE[],MATCH(R$3,NETWORKS_TABLE[#Headers],0),FALSE),""))</f>
        <v>10.224.202.0/24</v>
      </c>
      <c r="S26" s="188" t="s" cm="1">
        <v>78</v>
      </c>
      <c r="T26" s="152"/>
      <c r="U26" s="152"/>
      <c r="V26" s="155"/>
      <c r="AC26">
        <v>0</v>
      </c>
    </row>
    <row r="27" spans="1:29">
      <c r="A27" s="40"/>
      <c r="B27" s="151" t="s">
        <v>1756</v>
      </c>
      <c r="C27" s="152" t="s">
        <v>2042</v>
      </c>
      <c r="D27" s="118" t="str">
        <f>IF(CONNECTIONS_TABLE[[#This Row],[Device Name]]="","",VLOOKUP(CONNECTIONS_TABLE[[#This Row],[Device Name]],DEVICE_TABLE[#Data],MATCH(D$3,DEVICE_TABLE[#Headers],0),FALSE))</f>
        <v>VDI</v>
      </c>
      <c r="E2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FGHVIEW02/DATA2 (VDI)</v>
      </c>
      <c r="F27" s="154"/>
      <c r="G27" s="118" t="str">
        <f>IF(CONNECTIONS_TABLE[[#This Row],[Device Name]]="","",VLOOKUP(CONNECTIONS_TABLE[[#This Row],[Device Name]],DEVICE_TABLE[],MATCH(G$3,DEVICE_TABLE[#Headers],0),FALSE))</f>
        <v>Listerhills</v>
      </c>
      <c r="H27" s="153" t="str">
        <f>IF(B27="","",VLOOKUP(B27,DEVICE_TABLE[#Data],MATCH(H$3,DEVICE_TABLE[#Headers],0),FALSE))</f>
        <v>CR1</v>
      </c>
      <c r="I27" s="122" t="s">
        <v>1575</v>
      </c>
      <c r="J27" s="122" t="s">
        <v>1375</v>
      </c>
      <c r="K27" s="122" t="s">
        <v>2044</v>
      </c>
      <c r="L27" s="153" t="str">
        <f t="shared" si="0"/>
        <v>FGHLHN41-2 Twe2/0/12</v>
      </c>
      <c r="M27" s="122" t="s">
        <v>1872</v>
      </c>
      <c r="N27" s="122" t="s">
        <v>1988</v>
      </c>
      <c r="O27" s="152"/>
      <c r="P27" s="152">
        <v>402</v>
      </c>
      <c r="Q27" s="156" t="str">
        <f>IF(L27="","",IFERROR(VLOOKUP(UPPER($G27)&amp;"/"&amp;$P27,NETWORKS_TABLE[],MATCH(Q$3,NETWORKS_TABLE[#Headers],0),FALSE),""))</f>
        <v>FGHVIEW2</v>
      </c>
      <c r="R27" s="156" t="str">
        <f>IF(B27="","",IFERROR(VLOOKUP(UPPER($G27)&amp;"/"&amp;$P27,NETWORKS_TABLE[],MATCH(R$3,NETWORKS_TABLE[#Headers],0),FALSE),""))</f>
        <v>10.224.202.0/24</v>
      </c>
      <c r="S27" s="188" t="s" cm="1">
        <v>78</v>
      </c>
      <c r="T27" s="152"/>
      <c r="U27" s="152"/>
      <c r="V27" s="155"/>
      <c r="AC27">
        <v>0</v>
      </c>
    </row>
    <row r="28" spans="1:29">
      <c r="A28" s="40"/>
      <c r="B28" s="151"/>
      <c r="C28" s="152"/>
      <c r="D28" s="118" t="str">
        <f>IF(CONNECTIONS_TABLE[[#This Row],[Device Name]]="","",VLOOKUP(CONNECTIONS_TABLE[[#This Row],[Device Name]],DEVICE_TABLE[#Data],MATCH(D$3,DEVICE_TABLE[#Headers],0),FALSE))</f>
        <v/>
      </c>
      <c r="E2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8" s="154"/>
      <c r="G28" s="118" t="str">
        <f>IF(CONNECTIONS_TABLE[[#This Row],[Device Name]]="","",VLOOKUP(CONNECTIONS_TABLE[[#This Row],[Device Name]],DEVICE_TABLE[],MATCH(G$3,DEVICE_TABLE[#Headers],0),FALSE))</f>
        <v/>
      </c>
      <c r="H28" s="153" t="str">
        <f>IF(B28="","",VLOOKUP(B28,DEVICE_TABLE[#Data],MATCH(H$3,DEVICE_TABLE[#Headers],0),FALSE))</f>
        <v/>
      </c>
      <c r="I28" s="122"/>
      <c r="J28" s="122"/>
      <c r="K28" s="122"/>
      <c r="L28" s="153" t="str">
        <f t="shared" si="0"/>
        <v xml:space="preserve"> </v>
      </c>
      <c r="M28" s="122"/>
      <c r="N28" s="122"/>
      <c r="O28" s="152"/>
      <c r="P28" s="152"/>
      <c r="Q28" s="156" t="str">
        <f>IF(L28="","",IFERROR(VLOOKUP(UPPER($G28)&amp;"/"&amp;$P28,NETWORKS_TABLE[],MATCH(Q$3,NETWORKS_TABLE[#Headers],0),FALSE),""))</f>
        <v/>
      </c>
      <c r="R28" s="156" t="str">
        <f>IF(B28="","",IFERROR(VLOOKUP(UPPER($G28)&amp;"/"&amp;$P28,NETWORKS_TABLE[],MATCH(R$3,NETWORKS_TABLE[#Headers],0),FALSE),""))</f>
        <v/>
      </c>
      <c r="S28" s="188" t="s" cm="1">
        <v>78</v>
      </c>
      <c r="T28" s="152"/>
      <c r="U28" s="152"/>
      <c r="V28" s="155"/>
      <c r="AC28" t="s">
        <v>78</v>
      </c>
    </row>
    <row r="29" spans="1:29">
      <c r="A29" s="40"/>
      <c r="B29" s="151" t="s">
        <v>1757</v>
      </c>
      <c r="C29" s="152" t="s">
        <v>2002</v>
      </c>
      <c r="D29" s="118" t="str">
        <f>IF(CONNECTIONS_TABLE[[#This Row],[Device Name]]="","",VLOOKUP(CONNECTIONS_TABLE[[#This Row],[Device Name]],DEVICE_TABLE[#Data],MATCH(D$3,DEVICE_TABLE[#Headers],0),FALSE))</f>
        <v>VDI</v>
      </c>
      <c r="E2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FGHVIEW03/IDRAC (VDI)</v>
      </c>
      <c r="F29" s="154"/>
      <c r="G29" s="118" t="str">
        <f>IF(CONNECTIONS_TABLE[[#This Row],[Device Name]]="","",VLOOKUP(CONNECTIONS_TABLE[[#This Row],[Device Name]],DEVICE_TABLE[],MATCH(G$3,DEVICE_TABLE[#Headers],0),FALSE))</f>
        <v>Listerhills</v>
      </c>
      <c r="H29" s="153" t="str">
        <f>IF(B29="","",VLOOKUP(B29,DEVICE_TABLE[#Data],MATCH(H$3,DEVICE_TABLE[#Headers],0),FALSE))</f>
        <v>CR1</v>
      </c>
      <c r="I29" s="122" t="s">
        <v>1575</v>
      </c>
      <c r="J29" s="122" t="s">
        <v>1073</v>
      </c>
      <c r="K29" s="122" t="s">
        <v>2006</v>
      </c>
      <c r="L29" s="153" t="str">
        <f t="shared" si="0"/>
        <v>FGHLHN141-1 gi1/0/13</v>
      </c>
      <c r="M29" s="122" t="s">
        <v>1991</v>
      </c>
      <c r="N29" s="122" t="s">
        <v>1988</v>
      </c>
      <c r="O29" s="152"/>
      <c r="P29" s="152">
        <v>400</v>
      </c>
      <c r="Q29" s="156" t="str">
        <f>IF(L29="","",IFERROR(VLOOKUP(UPPER($G29)&amp;"/"&amp;$P29,NETWORKS_TABLE[],MATCH(Q$3,NETWORKS_TABLE[#Headers],0),FALSE),""))</f>
        <v>VDIMGNT</v>
      </c>
      <c r="R29" s="156" t="str">
        <f>IF(B29="","",IFERROR(VLOOKUP(UPPER($G29)&amp;"/"&amp;$P29,NETWORKS_TABLE[],MATCH(R$3,NETWORKS_TABLE[#Headers],0),FALSE),""))</f>
        <v>10.224.200.0/24</v>
      </c>
      <c r="S29" s="188" t="s" cm="1">
        <v>78</v>
      </c>
      <c r="T29" s="152"/>
      <c r="U29" s="152"/>
      <c r="V29" s="155"/>
      <c r="AC29">
        <v>0</v>
      </c>
    </row>
    <row r="30" spans="1:29">
      <c r="A30" s="40"/>
      <c r="B30" s="151" t="s">
        <v>1757</v>
      </c>
      <c r="C30" s="152" t="s">
        <v>155</v>
      </c>
      <c r="D30" s="118" t="str">
        <f>IF(CONNECTIONS_TABLE[[#This Row],[Device Name]]="","",VLOOKUP(CONNECTIONS_TABLE[[#This Row],[Device Name]],DEVICE_TABLE[#Data],MATCH(D$3,DEVICE_TABLE[#Headers],0),FALSE))</f>
        <v>VDI</v>
      </c>
      <c r="E3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FGHVIEW03/ISCSI (VDI)</v>
      </c>
      <c r="F30" s="154"/>
      <c r="G30" s="118" t="str">
        <f>IF(CONNECTIONS_TABLE[[#This Row],[Device Name]]="","",VLOOKUP(CONNECTIONS_TABLE[[#This Row],[Device Name]],DEVICE_TABLE[],MATCH(G$3,DEVICE_TABLE[#Headers],0),FALSE))</f>
        <v>Listerhills</v>
      </c>
      <c r="H30" s="153" t="str">
        <f>IF(B30="","",VLOOKUP(B30,DEVICE_TABLE[#Data],MATCH(H$3,DEVICE_TABLE[#Headers],0),FALSE))</f>
        <v>CR1</v>
      </c>
      <c r="I30" s="122" t="s">
        <v>1575</v>
      </c>
      <c r="J30" s="122" t="s">
        <v>1083</v>
      </c>
      <c r="K30" s="122" t="s">
        <v>2013</v>
      </c>
      <c r="L30" s="153" t="str">
        <f t="shared" si="0"/>
        <v>FGHLHN141-2 gi2/0/13</v>
      </c>
      <c r="M30" s="122" t="s">
        <v>1991</v>
      </c>
      <c r="N30" s="122" t="s">
        <v>1988</v>
      </c>
      <c r="O30" s="152"/>
      <c r="P30" s="152">
        <v>230</v>
      </c>
      <c r="Q30" s="156" t="str">
        <f>IF(L30="","",IFERROR(VLOOKUP(UPPER($G30)&amp;"/"&amp;$P30,NETWORKS_TABLE[],MATCH(Q$3,NETWORKS_TABLE[#Headers],0),FALSE),""))</f>
        <v>HPISCSI</v>
      </c>
      <c r="R30" s="156" t="str">
        <f>IF(B30="","",IFERROR(VLOOKUP(UPPER($G30)&amp;"/"&amp;$P30,NETWORKS_TABLE[],MATCH(R$3,NETWORKS_TABLE[#Headers],0),FALSE),""))</f>
        <v>10.224.30.0/24</v>
      </c>
      <c r="S30" s="188" t="s" cm="1">
        <v>78</v>
      </c>
      <c r="T30" s="152"/>
      <c r="U30" s="152"/>
      <c r="V30" s="155"/>
      <c r="AC30">
        <v>0</v>
      </c>
    </row>
    <row r="31" spans="1:29">
      <c r="A31" s="40"/>
      <c r="B31" s="151" t="s">
        <v>1757</v>
      </c>
      <c r="C31" s="152" t="s">
        <v>2018</v>
      </c>
      <c r="D31" s="118" t="str">
        <f>IF(CONNECTIONS_TABLE[[#This Row],[Device Name]]="","",VLOOKUP(CONNECTIONS_TABLE[[#This Row],[Device Name]],DEVICE_TABLE[#Data],MATCH(D$3,DEVICE_TABLE[#Headers],0),FALSE))</f>
        <v>VDI</v>
      </c>
      <c r="E3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FGHVIEW03/MGNT (VDI)</v>
      </c>
      <c r="F31" s="154"/>
      <c r="G31" s="118" t="str">
        <f>IF(CONNECTIONS_TABLE[[#This Row],[Device Name]]="","",VLOOKUP(CONNECTIONS_TABLE[[#This Row],[Device Name]],DEVICE_TABLE[],MATCH(G$3,DEVICE_TABLE[#Headers],0),FALSE))</f>
        <v>Listerhills</v>
      </c>
      <c r="H31" s="153" t="str">
        <f>IF(B31="","",VLOOKUP(B31,DEVICE_TABLE[#Data],MATCH(H$3,DEVICE_TABLE[#Headers],0),FALSE))</f>
        <v>CR1</v>
      </c>
      <c r="I31" s="122" t="s">
        <v>1575</v>
      </c>
      <c r="J31" s="122" t="s">
        <v>1073</v>
      </c>
      <c r="K31" s="122" t="s">
        <v>2021</v>
      </c>
      <c r="L31" s="153" t="str">
        <f t="shared" si="0"/>
        <v>FGHLHN141-1 gi1/0/23</v>
      </c>
      <c r="M31" s="122" t="s">
        <v>1991</v>
      </c>
      <c r="N31" s="122" t="s">
        <v>1988</v>
      </c>
      <c r="O31" s="152"/>
      <c r="P31" s="152">
        <v>400</v>
      </c>
      <c r="Q31" s="156" t="str">
        <f>IF(L31="","",IFERROR(VLOOKUP(UPPER($G31)&amp;"/"&amp;$P31,NETWORKS_TABLE[],MATCH(Q$3,NETWORKS_TABLE[#Headers],0),FALSE),""))</f>
        <v>VDIMGNT</v>
      </c>
      <c r="R31" s="156" t="str">
        <f>IF(B31="","",IFERROR(VLOOKUP(UPPER($G31)&amp;"/"&amp;$P31,NETWORKS_TABLE[],MATCH(R$3,NETWORKS_TABLE[#Headers],0),FALSE),""))</f>
        <v>10.224.200.0/24</v>
      </c>
      <c r="S31" s="188" t="s" cm="1">
        <v>2840</v>
      </c>
      <c r="T31" s="152"/>
      <c r="U31" s="152"/>
      <c r="V31" s="155"/>
      <c r="AC31">
        <v>0</v>
      </c>
    </row>
    <row r="32" spans="1:29">
      <c r="A32" s="40"/>
      <c r="B32" s="151" t="s">
        <v>1757</v>
      </c>
      <c r="C32" s="152" t="s">
        <v>2026</v>
      </c>
      <c r="D32" s="118" t="str">
        <f>IF(CONNECTIONS_TABLE[[#This Row],[Device Name]]="","",VLOOKUP(CONNECTIONS_TABLE[[#This Row],[Device Name]],DEVICE_TABLE[#Data],MATCH(D$3,DEVICE_TABLE[#Headers],0),FALSE))</f>
        <v>VDI</v>
      </c>
      <c r="E3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FGHVIEW03/MGNT2 (VDI)</v>
      </c>
      <c r="F32" s="154"/>
      <c r="G32" s="118" t="str">
        <f>IF(CONNECTIONS_TABLE[[#This Row],[Device Name]]="","",VLOOKUP(CONNECTIONS_TABLE[[#This Row],[Device Name]],DEVICE_TABLE[],MATCH(G$3,DEVICE_TABLE[#Headers],0),FALSE))</f>
        <v>Listerhills</v>
      </c>
      <c r="H32" s="153" t="str">
        <f>IF(B32="","",VLOOKUP(B32,DEVICE_TABLE[#Data],MATCH(H$3,DEVICE_TABLE[#Headers],0),FALSE))</f>
        <v>CR1</v>
      </c>
      <c r="I32" s="122" t="s">
        <v>1575</v>
      </c>
      <c r="J32" s="122" t="s">
        <v>1083</v>
      </c>
      <c r="K32" s="122" t="s">
        <v>2029</v>
      </c>
      <c r="L32" s="153" t="str">
        <f t="shared" si="0"/>
        <v>FGHLHN141-2 gi2/0/23</v>
      </c>
      <c r="M32" s="122" t="s">
        <v>1991</v>
      </c>
      <c r="N32" s="122" t="s">
        <v>1988</v>
      </c>
      <c r="O32" s="152"/>
      <c r="P32" s="152">
        <v>400</v>
      </c>
      <c r="Q32" s="156" t="str">
        <f>IF(L32="","",IFERROR(VLOOKUP(UPPER($G32)&amp;"/"&amp;$P32,NETWORKS_TABLE[],MATCH(Q$3,NETWORKS_TABLE[#Headers],0),FALSE),""))</f>
        <v>VDIMGNT</v>
      </c>
      <c r="R32" s="156" t="str">
        <f>IF(B32="","",IFERROR(VLOOKUP(UPPER($G32)&amp;"/"&amp;$P32,NETWORKS_TABLE[],MATCH(R$3,NETWORKS_TABLE[#Headers],0),FALSE),""))</f>
        <v>10.224.200.0/24</v>
      </c>
      <c r="S32" s="188" t="s" cm="1">
        <v>2840</v>
      </c>
      <c r="T32" s="152"/>
      <c r="U32" s="152"/>
      <c r="V32" s="155"/>
      <c r="AC32">
        <v>0</v>
      </c>
    </row>
    <row r="33" spans="1:29">
      <c r="A33" s="40"/>
      <c r="B33" s="151" t="s">
        <v>1757</v>
      </c>
      <c r="C33" s="152" t="s">
        <v>2034</v>
      </c>
      <c r="D33" s="118" t="str">
        <f>IF(CONNECTIONS_TABLE[[#This Row],[Device Name]]="","",VLOOKUP(CONNECTIONS_TABLE[[#This Row],[Device Name]],DEVICE_TABLE[#Data],MATCH(D$3,DEVICE_TABLE[#Headers],0),FALSE))</f>
        <v>VDI</v>
      </c>
      <c r="E3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FGHVIEW03/DATA (VDI)</v>
      </c>
      <c r="F33" s="154"/>
      <c r="G33" s="118" t="str">
        <f>IF(CONNECTIONS_TABLE[[#This Row],[Device Name]]="","",VLOOKUP(CONNECTIONS_TABLE[[#This Row],[Device Name]],DEVICE_TABLE[],MATCH(G$3,DEVICE_TABLE[#Headers],0),FALSE))</f>
        <v>Listerhills</v>
      </c>
      <c r="H33" s="153" t="str">
        <f>IF(B33="","",VLOOKUP(B33,DEVICE_TABLE[#Data],MATCH(H$3,DEVICE_TABLE[#Headers],0),FALSE))</f>
        <v>CR1</v>
      </c>
      <c r="I33" s="122" t="s">
        <v>1575</v>
      </c>
      <c r="J33" s="122" t="s">
        <v>1371</v>
      </c>
      <c r="K33" s="122" t="s">
        <v>2037</v>
      </c>
      <c r="L33" s="153" t="str">
        <f t="shared" si="0"/>
        <v>FGHLHN41-1 Twe1/0/13</v>
      </c>
      <c r="M33" s="122" t="s">
        <v>1872</v>
      </c>
      <c r="N33" s="122" t="s">
        <v>1988</v>
      </c>
      <c r="O33" s="152"/>
      <c r="P33" s="152">
        <v>403</v>
      </c>
      <c r="Q33" s="156" t="str">
        <f>IF(L33="","",IFERROR(VLOOKUP(UPPER($G33)&amp;"/"&amp;$P33,NETWORKS_TABLE[],MATCH(Q$3,NETWORKS_TABLE[#Headers],0),FALSE),""))</f>
        <v>FGHVIEW3</v>
      </c>
      <c r="R33" s="156" t="str">
        <f>IF(B33="","",IFERROR(VLOOKUP(UPPER($G33)&amp;"/"&amp;$P33,NETWORKS_TABLE[],MATCH(R$3,NETWORKS_TABLE[#Headers],0),FALSE),""))</f>
        <v>10.224.203.0/24</v>
      </c>
      <c r="S33" s="188" t="s" cm="1">
        <v>78</v>
      </c>
      <c r="T33" s="152"/>
      <c r="U33" s="152"/>
      <c r="V33" s="155"/>
      <c r="AC33">
        <v>0</v>
      </c>
    </row>
    <row r="34" spans="1:29">
      <c r="A34" s="40"/>
      <c r="B34" s="151" t="s">
        <v>1757</v>
      </c>
      <c r="C34" s="152" t="s">
        <v>2042</v>
      </c>
      <c r="D34" s="118" t="str">
        <f>IF(CONNECTIONS_TABLE[[#This Row],[Device Name]]="","",VLOOKUP(CONNECTIONS_TABLE[[#This Row],[Device Name]],DEVICE_TABLE[#Data],MATCH(D$3,DEVICE_TABLE[#Headers],0),FALSE))</f>
        <v>VDI</v>
      </c>
      <c r="E3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FGHVIEW03/DATA2 (VDI)</v>
      </c>
      <c r="F34" s="154"/>
      <c r="G34" s="118" t="str">
        <f>IF(CONNECTIONS_TABLE[[#This Row],[Device Name]]="","",VLOOKUP(CONNECTIONS_TABLE[[#This Row],[Device Name]],DEVICE_TABLE[],MATCH(G$3,DEVICE_TABLE[#Headers],0),FALSE))</f>
        <v>Listerhills</v>
      </c>
      <c r="H34" s="153" t="str">
        <f>IF(B34="","",VLOOKUP(B34,DEVICE_TABLE[#Data],MATCH(H$3,DEVICE_TABLE[#Headers],0),FALSE))</f>
        <v>CR1</v>
      </c>
      <c r="I34" s="122" t="s">
        <v>1575</v>
      </c>
      <c r="J34" s="122" t="s">
        <v>1375</v>
      </c>
      <c r="K34" s="122" t="s">
        <v>2045</v>
      </c>
      <c r="L34" s="153" t="str">
        <f t="shared" si="0"/>
        <v>FGHLHN41-2 Twe2/0/13</v>
      </c>
      <c r="M34" s="122" t="s">
        <v>1872</v>
      </c>
      <c r="N34" s="122" t="s">
        <v>1988</v>
      </c>
      <c r="O34" s="152"/>
      <c r="P34" s="152">
        <v>403</v>
      </c>
      <c r="Q34" s="156" t="str">
        <f>IF(L34="","",IFERROR(VLOOKUP(UPPER($G34)&amp;"/"&amp;$P34,NETWORKS_TABLE[],MATCH(Q$3,NETWORKS_TABLE[#Headers],0),FALSE),""))</f>
        <v>FGHVIEW3</v>
      </c>
      <c r="R34" s="156" t="str">
        <f>IF(B34="","",IFERROR(VLOOKUP(UPPER($G34)&amp;"/"&amp;$P34,NETWORKS_TABLE[],MATCH(R$3,NETWORKS_TABLE[#Headers],0),FALSE),""))</f>
        <v>10.224.203.0/24</v>
      </c>
      <c r="S34" s="188" t="s" cm="1">
        <v>78</v>
      </c>
      <c r="T34" s="152"/>
      <c r="U34" s="152"/>
      <c r="V34" s="155"/>
      <c r="AC34">
        <v>0</v>
      </c>
    </row>
    <row r="35" spans="1:29">
      <c r="A35" s="40"/>
      <c r="B35" s="151"/>
      <c r="C35" s="152"/>
      <c r="D35" s="118" t="str">
        <f>IF(CONNECTIONS_TABLE[[#This Row],[Device Name]]="","",VLOOKUP(CONNECTIONS_TABLE[[#This Row],[Device Name]],DEVICE_TABLE[#Data],MATCH(D$3,DEVICE_TABLE[#Headers],0),FALSE))</f>
        <v/>
      </c>
      <c r="E3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5" s="154"/>
      <c r="G35" s="118" t="str">
        <f>IF(CONNECTIONS_TABLE[[#This Row],[Device Name]]="","",VLOOKUP(CONNECTIONS_TABLE[[#This Row],[Device Name]],DEVICE_TABLE[],MATCH(G$3,DEVICE_TABLE[#Headers],0),FALSE))</f>
        <v/>
      </c>
      <c r="H35" s="153" t="str">
        <f>IF(B35="","",VLOOKUP(B35,DEVICE_TABLE[#Data],MATCH(H$3,DEVICE_TABLE[#Headers],0),FALSE))</f>
        <v/>
      </c>
      <c r="I35" s="122"/>
      <c r="J35" s="122"/>
      <c r="K35" s="122"/>
      <c r="L35" s="153" t="str">
        <f t="shared" si="0"/>
        <v xml:space="preserve"> </v>
      </c>
      <c r="M35" s="122"/>
      <c r="N35" s="122"/>
      <c r="O35" s="152"/>
      <c r="P35" s="152"/>
      <c r="Q35" s="156" t="str">
        <f>IF(L35="","",IFERROR(VLOOKUP(UPPER($G35)&amp;"/"&amp;$P35,NETWORKS_TABLE[],MATCH(Q$3,NETWORKS_TABLE[#Headers],0),FALSE),""))</f>
        <v/>
      </c>
      <c r="R35" s="156" t="str">
        <f>IF(B35="","",IFERROR(VLOOKUP(UPPER($G35)&amp;"/"&amp;$P35,NETWORKS_TABLE[],MATCH(R$3,NETWORKS_TABLE[#Headers],0),FALSE),""))</f>
        <v/>
      </c>
      <c r="S35" s="188" t="s" cm="1">
        <v>78</v>
      </c>
      <c r="T35" s="152"/>
      <c r="U35" s="152"/>
      <c r="V35" s="155"/>
      <c r="AC35" t="s">
        <v>78</v>
      </c>
    </row>
    <row r="36" spans="1:29">
      <c r="A36" s="40"/>
      <c r="B36" s="151" t="s">
        <v>1767</v>
      </c>
      <c r="C36" s="152" t="s">
        <v>2002</v>
      </c>
      <c r="D36" s="118" t="str">
        <f>IF(CONNECTIONS_TABLE[[#This Row],[Device Name]]="","",VLOOKUP(CONNECTIONS_TABLE[[#This Row],[Device Name]],DEVICE_TABLE[#Data],MATCH(D$3,DEVICE_TABLE[#Headers],0),FALSE))</f>
        <v>VDI</v>
      </c>
      <c r="E3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FGHVIEW04/IDRAC (VDI)</v>
      </c>
      <c r="F36" s="154"/>
      <c r="G36" s="118" t="str">
        <f>IF(CONNECTIONS_TABLE[[#This Row],[Device Name]]="","",VLOOKUP(CONNECTIONS_TABLE[[#This Row],[Device Name]],DEVICE_TABLE[],MATCH(G$3,DEVICE_TABLE[#Headers],0),FALSE))</f>
        <v>Listerhills</v>
      </c>
      <c r="H36" s="153" t="str">
        <f>IF(B36="","",VLOOKUP(B36,DEVICE_TABLE[#Data],MATCH(H$3,DEVICE_TABLE[#Headers],0),FALSE))</f>
        <v>CR2</v>
      </c>
      <c r="I36" s="122" t="s">
        <v>2003</v>
      </c>
      <c r="J36" s="122" t="s">
        <v>1089</v>
      </c>
      <c r="K36" s="122" t="s">
        <v>2004</v>
      </c>
      <c r="L36" s="153" t="str">
        <f t="shared" si="0"/>
        <v>FGHLHN142-1 gi1/0/11</v>
      </c>
      <c r="M36" s="122" t="s">
        <v>1991</v>
      </c>
      <c r="N36" s="122" t="s">
        <v>1988</v>
      </c>
      <c r="O36" s="152"/>
      <c r="P36" s="152">
        <v>400</v>
      </c>
      <c r="Q36" s="156" t="str">
        <f>IF(L36="","",IFERROR(VLOOKUP(UPPER($G36)&amp;"/"&amp;$P36,NETWORKS_TABLE[],MATCH(Q$3,NETWORKS_TABLE[#Headers],0),FALSE),""))</f>
        <v>VDIMGNT</v>
      </c>
      <c r="R36" s="156" t="str">
        <f>IF(B36="","",IFERROR(VLOOKUP(UPPER($G36)&amp;"/"&amp;$P36,NETWORKS_TABLE[],MATCH(R$3,NETWORKS_TABLE[#Headers],0),FALSE),""))</f>
        <v>10.224.200.0/24</v>
      </c>
      <c r="S36" s="188" t="s" cm="1">
        <v>78</v>
      </c>
      <c r="T36" s="152"/>
      <c r="U36" s="152"/>
      <c r="V36" s="155"/>
      <c r="AC36">
        <v>0</v>
      </c>
    </row>
    <row r="37" spans="1:29">
      <c r="A37" s="40"/>
      <c r="B37" s="151" t="s">
        <v>1767</v>
      </c>
      <c r="C37" s="152" t="s">
        <v>155</v>
      </c>
      <c r="D37" s="118" t="str">
        <f>IF(CONNECTIONS_TABLE[[#This Row],[Device Name]]="","",VLOOKUP(CONNECTIONS_TABLE[[#This Row],[Device Name]],DEVICE_TABLE[#Data],MATCH(D$3,DEVICE_TABLE[#Headers],0),FALSE))</f>
        <v>VDI</v>
      </c>
      <c r="E3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FGHVIEW04/ISCSI (VDI)</v>
      </c>
      <c r="F37" s="154"/>
      <c r="G37" s="118" t="str">
        <f>IF(CONNECTIONS_TABLE[[#This Row],[Device Name]]="","",VLOOKUP(CONNECTIONS_TABLE[[#This Row],[Device Name]],DEVICE_TABLE[],MATCH(G$3,DEVICE_TABLE[#Headers],0),FALSE))</f>
        <v>Listerhills</v>
      </c>
      <c r="H37" s="153" t="str">
        <f>IF(B37="","",VLOOKUP(B37,DEVICE_TABLE[#Data],MATCH(H$3,DEVICE_TABLE[#Headers],0),FALSE))</f>
        <v>CR2</v>
      </c>
      <c r="I37" s="122" t="s">
        <v>2003</v>
      </c>
      <c r="J37" s="122" t="s">
        <v>1095</v>
      </c>
      <c r="K37" s="122" t="s">
        <v>2011</v>
      </c>
      <c r="L37" s="153" t="str">
        <f t="shared" si="0"/>
        <v>FGHLHN142-2 gi2/0/11</v>
      </c>
      <c r="M37" s="122" t="s">
        <v>1991</v>
      </c>
      <c r="N37" s="122" t="s">
        <v>1988</v>
      </c>
      <c r="O37" s="152"/>
      <c r="P37" s="152">
        <v>230</v>
      </c>
      <c r="Q37" s="156" t="str">
        <f>IF(L37="","",IFERROR(VLOOKUP(UPPER($G37)&amp;"/"&amp;$P37,NETWORKS_TABLE[],MATCH(Q$3,NETWORKS_TABLE[#Headers],0),FALSE),""))</f>
        <v>HPISCSI</v>
      </c>
      <c r="R37" s="156" t="str">
        <f>IF(B37="","",IFERROR(VLOOKUP(UPPER($G37)&amp;"/"&amp;$P37,NETWORKS_TABLE[],MATCH(R$3,NETWORKS_TABLE[#Headers],0),FALSE),""))</f>
        <v>10.224.30.0/24</v>
      </c>
      <c r="S37" s="188" t="s" cm="1">
        <v>78</v>
      </c>
      <c r="T37" s="152"/>
      <c r="U37" s="152"/>
      <c r="V37" s="155"/>
      <c r="AC37">
        <v>0</v>
      </c>
    </row>
    <row r="38" spans="1:29">
      <c r="A38" s="40"/>
      <c r="B38" s="151" t="s">
        <v>1767</v>
      </c>
      <c r="C38" s="152" t="s">
        <v>2018</v>
      </c>
      <c r="D38" s="118" t="str">
        <f>IF(CONNECTIONS_TABLE[[#This Row],[Device Name]]="","",VLOOKUP(CONNECTIONS_TABLE[[#This Row],[Device Name]],DEVICE_TABLE[#Data],MATCH(D$3,DEVICE_TABLE[#Headers],0),FALSE))</f>
        <v>VDI</v>
      </c>
      <c r="E3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FGHVIEW04/MGNT (VDI)</v>
      </c>
      <c r="F38" s="154"/>
      <c r="G38" s="118" t="str">
        <f>IF(CONNECTIONS_TABLE[[#This Row],[Device Name]]="","",VLOOKUP(CONNECTIONS_TABLE[[#This Row],[Device Name]],DEVICE_TABLE[],MATCH(G$3,DEVICE_TABLE[#Headers],0),FALSE))</f>
        <v>Listerhills</v>
      </c>
      <c r="H38" s="153" t="str">
        <f>IF(B38="","",VLOOKUP(B38,DEVICE_TABLE[#Data],MATCH(H$3,DEVICE_TABLE[#Headers],0),FALSE))</f>
        <v>CR2</v>
      </c>
      <c r="I38" s="122" t="s">
        <v>2003</v>
      </c>
      <c r="J38" s="122" t="s">
        <v>1089</v>
      </c>
      <c r="K38" s="122" t="s">
        <v>2019</v>
      </c>
      <c r="L38" s="153" t="str">
        <f t="shared" si="0"/>
        <v>FGHLHN142-1 gi1/0/21</v>
      </c>
      <c r="M38" s="122" t="s">
        <v>1991</v>
      </c>
      <c r="N38" s="122" t="s">
        <v>1988</v>
      </c>
      <c r="O38" s="152"/>
      <c r="P38" s="152">
        <v>400</v>
      </c>
      <c r="Q38" s="156" t="str">
        <f>IF(L38="","",IFERROR(VLOOKUP(UPPER($G38)&amp;"/"&amp;$P38,NETWORKS_TABLE[],MATCH(Q$3,NETWORKS_TABLE[#Headers],0),FALSE),""))</f>
        <v>VDIMGNT</v>
      </c>
      <c r="R38" s="156" t="str">
        <f>IF(B38="","",IFERROR(VLOOKUP(UPPER($G38)&amp;"/"&amp;$P38,NETWORKS_TABLE[],MATCH(R$3,NETWORKS_TABLE[#Headers],0),FALSE),""))</f>
        <v>10.224.200.0/24</v>
      </c>
      <c r="S38" s="188" t="s" cm="1">
        <v>2841</v>
      </c>
      <c r="T38" s="152"/>
      <c r="U38" s="152"/>
      <c r="V38" s="155"/>
      <c r="AC38">
        <v>0</v>
      </c>
    </row>
    <row r="39" spans="1:29">
      <c r="A39" s="40"/>
      <c r="B39" s="151" t="s">
        <v>1767</v>
      </c>
      <c r="C39" s="152" t="s">
        <v>2026</v>
      </c>
      <c r="D39" s="118" t="str">
        <f>IF(CONNECTIONS_TABLE[[#This Row],[Device Name]]="","",VLOOKUP(CONNECTIONS_TABLE[[#This Row],[Device Name]],DEVICE_TABLE[#Data],MATCH(D$3,DEVICE_TABLE[#Headers],0),FALSE))</f>
        <v>VDI</v>
      </c>
      <c r="E3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FGHVIEW04/MGNT2 (VDI)</v>
      </c>
      <c r="F39" s="154"/>
      <c r="G39" s="118" t="str">
        <f>IF(CONNECTIONS_TABLE[[#This Row],[Device Name]]="","",VLOOKUP(CONNECTIONS_TABLE[[#This Row],[Device Name]],DEVICE_TABLE[],MATCH(G$3,DEVICE_TABLE[#Headers],0),FALSE))</f>
        <v>Listerhills</v>
      </c>
      <c r="H39" s="153" t="str">
        <f>IF(B39="","",VLOOKUP(B39,DEVICE_TABLE[#Data],MATCH(H$3,DEVICE_TABLE[#Headers],0),FALSE))</f>
        <v>CR2</v>
      </c>
      <c r="I39" s="122" t="s">
        <v>2003</v>
      </c>
      <c r="J39" s="122" t="s">
        <v>1095</v>
      </c>
      <c r="K39" s="122" t="s">
        <v>2027</v>
      </c>
      <c r="L39" s="153" t="str">
        <f t="shared" si="0"/>
        <v>FGHLHN142-2 gi2/0/21</v>
      </c>
      <c r="M39" s="122" t="s">
        <v>1991</v>
      </c>
      <c r="N39" s="122" t="s">
        <v>1988</v>
      </c>
      <c r="O39" s="152"/>
      <c r="P39" s="152">
        <v>400</v>
      </c>
      <c r="Q39" s="156" t="str">
        <f>IF(L39="","",IFERROR(VLOOKUP(UPPER($G39)&amp;"/"&amp;$P39,NETWORKS_TABLE[],MATCH(Q$3,NETWORKS_TABLE[#Headers],0),FALSE),""))</f>
        <v>VDIMGNT</v>
      </c>
      <c r="R39" s="156" t="str">
        <f>IF(B39="","",IFERROR(VLOOKUP(UPPER($G39)&amp;"/"&amp;$P39,NETWORKS_TABLE[],MATCH(R$3,NETWORKS_TABLE[#Headers],0),FALSE),""))</f>
        <v>10.224.200.0/24</v>
      </c>
      <c r="S39" s="188" t="s" cm="1">
        <v>2841</v>
      </c>
      <c r="T39" s="152"/>
      <c r="U39" s="152"/>
      <c r="V39" s="155"/>
      <c r="AC39">
        <v>0</v>
      </c>
    </row>
    <row r="40" spans="1:29">
      <c r="A40" s="40"/>
      <c r="B40" s="151" t="s">
        <v>1767</v>
      </c>
      <c r="C40" s="152" t="s">
        <v>2034</v>
      </c>
      <c r="D40" s="118" t="str">
        <f>IF(CONNECTIONS_TABLE[[#This Row],[Device Name]]="","",VLOOKUP(CONNECTIONS_TABLE[[#This Row],[Device Name]],DEVICE_TABLE[#Data],MATCH(D$3,DEVICE_TABLE[#Headers],0),FALSE))</f>
        <v>VDI</v>
      </c>
      <c r="E4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FGHVIEW04/DATA (VDI)</v>
      </c>
      <c r="F40" s="154"/>
      <c r="G40" s="118" t="str">
        <f>IF(CONNECTIONS_TABLE[[#This Row],[Device Name]]="","",VLOOKUP(CONNECTIONS_TABLE[[#This Row],[Device Name]],DEVICE_TABLE[],MATCH(G$3,DEVICE_TABLE[#Headers],0),FALSE))</f>
        <v>Listerhills</v>
      </c>
      <c r="H40" s="153" t="str">
        <f>IF(B40="","",VLOOKUP(B40,DEVICE_TABLE[#Data],MATCH(H$3,DEVICE_TABLE[#Headers],0),FALSE))</f>
        <v>CR2</v>
      </c>
      <c r="I40" s="122" t="s">
        <v>2003</v>
      </c>
      <c r="J40" s="122" t="s">
        <v>1379</v>
      </c>
      <c r="K40" s="122" t="s">
        <v>2035</v>
      </c>
      <c r="L40" s="153" t="str">
        <f t="shared" si="0"/>
        <v>FGHLHN42-1 Twe1/0/11</v>
      </c>
      <c r="M40" s="122" t="s">
        <v>1872</v>
      </c>
      <c r="N40" s="122" t="s">
        <v>1988</v>
      </c>
      <c r="O40" s="152"/>
      <c r="P40" s="152">
        <v>401</v>
      </c>
      <c r="Q40" s="156" t="str">
        <f>IF(L40="","",IFERROR(VLOOKUP(UPPER($G40)&amp;"/"&amp;$P40,NETWORKS_TABLE[],MATCH(Q$3,NETWORKS_TABLE[#Headers],0),FALSE),""))</f>
        <v>FGHVIEW1</v>
      </c>
      <c r="R40" s="156" t="str">
        <f>IF(B40="","",IFERROR(VLOOKUP(UPPER($G40)&amp;"/"&amp;$P40,NETWORKS_TABLE[],MATCH(R$3,NETWORKS_TABLE[#Headers],0),FALSE),""))</f>
        <v>10.224.201.0/24</v>
      </c>
      <c r="S40" s="188" t="s" cm="1">
        <v>78</v>
      </c>
      <c r="T40" s="152"/>
      <c r="U40" s="152"/>
      <c r="V40" s="155"/>
      <c r="AC40">
        <v>0</v>
      </c>
    </row>
    <row r="41" spans="1:29">
      <c r="A41" s="40"/>
      <c r="B41" s="151" t="s">
        <v>1767</v>
      </c>
      <c r="C41" s="152" t="s">
        <v>2042</v>
      </c>
      <c r="D41" s="118" t="str">
        <f>IF(CONNECTIONS_TABLE[[#This Row],[Device Name]]="","",VLOOKUP(CONNECTIONS_TABLE[[#This Row],[Device Name]],DEVICE_TABLE[#Data],MATCH(D$3,DEVICE_TABLE[#Headers],0),FALSE))</f>
        <v>VDI</v>
      </c>
      <c r="E4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FGHVIEW04/DATA2 (VDI)</v>
      </c>
      <c r="F41" s="154"/>
      <c r="G41" s="118" t="str">
        <f>IF(CONNECTIONS_TABLE[[#This Row],[Device Name]]="","",VLOOKUP(CONNECTIONS_TABLE[[#This Row],[Device Name]],DEVICE_TABLE[],MATCH(G$3,DEVICE_TABLE[#Headers],0),FALSE))</f>
        <v>Listerhills</v>
      </c>
      <c r="H41" s="153" t="str">
        <f>IF(B41="","",VLOOKUP(B41,DEVICE_TABLE[#Data],MATCH(H$3,DEVICE_TABLE[#Headers],0),FALSE))</f>
        <v>CR2</v>
      </c>
      <c r="I41" s="122" t="s">
        <v>2003</v>
      </c>
      <c r="J41" s="122" t="s">
        <v>1383</v>
      </c>
      <c r="K41" s="122" t="s">
        <v>2043</v>
      </c>
      <c r="L41" s="153" t="str">
        <f t="shared" si="0"/>
        <v>FGHLHN42-2 Twe2/0/11</v>
      </c>
      <c r="M41" s="122" t="s">
        <v>1872</v>
      </c>
      <c r="N41" s="122" t="s">
        <v>1988</v>
      </c>
      <c r="O41" s="152"/>
      <c r="P41" s="152">
        <v>401</v>
      </c>
      <c r="Q41" s="156" t="str">
        <f>IF(L41="","",IFERROR(VLOOKUP(UPPER($G41)&amp;"/"&amp;$P41,NETWORKS_TABLE[],MATCH(Q$3,NETWORKS_TABLE[#Headers],0),FALSE),""))</f>
        <v>FGHVIEW1</v>
      </c>
      <c r="R41" s="156" t="str">
        <f>IF(B41="","",IFERROR(VLOOKUP(UPPER($G41)&amp;"/"&amp;$P41,NETWORKS_TABLE[],MATCH(R$3,NETWORKS_TABLE[#Headers],0),FALSE),""))</f>
        <v>10.224.201.0/24</v>
      </c>
      <c r="S41" s="188" t="s" cm="1">
        <v>78</v>
      </c>
      <c r="T41" s="152"/>
      <c r="U41" s="152"/>
      <c r="V41" s="155"/>
      <c r="AC41">
        <v>0</v>
      </c>
    </row>
    <row r="42" spans="1:29">
      <c r="A42" s="40"/>
      <c r="B42" s="151"/>
      <c r="C42" s="152"/>
      <c r="D42" s="118" t="str">
        <f>IF(CONNECTIONS_TABLE[[#This Row],[Device Name]]="","",VLOOKUP(CONNECTIONS_TABLE[[#This Row],[Device Name]],DEVICE_TABLE[#Data],MATCH(D$3,DEVICE_TABLE[#Headers],0),FALSE))</f>
        <v/>
      </c>
      <c r="E4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42" s="154"/>
      <c r="G42" s="118" t="str">
        <f>IF(CONNECTIONS_TABLE[[#This Row],[Device Name]]="","",VLOOKUP(CONNECTIONS_TABLE[[#This Row],[Device Name]],DEVICE_TABLE[],MATCH(G$3,DEVICE_TABLE[#Headers],0),FALSE))</f>
        <v/>
      </c>
      <c r="H42" s="153" t="str">
        <f>IF(B42="","",VLOOKUP(B42,DEVICE_TABLE[#Data],MATCH(H$3,DEVICE_TABLE[#Headers],0),FALSE))</f>
        <v/>
      </c>
      <c r="I42" s="122"/>
      <c r="J42" s="122"/>
      <c r="K42" s="122"/>
      <c r="L42" s="153" t="str">
        <f t="shared" si="0"/>
        <v xml:space="preserve"> </v>
      </c>
      <c r="M42" s="122"/>
      <c r="N42" s="122"/>
      <c r="O42" s="152"/>
      <c r="P42" s="152"/>
      <c r="Q42" s="156" t="str">
        <f>IF(L42="","",IFERROR(VLOOKUP(UPPER($G42)&amp;"/"&amp;$P42,NETWORKS_TABLE[],MATCH(Q$3,NETWORKS_TABLE[#Headers],0),FALSE),""))</f>
        <v/>
      </c>
      <c r="R42" s="156" t="str">
        <f>IF(B42="","",IFERROR(VLOOKUP(UPPER($G42)&amp;"/"&amp;$P42,NETWORKS_TABLE[],MATCH(R$3,NETWORKS_TABLE[#Headers],0),FALSE),""))</f>
        <v/>
      </c>
      <c r="S42" s="188" t="s" cm="1">
        <v>78</v>
      </c>
      <c r="T42" s="152"/>
      <c r="U42" s="152"/>
      <c r="V42" s="155"/>
      <c r="AC42" t="s">
        <v>78</v>
      </c>
    </row>
    <row r="43" spans="1:29">
      <c r="A43" s="40"/>
      <c r="B43" s="151" t="s">
        <v>1769</v>
      </c>
      <c r="C43" s="152" t="s">
        <v>2002</v>
      </c>
      <c r="D43" s="118" t="str">
        <f>IF(CONNECTIONS_TABLE[[#This Row],[Device Name]]="","",VLOOKUP(CONNECTIONS_TABLE[[#This Row],[Device Name]],DEVICE_TABLE[#Data],MATCH(D$3,DEVICE_TABLE[#Headers],0),FALSE))</f>
        <v>VDI</v>
      </c>
      <c r="E4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FGHVIEW05/IDRAC (VDI)</v>
      </c>
      <c r="F43" s="154"/>
      <c r="G43" s="118" t="str">
        <f>IF(CONNECTIONS_TABLE[[#This Row],[Device Name]]="","",VLOOKUP(CONNECTIONS_TABLE[[#This Row],[Device Name]],DEVICE_TABLE[],MATCH(G$3,DEVICE_TABLE[#Headers],0),FALSE))</f>
        <v>Listerhills</v>
      </c>
      <c r="H43" s="153" t="str">
        <f>IF(B43="","",VLOOKUP(B43,DEVICE_TABLE[#Data],MATCH(H$3,DEVICE_TABLE[#Headers],0),FALSE))</f>
        <v>CR2</v>
      </c>
      <c r="I43" s="122" t="s">
        <v>2003</v>
      </c>
      <c r="J43" s="122" t="s">
        <v>1089</v>
      </c>
      <c r="K43" s="122" t="s">
        <v>2005</v>
      </c>
      <c r="L43" s="153" t="str">
        <f t="shared" si="0"/>
        <v>FGHLHN142-1 gi1/0/12</v>
      </c>
      <c r="M43" s="122" t="s">
        <v>1991</v>
      </c>
      <c r="N43" s="122" t="s">
        <v>1988</v>
      </c>
      <c r="O43" s="152"/>
      <c r="P43" s="152">
        <v>400</v>
      </c>
      <c r="Q43" s="156" t="str">
        <f>IF(L43="","",IFERROR(VLOOKUP(UPPER($G43)&amp;"/"&amp;$P43,NETWORKS_TABLE[],MATCH(Q$3,NETWORKS_TABLE[#Headers],0),FALSE),""))</f>
        <v>VDIMGNT</v>
      </c>
      <c r="R43" s="156" t="str">
        <f>IF(B43="","",IFERROR(VLOOKUP(UPPER($G43)&amp;"/"&amp;$P43,NETWORKS_TABLE[],MATCH(R$3,NETWORKS_TABLE[#Headers],0),FALSE),""))</f>
        <v>10.224.200.0/24</v>
      </c>
      <c r="S43" s="188" t="s" cm="1">
        <v>78</v>
      </c>
      <c r="T43" s="152"/>
      <c r="U43" s="152"/>
      <c r="V43" s="155"/>
      <c r="AC43">
        <v>0</v>
      </c>
    </row>
    <row r="44" spans="1:29">
      <c r="A44" s="40"/>
      <c r="B44" s="151" t="s">
        <v>1769</v>
      </c>
      <c r="C44" s="152" t="s">
        <v>155</v>
      </c>
      <c r="D44" s="118" t="str">
        <f>IF(CONNECTIONS_TABLE[[#This Row],[Device Name]]="","",VLOOKUP(CONNECTIONS_TABLE[[#This Row],[Device Name]],DEVICE_TABLE[#Data],MATCH(D$3,DEVICE_TABLE[#Headers],0),FALSE))</f>
        <v>VDI</v>
      </c>
      <c r="E4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FGHVIEW05/ISCSI (VDI)</v>
      </c>
      <c r="F44" s="154"/>
      <c r="G44" s="118" t="str">
        <f>IF(CONNECTIONS_TABLE[[#This Row],[Device Name]]="","",VLOOKUP(CONNECTIONS_TABLE[[#This Row],[Device Name]],DEVICE_TABLE[],MATCH(G$3,DEVICE_TABLE[#Headers],0),FALSE))</f>
        <v>Listerhills</v>
      </c>
      <c r="H44" s="153" t="str">
        <f>IF(B44="","",VLOOKUP(B44,DEVICE_TABLE[#Data],MATCH(H$3,DEVICE_TABLE[#Headers],0),FALSE))</f>
        <v>CR2</v>
      </c>
      <c r="I44" s="122" t="s">
        <v>2003</v>
      </c>
      <c r="J44" s="122" t="s">
        <v>1095</v>
      </c>
      <c r="K44" s="122" t="s">
        <v>2012</v>
      </c>
      <c r="L44" s="153" t="str">
        <f t="shared" si="0"/>
        <v>FGHLHN142-2 gi2/0/12</v>
      </c>
      <c r="M44" s="122" t="s">
        <v>1991</v>
      </c>
      <c r="N44" s="122" t="s">
        <v>1988</v>
      </c>
      <c r="O44" s="152"/>
      <c r="P44" s="152">
        <v>230</v>
      </c>
      <c r="Q44" s="156" t="str">
        <f>IF(L44="","",IFERROR(VLOOKUP(UPPER($G44)&amp;"/"&amp;$P44,NETWORKS_TABLE[],MATCH(Q$3,NETWORKS_TABLE[#Headers],0),FALSE),""))</f>
        <v>HPISCSI</v>
      </c>
      <c r="R44" s="156" t="str">
        <f>IF(B44="","",IFERROR(VLOOKUP(UPPER($G44)&amp;"/"&amp;$P44,NETWORKS_TABLE[],MATCH(R$3,NETWORKS_TABLE[#Headers],0),FALSE),""))</f>
        <v>10.224.30.0/24</v>
      </c>
      <c r="S44" s="188" t="s" cm="1">
        <v>78</v>
      </c>
      <c r="T44" s="152"/>
      <c r="U44" s="152"/>
      <c r="V44" s="155"/>
      <c r="AC44">
        <v>0</v>
      </c>
    </row>
    <row r="45" spans="1:29">
      <c r="A45" s="40"/>
      <c r="B45" s="151" t="s">
        <v>1769</v>
      </c>
      <c r="C45" s="152" t="s">
        <v>2018</v>
      </c>
      <c r="D45" s="118" t="str">
        <f>IF(CONNECTIONS_TABLE[[#This Row],[Device Name]]="","",VLOOKUP(CONNECTIONS_TABLE[[#This Row],[Device Name]],DEVICE_TABLE[#Data],MATCH(D$3,DEVICE_TABLE[#Headers],0),FALSE))</f>
        <v>VDI</v>
      </c>
      <c r="E4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FGHVIEW05/MGNT (VDI)</v>
      </c>
      <c r="F45" s="154"/>
      <c r="G45" s="118" t="str">
        <f>IF(CONNECTIONS_TABLE[[#This Row],[Device Name]]="","",VLOOKUP(CONNECTIONS_TABLE[[#This Row],[Device Name]],DEVICE_TABLE[],MATCH(G$3,DEVICE_TABLE[#Headers],0),FALSE))</f>
        <v>Listerhills</v>
      </c>
      <c r="H45" s="153" t="str">
        <f>IF(B45="","",VLOOKUP(B45,DEVICE_TABLE[#Data],MATCH(H$3,DEVICE_TABLE[#Headers],0),FALSE))</f>
        <v>CR2</v>
      </c>
      <c r="I45" s="122" t="s">
        <v>2003</v>
      </c>
      <c r="J45" s="122" t="s">
        <v>1089</v>
      </c>
      <c r="K45" s="122" t="s">
        <v>2020</v>
      </c>
      <c r="L45" s="153" t="str">
        <f t="shared" si="0"/>
        <v>FGHLHN142-1 gi1/0/22</v>
      </c>
      <c r="M45" s="122" t="s">
        <v>1991</v>
      </c>
      <c r="N45" s="122" t="s">
        <v>1988</v>
      </c>
      <c r="O45" s="152"/>
      <c r="P45" s="152">
        <v>400</v>
      </c>
      <c r="Q45" s="156" t="str">
        <f>IF(L45="","",IFERROR(VLOOKUP(UPPER($G45)&amp;"/"&amp;$P45,NETWORKS_TABLE[],MATCH(Q$3,NETWORKS_TABLE[#Headers],0),FALSE),""))</f>
        <v>VDIMGNT</v>
      </c>
      <c r="R45" s="156" t="str">
        <f>IF(B45="","",IFERROR(VLOOKUP(UPPER($G45)&amp;"/"&amp;$P45,NETWORKS_TABLE[],MATCH(R$3,NETWORKS_TABLE[#Headers],0),FALSE),""))</f>
        <v>10.224.200.0/24</v>
      </c>
      <c r="S45" s="188" t="s" cm="1">
        <v>2842</v>
      </c>
      <c r="T45" s="152"/>
      <c r="U45" s="152"/>
      <c r="V45" s="155"/>
      <c r="AC45">
        <v>0</v>
      </c>
    </row>
    <row r="46" spans="1:29">
      <c r="A46" s="40"/>
      <c r="B46" s="151" t="s">
        <v>1769</v>
      </c>
      <c r="C46" s="152" t="s">
        <v>2026</v>
      </c>
      <c r="D46" s="118" t="str">
        <f>IF(CONNECTIONS_TABLE[[#This Row],[Device Name]]="","",VLOOKUP(CONNECTIONS_TABLE[[#This Row],[Device Name]],DEVICE_TABLE[#Data],MATCH(D$3,DEVICE_TABLE[#Headers],0),FALSE))</f>
        <v>VDI</v>
      </c>
      <c r="E4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FGHVIEW05/MGNT2 (VDI)</v>
      </c>
      <c r="F46" s="154"/>
      <c r="G46" s="118" t="str">
        <f>IF(CONNECTIONS_TABLE[[#This Row],[Device Name]]="","",VLOOKUP(CONNECTIONS_TABLE[[#This Row],[Device Name]],DEVICE_TABLE[],MATCH(G$3,DEVICE_TABLE[#Headers],0),FALSE))</f>
        <v>Listerhills</v>
      </c>
      <c r="H46" s="153" t="str">
        <f>IF(B46="","",VLOOKUP(B46,DEVICE_TABLE[#Data],MATCH(H$3,DEVICE_TABLE[#Headers],0),FALSE))</f>
        <v>CR2</v>
      </c>
      <c r="I46" s="122" t="s">
        <v>2003</v>
      </c>
      <c r="J46" s="122" t="s">
        <v>1095</v>
      </c>
      <c r="K46" s="122" t="s">
        <v>2028</v>
      </c>
      <c r="L46" s="153" t="str">
        <f t="shared" si="0"/>
        <v>FGHLHN142-2 gi2/0/22</v>
      </c>
      <c r="M46" s="122" t="s">
        <v>1991</v>
      </c>
      <c r="N46" s="122" t="s">
        <v>1988</v>
      </c>
      <c r="O46" s="152"/>
      <c r="P46" s="152">
        <v>400</v>
      </c>
      <c r="Q46" s="156" t="str">
        <f>IF(L46="","",IFERROR(VLOOKUP(UPPER($G46)&amp;"/"&amp;$P46,NETWORKS_TABLE[],MATCH(Q$3,NETWORKS_TABLE[#Headers],0),FALSE),""))</f>
        <v>VDIMGNT</v>
      </c>
      <c r="R46" s="156" t="str">
        <f>IF(B46="","",IFERROR(VLOOKUP(UPPER($G46)&amp;"/"&amp;$P46,NETWORKS_TABLE[],MATCH(R$3,NETWORKS_TABLE[#Headers],0),FALSE),""))</f>
        <v>10.224.200.0/24</v>
      </c>
      <c r="S46" s="188" t="s" cm="1">
        <v>2842</v>
      </c>
      <c r="T46" s="152"/>
      <c r="U46" s="152"/>
      <c r="V46" s="155"/>
      <c r="AC46">
        <v>0</v>
      </c>
    </row>
    <row r="47" spans="1:29">
      <c r="A47" s="40"/>
      <c r="B47" s="151" t="s">
        <v>1769</v>
      </c>
      <c r="C47" s="152" t="s">
        <v>2034</v>
      </c>
      <c r="D47" s="118" t="str">
        <f>IF(CONNECTIONS_TABLE[[#This Row],[Device Name]]="","",VLOOKUP(CONNECTIONS_TABLE[[#This Row],[Device Name]],DEVICE_TABLE[#Data],MATCH(D$3,DEVICE_TABLE[#Headers],0),FALSE))</f>
        <v>VDI</v>
      </c>
      <c r="E4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FGHVIEW05/DATA (VDI)</v>
      </c>
      <c r="F47" s="154"/>
      <c r="G47" s="118" t="str">
        <f>IF(CONNECTIONS_TABLE[[#This Row],[Device Name]]="","",VLOOKUP(CONNECTIONS_TABLE[[#This Row],[Device Name]],DEVICE_TABLE[],MATCH(G$3,DEVICE_TABLE[#Headers],0),FALSE))</f>
        <v>Listerhills</v>
      </c>
      <c r="H47" s="153" t="str">
        <f>IF(B47="","",VLOOKUP(B47,DEVICE_TABLE[#Data],MATCH(H$3,DEVICE_TABLE[#Headers],0),FALSE))</f>
        <v>CR2</v>
      </c>
      <c r="I47" s="122" t="s">
        <v>2003</v>
      </c>
      <c r="J47" s="122" t="s">
        <v>1379</v>
      </c>
      <c r="K47" s="122" t="s">
        <v>2036</v>
      </c>
      <c r="L47" s="153" t="str">
        <f t="shared" si="0"/>
        <v>FGHLHN42-1 Twe1/0/12</v>
      </c>
      <c r="M47" s="122" t="s">
        <v>1872</v>
      </c>
      <c r="N47" s="122" t="s">
        <v>1988</v>
      </c>
      <c r="O47" s="152"/>
      <c r="P47" s="152">
        <v>402</v>
      </c>
      <c r="Q47" s="156" t="str">
        <f>IF(L47="","",IFERROR(VLOOKUP(UPPER($G47)&amp;"/"&amp;$P47,NETWORKS_TABLE[],MATCH(Q$3,NETWORKS_TABLE[#Headers],0),FALSE),""))</f>
        <v>FGHVIEW2</v>
      </c>
      <c r="R47" s="156" t="str">
        <f>IF(B47="","",IFERROR(VLOOKUP(UPPER($G47)&amp;"/"&amp;$P47,NETWORKS_TABLE[],MATCH(R$3,NETWORKS_TABLE[#Headers],0),FALSE),""))</f>
        <v>10.224.202.0/24</v>
      </c>
      <c r="S47" s="188" t="s" cm="1">
        <v>78</v>
      </c>
      <c r="T47" s="152"/>
      <c r="U47" s="152"/>
      <c r="V47" s="155"/>
      <c r="AC47">
        <v>0</v>
      </c>
    </row>
    <row r="48" spans="1:29">
      <c r="A48" s="40"/>
      <c r="B48" s="151" t="s">
        <v>1769</v>
      </c>
      <c r="C48" s="152" t="s">
        <v>2042</v>
      </c>
      <c r="D48" s="118" t="str">
        <f>IF(CONNECTIONS_TABLE[[#This Row],[Device Name]]="","",VLOOKUP(CONNECTIONS_TABLE[[#This Row],[Device Name]],DEVICE_TABLE[#Data],MATCH(D$3,DEVICE_TABLE[#Headers],0),FALSE))</f>
        <v>VDI</v>
      </c>
      <c r="E4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FGHVIEW05/DATA2 (VDI)</v>
      </c>
      <c r="F48" s="154"/>
      <c r="G48" s="118" t="str">
        <f>IF(CONNECTIONS_TABLE[[#This Row],[Device Name]]="","",VLOOKUP(CONNECTIONS_TABLE[[#This Row],[Device Name]],DEVICE_TABLE[],MATCH(G$3,DEVICE_TABLE[#Headers],0),FALSE))</f>
        <v>Listerhills</v>
      </c>
      <c r="H48" s="153" t="str">
        <f>IF(B48="","",VLOOKUP(B48,DEVICE_TABLE[#Data],MATCH(H$3,DEVICE_TABLE[#Headers],0),FALSE))</f>
        <v>CR2</v>
      </c>
      <c r="I48" s="122" t="s">
        <v>2003</v>
      </c>
      <c r="J48" s="122" t="s">
        <v>1383</v>
      </c>
      <c r="K48" s="122" t="s">
        <v>2044</v>
      </c>
      <c r="L48" s="153" t="str">
        <f t="shared" si="0"/>
        <v>FGHLHN42-2 Twe2/0/12</v>
      </c>
      <c r="M48" s="122" t="s">
        <v>1872</v>
      </c>
      <c r="N48" s="122" t="s">
        <v>1988</v>
      </c>
      <c r="O48" s="152"/>
      <c r="P48" s="152">
        <v>402</v>
      </c>
      <c r="Q48" s="156" t="str">
        <f>IF(L48="","",IFERROR(VLOOKUP(UPPER($G48)&amp;"/"&amp;$P48,NETWORKS_TABLE[],MATCH(Q$3,NETWORKS_TABLE[#Headers],0),FALSE),""))</f>
        <v>FGHVIEW2</v>
      </c>
      <c r="R48" s="156" t="str">
        <f>IF(B48="","",IFERROR(VLOOKUP(UPPER($G48)&amp;"/"&amp;$P48,NETWORKS_TABLE[],MATCH(R$3,NETWORKS_TABLE[#Headers],0),FALSE),""))</f>
        <v>10.224.202.0/24</v>
      </c>
      <c r="S48" s="188" t="s" cm="1">
        <v>78</v>
      </c>
      <c r="T48" s="152"/>
      <c r="U48" s="152"/>
      <c r="V48" s="155"/>
      <c r="AC48">
        <v>0</v>
      </c>
    </row>
    <row r="49" spans="1:29">
      <c r="A49" s="40"/>
      <c r="B49" s="151"/>
      <c r="C49" s="152"/>
      <c r="D49" s="118" t="str">
        <f>IF(CONNECTIONS_TABLE[[#This Row],[Device Name]]="","",VLOOKUP(CONNECTIONS_TABLE[[#This Row],[Device Name]],DEVICE_TABLE[#Data],MATCH(D$3,DEVICE_TABLE[#Headers],0),FALSE))</f>
        <v/>
      </c>
      <c r="E4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49" s="154"/>
      <c r="G49" s="118" t="str">
        <f>IF(CONNECTIONS_TABLE[[#This Row],[Device Name]]="","",VLOOKUP(CONNECTIONS_TABLE[[#This Row],[Device Name]],DEVICE_TABLE[],MATCH(G$3,DEVICE_TABLE[#Headers],0),FALSE))</f>
        <v/>
      </c>
      <c r="H49" s="153" t="str">
        <f>IF(B49="","",VLOOKUP(B49,DEVICE_TABLE[#Data],MATCH(H$3,DEVICE_TABLE[#Headers],0),FALSE))</f>
        <v/>
      </c>
      <c r="I49" s="122"/>
      <c r="J49" s="122"/>
      <c r="K49" s="122"/>
      <c r="L49" s="153" t="str">
        <f t="shared" si="0"/>
        <v xml:space="preserve"> </v>
      </c>
      <c r="M49" s="122"/>
      <c r="N49" s="122"/>
      <c r="O49" s="152"/>
      <c r="P49" s="152"/>
      <c r="Q49" s="156" t="str">
        <f>IF(L49="","",IFERROR(VLOOKUP(UPPER($G49)&amp;"/"&amp;$P49,NETWORKS_TABLE[],MATCH(Q$3,NETWORKS_TABLE[#Headers],0),FALSE),""))</f>
        <v/>
      </c>
      <c r="R49" s="156" t="str">
        <f>IF(B49="","",IFERROR(VLOOKUP(UPPER($G49)&amp;"/"&amp;$P49,NETWORKS_TABLE[],MATCH(R$3,NETWORKS_TABLE[#Headers],0),FALSE),""))</f>
        <v/>
      </c>
      <c r="S49" s="188" t="s" cm="1">
        <v>78</v>
      </c>
      <c r="T49" s="152"/>
      <c r="U49" s="152"/>
      <c r="V49" s="155"/>
      <c r="AC49" t="s">
        <v>78</v>
      </c>
    </row>
    <row r="50" spans="1:29">
      <c r="A50" s="40"/>
      <c r="B50" s="151" t="s">
        <v>1770</v>
      </c>
      <c r="C50" s="152" t="s">
        <v>2002</v>
      </c>
      <c r="D50" s="118" t="str">
        <f>IF(CONNECTIONS_TABLE[[#This Row],[Device Name]]="","",VLOOKUP(CONNECTIONS_TABLE[[#This Row],[Device Name]],DEVICE_TABLE[#Data],MATCH(D$3,DEVICE_TABLE[#Headers],0),FALSE))</f>
        <v>VDI</v>
      </c>
      <c r="E5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FGHVIEW06/IDRAC (VDI)</v>
      </c>
      <c r="F50" s="154"/>
      <c r="G50" s="118" t="str">
        <f>IF(CONNECTIONS_TABLE[[#This Row],[Device Name]]="","",VLOOKUP(CONNECTIONS_TABLE[[#This Row],[Device Name]],DEVICE_TABLE[],MATCH(G$3,DEVICE_TABLE[#Headers],0),FALSE))</f>
        <v>Listerhills</v>
      </c>
      <c r="H50" s="153" t="str">
        <f>IF(B50="","",VLOOKUP(B50,DEVICE_TABLE[#Data],MATCH(H$3,DEVICE_TABLE[#Headers],0),FALSE))</f>
        <v>CR2</v>
      </c>
      <c r="I50" s="122" t="s">
        <v>2003</v>
      </c>
      <c r="J50" s="122" t="s">
        <v>1089</v>
      </c>
      <c r="K50" s="122" t="s">
        <v>2006</v>
      </c>
      <c r="L50" s="153" t="str">
        <f t="shared" si="0"/>
        <v>FGHLHN142-1 gi1/0/13</v>
      </c>
      <c r="M50" s="122" t="s">
        <v>1991</v>
      </c>
      <c r="N50" s="122" t="s">
        <v>1988</v>
      </c>
      <c r="O50" s="152"/>
      <c r="P50" s="152">
        <v>400</v>
      </c>
      <c r="Q50" s="156" t="str">
        <f>IF(L50="","",IFERROR(VLOOKUP(UPPER($G50)&amp;"/"&amp;$P50,NETWORKS_TABLE[],MATCH(Q$3,NETWORKS_TABLE[#Headers],0),FALSE),""))</f>
        <v>VDIMGNT</v>
      </c>
      <c r="R50" s="156" t="str">
        <f>IF(B50="","",IFERROR(VLOOKUP(UPPER($G50)&amp;"/"&amp;$P50,NETWORKS_TABLE[],MATCH(R$3,NETWORKS_TABLE[#Headers],0),FALSE),""))</f>
        <v>10.224.200.0/24</v>
      </c>
      <c r="S50" s="188" t="s" cm="1">
        <v>78</v>
      </c>
      <c r="T50" s="152"/>
      <c r="U50" s="152"/>
      <c r="V50" s="155"/>
      <c r="AC50">
        <v>0</v>
      </c>
    </row>
    <row r="51" spans="1:29">
      <c r="A51" s="40"/>
      <c r="B51" s="151" t="s">
        <v>1770</v>
      </c>
      <c r="C51" s="152" t="s">
        <v>155</v>
      </c>
      <c r="D51" s="118" t="str">
        <f>IF(CONNECTIONS_TABLE[[#This Row],[Device Name]]="","",VLOOKUP(CONNECTIONS_TABLE[[#This Row],[Device Name]],DEVICE_TABLE[#Data],MATCH(D$3,DEVICE_TABLE[#Headers],0),FALSE))</f>
        <v>VDI</v>
      </c>
      <c r="E5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FGHVIEW06/ISCSI (VDI)</v>
      </c>
      <c r="F51" s="154"/>
      <c r="G51" s="118" t="str">
        <f>IF(CONNECTIONS_TABLE[[#This Row],[Device Name]]="","",VLOOKUP(CONNECTIONS_TABLE[[#This Row],[Device Name]],DEVICE_TABLE[],MATCH(G$3,DEVICE_TABLE[#Headers],0),FALSE))</f>
        <v>Listerhills</v>
      </c>
      <c r="H51" s="153" t="str">
        <f>IF(B51="","",VLOOKUP(B51,DEVICE_TABLE[#Data],MATCH(H$3,DEVICE_TABLE[#Headers],0),FALSE))</f>
        <v>CR2</v>
      </c>
      <c r="I51" s="122" t="s">
        <v>2003</v>
      </c>
      <c r="J51" s="122" t="s">
        <v>1095</v>
      </c>
      <c r="K51" s="122" t="s">
        <v>2013</v>
      </c>
      <c r="L51" s="153" t="str">
        <f t="shared" si="0"/>
        <v>FGHLHN142-2 gi2/0/13</v>
      </c>
      <c r="M51" s="122" t="s">
        <v>1991</v>
      </c>
      <c r="N51" s="122" t="s">
        <v>1988</v>
      </c>
      <c r="O51" s="152"/>
      <c r="P51" s="152">
        <v>230</v>
      </c>
      <c r="Q51" s="156" t="str">
        <f>IF(L51="","",IFERROR(VLOOKUP(UPPER($G51)&amp;"/"&amp;$P51,NETWORKS_TABLE[],MATCH(Q$3,NETWORKS_TABLE[#Headers],0),FALSE),""))</f>
        <v>HPISCSI</v>
      </c>
      <c r="R51" s="156" t="str">
        <f>IF(B51="","",IFERROR(VLOOKUP(UPPER($G51)&amp;"/"&amp;$P51,NETWORKS_TABLE[],MATCH(R$3,NETWORKS_TABLE[#Headers],0),FALSE),""))</f>
        <v>10.224.30.0/24</v>
      </c>
      <c r="S51" s="188" t="s" cm="1">
        <v>78</v>
      </c>
      <c r="T51" s="152"/>
      <c r="U51" s="152"/>
      <c r="V51" s="155"/>
      <c r="AC51">
        <v>0</v>
      </c>
    </row>
    <row r="52" spans="1:29">
      <c r="A52" s="40"/>
      <c r="B52" s="151" t="s">
        <v>1770</v>
      </c>
      <c r="C52" s="152" t="s">
        <v>2018</v>
      </c>
      <c r="D52" s="118" t="str">
        <f>IF(CONNECTIONS_TABLE[[#This Row],[Device Name]]="","",VLOOKUP(CONNECTIONS_TABLE[[#This Row],[Device Name]],DEVICE_TABLE[#Data],MATCH(D$3,DEVICE_TABLE[#Headers],0),FALSE))</f>
        <v>VDI</v>
      </c>
      <c r="E5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FGHVIEW06/MGNT (VDI)</v>
      </c>
      <c r="F52" s="154"/>
      <c r="G52" s="118" t="str">
        <f>IF(CONNECTIONS_TABLE[[#This Row],[Device Name]]="","",VLOOKUP(CONNECTIONS_TABLE[[#This Row],[Device Name]],DEVICE_TABLE[],MATCH(G$3,DEVICE_TABLE[#Headers],0),FALSE))</f>
        <v>Listerhills</v>
      </c>
      <c r="H52" s="153" t="str">
        <f>IF(B52="","",VLOOKUP(B52,DEVICE_TABLE[#Data],MATCH(H$3,DEVICE_TABLE[#Headers],0),FALSE))</f>
        <v>CR2</v>
      </c>
      <c r="I52" s="122" t="s">
        <v>2003</v>
      </c>
      <c r="J52" s="122" t="s">
        <v>1089</v>
      </c>
      <c r="K52" s="122" t="s">
        <v>2021</v>
      </c>
      <c r="L52" s="153" t="str">
        <f t="shared" si="0"/>
        <v>FGHLHN142-1 gi1/0/23</v>
      </c>
      <c r="M52" s="122" t="s">
        <v>1991</v>
      </c>
      <c r="N52" s="122" t="s">
        <v>1988</v>
      </c>
      <c r="O52" s="152"/>
      <c r="P52" s="152">
        <v>400</v>
      </c>
      <c r="Q52" s="156" t="str">
        <f>IF(L52="","",IFERROR(VLOOKUP(UPPER($G52)&amp;"/"&amp;$P52,NETWORKS_TABLE[],MATCH(Q$3,NETWORKS_TABLE[#Headers],0),FALSE),""))</f>
        <v>VDIMGNT</v>
      </c>
      <c r="R52" s="156" t="str">
        <f>IF(B52="","",IFERROR(VLOOKUP(UPPER($G52)&amp;"/"&amp;$P52,NETWORKS_TABLE[],MATCH(R$3,NETWORKS_TABLE[#Headers],0),FALSE),""))</f>
        <v>10.224.200.0/24</v>
      </c>
      <c r="S52" s="188" t="s" cm="1">
        <v>2843</v>
      </c>
      <c r="T52" s="152"/>
      <c r="U52" s="152"/>
      <c r="V52" s="155"/>
      <c r="AC52">
        <v>0</v>
      </c>
    </row>
    <row r="53" spans="1:29">
      <c r="A53" s="40"/>
      <c r="B53" s="151" t="s">
        <v>1770</v>
      </c>
      <c r="C53" s="152" t="s">
        <v>2026</v>
      </c>
      <c r="D53" s="118" t="str">
        <f>IF(CONNECTIONS_TABLE[[#This Row],[Device Name]]="","",VLOOKUP(CONNECTIONS_TABLE[[#This Row],[Device Name]],DEVICE_TABLE[#Data],MATCH(D$3,DEVICE_TABLE[#Headers],0),FALSE))</f>
        <v>VDI</v>
      </c>
      <c r="E5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FGHVIEW06/MGNT2 (VDI)</v>
      </c>
      <c r="F53" s="154"/>
      <c r="G53" s="118" t="str">
        <f>IF(CONNECTIONS_TABLE[[#This Row],[Device Name]]="","",VLOOKUP(CONNECTIONS_TABLE[[#This Row],[Device Name]],DEVICE_TABLE[],MATCH(G$3,DEVICE_TABLE[#Headers],0),FALSE))</f>
        <v>Listerhills</v>
      </c>
      <c r="H53" s="153" t="str">
        <f>IF(B53="","",VLOOKUP(B53,DEVICE_TABLE[#Data],MATCH(H$3,DEVICE_TABLE[#Headers],0),FALSE))</f>
        <v>CR2</v>
      </c>
      <c r="I53" s="122" t="s">
        <v>2003</v>
      </c>
      <c r="J53" s="122" t="s">
        <v>1095</v>
      </c>
      <c r="K53" s="122" t="s">
        <v>2029</v>
      </c>
      <c r="L53" s="153" t="str">
        <f t="shared" si="0"/>
        <v>FGHLHN142-2 gi2/0/23</v>
      </c>
      <c r="M53" s="122" t="s">
        <v>1991</v>
      </c>
      <c r="N53" s="122" t="s">
        <v>1988</v>
      </c>
      <c r="O53" s="152"/>
      <c r="P53" s="152">
        <v>400</v>
      </c>
      <c r="Q53" s="156" t="str">
        <f>IF(L53="","",IFERROR(VLOOKUP(UPPER($G53)&amp;"/"&amp;$P53,NETWORKS_TABLE[],MATCH(Q$3,NETWORKS_TABLE[#Headers],0),FALSE),""))</f>
        <v>VDIMGNT</v>
      </c>
      <c r="R53" s="156" t="str">
        <f>IF(B53="","",IFERROR(VLOOKUP(UPPER($G53)&amp;"/"&amp;$P53,NETWORKS_TABLE[],MATCH(R$3,NETWORKS_TABLE[#Headers],0),FALSE),""))</f>
        <v>10.224.200.0/24</v>
      </c>
      <c r="S53" s="188" t="s" cm="1">
        <v>2843</v>
      </c>
      <c r="T53" s="152"/>
      <c r="U53" s="152"/>
      <c r="V53" s="155"/>
      <c r="AC53">
        <v>0</v>
      </c>
    </row>
    <row r="54" spans="1:29">
      <c r="A54" s="40"/>
      <c r="B54" s="151" t="s">
        <v>1770</v>
      </c>
      <c r="C54" s="152" t="s">
        <v>2034</v>
      </c>
      <c r="D54" s="118" t="str">
        <f>IF(CONNECTIONS_TABLE[[#This Row],[Device Name]]="","",VLOOKUP(CONNECTIONS_TABLE[[#This Row],[Device Name]],DEVICE_TABLE[#Data],MATCH(D$3,DEVICE_TABLE[#Headers],0),FALSE))</f>
        <v>VDI</v>
      </c>
      <c r="E5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FGHVIEW06/DATA (VDI)</v>
      </c>
      <c r="F54" s="154"/>
      <c r="G54" s="118" t="str">
        <f>IF(CONNECTIONS_TABLE[[#This Row],[Device Name]]="","",VLOOKUP(CONNECTIONS_TABLE[[#This Row],[Device Name]],DEVICE_TABLE[],MATCH(G$3,DEVICE_TABLE[#Headers],0),FALSE))</f>
        <v>Listerhills</v>
      </c>
      <c r="H54" s="153" t="str">
        <f>IF(B54="","",VLOOKUP(B54,DEVICE_TABLE[#Data],MATCH(H$3,DEVICE_TABLE[#Headers],0),FALSE))</f>
        <v>CR2</v>
      </c>
      <c r="I54" s="122" t="s">
        <v>2003</v>
      </c>
      <c r="J54" s="122" t="s">
        <v>1379</v>
      </c>
      <c r="K54" s="122" t="s">
        <v>2037</v>
      </c>
      <c r="L54" s="153" t="str">
        <f t="shared" si="0"/>
        <v>FGHLHN42-1 Twe1/0/13</v>
      </c>
      <c r="M54" s="122" t="s">
        <v>1872</v>
      </c>
      <c r="N54" s="122" t="s">
        <v>1988</v>
      </c>
      <c r="O54" s="152"/>
      <c r="P54" s="152">
        <v>403</v>
      </c>
      <c r="Q54" s="156" t="str">
        <f>IF(L54="","",IFERROR(VLOOKUP(UPPER($G54)&amp;"/"&amp;$P54,NETWORKS_TABLE[],MATCH(Q$3,NETWORKS_TABLE[#Headers],0),FALSE),""))</f>
        <v>FGHVIEW3</v>
      </c>
      <c r="R54" s="156" t="str">
        <f>IF(B54="","",IFERROR(VLOOKUP(UPPER($G54)&amp;"/"&amp;$P54,NETWORKS_TABLE[],MATCH(R$3,NETWORKS_TABLE[#Headers],0),FALSE),""))</f>
        <v>10.224.203.0/24</v>
      </c>
      <c r="S54" s="188" t="s" cm="1">
        <v>78</v>
      </c>
      <c r="T54" s="152"/>
      <c r="U54" s="152"/>
      <c r="V54" s="155"/>
      <c r="AC54">
        <v>0</v>
      </c>
    </row>
    <row r="55" spans="1:29">
      <c r="A55" s="40"/>
      <c r="B55" s="151" t="s">
        <v>1770</v>
      </c>
      <c r="C55" s="152" t="s">
        <v>2042</v>
      </c>
      <c r="D55" s="118" t="str">
        <f>IF(CONNECTIONS_TABLE[[#This Row],[Device Name]]="","",VLOOKUP(CONNECTIONS_TABLE[[#This Row],[Device Name]],DEVICE_TABLE[#Data],MATCH(D$3,DEVICE_TABLE[#Headers],0),FALSE))</f>
        <v>VDI</v>
      </c>
      <c r="E5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FGHVIEW06/DATA2 (VDI)</v>
      </c>
      <c r="F55" s="154"/>
      <c r="G55" s="118" t="str">
        <f>IF(CONNECTIONS_TABLE[[#This Row],[Device Name]]="","",VLOOKUP(CONNECTIONS_TABLE[[#This Row],[Device Name]],DEVICE_TABLE[],MATCH(G$3,DEVICE_TABLE[#Headers],0),FALSE))</f>
        <v>Listerhills</v>
      </c>
      <c r="H55" s="153" t="str">
        <f>IF(B55="","",VLOOKUP(B55,DEVICE_TABLE[#Data],MATCH(H$3,DEVICE_TABLE[#Headers],0),FALSE))</f>
        <v>CR2</v>
      </c>
      <c r="I55" s="122" t="s">
        <v>2003</v>
      </c>
      <c r="J55" s="122" t="s">
        <v>1383</v>
      </c>
      <c r="K55" s="122" t="s">
        <v>2045</v>
      </c>
      <c r="L55" s="153" t="str">
        <f t="shared" si="0"/>
        <v>FGHLHN42-2 Twe2/0/13</v>
      </c>
      <c r="M55" s="122" t="s">
        <v>1872</v>
      </c>
      <c r="N55" s="122" t="s">
        <v>1988</v>
      </c>
      <c r="O55" s="152"/>
      <c r="P55" s="152">
        <v>403</v>
      </c>
      <c r="Q55" s="156" t="str">
        <f>IF(L55="","",IFERROR(VLOOKUP(UPPER($G55)&amp;"/"&amp;$P55,NETWORKS_TABLE[],MATCH(Q$3,NETWORKS_TABLE[#Headers],0),FALSE),""))</f>
        <v>FGHVIEW3</v>
      </c>
      <c r="R55" s="156" t="str">
        <f>IF(B55="","",IFERROR(VLOOKUP(UPPER($G55)&amp;"/"&amp;$P55,NETWORKS_TABLE[],MATCH(R$3,NETWORKS_TABLE[#Headers],0),FALSE),""))</f>
        <v>10.224.203.0/24</v>
      </c>
      <c r="S55" s="188" t="s" cm="1">
        <v>78</v>
      </c>
      <c r="T55" s="152"/>
      <c r="U55" s="152"/>
      <c r="V55" s="155"/>
      <c r="AC55">
        <v>0</v>
      </c>
    </row>
    <row r="56" spans="1:29">
      <c r="A56" s="40"/>
      <c r="B56" s="151"/>
      <c r="C56" s="152"/>
      <c r="D56" s="118" t="str">
        <f>IF(CONNECTIONS_TABLE[[#This Row],[Device Name]]="","",VLOOKUP(CONNECTIONS_TABLE[[#This Row],[Device Name]],DEVICE_TABLE[#Data],MATCH(D$3,DEVICE_TABLE[#Headers],0),FALSE))</f>
        <v/>
      </c>
      <c r="E5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56" s="154"/>
      <c r="G56" s="118" t="str">
        <f>IF(CONNECTIONS_TABLE[[#This Row],[Device Name]]="","",VLOOKUP(CONNECTIONS_TABLE[[#This Row],[Device Name]],DEVICE_TABLE[],MATCH(G$3,DEVICE_TABLE[#Headers],0),FALSE))</f>
        <v/>
      </c>
      <c r="H56" s="153" t="str">
        <f>IF(B56="","",VLOOKUP(B56,DEVICE_TABLE[#Data],MATCH(H$3,DEVICE_TABLE[#Headers],0),FALSE))</f>
        <v/>
      </c>
      <c r="I56" s="122"/>
      <c r="J56" s="122"/>
      <c r="K56" s="122"/>
      <c r="L56" s="153" t="str">
        <f t="shared" si="0"/>
        <v xml:space="preserve"> </v>
      </c>
      <c r="M56" s="122"/>
      <c r="N56" s="122"/>
      <c r="O56" s="152"/>
      <c r="P56" s="152"/>
      <c r="Q56" s="156" t="str">
        <f>IF(L56="","",IFERROR(VLOOKUP(UPPER($G56)&amp;"/"&amp;$P56,NETWORKS_TABLE[],MATCH(Q$3,NETWORKS_TABLE[#Headers],0),FALSE),""))</f>
        <v/>
      </c>
      <c r="R56" s="156" t="str">
        <f>IF(B56="","",IFERROR(VLOOKUP(UPPER($G56)&amp;"/"&amp;$P56,NETWORKS_TABLE[],MATCH(R$3,NETWORKS_TABLE[#Headers],0),FALSE),""))</f>
        <v/>
      </c>
      <c r="S56" s="188" t="s" cm="1">
        <v>78</v>
      </c>
      <c r="T56" s="152"/>
      <c r="U56" s="152"/>
      <c r="V56" s="155"/>
      <c r="AC56" t="s">
        <v>78</v>
      </c>
    </row>
    <row r="57" spans="1:29">
      <c r="A57" s="40"/>
      <c r="B57" s="151" t="s">
        <v>1771</v>
      </c>
      <c r="C57" s="152" t="s">
        <v>2002</v>
      </c>
      <c r="D57" s="118" t="str">
        <f>IF(CONNECTIONS_TABLE[[#This Row],[Device Name]]="","",VLOOKUP(CONNECTIONS_TABLE[[#This Row],[Device Name]],DEVICE_TABLE[#Data],MATCH(D$3,DEVICE_TABLE[#Headers],0),FALSE))</f>
        <v>VDI</v>
      </c>
      <c r="E5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FGHVIEW07/IDRAC (VDI)</v>
      </c>
      <c r="F57" s="154"/>
      <c r="G57" s="118" t="str">
        <f>IF(CONNECTIONS_TABLE[[#This Row],[Device Name]]="","",VLOOKUP(CONNECTIONS_TABLE[[#This Row],[Device Name]],DEVICE_TABLE[],MATCH(G$3,DEVICE_TABLE[#Headers],0),FALSE))</f>
        <v>Listerhills</v>
      </c>
      <c r="H57" s="153" t="str">
        <f>IF(B57="","",VLOOKUP(B57,DEVICE_TABLE[#Data],MATCH(H$3,DEVICE_TABLE[#Headers],0),FALSE))</f>
        <v>CR2</v>
      </c>
      <c r="I57" s="122" t="s">
        <v>2003</v>
      </c>
      <c r="J57" s="122" t="s">
        <v>1089</v>
      </c>
      <c r="K57" s="122" t="s">
        <v>2007</v>
      </c>
      <c r="L57" s="153" t="str">
        <f t="shared" si="0"/>
        <v>FGHLHN142-1 gi1/0/14</v>
      </c>
      <c r="M57" s="122" t="s">
        <v>1991</v>
      </c>
      <c r="N57" s="122" t="s">
        <v>1988</v>
      </c>
      <c r="O57" s="152"/>
      <c r="P57" s="152">
        <v>400</v>
      </c>
      <c r="Q57" s="156" t="str">
        <f>IF(L57="","",IFERROR(VLOOKUP(UPPER($G57)&amp;"/"&amp;$P57,NETWORKS_TABLE[],MATCH(Q$3,NETWORKS_TABLE[#Headers],0),FALSE),""))</f>
        <v>VDIMGNT</v>
      </c>
      <c r="R57" s="156" t="str">
        <f>IF(B57="","",IFERROR(VLOOKUP(UPPER($G57)&amp;"/"&amp;$P57,NETWORKS_TABLE[],MATCH(R$3,NETWORKS_TABLE[#Headers],0),FALSE),""))</f>
        <v>10.224.200.0/24</v>
      </c>
      <c r="S57" s="188" t="s" cm="1">
        <v>78</v>
      </c>
      <c r="T57" s="152"/>
      <c r="U57" s="152"/>
      <c r="V57" s="155"/>
      <c r="AC57">
        <v>0</v>
      </c>
    </row>
    <row r="58" spans="1:29">
      <c r="A58" s="40"/>
      <c r="B58" s="151" t="s">
        <v>1771</v>
      </c>
      <c r="C58" s="152" t="s">
        <v>155</v>
      </c>
      <c r="D58" s="118" t="str">
        <f>IF(CONNECTIONS_TABLE[[#This Row],[Device Name]]="","",VLOOKUP(CONNECTIONS_TABLE[[#This Row],[Device Name]],DEVICE_TABLE[#Data],MATCH(D$3,DEVICE_TABLE[#Headers],0),FALSE))</f>
        <v>VDI</v>
      </c>
      <c r="E5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FGHVIEW07/ISCSI (VDI)</v>
      </c>
      <c r="F58" s="154"/>
      <c r="G58" s="118" t="str">
        <f>IF(CONNECTIONS_TABLE[[#This Row],[Device Name]]="","",VLOOKUP(CONNECTIONS_TABLE[[#This Row],[Device Name]],DEVICE_TABLE[],MATCH(G$3,DEVICE_TABLE[#Headers],0),FALSE))</f>
        <v>Listerhills</v>
      </c>
      <c r="H58" s="153" t="str">
        <f>IF(B58="","",VLOOKUP(B58,DEVICE_TABLE[#Data],MATCH(H$3,DEVICE_TABLE[#Headers],0),FALSE))</f>
        <v>CR2</v>
      </c>
      <c r="I58" s="122" t="s">
        <v>2003</v>
      </c>
      <c r="J58" s="122" t="s">
        <v>1095</v>
      </c>
      <c r="K58" s="122" t="s">
        <v>2014</v>
      </c>
      <c r="L58" s="153" t="str">
        <f t="shared" si="0"/>
        <v>FGHLHN142-2 gi2/0/14</v>
      </c>
      <c r="M58" s="122" t="s">
        <v>1991</v>
      </c>
      <c r="N58" s="122" t="s">
        <v>1988</v>
      </c>
      <c r="O58" s="152"/>
      <c r="P58" s="152">
        <v>230</v>
      </c>
      <c r="Q58" s="156" t="str">
        <f>IF(L58="","",IFERROR(VLOOKUP(UPPER($G58)&amp;"/"&amp;$P58,NETWORKS_TABLE[],MATCH(Q$3,NETWORKS_TABLE[#Headers],0),FALSE),""))</f>
        <v>HPISCSI</v>
      </c>
      <c r="R58" s="156" t="str">
        <f>IF(B58="","",IFERROR(VLOOKUP(UPPER($G58)&amp;"/"&amp;$P58,NETWORKS_TABLE[],MATCH(R$3,NETWORKS_TABLE[#Headers],0),FALSE),""))</f>
        <v>10.224.30.0/24</v>
      </c>
      <c r="S58" s="188" t="s" cm="1">
        <v>78</v>
      </c>
      <c r="T58" s="152"/>
      <c r="U58" s="152"/>
      <c r="V58" s="155"/>
      <c r="AC58">
        <v>0</v>
      </c>
    </row>
    <row r="59" spans="1:29">
      <c r="A59" s="40"/>
      <c r="B59" s="151" t="s">
        <v>1771</v>
      </c>
      <c r="C59" s="152" t="s">
        <v>2018</v>
      </c>
      <c r="D59" s="118" t="str">
        <f>IF(CONNECTIONS_TABLE[[#This Row],[Device Name]]="","",VLOOKUP(CONNECTIONS_TABLE[[#This Row],[Device Name]],DEVICE_TABLE[#Data],MATCH(D$3,DEVICE_TABLE[#Headers],0),FALSE))</f>
        <v>VDI</v>
      </c>
      <c r="E5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FGHVIEW07/MGNT (VDI)</v>
      </c>
      <c r="F59" s="154"/>
      <c r="G59" s="118" t="str">
        <f>IF(CONNECTIONS_TABLE[[#This Row],[Device Name]]="","",VLOOKUP(CONNECTIONS_TABLE[[#This Row],[Device Name]],DEVICE_TABLE[],MATCH(G$3,DEVICE_TABLE[#Headers],0),FALSE))</f>
        <v>Listerhills</v>
      </c>
      <c r="H59" s="153" t="str">
        <f>IF(B59="","",VLOOKUP(B59,DEVICE_TABLE[#Data],MATCH(H$3,DEVICE_TABLE[#Headers],0),FALSE))</f>
        <v>CR2</v>
      </c>
      <c r="I59" s="122" t="s">
        <v>2003</v>
      </c>
      <c r="J59" s="122" t="s">
        <v>1089</v>
      </c>
      <c r="K59" s="122" t="s">
        <v>2022</v>
      </c>
      <c r="L59" s="153" t="str">
        <f t="shared" si="0"/>
        <v>FGHLHN142-1 gi1/0/24</v>
      </c>
      <c r="M59" s="122" t="s">
        <v>1991</v>
      </c>
      <c r="N59" s="122" t="s">
        <v>1988</v>
      </c>
      <c r="O59" s="152"/>
      <c r="P59" s="152">
        <v>400</v>
      </c>
      <c r="Q59" s="156" t="str">
        <f>IF(L59="","",IFERROR(VLOOKUP(UPPER($G59)&amp;"/"&amp;$P59,NETWORKS_TABLE[],MATCH(Q$3,NETWORKS_TABLE[#Headers],0),FALSE),""))</f>
        <v>VDIMGNT</v>
      </c>
      <c r="R59" s="156" t="str">
        <f>IF(B59="","",IFERROR(VLOOKUP(UPPER($G59)&amp;"/"&amp;$P59,NETWORKS_TABLE[],MATCH(R$3,NETWORKS_TABLE[#Headers],0),FALSE),""))</f>
        <v>10.224.200.0/24</v>
      </c>
      <c r="S59" s="188" t="s" cm="1">
        <v>2844</v>
      </c>
      <c r="T59" s="152"/>
      <c r="U59" s="152"/>
      <c r="V59" s="155"/>
      <c r="AC59">
        <v>0</v>
      </c>
    </row>
    <row r="60" spans="1:29">
      <c r="A60" s="40"/>
      <c r="B60" s="151" t="s">
        <v>1771</v>
      </c>
      <c r="C60" s="152" t="s">
        <v>2026</v>
      </c>
      <c r="D60" s="118" t="str">
        <f>IF(CONNECTIONS_TABLE[[#This Row],[Device Name]]="","",VLOOKUP(CONNECTIONS_TABLE[[#This Row],[Device Name]],DEVICE_TABLE[#Data],MATCH(D$3,DEVICE_TABLE[#Headers],0),FALSE))</f>
        <v>VDI</v>
      </c>
      <c r="E6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FGHVIEW07/MGNT2 (VDI)</v>
      </c>
      <c r="F60" s="154"/>
      <c r="G60" s="118" t="str">
        <f>IF(CONNECTIONS_TABLE[[#This Row],[Device Name]]="","",VLOOKUP(CONNECTIONS_TABLE[[#This Row],[Device Name]],DEVICE_TABLE[],MATCH(G$3,DEVICE_TABLE[#Headers],0),FALSE))</f>
        <v>Listerhills</v>
      </c>
      <c r="H60" s="153" t="str">
        <f>IF(B60="","",VLOOKUP(B60,DEVICE_TABLE[#Data],MATCH(H$3,DEVICE_TABLE[#Headers],0),FALSE))</f>
        <v>CR2</v>
      </c>
      <c r="I60" s="122" t="s">
        <v>2003</v>
      </c>
      <c r="J60" s="122" t="s">
        <v>1095</v>
      </c>
      <c r="K60" s="122" t="s">
        <v>2030</v>
      </c>
      <c r="L60" s="153" t="str">
        <f t="shared" si="0"/>
        <v>FGHLHN142-2 gi2/0/24</v>
      </c>
      <c r="M60" s="122" t="s">
        <v>1991</v>
      </c>
      <c r="N60" s="122" t="s">
        <v>1988</v>
      </c>
      <c r="O60" s="152"/>
      <c r="P60" s="152">
        <v>400</v>
      </c>
      <c r="Q60" s="156" t="str">
        <f>IF(L60="","",IFERROR(VLOOKUP(UPPER($G60)&amp;"/"&amp;$P60,NETWORKS_TABLE[],MATCH(Q$3,NETWORKS_TABLE[#Headers],0),FALSE),""))</f>
        <v>VDIMGNT</v>
      </c>
      <c r="R60" s="156" t="str">
        <f>IF(B60="","",IFERROR(VLOOKUP(UPPER($G60)&amp;"/"&amp;$P60,NETWORKS_TABLE[],MATCH(R$3,NETWORKS_TABLE[#Headers],0),FALSE),""))</f>
        <v>10.224.200.0/24</v>
      </c>
      <c r="S60" s="188" t="s" cm="1">
        <v>2844</v>
      </c>
      <c r="T60" s="152"/>
      <c r="U60" s="152"/>
      <c r="V60" s="155"/>
      <c r="AC60">
        <v>0</v>
      </c>
    </row>
    <row r="61" spans="1:29">
      <c r="A61" s="40"/>
      <c r="B61" s="151" t="s">
        <v>1771</v>
      </c>
      <c r="C61" s="152" t="s">
        <v>2034</v>
      </c>
      <c r="D61" s="118" t="str">
        <f>IF(CONNECTIONS_TABLE[[#This Row],[Device Name]]="","",VLOOKUP(CONNECTIONS_TABLE[[#This Row],[Device Name]],DEVICE_TABLE[#Data],MATCH(D$3,DEVICE_TABLE[#Headers],0),FALSE))</f>
        <v>VDI</v>
      </c>
      <c r="E6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FGHVIEW07/DATA (VDI)</v>
      </c>
      <c r="F61" s="154"/>
      <c r="G61" s="118" t="str">
        <f>IF(CONNECTIONS_TABLE[[#This Row],[Device Name]]="","",VLOOKUP(CONNECTIONS_TABLE[[#This Row],[Device Name]],DEVICE_TABLE[],MATCH(G$3,DEVICE_TABLE[#Headers],0),FALSE))</f>
        <v>Listerhills</v>
      </c>
      <c r="H61" s="153" t="str">
        <f>IF(B61="","",VLOOKUP(B61,DEVICE_TABLE[#Data],MATCH(H$3,DEVICE_TABLE[#Headers],0),FALSE))</f>
        <v>CR2</v>
      </c>
      <c r="I61" s="122" t="s">
        <v>2003</v>
      </c>
      <c r="J61" s="122" t="s">
        <v>1379</v>
      </c>
      <c r="K61" s="122" t="s">
        <v>2038</v>
      </c>
      <c r="L61" s="153" t="str">
        <f t="shared" si="0"/>
        <v>FGHLHN42-1 Twe1/0/14</v>
      </c>
      <c r="M61" s="122" t="s">
        <v>1872</v>
      </c>
      <c r="N61" s="122" t="s">
        <v>1988</v>
      </c>
      <c r="O61" s="152"/>
      <c r="P61" s="152">
        <v>408</v>
      </c>
      <c r="Q61" s="156" t="str">
        <f>IF(L61="","",IFERROR(VLOOKUP(UPPER($G61)&amp;"/"&amp;$P61,NETWORKS_TABLE[],MATCH(Q$3,NETWORKS_TABLE[#Headers],0),FALSE),""))</f>
        <v>FGHVIEW8</v>
      </c>
      <c r="R61" s="156" t="str">
        <f>IF(B61="","",IFERROR(VLOOKUP(UPPER($G61)&amp;"/"&amp;$P61,NETWORKS_TABLE[],MATCH(R$3,NETWORKS_TABLE[#Headers],0),FALSE),""))</f>
        <v>10.224.208.0/24</v>
      </c>
      <c r="S61" s="188" t="s" cm="1">
        <v>78</v>
      </c>
      <c r="T61" s="152"/>
      <c r="U61" s="152"/>
      <c r="V61" s="155"/>
      <c r="AC61">
        <v>0</v>
      </c>
    </row>
    <row r="62" spans="1:29">
      <c r="A62" s="40"/>
      <c r="B62" s="151" t="s">
        <v>1771</v>
      </c>
      <c r="C62" s="152" t="s">
        <v>2042</v>
      </c>
      <c r="D62" s="118" t="str">
        <f>IF(CONNECTIONS_TABLE[[#This Row],[Device Name]]="","",VLOOKUP(CONNECTIONS_TABLE[[#This Row],[Device Name]],DEVICE_TABLE[#Data],MATCH(D$3,DEVICE_TABLE[#Headers],0),FALSE))</f>
        <v>VDI</v>
      </c>
      <c r="E6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FGHVIEW07/DATA2 (VDI)</v>
      </c>
      <c r="F62" s="154"/>
      <c r="G62" s="118" t="str">
        <f>IF(CONNECTIONS_TABLE[[#This Row],[Device Name]]="","",VLOOKUP(CONNECTIONS_TABLE[[#This Row],[Device Name]],DEVICE_TABLE[],MATCH(G$3,DEVICE_TABLE[#Headers],0),FALSE))</f>
        <v>Listerhills</v>
      </c>
      <c r="H62" s="153" t="str">
        <f>IF(B62="","",VLOOKUP(B62,DEVICE_TABLE[#Data],MATCH(H$3,DEVICE_TABLE[#Headers],0),FALSE))</f>
        <v>CR2</v>
      </c>
      <c r="I62" s="122" t="s">
        <v>2003</v>
      </c>
      <c r="J62" s="122" t="s">
        <v>1383</v>
      </c>
      <c r="K62" s="122" t="s">
        <v>2046</v>
      </c>
      <c r="L62" s="153" t="str">
        <f t="shared" si="0"/>
        <v>FGHLHN42-2 Twe2/0/14</v>
      </c>
      <c r="M62" s="122" t="s">
        <v>1872</v>
      </c>
      <c r="N62" s="122" t="s">
        <v>1988</v>
      </c>
      <c r="O62" s="152"/>
      <c r="P62" s="152">
        <v>408</v>
      </c>
      <c r="Q62" s="156" t="str">
        <f>IF(L62="","",IFERROR(VLOOKUP(UPPER($G62)&amp;"/"&amp;$P62,NETWORKS_TABLE[],MATCH(Q$3,NETWORKS_TABLE[#Headers],0),FALSE),""))</f>
        <v>FGHVIEW8</v>
      </c>
      <c r="R62" s="156" t="str">
        <f>IF(B62="","",IFERROR(VLOOKUP(UPPER($G62)&amp;"/"&amp;$P62,NETWORKS_TABLE[],MATCH(R$3,NETWORKS_TABLE[#Headers],0),FALSE),""))</f>
        <v>10.224.208.0/24</v>
      </c>
      <c r="S62" s="188" t="s" cm="1">
        <v>78</v>
      </c>
      <c r="T62" s="152"/>
      <c r="U62" s="152"/>
      <c r="V62" s="155"/>
      <c r="AC62">
        <v>0</v>
      </c>
    </row>
    <row r="63" spans="1:29">
      <c r="A63" s="40"/>
      <c r="B63" s="151"/>
      <c r="C63" s="152"/>
      <c r="D63" s="118" t="str">
        <f>IF(CONNECTIONS_TABLE[[#This Row],[Device Name]]="","",VLOOKUP(CONNECTIONS_TABLE[[#This Row],[Device Name]],DEVICE_TABLE[#Data],MATCH(D$3,DEVICE_TABLE[#Headers],0),FALSE))</f>
        <v/>
      </c>
      <c r="E6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63" s="154"/>
      <c r="G63" s="118" t="str">
        <f>IF(CONNECTIONS_TABLE[[#This Row],[Device Name]]="","",VLOOKUP(CONNECTIONS_TABLE[[#This Row],[Device Name]],DEVICE_TABLE[],MATCH(G$3,DEVICE_TABLE[#Headers],0),FALSE))</f>
        <v/>
      </c>
      <c r="H63" s="153" t="str">
        <f>IF(B63="","",VLOOKUP(B63,DEVICE_TABLE[#Data],MATCH(H$3,DEVICE_TABLE[#Headers],0),FALSE))</f>
        <v/>
      </c>
      <c r="I63" s="122"/>
      <c r="J63" s="122"/>
      <c r="K63" s="122"/>
      <c r="L63" s="153" t="str">
        <f t="shared" si="0"/>
        <v xml:space="preserve"> </v>
      </c>
      <c r="M63" s="122"/>
      <c r="N63" s="122"/>
      <c r="O63" s="152"/>
      <c r="P63" s="152"/>
      <c r="Q63" s="156" t="str">
        <f>IF(L63="","",IFERROR(VLOOKUP(UPPER($G63)&amp;"/"&amp;$P63,NETWORKS_TABLE[],MATCH(Q$3,NETWORKS_TABLE[#Headers],0),FALSE),""))</f>
        <v/>
      </c>
      <c r="R63" s="156" t="str">
        <f>IF(B63="","",IFERROR(VLOOKUP(UPPER($G63)&amp;"/"&amp;$P63,NETWORKS_TABLE[],MATCH(R$3,NETWORKS_TABLE[#Headers],0),FALSE),""))</f>
        <v/>
      </c>
      <c r="S63" s="188" t="s" cm="1">
        <v>78</v>
      </c>
      <c r="T63" s="152"/>
      <c r="U63" s="152"/>
      <c r="V63" s="155"/>
      <c r="AC63" t="s">
        <v>78</v>
      </c>
    </row>
    <row r="64" spans="1:29">
      <c r="A64" s="40"/>
      <c r="B64" s="151" t="s">
        <v>1758</v>
      </c>
      <c r="C64" s="152" t="s">
        <v>2002</v>
      </c>
      <c r="D64" s="118" t="str">
        <f>IF(CONNECTIONS_TABLE[[#This Row],[Device Name]]="","",VLOOKUP(CONNECTIONS_TABLE[[#This Row],[Device Name]],DEVICE_TABLE[#Data],MATCH(D$3,DEVICE_TABLE[#Headers],0),FALSE))</f>
        <v>VDI</v>
      </c>
      <c r="E6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FGHVIEW08/IDRAC (VDI)</v>
      </c>
      <c r="F64" s="154"/>
      <c r="G64" s="118" t="str">
        <f>IF(CONNECTIONS_TABLE[[#This Row],[Device Name]]="","",VLOOKUP(CONNECTIONS_TABLE[[#This Row],[Device Name]],DEVICE_TABLE[],MATCH(G$3,DEVICE_TABLE[#Headers],0),FALSE))</f>
        <v>Listerhills</v>
      </c>
      <c r="H64" s="153" t="str">
        <f>IF(B64="","",VLOOKUP(B64,DEVICE_TABLE[#Data],MATCH(H$3,DEVICE_TABLE[#Headers],0),FALSE))</f>
        <v>CR1</v>
      </c>
      <c r="I64" s="122" t="s">
        <v>1575</v>
      </c>
      <c r="J64" s="122" t="s">
        <v>1073</v>
      </c>
      <c r="K64" s="122" t="s">
        <v>2007</v>
      </c>
      <c r="L64" s="153" t="str">
        <f t="shared" si="0"/>
        <v>FGHLHN141-1 gi1/0/14</v>
      </c>
      <c r="M64" s="122" t="s">
        <v>1991</v>
      </c>
      <c r="N64" s="122" t="s">
        <v>1988</v>
      </c>
      <c r="O64" s="152"/>
      <c r="P64" s="152">
        <v>400</v>
      </c>
      <c r="Q64" s="156" t="str">
        <f>IF(L64="","",IFERROR(VLOOKUP(UPPER($G64)&amp;"/"&amp;$P64,NETWORKS_TABLE[],MATCH(Q$3,NETWORKS_TABLE[#Headers],0),FALSE),""))</f>
        <v>VDIMGNT</v>
      </c>
      <c r="R64" s="156" t="str">
        <f>IF(B64="","",IFERROR(VLOOKUP(UPPER($G64)&amp;"/"&amp;$P64,NETWORKS_TABLE[],MATCH(R$3,NETWORKS_TABLE[#Headers],0),FALSE),""))</f>
        <v>10.224.200.0/24</v>
      </c>
      <c r="S64" s="188" t="s" cm="1">
        <v>2116</v>
      </c>
      <c r="T64" s="152"/>
      <c r="U64" s="152"/>
      <c r="V64" s="155"/>
      <c r="AC64">
        <v>28</v>
      </c>
    </row>
    <row r="65" spans="1:29">
      <c r="A65" s="40"/>
      <c r="B65" s="151" t="s">
        <v>1758</v>
      </c>
      <c r="C65" s="152" t="s">
        <v>155</v>
      </c>
      <c r="D65" s="118" t="str">
        <f>IF(CONNECTIONS_TABLE[[#This Row],[Device Name]]="","",VLOOKUP(CONNECTIONS_TABLE[[#This Row],[Device Name]],DEVICE_TABLE[#Data],MATCH(D$3,DEVICE_TABLE[#Headers],0),FALSE))</f>
        <v>VDI</v>
      </c>
      <c r="E6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FGHVIEW08/ISCSI (VDI)</v>
      </c>
      <c r="F65" s="154"/>
      <c r="G65" s="118" t="str">
        <f>IF(CONNECTIONS_TABLE[[#This Row],[Device Name]]="","",VLOOKUP(CONNECTIONS_TABLE[[#This Row],[Device Name]],DEVICE_TABLE[],MATCH(G$3,DEVICE_TABLE[#Headers],0),FALSE))</f>
        <v>Listerhills</v>
      </c>
      <c r="H65" s="153" t="str">
        <f>IF(B65="","",VLOOKUP(B65,DEVICE_TABLE[#Data],MATCH(H$3,DEVICE_TABLE[#Headers],0),FALSE))</f>
        <v>CR1</v>
      </c>
      <c r="I65" s="122" t="s">
        <v>1575</v>
      </c>
      <c r="J65" s="122" t="s">
        <v>1083</v>
      </c>
      <c r="K65" s="122" t="s">
        <v>2014</v>
      </c>
      <c r="L65" s="153" t="str">
        <f t="shared" si="0"/>
        <v>FGHLHN141-2 gi2/0/14</v>
      </c>
      <c r="M65" s="122" t="s">
        <v>1991</v>
      </c>
      <c r="N65" s="122" t="s">
        <v>1988</v>
      </c>
      <c r="O65" s="152"/>
      <c r="P65" s="152">
        <v>230</v>
      </c>
      <c r="Q65" s="156" t="str">
        <f>IF(L65="","",IFERROR(VLOOKUP(UPPER($G65)&amp;"/"&amp;$P65,NETWORKS_TABLE[],MATCH(Q$3,NETWORKS_TABLE[#Headers],0),FALSE),""))</f>
        <v>HPISCSI</v>
      </c>
      <c r="R65" s="156" t="str">
        <f>IF(B65="","",IFERROR(VLOOKUP(UPPER($G65)&amp;"/"&amp;$P65,NETWORKS_TABLE[],MATCH(R$3,NETWORKS_TABLE[#Headers],0),FALSE),""))</f>
        <v>10.224.30.0/24</v>
      </c>
      <c r="S65" s="188" t="s" cm="1">
        <v>2119</v>
      </c>
      <c r="T65" s="152"/>
      <c r="U65" s="152"/>
      <c r="V65" s="155"/>
      <c r="AC65">
        <v>78</v>
      </c>
    </row>
    <row r="66" spans="1:29">
      <c r="A66" s="40"/>
      <c r="B66" s="151" t="s">
        <v>1758</v>
      </c>
      <c r="C66" s="152" t="s">
        <v>2018</v>
      </c>
      <c r="D66" s="118" t="str">
        <f>IF(CONNECTIONS_TABLE[[#This Row],[Device Name]]="","",VLOOKUP(CONNECTIONS_TABLE[[#This Row],[Device Name]],DEVICE_TABLE[#Data],MATCH(D$3,DEVICE_TABLE[#Headers],0),FALSE))</f>
        <v>VDI</v>
      </c>
      <c r="E6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FGHVIEW08/MGNT (VDI)</v>
      </c>
      <c r="F66" s="154"/>
      <c r="G66" s="118" t="str">
        <f>IF(CONNECTIONS_TABLE[[#This Row],[Device Name]]="","",VLOOKUP(CONNECTIONS_TABLE[[#This Row],[Device Name]],DEVICE_TABLE[],MATCH(G$3,DEVICE_TABLE[#Headers],0),FALSE))</f>
        <v>Listerhills</v>
      </c>
      <c r="H66" s="153" t="str">
        <f>IF(B66="","",VLOOKUP(B66,DEVICE_TABLE[#Data],MATCH(H$3,DEVICE_TABLE[#Headers],0),FALSE))</f>
        <v>CR1</v>
      </c>
      <c r="I66" s="122" t="s">
        <v>1575</v>
      </c>
      <c r="J66" s="122" t="s">
        <v>1073</v>
      </c>
      <c r="K66" s="122" t="s">
        <v>2022</v>
      </c>
      <c r="L66" s="153" t="str">
        <f t="shared" si="0"/>
        <v>FGHLHN141-1 gi1/0/24</v>
      </c>
      <c r="M66" s="122" t="s">
        <v>1991</v>
      </c>
      <c r="N66" s="122" t="s">
        <v>1988</v>
      </c>
      <c r="O66" s="152"/>
      <c r="P66" s="152">
        <v>400</v>
      </c>
      <c r="Q66" s="156" t="str">
        <f>IF(L66="","",IFERROR(VLOOKUP(UPPER($G66)&amp;"/"&amp;$P66,NETWORKS_TABLE[],MATCH(Q$3,NETWORKS_TABLE[#Headers],0),FALSE),""))</f>
        <v>VDIMGNT</v>
      </c>
      <c r="R66" s="156" t="str">
        <f>IF(B66="","",IFERROR(VLOOKUP(UPPER($G66)&amp;"/"&amp;$P66,NETWORKS_TABLE[],MATCH(R$3,NETWORKS_TABLE[#Headers],0),FALSE),""))</f>
        <v>10.224.200.0/24</v>
      </c>
      <c r="S66" s="188" t="s" cm="1">
        <v>1762</v>
      </c>
      <c r="T66" s="152"/>
      <c r="U66" s="152"/>
      <c r="V66" s="155"/>
      <c r="AC66" t="s">
        <v>1617</v>
      </c>
    </row>
    <row r="67" spans="1:29">
      <c r="A67" s="40"/>
      <c r="B67" s="151" t="s">
        <v>1758</v>
      </c>
      <c r="C67" s="152" t="s">
        <v>2026</v>
      </c>
      <c r="D67" s="118" t="str">
        <f>IF(CONNECTIONS_TABLE[[#This Row],[Device Name]]="","",VLOOKUP(CONNECTIONS_TABLE[[#This Row],[Device Name]],DEVICE_TABLE[#Data],MATCH(D$3,DEVICE_TABLE[#Headers],0),FALSE))</f>
        <v>VDI</v>
      </c>
      <c r="E6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FGHVIEW08/MGNT2 (VDI)</v>
      </c>
      <c r="F67" s="154"/>
      <c r="G67" s="118" t="str">
        <f>IF(CONNECTIONS_TABLE[[#This Row],[Device Name]]="","",VLOOKUP(CONNECTIONS_TABLE[[#This Row],[Device Name]],DEVICE_TABLE[],MATCH(G$3,DEVICE_TABLE[#Headers],0),FALSE))</f>
        <v>Listerhills</v>
      </c>
      <c r="H67" s="153" t="str">
        <f>IF(B67="","",VLOOKUP(B67,DEVICE_TABLE[#Data],MATCH(H$3,DEVICE_TABLE[#Headers],0),FALSE))</f>
        <v>CR1</v>
      </c>
      <c r="I67" s="122" t="s">
        <v>1575</v>
      </c>
      <c r="J67" s="122" t="s">
        <v>1083</v>
      </c>
      <c r="K67" s="122" t="s">
        <v>2030</v>
      </c>
      <c r="L67" s="153" t="str">
        <f t="shared" si="0"/>
        <v>FGHLHN141-2 gi2/0/24</v>
      </c>
      <c r="M67" s="122" t="s">
        <v>1991</v>
      </c>
      <c r="N67" s="122" t="s">
        <v>1988</v>
      </c>
      <c r="O67" s="152"/>
      <c r="P67" s="152">
        <v>400</v>
      </c>
      <c r="Q67" s="156" t="str">
        <f>IF(L67="","",IFERROR(VLOOKUP(UPPER($G67)&amp;"/"&amp;$P67,NETWORKS_TABLE[],MATCH(Q$3,NETWORKS_TABLE[#Headers],0),FALSE),""))</f>
        <v>VDIMGNT</v>
      </c>
      <c r="R67" s="156" t="str">
        <f>IF(B67="","",IFERROR(VLOOKUP(UPPER($G67)&amp;"/"&amp;$P67,NETWORKS_TABLE[],MATCH(R$3,NETWORKS_TABLE[#Headers],0),FALSE),""))</f>
        <v>10.224.200.0/24</v>
      </c>
      <c r="S67" s="188" t="s" cm="1">
        <v>1762</v>
      </c>
      <c r="T67" s="152"/>
      <c r="U67" s="152"/>
      <c r="V67" s="155"/>
      <c r="AC67" t="s">
        <v>1617</v>
      </c>
    </row>
    <row r="68" spans="1:29">
      <c r="A68" s="40"/>
      <c r="B68" s="151" t="s">
        <v>1758</v>
      </c>
      <c r="C68" s="152" t="s">
        <v>2034</v>
      </c>
      <c r="D68" s="118" t="str">
        <f>IF(CONNECTIONS_TABLE[[#This Row],[Device Name]]="","",VLOOKUP(CONNECTIONS_TABLE[[#This Row],[Device Name]],DEVICE_TABLE[#Data],MATCH(D$3,DEVICE_TABLE[#Headers],0),FALSE))</f>
        <v>VDI</v>
      </c>
      <c r="E6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FGHVIEW08/DATA (VDI)</v>
      </c>
      <c r="F68" s="154"/>
      <c r="G68" s="118" t="str">
        <f>IF(CONNECTIONS_TABLE[[#This Row],[Device Name]]="","",VLOOKUP(CONNECTIONS_TABLE[[#This Row],[Device Name]],DEVICE_TABLE[],MATCH(G$3,DEVICE_TABLE[#Headers],0),FALSE))</f>
        <v>Listerhills</v>
      </c>
      <c r="H68" s="153" t="str">
        <f>IF(B68="","",VLOOKUP(B68,DEVICE_TABLE[#Data],MATCH(H$3,DEVICE_TABLE[#Headers],0),FALSE))</f>
        <v>CR1</v>
      </c>
      <c r="I68" s="122" t="s">
        <v>1575</v>
      </c>
      <c r="J68" s="122" t="s">
        <v>1371</v>
      </c>
      <c r="K68" s="122" t="s">
        <v>2038</v>
      </c>
      <c r="L68" s="153" t="str">
        <f t="shared" si="0"/>
        <v>FGHLHN41-1 Twe1/0/14</v>
      </c>
      <c r="M68" s="122" t="s">
        <v>1872</v>
      </c>
      <c r="N68" s="122" t="s">
        <v>1988</v>
      </c>
      <c r="O68" s="152"/>
      <c r="P68" s="152">
        <v>408</v>
      </c>
      <c r="Q68" s="156" t="str">
        <f>IF(L68="","",IFERROR(VLOOKUP(UPPER($G68)&amp;"/"&amp;$P68,NETWORKS_TABLE[],MATCH(Q$3,NETWORKS_TABLE[#Headers],0),FALSE),""))</f>
        <v>FGHVIEW8</v>
      </c>
      <c r="R68" s="156" t="str">
        <f>IF(B68="","",IFERROR(VLOOKUP(UPPER($G68)&amp;"/"&amp;$P68,NETWORKS_TABLE[],MATCH(R$3,NETWORKS_TABLE[#Headers],0),FALSE),""))</f>
        <v>10.224.208.0/24</v>
      </c>
      <c r="S68" s="188" t="s" cm="1">
        <v>78</v>
      </c>
      <c r="T68" s="152"/>
      <c r="U68" s="152"/>
      <c r="V68" s="155"/>
    </row>
    <row r="69" spans="1:29">
      <c r="A69" s="40"/>
      <c r="B69" s="151" t="s">
        <v>1758</v>
      </c>
      <c r="C69" s="152" t="s">
        <v>2042</v>
      </c>
      <c r="D69" s="118" t="str">
        <f>IF(CONNECTIONS_TABLE[[#This Row],[Device Name]]="","",VLOOKUP(CONNECTIONS_TABLE[[#This Row],[Device Name]],DEVICE_TABLE[#Data],MATCH(D$3,DEVICE_TABLE[#Headers],0),FALSE))</f>
        <v>VDI</v>
      </c>
      <c r="E6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FGHVIEW08/DATA2 (VDI)</v>
      </c>
      <c r="F69" s="154"/>
      <c r="G69" s="118" t="str">
        <f>IF(CONNECTIONS_TABLE[[#This Row],[Device Name]]="","",VLOOKUP(CONNECTIONS_TABLE[[#This Row],[Device Name]],DEVICE_TABLE[],MATCH(G$3,DEVICE_TABLE[#Headers],0),FALSE))</f>
        <v>Listerhills</v>
      </c>
      <c r="H69" s="153" t="str">
        <f>IF(B69="","",VLOOKUP(B69,DEVICE_TABLE[#Data],MATCH(H$3,DEVICE_TABLE[#Headers],0),FALSE))</f>
        <v>CR1</v>
      </c>
      <c r="I69" s="122" t="s">
        <v>1575</v>
      </c>
      <c r="J69" s="122" t="s">
        <v>1375</v>
      </c>
      <c r="K69" s="122" t="s">
        <v>2046</v>
      </c>
      <c r="L69" s="153" t="str">
        <f t="shared" ref="L69:L132" si="1">J69&amp;" "&amp;K69</f>
        <v>FGHLHN41-2 Twe2/0/14</v>
      </c>
      <c r="M69" s="122" t="s">
        <v>1872</v>
      </c>
      <c r="N69" s="122" t="s">
        <v>1988</v>
      </c>
      <c r="O69" s="152"/>
      <c r="P69" s="152">
        <v>408</v>
      </c>
      <c r="Q69" s="156" t="str">
        <f>IF(L69="","",IFERROR(VLOOKUP(UPPER($G69)&amp;"/"&amp;$P69,NETWORKS_TABLE[],MATCH(Q$3,NETWORKS_TABLE[#Headers],0),FALSE),""))</f>
        <v>FGHVIEW8</v>
      </c>
      <c r="R69" s="156" t="str">
        <f>IF(B69="","",IFERROR(VLOOKUP(UPPER($G69)&amp;"/"&amp;$P69,NETWORKS_TABLE[],MATCH(R$3,NETWORKS_TABLE[#Headers],0),FALSE),""))</f>
        <v>10.224.208.0/24</v>
      </c>
      <c r="S69" s="188" t="s" cm="1">
        <v>78</v>
      </c>
      <c r="T69" s="152"/>
      <c r="U69" s="152"/>
      <c r="V69" s="155"/>
    </row>
    <row r="70" spans="1:29">
      <c r="A70" s="40"/>
      <c r="B70" s="151"/>
      <c r="C70" s="152"/>
      <c r="D70" s="118" t="str">
        <f>IF(CONNECTIONS_TABLE[[#This Row],[Device Name]]="","",VLOOKUP(CONNECTIONS_TABLE[[#This Row],[Device Name]],DEVICE_TABLE[#Data],MATCH(D$3,DEVICE_TABLE[#Headers],0),FALSE))</f>
        <v/>
      </c>
      <c r="E7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70" s="154"/>
      <c r="G70" s="118" t="str">
        <f>IF(CONNECTIONS_TABLE[[#This Row],[Device Name]]="","",VLOOKUP(CONNECTIONS_TABLE[[#This Row],[Device Name]],DEVICE_TABLE[],MATCH(G$3,DEVICE_TABLE[#Headers],0),FALSE))</f>
        <v/>
      </c>
      <c r="H70" s="153" t="str">
        <f>IF(B70="","",VLOOKUP(B70,DEVICE_TABLE[#Data],MATCH(H$3,DEVICE_TABLE[#Headers],0),FALSE))</f>
        <v/>
      </c>
      <c r="I70" s="122"/>
      <c r="J70" s="122"/>
      <c r="K70" s="122"/>
      <c r="L70" s="153" t="str">
        <f t="shared" si="1"/>
        <v xml:space="preserve"> </v>
      </c>
      <c r="M70" s="122"/>
      <c r="N70" s="122"/>
      <c r="O70" s="152"/>
      <c r="P70" s="152"/>
      <c r="Q70" s="156" t="str">
        <f>IF(L70="","",IFERROR(VLOOKUP(UPPER($G70)&amp;"/"&amp;$P70,NETWORKS_TABLE[],MATCH(Q$3,NETWORKS_TABLE[#Headers],0),FALSE),""))</f>
        <v/>
      </c>
      <c r="R70" s="156" t="str">
        <f>IF(B70="","",IFERROR(VLOOKUP(UPPER($G70)&amp;"/"&amp;$P70,NETWORKS_TABLE[],MATCH(R$3,NETWORKS_TABLE[#Headers],0),FALSE),""))</f>
        <v/>
      </c>
      <c r="S70" s="188" t="s" cm="1">
        <v>78</v>
      </c>
      <c r="T70" s="152"/>
      <c r="U70" s="152"/>
      <c r="V70" s="155"/>
      <c r="AC70" t="s">
        <v>78</v>
      </c>
    </row>
    <row r="71" spans="1:29">
      <c r="A71" s="40"/>
      <c r="B71" s="151" t="s">
        <v>1772</v>
      </c>
      <c r="C71" s="152" t="s">
        <v>2002</v>
      </c>
      <c r="D71" s="118" t="str">
        <f>IF(CONNECTIONS_TABLE[[#This Row],[Device Name]]="","",VLOOKUP(CONNECTIONS_TABLE[[#This Row],[Device Name]],DEVICE_TABLE[#Data],MATCH(D$3,DEVICE_TABLE[#Headers],0),FALSE))</f>
        <v>VDI</v>
      </c>
      <c r="E7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FGHVIEW09/IDRAC (VDI)</v>
      </c>
      <c r="F71" s="154"/>
      <c r="G71" s="118" t="str">
        <f>IF(CONNECTIONS_TABLE[[#This Row],[Device Name]]="","",VLOOKUP(CONNECTIONS_TABLE[[#This Row],[Device Name]],DEVICE_TABLE[],MATCH(G$3,DEVICE_TABLE[#Headers],0),FALSE))</f>
        <v>Listerhills</v>
      </c>
      <c r="H71" s="153" t="str">
        <f>IF(B71="","",VLOOKUP(B71,DEVICE_TABLE[#Data],MATCH(H$3,DEVICE_TABLE[#Headers],0),FALSE))</f>
        <v>CR2</v>
      </c>
      <c r="I71" s="122" t="s">
        <v>1575</v>
      </c>
      <c r="J71" s="122" t="s">
        <v>1089</v>
      </c>
      <c r="K71" s="122" t="s">
        <v>2008</v>
      </c>
      <c r="L71" s="153" t="str">
        <f t="shared" si="1"/>
        <v>FGHLHN142-1 gi1/0/15</v>
      </c>
      <c r="M71" s="122" t="s">
        <v>1991</v>
      </c>
      <c r="N71" s="122" t="s">
        <v>1988</v>
      </c>
      <c r="O71" s="152"/>
      <c r="P71" s="152">
        <v>400</v>
      </c>
      <c r="Q71" s="156" t="str">
        <f>IF(L71="","",IFERROR(VLOOKUP(UPPER($G71)&amp;"/"&amp;$P71,NETWORKS_TABLE[],MATCH(Q$3,NETWORKS_TABLE[#Headers],0),FALSE),""))</f>
        <v>VDIMGNT</v>
      </c>
      <c r="R71" s="156" t="str">
        <f>IF(B71="","",IFERROR(VLOOKUP(UPPER($G71)&amp;"/"&amp;$P71,NETWORKS_TABLE[],MATCH(R$3,NETWORKS_TABLE[#Headers],0),FALSE),""))</f>
        <v>10.224.200.0/24</v>
      </c>
      <c r="S71" s="188" t="s" cm="1">
        <v>78</v>
      </c>
      <c r="T71" s="152"/>
      <c r="U71" s="152"/>
      <c r="V71" s="155"/>
      <c r="AC71" t="s">
        <v>1775</v>
      </c>
    </row>
    <row r="72" spans="1:29">
      <c r="A72" s="40"/>
      <c r="B72" s="151" t="s">
        <v>1772</v>
      </c>
      <c r="C72" s="152" t="s">
        <v>155</v>
      </c>
      <c r="D72" s="118" t="str">
        <f>IF(CONNECTIONS_TABLE[[#This Row],[Device Name]]="","",VLOOKUP(CONNECTIONS_TABLE[[#This Row],[Device Name]],DEVICE_TABLE[#Data],MATCH(D$3,DEVICE_TABLE[#Headers],0),FALSE))</f>
        <v>VDI</v>
      </c>
      <c r="E7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FGHVIEW09/ISCSI (VDI)</v>
      </c>
      <c r="F72" s="154"/>
      <c r="G72" s="118" t="str">
        <f>IF(CONNECTIONS_TABLE[[#This Row],[Device Name]]="","",VLOOKUP(CONNECTIONS_TABLE[[#This Row],[Device Name]],DEVICE_TABLE[],MATCH(G$3,DEVICE_TABLE[#Headers],0),FALSE))</f>
        <v>Listerhills</v>
      </c>
      <c r="H72" s="153" t="str">
        <f>IF(B72="","",VLOOKUP(B72,DEVICE_TABLE[#Data],MATCH(H$3,DEVICE_TABLE[#Headers],0),FALSE))</f>
        <v>CR2</v>
      </c>
      <c r="I72" s="122" t="s">
        <v>1575</v>
      </c>
      <c r="J72" s="122" t="s">
        <v>1095</v>
      </c>
      <c r="K72" s="122" t="s">
        <v>2015</v>
      </c>
      <c r="L72" s="153" t="str">
        <f t="shared" si="1"/>
        <v>FGHLHN142-2 gi2/0/15</v>
      </c>
      <c r="M72" s="122" t="s">
        <v>1991</v>
      </c>
      <c r="N72" s="122" t="s">
        <v>1988</v>
      </c>
      <c r="O72" s="152"/>
      <c r="P72" s="152">
        <v>230</v>
      </c>
      <c r="Q72" s="156" t="str">
        <f>IF(L72="","",IFERROR(VLOOKUP(UPPER($G72)&amp;"/"&amp;$P72,NETWORKS_TABLE[],MATCH(Q$3,NETWORKS_TABLE[#Headers],0),FALSE),""))</f>
        <v>HPISCSI</v>
      </c>
      <c r="R72" s="156" t="str">
        <f>IF(B72="","",IFERROR(VLOOKUP(UPPER($G72)&amp;"/"&amp;$P72,NETWORKS_TABLE[],MATCH(R$3,NETWORKS_TABLE[#Headers],0),FALSE),""))</f>
        <v>10.224.30.0/24</v>
      </c>
      <c r="S72" s="188" t="s" cm="1">
        <v>78</v>
      </c>
      <c r="T72" s="152"/>
      <c r="U72" s="152"/>
      <c r="V72" s="155"/>
      <c r="AC72" t="s">
        <v>1775</v>
      </c>
    </row>
    <row r="73" spans="1:29">
      <c r="A73" s="40"/>
      <c r="B73" s="151" t="s">
        <v>1772</v>
      </c>
      <c r="C73" s="152" t="s">
        <v>2018</v>
      </c>
      <c r="D73" s="118" t="str">
        <f>IF(CONNECTIONS_TABLE[[#This Row],[Device Name]]="","",VLOOKUP(CONNECTIONS_TABLE[[#This Row],[Device Name]],DEVICE_TABLE[#Data],MATCH(D$3,DEVICE_TABLE[#Headers],0),FALSE))</f>
        <v>VDI</v>
      </c>
      <c r="E7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FGHVIEW09/MGNT (VDI)</v>
      </c>
      <c r="F73" s="154"/>
      <c r="G73" s="118" t="str">
        <f>IF(CONNECTIONS_TABLE[[#This Row],[Device Name]]="","",VLOOKUP(CONNECTIONS_TABLE[[#This Row],[Device Name]],DEVICE_TABLE[],MATCH(G$3,DEVICE_TABLE[#Headers],0),FALSE))</f>
        <v>Listerhills</v>
      </c>
      <c r="H73" s="153" t="str">
        <f>IF(B73="","",VLOOKUP(B73,DEVICE_TABLE[#Data],MATCH(H$3,DEVICE_TABLE[#Headers],0),FALSE))</f>
        <v>CR2</v>
      </c>
      <c r="I73" s="122" t="s">
        <v>1575</v>
      </c>
      <c r="J73" s="122" t="s">
        <v>1089</v>
      </c>
      <c r="K73" s="122" t="s">
        <v>2023</v>
      </c>
      <c r="L73" s="153" t="str">
        <f t="shared" si="1"/>
        <v>FGHLHN142-1 gi1/0/25</v>
      </c>
      <c r="M73" s="122" t="s">
        <v>1991</v>
      </c>
      <c r="N73" s="122" t="s">
        <v>1988</v>
      </c>
      <c r="O73" s="152"/>
      <c r="P73" s="152">
        <v>400</v>
      </c>
      <c r="Q73" s="156" t="str">
        <f>IF(L73="","",IFERROR(VLOOKUP(UPPER($G73)&amp;"/"&amp;$P73,NETWORKS_TABLE[],MATCH(Q$3,NETWORKS_TABLE[#Headers],0),FALSE),""))</f>
        <v>VDIMGNT</v>
      </c>
      <c r="R73" s="156" t="str">
        <f>IF(B73="","",IFERROR(VLOOKUP(UPPER($G73)&amp;"/"&amp;$P73,NETWORKS_TABLE[],MATCH(R$3,NETWORKS_TABLE[#Headers],0),FALSE),""))</f>
        <v>10.224.200.0/24</v>
      </c>
      <c r="S73" s="188" t="s" cm="1">
        <v>1776</v>
      </c>
      <c r="T73" s="152"/>
      <c r="U73" s="152"/>
      <c r="V73" s="155"/>
      <c r="AC73" t="s">
        <v>1775</v>
      </c>
    </row>
    <row r="74" spans="1:29">
      <c r="A74" s="40"/>
      <c r="B74" s="151" t="s">
        <v>1772</v>
      </c>
      <c r="C74" s="152" t="s">
        <v>2026</v>
      </c>
      <c r="D74" s="118" t="str">
        <f>IF(CONNECTIONS_TABLE[[#This Row],[Device Name]]="","",VLOOKUP(CONNECTIONS_TABLE[[#This Row],[Device Name]],DEVICE_TABLE[#Data],MATCH(D$3,DEVICE_TABLE[#Headers],0),FALSE))</f>
        <v>VDI</v>
      </c>
      <c r="E7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FGHVIEW09/MGNT2 (VDI)</v>
      </c>
      <c r="F74" s="154"/>
      <c r="G74" s="118" t="str">
        <f>IF(CONNECTIONS_TABLE[[#This Row],[Device Name]]="","",VLOOKUP(CONNECTIONS_TABLE[[#This Row],[Device Name]],DEVICE_TABLE[],MATCH(G$3,DEVICE_TABLE[#Headers],0),FALSE))</f>
        <v>Listerhills</v>
      </c>
      <c r="H74" s="153" t="str">
        <f>IF(B74="","",VLOOKUP(B74,DEVICE_TABLE[#Data],MATCH(H$3,DEVICE_TABLE[#Headers],0),FALSE))</f>
        <v>CR2</v>
      </c>
      <c r="I74" s="122" t="s">
        <v>1575</v>
      </c>
      <c r="J74" s="122" t="s">
        <v>1095</v>
      </c>
      <c r="K74" s="122" t="s">
        <v>2031</v>
      </c>
      <c r="L74" s="153" t="str">
        <f t="shared" si="1"/>
        <v>FGHLHN142-2 gi2/0/25</v>
      </c>
      <c r="M74" s="122" t="s">
        <v>1991</v>
      </c>
      <c r="N74" s="122" t="s">
        <v>1988</v>
      </c>
      <c r="O74" s="152"/>
      <c r="P74" s="152">
        <v>400</v>
      </c>
      <c r="Q74" s="156" t="str">
        <f>IF(L74="","",IFERROR(VLOOKUP(UPPER($G74)&amp;"/"&amp;$P74,NETWORKS_TABLE[],MATCH(Q$3,NETWORKS_TABLE[#Headers],0),FALSE),""))</f>
        <v>VDIMGNT</v>
      </c>
      <c r="R74" s="156" t="str">
        <f>IF(B74="","",IFERROR(VLOOKUP(UPPER($G74)&amp;"/"&amp;$P74,NETWORKS_TABLE[],MATCH(R$3,NETWORKS_TABLE[#Headers],0),FALSE),""))</f>
        <v>10.224.200.0/24</v>
      </c>
      <c r="S74" s="188" t="s" cm="1">
        <v>1776</v>
      </c>
      <c r="T74" s="152"/>
      <c r="U74" s="152"/>
      <c r="V74" s="155"/>
      <c r="AC74" t="s">
        <v>1775</v>
      </c>
    </row>
    <row r="75" spans="1:29">
      <c r="A75" s="40"/>
      <c r="B75" s="151" t="s">
        <v>1772</v>
      </c>
      <c r="C75" s="152" t="s">
        <v>2034</v>
      </c>
      <c r="D75" s="118" t="str">
        <f>IF(CONNECTIONS_TABLE[[#This Row],[Device Name]]="","",VLOOKUP(CONNECTIONS_TABLE[[#This Row],[Device Name]],DEVICE_TABLE[#Data],MATCH(D$3,DEVICE_TABLE[#Headers],0),FALSE))</f>
        <v>VDI</v>
      </c>
      <c r="E7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FGHVIEW09/DATA (VDI)</v>
      </c>
      <c r="F75" s="154"/>
      <c r="G75" s="118" t="str">
        <f>IF(CONNECTIONS_TABLE[[#This Row],[Device Name]]="","",VLOOKUP(CONNECTIONS_TABLE[[#This Row],[Device Name]],DEVICE_TABLE[],MATCH(G$3,DEVICE_TABLE[#Headers],0),FALSE))</f>
        <v>Listerhills</v>
      </c>
      <c r="H75" s="153" t="str">
        <f>IF(B75="","",VLOOKUP(B75,DEVICE_TABLE[#Data],MATCH(H$3,DEVICE_TABLE[#Headers],0),FALSE))</f>
        <v>CR2</v>
      </c>
      <c r="I75" s="122" t="s">
        <v>1575</v>
      </c>
      <c r="J75" s="122" t="s">
        <v>1379</v>
      </c>
      <c r="K75" s="122" t="s">
        <v>1910</v>
      </c>
      <c r="L75" s="153" t="str">
        <f t="shared" si="1"/>
        <v>FGHLHN42-1 twe1/0/15</v>
      </c>
      <c r="M75" s="122" t="s">
        <v>1872</v>
      </c>
      <c r="N75" s="122" t="s">
        <v>1988</v>
      </c>
      <c r="O75" s="152"/>
      <c r="P75" s="152">
        <v>409</v>
      </c>
      <c r="Q75" s="156" t="str">
        <f>IF(L75="","",IFERROR(VLOOKUP(UPPER($G75)&amp;"/"&amp;$P75,NETWORKS_TABLE[],MATCH(Q$3,NETWORKS_TABLE[#Headers],0),FALSE),""))</f>
        <v>FGHVIEW9</v>
      </c>
      <c r="R75" s="156" t="str">
        <f>IF(B75="","",IFERROR(VLOOKUP(UPPER($G75)&amp;"/"&amp;$P75,NETWORKS_TABLE[],MATCH(R$3,NETWORKS_TABLE[#Headers],0),FALSE),""))</f>
        <v>10.224.209.0/24</v>
      </c>
      <c r="S75" s="188" t="s" cm="1">
        <v>78</v>
      </c>
      <c r="T75" s="152"/>
      <c r="U75" s="152"/>
      <c r="V75" s="155"/>
      <c r="AC75" t="s">
        <v>1775</v>
      </c>
    </row>
    <row r="76" spans="1:29">
      <c r="A76" s="40"/>
      <c r="B76" s="151" t="s">
        <v>1772</v>
      </c>
      <c r="C76" s="152" t="s">
        <v>2042</v>
      </c>
      <c r="D76" s="118" t="str">
        <f>IF(CONNECTIONS_TABLE[[#This Row],[Device Name]]="","",VLOOKUP(CONNECTIONS_TABLE[[#This Row],[Device Name]],DEVICE_TABLE[#Data],MATCH(D$3,DEVICE_TABLE[#Headers],0),FALSE))</f>
        <v>VDI</v>
      </c>
      <c r="E7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FGHVIEW09/DATA2 (VDI)</v>
      </c>
      <c r="F76" s="154"/>
      <c r="G76" s="118" t="str">
        <f>IF(CONNECTIONS_TABLE[[#This Row],[Device Name]]="","",VLOOKUP(CONNECTIONS_TABLE[[#This Row],[Device Name]],DEVICE_TABLE[],MATCH(G$3,DEVICE_TABLE[#Headers],0),FALSE))</f>
        <v>Listerhills</v>
      </c>
      <c r="H76" s="153" t="str">
        <f>IF(B76="","",VLOOKUP(B76,DEVICE_TABLE[#Data],MATCH(H$3,DEVICE_TABLE[#Headers],0),FALSE))</f>
        <v>CR2</v>
      </c>
      <c r="I76" s="122" t="s">
        <v>1575</v>
      </c>
      <c r="J76" s="122" t="s">
        <v>1383</v>
      </c>
      <c r="K76" s="122" t="s">
        <v>1911</v>
      </c>
      <c r="L76" s="153" t="str">
        <f t="shared" si="1"/>
        <v>FGHLHN42-2 twe2/0/15</v>
      </c>
      <c r="M76" s="122" t="s">
        <v>1872</v>
      </c>
      <c r="N76" s="122" t="s">
        <v>1988</v>
      </c>
      <c r="O76" s="152"/>
      <c r="P76" s="152">
        <v>409</v>
      </c>
      <c r="Q76" s="156" t="str">
        <f>IF(L76="","",IFERROR(VLOOKUP(UPPER($G76)&amp;"/"&amp;$P76,NETWORKS_TABLE[],MATCH(Q$3,NETWORKS_TABLE[#Headers],0),FALSE),""))</f>
        <v>FGHVIEW9</v>
      </c>
      <c r="R76" s="156" t="str">
        <f>IF(B76="","",IFERROR(VLOOKUP(UPPER($G76)&amp;"/"&amp;$P76,NETWORKS_TABLE[],MATCH(R$3,NETWORKS_TABLE[#Headers],0),FALSE),""))</f>
        <v>10.224.209.0/24</v>
      </c>
      <c r="S76" s="188" t="s" cm="1">
        <v>78</v>
      </c>
      <c r="T76" s="152"/>
      <c r="U76" s="152"/>
      <c r="V76" s="155"/>
      <c r="AC76" t="s">
        <v>1775</v>
      </c>
    </row>
    <row r="77" spans="1:29">
      <c r="A77" s="40"/>
      <c r="B77" s="151"/>
      <c r="C77" s="152"/>
      <c r="D77" s="118" t="str">
        <f>IF(CONNECTIONS_TABLE[[#This Row],[Device Name]]="","",VLOOKUP(CONNECTIONS_TABLE[[#This Row],[Device Name]],DEVICE_TABLE[#Data],MATCH(D$3,DEVICE_TABLE[#Headers],0),FALSE))</f>
        <v/>
      </c>
      <c r="E7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77" s="154"/>
      <c r="G77" s="118" t="str">
        <f>IF(CONNECTIONS_TABLE[[#This Row],[Device Name]]="","",VLOOKUP(CONNECTIONS_TABLE[[#This Row],[Device Name]],DEVICE_TABLE[],MATCH(G$3,DEVICE_TABLE[#Headers],0),FALSE))</f>
        <v/>
      </c>
      <c r="H77" s="153" t="str">
        <f>IF(B77="","",VLOOKUP(B77,DEVICE_TABLE[#Data],MATCH(H$3,DEVICE_TABLE[#Headers],0),FALSE))</f>
        <v/>
      </c>
      <c r="I77" s="122"/>
      <c r="J77" s="122"/>
      <c r="K77" s="122"/>
      <c r="L77" s="153" t="str">
        <f t="shared" si="1"/>
        <v xml:space="preserve"> </v>
      </c>
      <c r="M77" s="122"/>
      <c r="N77" s="122"/>
      <c r="O77" s="152"/>
      <c r="P77" s="152"/>
      <c r="Q77" s="156" t="str">
        <f>IF(L77="","",IFERROR(VLOOKUP(UPPER($G77)&amp;"/"&amp;$P77,NETWORKS_TABLE[],MATCH(Q$3,NETWORKS_TABLE[#Headers],0),FALSE),""))</f>
        <v/>
      </c>
      <c r="R77" s="156" t="str">
        <f>IF(B77="","",IFERROR(VLOOKUP(UPPER($G77)&amp;"/"&amp;$P77,NETWORKS_TABLE[],MATCH(R$3,NETWORKS_TABLE[#Headers],0),FALSE),""))</f>
        <v/>
      </c>
      <c r="S77" s="188" t="s" cm="1">
        <v>78</v>
      </c>
      <c r="T77" s="152"/>
      <c r="U77" s="152"/>
      <c r="V77" s="155"/>
      <c r="AC77" t="s">
        <v>78</v>
      </c>
    </row>
    <row r="78" spans="1:29">
      <c r="A78" s="40"/>
      <c r="B78" s="151" t="s">
        <v>227</v>
      </c>
      <c r="C78" s="152" t="s">
        <v>2002</v>
      </c>
      <c r="D78" s="118" t="str">
        <f>IF(CONNECTIONS_TABLE[[#This Row],[Device Name]]="","",VLOOKUP(CONNECTIONS_TABLE[[#This Row],[Device Name]],DEVICE_TABLE[#Data],MATCH(D$3,DEVICE_TABLE[#Headers],0),FALSE))</f>
        <v>VDI</v>
      </c>
      <c r="E7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FGHVIEW10/IDRAC (VDI)</v>
      </c>
      <c r="F78" s="154"/>
      <c r="G78" s="118" t="str">
        <f>IF(CONNECTIONS_TABLE[[#This Row],[Device Name]]="","",VLOOKUP(CONNECTIONS_TABLE[[#This Row],[Device Name]],DEVICE_TABLE[],MATCH(G$3,DEVICE_TABLE[#Headers],0),FALSE))</f>
        <v>Listerhills</v>
      </c>
      <c r="H78" s="153" t="str">
        <f>IF(B78="","",VLOOKUP(B78,DEVICE_TABLE[#Data],MATCH(H$3,DEVICE_TABLE[#Headers],0),FALSE))</f>
        <v>CR1</v>
      </c>
      <c r="I78" s="122" t="s">
        <v>1575</v>
      </c>
      <c r="J78" s="122" t="s">
        <v>1073</v>
      </c>
      <c r="K78" s="122" t="s">
        <v>2008</v>
      </c>
      <c r="L78" s="153" t="str">
        <f t="shared" si="1"/>
        <v>FGHLHN141-1 gi1/0/15</v>
      </c>
      <c r="M78" s="122" t="s">
        <v>1991</v>
      </c>
      <c r="N78" s="122" t="s">
        <v>1988</v>
      </c>
      <c r="O78" s="152"/>
      <c r="P78" s="152">
        <v>400</v>
      </c>
      <c r="Q78" s="156" t="str">
        <f>IF(L78="","",IFERROR(VLOOKUP(UPPER($G78)&amp;"/"&amp;$P78,NETWORKS_TABLE[],MATCH(Q$3,NETWORKS_TABLE[#Headers],0),FALSE),""))</f>
        <v>VDIMGNT</v>
      </c>
      <c r="R78" s="156" t="str">
        <f>IF(B78="","",IFERROR(VLOOKUP(UPPER($G78)&amp;"/"&amp;$P78,NETWORKS_TABLE[],MATCH(R$3,NETWORKS_TABLE[#Headers],0),FALSE),""))</f>
        <v>10.224.200.0/24</v>
      </c>
      <c r="S78" s="188" t="s" cm="1">
        <v>2117</v>
      </c>
      <c r="T78" s="152"/>
      <c r="U78" s="152"/>
      <c r="V78" s="155"/>
      <c r="AC78">
        <v>30</v>
      </c>
    </row>
    <row r="79" spans="1:29">
      <c r="A79" s="40"/>
      <c r="B79" s="151" t="s">
        <v>227</v>
      </c>
      <c r="C79" s="152" t="s">
        <v>155</v>
      </c>
      <c r="D79" s="118" t="str">
        <f>IF(CONNECTIONS_TABLE[[#This Row],[Device Name]]="","",VLOOKUP(CONNECTIONS_TABLE[[#This Row],[Device Name]],DEVICE_TABLE[#Data],MATCH(D$3,DEVICE_TABLE[#Headers],0),FALSE))</f>
        <v>VDI</v>
      </c>
      <c r="E7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FGHVIEW10/ISCSI (VDI)</v>
      </c>
      <c r="F79" s="154"/>
      <c r="G79" s="118" t="str">
        <f>IF(CONNECTIONS_TABLE[[#This Row],[Device Name]]="","",VLOOKUP(CONNECTIONS_TABLE[[#This Row],[Device Name]],DEVICE_TABLE[],MATCH(G$3,DEVICE_TABLE[#Headers],0),FALSE))</f>
        <v>Listerhills</v>
      </c>
      <c r="H79" s="153" t="str">
        <f>IF(B79="","",VLOOKUP(B79,DEVICE_TABLE[#Data],MATCH(H$3,DEVICE_TABLE[#Headers],0),FALSE))</f>
        <v>CR1</v>
      </c>
      <c r="I79" s="122" t="s">
        <v>1575</v>
      </c>
      <c r="J79" s="122" t="s">
        <v>1083</v>
      </c>
      <c r="K79" s="122" t="s">
        <v>2015</v>
      </c>
      <c r="L79" s="153" t="str">
        <f t="shared" si="1"/>
        <v>FGHLHN141-2 gi2/0/15</v>
      </c>
      <c r="M79" s="122" t="s">
        <v>1991</v>
      </c>
      <c r="N79" s="122" t="s">
        <v>1988</v>
      </c>
      <c r="O79" s="152"/>
      <c r="P79" s="152">
        <v>230</v>
      </c>
      <c r="Q79" s="156" t="str">
        <f>IF(L79="","",IFERROR(VLOOKUP(UPPER($G79)&amp;"/"&amp;$P79,NETWORKS_TABLE[],MATCH(Q$3,NETWORKS_TABLE[#Headers],0),FALSE),""))</f>
        <v>HPISCSI</v>
      </c>
      <c r="R79" s="156" t="str">
        <f>IF(B79="","",IFERROR(VLOOKUP(UPPER($G79)&amp;"/"&amp;$P79,NETWORKS_TABLE[],MATCH(R$3,NETWORKS_TABLE[#Headers],0),FALSE),""))</f>
        <v>10.224.30.0/24</v>
      </c>
      <c r="S79" s="188" t="s" cm="1">
        <v>2120</v>
      </c>
      <c r="T79" s="152"/>
      <c r="U79" s="152"/>
      <c r="V79" s="155"/>
      <c r="AC79">
        <v>83</v>
      </c>
    </row>
    <row r="80" spans="1:29">
      <c r="A80" s="40"/>
      <c r="B80" s="151" t="s">
        <v>227</v>
      </c>
      <c r="C80" s="152" t="s">
        <v>2018</v>
      </c>
      <c r="D80" s="118" t="str">
        <f>IF(CONNECTIONS_TABLE[[#This Row],[Device Name]]="","",VLOOKUP(CONNECTIONS_TABLE[[#This Row],[Device Name]],DEVICE_TABLE[#Data],MATCH(D$3,DEVICE_TABLE[#Headers],0),FALSE))</f>
        <v>VDI</v>
      </c>
      <c r="E8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FGHVIEW10/MGNT (VDI)</v>
      </c>
      <c r="F80" s="154"/>
      <c r="G80" s="118" t="str">
        <f>IF(CONNECTIONS_TABLE[[#This Row],[Device Name]]="","",VLOOKUP(CONNECTIONS_TABLE[[#This Row],[Device Name]],DEVICE_TABLE[],MATCH(G$3,DEVICE_TABLE[#Headers],0),FALSE))</f>
        <v>Listerhills</v>
      </c>
      <c r="H80" s="153" t="str">
        <f>IF(B80="","",VLOOKUP(B80,DEVICE_TABLE[#Data],MATCH(H$3,DEVICE_TABLE[#Headers],0),FALSE))</f>
        <v>CR1</v>
      </c>
      <c r="I80" s="122" t="s">
        <v>1575</v>
      </c>
      <c r="J80" s="122" t="s">
        <v>1073</v>
      </c>
      <c r="K80" s="122" t="s">
        <v>2023</v>
      </c>
      <c r="L80" s="153" t="str">
        <f t="shared" si="1"/>
        <v>FGHLHN141-1 gi1/0/25</v>
      </c>
      <c r="M80" s="122" t="s">
        <v>1991</v>
      </c>
      <c r="N80" s="122" t="s">
        <v>1988</v>
      </c>
      <c r="O80" s="152"/>
      <c r="P80" s="152">
        <v>400</v>
      </c>
      <c r="Q80" s="156" t="str">
        <f>IF(L80="","",IFERROR(VLOOKUP(UPPER($G80)&amp;"/"&amp;$P80,NETWORKS_TABLE[],MATCH(Q$3,NETWORKS_TABLE[#Headers],0),FALSE),""))</f>
        <v>VDIMGNT</v>
      </c>
      <c r="R80" s="156" t="str">
        <f>IF(B80="","",IFERROR(VLOOKUP(UPPER($G80)&amp;"/"&amp;$P80,NETWORKS_TABLE[],MATCH(R$3,NETWORKS_TABLE[#Headers],0),FALSE),""))</f>
        <v>10.224.200.0/24</v>
      </c>
      <c r="S80" s="188" t="s" cm="1">
        <v>1764</v>
      </c>
      <c r="T80" s="152"/>
      <c r="U80" s="152"/>
      <c r="V80" s="155"/>
      <c r="AC80" t="s">
        <v>1620</v>
      </c>
    </row>
    <row r="81" spans="1:29">
      <c r="A81" s="40"/>
      <c r="B81" s="151" t="s">
        <v>227</v>
      </c>
      <c r="C81" s="152" t="s">
        <v>2026</v>
      </c>
      <c r="D81" s="118" t="str">
        <f>IF(CONNECTIONS_TABLE[[#This Row],[Device Name]]="","",VLOOKUP(CONNECTIONS_TABLE[[#This Row],[Device Name]],DEVICE_TABLE[#Data],MATCH(D$3,DEVICE_TABLE[#Headers],0),FALSE))</f>
        <v>VDI</v>
      </c>
      <c r="E8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FGHVIEW10/MGNT2 (VDI)</v>
      </c>
      <c r="F81" s="154"/>
      <c r="G81" s="118" t="str">
        <f>IF(CONNECTIONS_TABLE[[#This Row],[Device Name]]="","",VLOOKUP(CONNECTIONS_TABLE[[#This Row],[Device Name]],DEVICE_TABLE[],MATCH(G$3,DEVICE_TABLE[#Headers],0),FALSE))</f>
        <v>Listerhills</v>
      </c>
      <c r="H81" s="153" t="str">
        <f>IF(B81="","",VLOOKUP(B81,DEVICE_TABLE[#Data],MATCH(H$3,DEVICE_TABLE[#Headers],0),FALSE))</f>
        <v>CR1</v>
      </c>
      <c r="I81" s="122" t="s">
        <v>1575</v>
      </c>
      <c r="J81" s="122" t="s">
        <v>1083</v>
      </c>
      <c r="K81" s="122" t="s">
        <v>2031</v>
      </c>
      <c r="L81" s="153" t="str">
        <f t="shared" si="1"/>
        <v>FGHLHN141-2 gi2/0/25</v>
      </c>
      <c r="M81" s="122" t="s">
        <v>1991</v>
      </c>
      <c r="N81" s="122" t="s">
        <v>1988</v>
      </c>
      <c r="O81" s="152"/>
      <c r="P81" s="152">
        <v>400</v>
      </c>
      <c r="Q81" s="156" t="str">
        <f>IF(L81="","",IFERROR(VLOOKUP(UPPER($G81)&amp;"/"&amp;$P81,NETWORKS_TABLE[],MATCH(Q$3,NETWORKS_TABLE[#Headers],0),FALSE),""))</f>
        <v>VDIMGNT</v>
      </c>
      <c r="R81" s="156" t="str">
        <f>IF(B81="","",IFERROR(VLOOKUP(UPPER($G81)&amp;"/"&amp;$P81,NETWORKS_TABLE[],MATCH(R$3,NETWORKS_TABLE[#Headers],0),FALSE),""))</f>
        <v>10.224.200.0/24</v>
      </c>
      <c r="S81" s="188" t="s" cm="1">
        <v>1764</v>
      </c>
      <c r="T81" s="152"/>
      <c r="U81" s="152"/>
      <c r="V81" s="155"/>
      <c r="AC81" t="s">
        <v>1620</v>
      </c>
    </row>
    <row r="82" spans="1:29">
      <c r="A82" s="40"/>
      <c r="B82" s="151" t="s">
        <v>227</v>
      </c>
      <c r="C82" s="152" t="s">
        <v>2034</v>
      </c>
      <c r="D82" s="118" t="str">
        <f>IF(CONNECTIONS_TABLE[[#This Row],[Device Name]]="","",VLOOKUP(CONNECTIONS_TABLE[[#This Row],[Device Name]],DEVICE_TABLE[#Data],MATCH(D$3,DEVICE_TABLE[#Headers],0),FALSE))</f>
        <v>VDI</v>
      </c>
      <c r="E8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FGHVIEW10/DATA (VDI)</v>
      </c>
      <c r="F82" s="154"/>
      <c r="G82" s="118" t="str">
        <f>IF(CONNECTIONS_TABLE[[#This Row],[Device Name]]="","",VLOOKUP(CONNECTIONS_TABLE[[#This Row],[Device Name]],DEVICE_TABLE[],MATCH(G$3,DEVICE_TABLE[#Headers],0),FALSE))</f>
        <v>Listerhills</v>
      </c>
      <c r="H82" s="153" t="str">
        <f>IF(B82="","",VLOOKUP(B82,DEVICE_TABLE[#Data],MATCH(H$3,DEVICE_TABLE[#Headers],0),FALSE))</f>
        <v>CR1</v>
      </c>
      <c r="I82" s="122" t="s">
        <v>1575</v>
      </c>
      <c r="J82" s="122" t="s">
        <v>1371</v>
      </c>
      <c r="K82" s="122" t="s">
        <v>2039</v>
      </c>
      <c r="L82" s="153" t="str">
        <f t="shared" si="1"/>
        <v>FGHLHN41-1 Twe1/0/15</v>
      </c>
      <c r="M82" s="122" t="s">
        <v>1872</v>
      </c>
      <c r="N82" s="122" t="s">
        <v>1988</v>
      </c>
      <c r="O82" s="152"/>
      <c r="P82" s="152">
        <v>410</v>
      </c>
      <c r="Q82" s="156" t="str">
        <f>IF(L82="","",IFERROR(VLOOKUP(UPPER($G82)&amp;"/"&amp;$P82,NETWORKS_TABLE[],MATCH(Q$3,NETWORKS_TABLE[#Headers],0),FALSE),""))</f>
        <v>FGHVIEW10</v>
      </c>
      <c r="R82" s="156" t="str">
        <f>IF(B82="","",IFERROR(VLOOKUP(UPPER($G82)&amp;"/"&amp;$P82,NETWORKS_TABLE[],MATCH(R$3,NETWORKS_TABLE[#Headers],0),FALSE),""))</f>
        <v>10.224.210.0/24</v>
      </c>
      <c r="S82" s="188" t="s" cm="1">
        <v>78</v>
      </c>
      <c r="T82" s="152"/>
      <c r="U82" s="152"/>
      <c r="V82" s="155"/>
    </row>
    <row r="83" spans="1:29">
      <c r="A83" s="40"/>
      <c r="B83" s="151" t="s">
        <v>227</v>
      </c>
      <c r="C83" s="152" t="s">
        <v>2042</v>
      </c>
      <c r="D83" s="118" t="str">
        <f>IF(CONNECTIONS_TABLE[[#This Row],[Device Name]]="","",VLOOKUP(CONNECTIONS_TABLE[[#This Row],[Device Name]],DEVICE_TABLE[#Data],MATCH(D$3,DEVICE_TABLE[#Headers],0),FALSE))</f>
        <v>VDI</v>
      </c>
      <c r="E8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FGHVIEW10/DATA2 (VDI)</v>
      </c>
      <c r="F83" s="154"/>
      <c r="G83" s="118" t="str">
        <f>IF(CONNECTIONS_TABLE[[#This Row],[Device Name]]="","",VLOOKUP(CONNECTIONS_TABLE[[#This Row],[Device Name]],DEVICE_TABLE[],MATCH(G$3,DEVICE_TABLE[#Headers],0),FALSE))</f>
        <v>Listerhills</v>
      </c>
      <c r="H83" s="153" t="str">
        <f>IF(B83="","",VLOOKUP(B83,DEVICE_TABLE[#Data],MATCH(H$3,DEVICE_TABLE[#Headers],0),FALSE))</f>
        <v>CR1</v>
      </c>
      <c r="I83" s="122" t="s">
        <v>1575</v>
      </c>
      <c r="J83" s="122" t="s">
        <v>1375</v>
      </c>
      <c r="K83" s="122" t="s">
        <v>2047</v>
      </c>
      <c r="L83" s="153" t="str">
        <f t="shared" si="1"/>
        <v>FGHLHN41-2 Twe2/0/15</v>
      </c>
      <c r="M83" s="122" t="s">
        <v>1872</v>
      </c>
      <c r="N83" s="122" t="s">
        <v>1988</v>
      </c>
      <c r="O83" s="152"/>
      <c r="P83" s="152">
        <v>410</v>
      </c>
      <c r="Q83" s="156" t="str">
        <f>IF(L83="","",IFERROR(VLOOKUP(UPPER($G83)&amp;"/"&amp;$P83,NETWORKS_TABLE[],MATCH(Q$3,NETWORKS_TABLE[#Headers],0),FALSE),""))</f>
        <v>FGHVIEW10</v>
      </c>
      <c r="R83" s="156" t="str">
        <f>IF(B83="","",IFERROR(VLOOKUP(UPPER($G83)&amp;"/"&amp;$P83,NETWORKS_TABLE[],MATCH(R$3,NETWORKS_TABLE[#Headers],0),FALSE),""))</f>
        <v>10.224.210.0/24</v>
      </c>
      <c r="S83" s="188" t="s" cm="1">
        <v>78</v>
      </c>
      <c r="T83" s="152"/>
      <c r="U83" s="152"/>
      <c r="V83" s="155"/>
    </row>
    <row r="84" spans="1:29">
      <c r="A84" s="40"/>
      <c r="B84" s="151"/>
      <c r="C84" s="152"/>
      <c r="D84" s="118" t="str">
        <f>IF(CONNECTIONS_TABLE[[#This Row],[Device Name]]="","",VLOOKUP(CONNECTIONS_TABLE[[#This Row],[Device Name]],DEVICE_TABLE[#Data],MATCH(D$3,DEVICE_TABLE[#Headers],0),FALSE))</f>
        <v/>
      </c>
      <c r="E8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84" s="154"/>
      <c r="G84" s="118" t="str">
        <f>IF(CONNECTIONS_TABLE[[#This Row],[Device Name]]="","",VLOOKUP(CONNECTIONS_TABLE[[#This Row],[Device Name]],DEVICE_TABLE[],MATCH(G$3,DEVICE_TABLE[#Headers],0),FALSE))</f>
        <v/>
      </c>
      <c r="H84" s="153" t="str">
        <f>IF(B84="","",VLOOKUP(B84,DEVICE_TABLE[#Data],MATCH(H$3,DEVICE_TABLE[#Headers],0),FALSE))</f>
        <v/>
      </c>
      <c r="I84" s="122"/>
      <c r="J84" s="122"/>
      <c r="K84" s="122"/>
      <c r="L84" s="153" t="str">
        <f t="shared" si="1"/>
        <v xml:space="preserve"> </v>
      </c>
      <c r="M84" s="122"/>
      <c r="N84" s="122"/>
      <c r="O84" s="152"/>
      <c r="P84" s="152"/>
      <c r="Q84" s="156" t="str">
        <f>IF(L84="","",IFERROR(VLOOKUP(UPPER($G84)&amp;"/"&amp;$P84,NETWORKS_TABLE[],MATCH(Q$3,NETWORKS_TABLE[#Headers],0),FALSE),""))</f>
        <v/>
      </c>
      <c r="R84" s="156" t="str">
        <f>IF(B84="","",IFERROR(VLOOKUP(UPPER($G84)&amp;"/"&amp;$P84,NETWORKS_TABLE[],MATCH(R$3,NETWORKS_TABLE[#Headers],0),FALSE),""))</f>
        <v/>
      </c>
      <c r="S84" s="188" t="s" cm="1">
        <v>78</v>
      </c>
      <c r="T84" s="152"/>
      <c r="U84" s="152"/>
      <c r="V84" s="155"/>
      <c r="AC84" t="s">
        <v>78</v>
      </c>
    </row>
    <row r="85" spans="1:29">
      <c r="A85" s="40"/>
      <c r="B85" s="151" t="s">
        <v>233</v>
      </c>
      <c r="C85" s="152" t="s">
        <v>2002</v>
      </c>
      <c r="D85" s="118" t="str">
        <f>IF(CONNECTIONS_TABLE[[#This Row],[Device Name]]="","",VLOOKUP(CONNECTIONS_TABLE[[#This Row],[Device Name]],DEVICE_TABLE[#Data],MATCH(D$3,DEVICE_TABLE[#Headers],0),FALSE))</f>
        <v>VDI</v>
      </c>
      <c r="E8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FGHVIEW11/IDRAC (VDI)</v>
      </c>
      <c r="F85" s="154"/>
      <c r="G85" s="118" t="str">
        <f>IF(CONNECTIONS_TABLE[[#This Row],[Device Name]]="","",VLOOKUP(CONNECTIONS_TABLE[[#This Row],[Device Name]],DEVICE_TABLE[],MATCH(G$3,DEVICE_TABLE[#Headers],0),FALSE))</f>
        <v>Listerhills</v>
      </c>
      <c r="H85" s="153" t="str">
        <f>IF(B85="","",VLOOKUP(B85,DEVICE_TABLE[#Data],MATCH(H$3,DEVICE_TABLE[#Headers],0),FALSE))</f>
        <v>CR1</v>
      </c>
      <c r="I85" s="122" t="s">
        <v>1575</v>
      </c>
      <c r="J85" s="122" t="s">
        <v>1073</v>
      </c>
      <c r="K85" s="122" t="s">
        <v>2009</v>
      </c>
      <c r="L85" s="153" t="str">
        <f t="shared" si="1"/>
        <v>FGHLHN141-1 gi1/0/16</v>
      </c>
      <c r="M85" s="122" t="s">
        <v>1991</v>
      </c>
      <c r="N85" s="122" t="s">
        <v>1988</v>
      </c>
      <c r="O85" s="152"/>
      <c r="P85" s="152">
        <v>400</v>
      </c>
      <c r="Q85" s="156" t="str">
        <f>IF(L85="","",IFERROR(VLOOKUP(UPPER($G85)&amp;"/"&amp;$P85,NETWORKS_TABLE[],MATCH(Q$3,NETWORKS_TABLE[#Headers],0),FALSE),""))</f>
        <v>VDIMGNT</v>
      </c>
      <c r="R85" s="156" t="str">
        <f>IF(B85="","",IFERROR(VLOOKUP(UPPER($G85)&amp;"/"&amp;$P85,NETWORKS_TABLE[],MATCH(R$3,NETWORKS_TABLE[#Headers],0),FALSE),""))</f>
        <v>10.224.200.0/24</v>
      </c>
      <c r="S85" s="188" t="s" cm="1">
        <v>78</v>
      </c>
      <c r="T85" s="152"/>
      <c r="U85" s="152"/>
      <c r="V85" s="155"/>
      <c r="AC85" t="s">
        <v>1638</v>
      </c>
    </row>
    <row r="86" spans="1:29">
      <c r="A86" s="40"/>
      <c r="B86" s="151" t="s">
        <v>233</v>
      </c>
      <c r="C86" s="152" t="s">
        <v>155</v>
      </c>
      <c r="D86" s="118" t="str">
        <f>IF(CONNECTIONS_TABLE[[#This Row],[Device Name]]="","",VLOOKUP(CONNECTIONS_TABLE[[#This Row],[Device Name]],DEVICE_TABLE[#Data],MATCH(D$3,DEVICE_TABLE[#Headers],0),FALSE))</f>
        <v>VDI</v>
      </c>
      <c r="E8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FGHVIEW11/ISCSI (VDI)</v>
      </c>
      <c r="F86" s="154"/>
      <c r="G86" s="118" t="str">
        <f>IF(CONNECTIONS_TABLE[[#This Row],[Device Name]]="","",VLOOKUP(CONNECTIONS_TABLE[[#This Row],[Device Name]],DEVICE_TABLE[],MATCH(G$3,DEVICE_TABLE[#Headers],0),FALSE))</f>
        <v>Listerhills</v>
      </c>
      <c r="H86" s="153" t="str">
        <f>IF(B86="","",VLOOKUP(B86,DEVICE_TABLE[#Data],MATCH(H$3,DEVICE_TABLE[#Headers],0),FALSE))</f>
        <v>CR1</v>
      </c>
      <c r="I86" s="122" t="s">
        <v>1575</v>
      </c>
      <c r="J86" s="122" t="s">
        <v>1083</v>
      </c>
      <c r="K86" s="122" t="s">
        <v>2016</v>
      </c>
      <c r="L86" s="153" t="str">
        <f t="shared" si="1"/>
        <v>FGHLHN141-2 gi2/0/16</v>
      </c>
      <c r="M86" s="122" t="s">
        <v>1991</v>
      </c>
      <c r="N86" s="122" t="s">
        <v>1988</v>
      </c>
      <c r="O86" s="152"/>
      <c r="P86" s="152">
        <v>230</v>
      </c>
      <c r="Q86" s="156" t="str">
        <f>IF(L86="","",IFERROR(VLOOKUP(UPPER($G86)&amp;"/"&amp;$P86,NETWORKS_TABLE[],MATCH(Q$3,NETWORKS_TABLE[#Headers],0),FALSE),""))</f>
        <v>HPISCSI</v>
      </c>
      <c r="R86" s="156" t="str">
        <f>IF(B86="","",IFERROR(VLOOKUP(UPPER($G86)&amp;"/"&amp;$P86,NETWORKS_TABLE[],MATCH(R$3,NETWORKS_TABLE[#Headers],0),FALSE),""))</f>
        <v>10.224.30.0/24</v>
      </c>
      <c r="S86" s="188" t="s" cm="1">
        <v>78</v>
      </c>
      <c r="T86" s="152"/>
      <c r="U86" s="152"/>
      <c r="V86" s="155"/>
      <c r="AC86" t="s">
        <v>1638</v>
      </c>
    </row>
    <row r="87" spans="1:29">
      <c r="A87" s="40"/>
      <c r="B87" s="151" t="s">
        <v>233</v>
      </c>
      <c r="C87" s="152" t="s">
        <v>2018</v>
      </c>
      <c r="D87" s="118" t="str">
        <f>IF(CONNECTIONS_TABLE[[#This Row],[Device Name]]="","",VLOOKUP(CONNECTIONS_TABLE[[#This Row],[Device Name]],DEVICE_TABLE[#Data],MATCH(D$3,DEVICE_TABLE[#Headers],0),FALSE))</f>
        <v>VDI</v>
      </c>
      <c r="E8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FGHVIEW11/MGNT (VDI)</v>
      </c>
      <c r="F87" s="154"/>
      <c r="G87" s="118" t="str">
        <f>IF(CONNECTIONS_TABLE[[#This Row],[Device Name]]="","",VLOOKUP(CONNECTIONS_TABLE[[#This Row],[Device Name]],DEVICE_TABLE[],MATCH(G$3,DEVICE_TABLE[#Headers],0),FALSE))</f>
        <v>Listerhills</v>
      </c>
      <c r="H87" s="153" t="str">
        <f>IF(B87="","",VLOOKUP(B87,DEVICE_TABLE[#Data],MATCH(H$3,DEVICE_TABLE[#Headers],0),FALSE))</f>
        <v>CR1</v>
      </c>
      <c r="I87" s="122" t="s">
        <v>1575</v>
      </c>
      <c r="J87" s="122" t="s">
        <v>1073</v>
      </c>
      <c r="K87" s="122" t="s">
        <v>2024</v>
      </c>
      <c r="L87" s="153" t="str">
        <f t="shared" si="1"/>
        <v>FGHLHN141-1 gi1/0/26</v>
      </c>
      <c r="M87" s="122" t="s">
        <v>1991</v>
      </c>
      <c r="N87" s="122" t="s">
        <v>1988</v>
      </c>
      <c r="O87" s="152"/>
      <c r="P87" s="152">
        <v>400</v>
      </c>
      <c r="Q87" s="156" t="str">
        <f>IF(L87="","",IFERROR(VLOOKUP(UPPER($G87)&amp;"/"&amp;$P87,NETWORKS_TABLE[],MATCH(Q$3,NETWORKS_TABLE[#Headers],0),FALSE),""))</f>
        <v>VDIMGNT</v>
      </c>
      <c r="R87" s="156" t="str">
        <f>IF(B87="","",IFERROR(VLOOKUP(UPPER($G87)&amp;"/"&amp;$P87,NETWORKS_TABLE[],MATCH(R$3,NETWORKS_TABLE[#Headers],0),FALSE),""))</f>
        <v>10.224.200.0/24</v>
      </c>
      <c r="S87" s="188" t="s" cm="1">
        <v>2770</v>
      </c>
      <c r="T87" s="152"/>
      <c r="U87" s="152"/>
      <c r="V87" s="155"/>
      <c r="AC87" t="s">
        <v>1638</v>
      </c>
    </row>
    <row r="88" spans="1:29">
      <c r="A88" s="40"/>
      <c r="B88" s="151" t="s">
        <v>233</v>
      </c>
      <c r="C88" s="152" t="s">
        <v>2026</v>
      </c>
      <c r="D88" s="118" t="str">
        <f>IF(CONNECTIONS_TABLE[[#This Row],[Device Name]]="","",VLOOKUP(CONNECTIONS_TABLE[[#This Row],[Device Name]],DEVICE_TABLE[#Data],MATCH(D$3,DEVICE_TABLE[#Headers],0),FALSE))</f>
        <v>VDI</v>
      </c>
      <c r="E8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FGHVIEW11/MGNT2 (VDI)</v>
      </c>
      <c r="F88" s="154"/>
      <c r="G88" s="118" t="str">
        <f>IF(CONNECTIONS_TABLE[[#This Row],[Device Name]]="","",VLOOKUP(CONNECTIONS_TABLE[[#This Row],[Device Name]],DEVICE_TABLE[],MATCH(G$3,DEVICE_TABLE[#Headers],0),FALSE))</f>
        <v>Listerhills</v>
      </c>
      <c r="H88" s="153" t="str">
        <f>IF(B88="","",VLOOKUP(B88,DEVICE_TABLE[#Data],MATCH(H$3,DEVICE_TABLE[#Headers],0),FALSE))</f>
        <v>CR1</v>
      </c>
      <c r="I88" s="122" t="s">
        <v>1575</v>
      </c>
      <c r="J88" s="122" t="s">
        <v>1083</v>
      </c>
      <c r="K88" s="122" t="s">
        <v>2032</v>
      </c>
      <c r="L88" s="153" t="str">
        <f t="shared" si="1"/>
        <v>FGHLHN141-2 gi2/0/26</v>
      </c>
      <c r="M88" s="122" t="s">
        <v>1991</v>
      </c>
      <c r="N88" s="122" t="s">
        <v>1988</v>
      </c>
      <c r="O88" s="152"/>
      <c r="P88" s="152">
        <v>400</v>
      </c>
      <c r="Q88" s="156" t="str">
        <f>IF(L88="","",IFERROR(VLOOKUP(UPPER($G88)&amp;"/"&amp;$P88,NETWORKS_TABLE[],MATCH(Q$3,NETWORKS_TABLE[#Headers],0),FALSE),""))</f>
        <v>VDIMGNT</v>
      </c>
      <c r="R88" s="156" t="str">
        <f>IF(B88="","",IFERROR(VLOOKUP(UPPER($G88)&amp;"/"&amp;$P88,NETWORKS_TABLE[],MATCH(R$3,NETWORKS_TABLE[#Headers],0),FALSE),""))</f>
        <v>10.224.200.0/24</v>
      </c>
      <c r="S88" s="188" t="s" cm="1">
        <v>2770</v>
      </c>
      <c r="T88" s="152"/>
      <c r="U88" s="152"/>
      <c r="V88" s="155"/>
      <c r="AC88" t="s">
        <v>1638</v>
      </c>
    </row>
    <row r="89" spans="1:29">
      <c r="A89" s="40"/>
      <c r="B89" s="151" t="s">
        <v>233</v>
      </c>
      <c r="C89" s="152" t="s">
        <v>2034</v>
      </c>
      <c r="D89" s="118" t="str">
        <f>IF(CONNECTIONS_TABLE[[#This Row],[Device Name]]="","",VLOOKUP(CONNECTIONS_TABLE[[#This Row],[Device Name]],DEVICE_TABLE[#Data],MATCH(D$3,DEVICE_TABLE[#Headers],0),FALSE))</f>
        <v>VDI</v>
      </c>
      <c r="E8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FGHVIEW11/DATA (VDI)</v>
      </c>
      <c r="F89" s="154"/>
      <c r="G89" s="118" t="str">
        <f>IF(CONNECTIONS_TABLE[[#This Row],[Device Name]]="","",VLOOKUP(CONNECTIONS_TABLE[[#This Row],[Device Name]],DEVICE_TABLE[],MATCH(G$3,DEVICE_TABLE[#Headers],0),FALSE))</f>
        <v>Listerhills</v>
      </c>
      <c r="H89" s="153" t="str">
        <f>IF(B89="","",VLOOKUP(B89,DEVICE_TABLE[#Data],MATCH(H$3,DEVICE_TABLE[#Headers],0),FALSE))</f>
        <v>CR1</v>
      </c>
      <c r="I89" s="122" t="s">
        <v>1575</v>
      </c>
      <c r="J89" s="122" t="s">
        <v>1371</v>
      </c>
      <c r="K89" s="122" t="s">
        <v>2040</v>
      </c>
      <c r="L89" s="153" t="str">
        <f t="shared" si="1"/>
        <v>FGHLHN41-1 Twe1/0/16</v>
      </c>
      <c r="M89" s="122" t="s">
        <v>1872</v>
      </c>
      <c r="N89" s="122" t="s">
        <v>1988</v>
      </c>
      <c r="O89" s="152"/>
      <c r="P89" s="152">
        <v>411</v>
      </c>
      <c r="Q89" s="156" t="str">
        <f>IF(L89="","",IFERROR(VLOOKUP(UPPER($G89)&amp;"/"&amp;$P89,NETWORKS_TABLE[],MATCH(Q$3,NETWORKS_TABLE[#Headers],0),FALSE),""))</f>
        <v>FGHVIEW11</v>
      </c>
      <c r="R89" s="156" t="str">
        <f>IF(B89="","",IFERROR(VLOOKUP(UPPER($G89)&amp;"/"&amp;$P89,NETWORKS_TABLE[],MATCH(R$3,NETWORKS_TABLE[#Headers],0),FALSE),""))</f>
        <v>10.224.211.0/24</v>
      </c>
      <c r="S89" s="188" t="s" cm="1">
        <v>78</v>
      </c>
      <c r="T89" s="152"/>
      <c r="U89" s="152"/>
      <c r="V89" s="155"/>
      <c r="AC89" t="s">
        <v>1638</v>
      </c>
    </row>
    <row r="90" spans="1:29">
      <c r="A90" s="40"/>
      <c r="B90" s="151" t="s">
        <v>233</v>
      </c>
      <c r="C90" s="152" t="s">
        <v>2042</v>
      </c>
      <c r="D90" s="118" t="str">
        <f>IF(CONNECTIONS_TABLE[[#This Row],[Device Name]]="","",VLOOKUP(CONNECTIONS_TABLE[[#This Row],[Device Name]],DEVICE_TABLE[#Data],MATCH(D$3,DEVICE_TABLE[#Headers],0),FALSE))</f>
        <v>VDI</v>
      </c>
      <c r="E9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FGHVIEW11/DATA2 (VDI)</v>
      </c>
      <c r="F90" s="154"/>
      <c r="G90" s="118" t="str">
        <f>IF(CONNECTIONS_TABLE[[#This Row],[Device Name]]="","",VLOOKUP(CONNECTIONS_TABLE[[#This Row],[Device Name]],DEVICE_TABLE[],MATCH(G$3,DEVICE_TABLE[#Headers],0),FALSE))</f>
        <v>Listerhills</v>
      </c>
      <c r="H90" s="153" t="str">
        <f>IF(B90="","",VLOOKUP(B90,DEVICE_TABLE[#Data],MATCH(H$3,DEVICE_TABLE[#Headers],0),FALSE))</f>
        <v>CR1</v>
      </c>
      <c r="I90" s="122" t="s">
        <v>1575</v>
      </c>
      <c r="J90" s="122" t="s">
        <v>1375</v>
      </c>
      <c r="K90" s="122" t="s">
        <v>2048</v>
      </c>
      <c r="L90" s="153" t="str">
        <f t="shared" si="1"/>
        <v>FGHLHN41-2 Twe2/0/16</v>
      </c>
      <c r="M90" s="122" t="s">
        <v>1872</v>
      </c>
      <c r="N90" s="122" t="s">
        <v>1988</v>
      </c>
      <c r="O90" s="152"/>
      <c r="P90" s="152">
        <v>411</v>
      </c>
      <c r="Q90" s="156" t="str">
        <f>IF(L90="","",IFERROR(VLOOKUP(UPPER($G90)&amp;"/"&amp;$P90,NETWORKS_TABLE[],MATCH(Q$3,NETWORKS_TABLE[#Headers],0),FALSE),""))</f>
        <v>FGHVIEW11</v>
      </c>
      <c r="R90" s="156" t="str">
        <f>IF(B90="","",IFERROR(VLOOKUP(UPPER($G90)&amp;"/"&amp;$P90,NETWORKS_TABLE[],MATCH(R$3,NETWORKS_TABLE[#Headers],0),FALSE),""))</f>
        <v>10.224.211.0/24</v>
      </c>
      <c r="S90" s="188" t="s" cm="1">
        <v>78</v>
      </c>
      <c r="T90" s="152"/>
      <c r="U90" s="152"/>
      <c r="V90" s="155"/>
      <c r="AC90" t="s">
        <v>1638</v>
      </c>
    </row>
    <row r="91" spans="1:29">
      <c r="A91" s="40"/>
      <c r="B91" s="151"/>
      <c r="C91" s="152"/>
      <c r="D91" s="118" t="str">
        <f>IF(CONNECTIONS_TABLE[[#This Row],[Device Name]]="","",VLOOKUP(CONNECTIONS_TABLE[[#This Row],[Device Name]],DEVICE_TABLE[#Data],MATCH(D$3,DEVICE_TABLE[#Headers],0),FALSE))</f>
        <v/>
      </c>
      <c r="E9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91" s="154"/>
      <c r="G91" s="118" t="str">
        <f>IF(CONNECTIONS_TABLE[[#This Row],[Device Name]]="","",VLOOKUP(CONNECTIONS_TABLE[[#This Row],[Device Name]],DEVICE_TABLE[],MATCH(G$3,DEVICE_TABLE[#Headers],0),FALSE))</f>
        <v/>
      </c>
      <c r="H91" s="153" t="str">
        <f>IF(B91="","",VLOOKUP(B91,DEVICE_TABLE[#Data],MATCH(H$3,DEVICE_TABLE[#Headers],0),FALSE))</f>
        <v/>
      </c>
      <c r="I91" s="122"/>
      <c r="J91" s="122"/>
      <c r="K91" s="122"/>
      <c r="L91" s="153" t="str">
        <f t="shared" si="1"/>
        <v xml:space="preserve"> </v>
      </c>
      <c r="M91" s="122"/>
      <c r="N91" s="122"/>
      <c r="O91" s="152"/>
      <c r="P91" s="152"/>
      <c r="Q91" s="156" t="str">
        <f>IF(L91="","",IFERROR(VLOOKUP(UPPER($G91)&amp;"/"&amp;$P91,NETWORKS_TABLE[],MATCH(Q$3,NETWORKS_TABLE[#Headers],0),FALSE),""))</f>
        <v/>
      </c>
      <c r="R91" s="156" t="str">
        <f>IF(B91="","",IFERROR(VLOOKUP(UPPER($G91)&amp;"/"&amp;$P91,NETWORKS_TABLE[],MATCH(R$3,NETWORKS_TABLE[#Headers],0),FALSE),""))</f>
        <v/>
      </c>
      <c r="S91" s="188" t="s" cm="1">
        <v>78</v>
      </c>
      <c r="T91" s="152"/>
      <c r="U91" s="152"/>
      <c r="V91" s="155"/>
      <c r="AC91" t="s">
        <v>78</v>
      </c>
    </row>
    <row r="92" spans="1:29">
      <c r="A92" s="40"/>
      <c r="B92" s="151" t="s">
        <v>239</v>
      </c>
      <c r="C92" s="152" t="s">
        <v>2002</v>
      </c>
      <c r="D92" s="118" t="str">
        <f>IF(CONNECTIONS_TABLE[[#This Row],[Device Name]]="","",VLOOKUP(CONNECTIONS_TABLE[[#This Row],[Device Name]],DEVICE_TABLE[#Data],MATCH(D$3,DEVICE_TABLE[#Headers],0),FALSE))</f>
        <v>VDI</v>
      </c>
      <c r="E9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FGHVIEW12/IDRAC (VDI)</v>
      </c>
      <c r="F92" s="154"/>
      <c r="G92" s="118" t="str">
        <f>IF(CONNECTIONS_TABLE[[#This Row],[Device Name]]="","",VLOOKUP(CONNECTIONS_TABLE[[#This Row],[Device Name]],DEVICE_TABLE[],MATCH(G$3,DEVICE_TABLE[#Headers],0),FALSE))</f>
        <v>Listerhills</v>
      </c>
      <c r="H92" s="153" t="str">
        <f>IF(B92="","",VLOOKUP(B92,DEVICE_TABLE[#Data],MATCH(H$3,DEVICE_TABLE[#Headers],0),FALSE))</f>
        <v>CR2</v>
      </c>
      <c r="I92" s="122" t="s">
        <v>1575</v>
      </c>
      <c r="J92" s="122" t="s">
        <v>1089</v>
      </c>
      <c r="K92" s="122" t="s">
        <v>2009</v>
      </c>
      <c r="L92" s="153" t="str">
        <f t="shared" si="1"/>
        <v>FGHLHN142-1 gi1/0/16</v>
      </c>
      <c r="M92" s="122" t="s">
        <v>1991</v>
      </c>
      <c r="N92" s="122" t="s">
        <v>1988</v>
      </c>
      <c r="O92" s="152"/>
      <c r="P92" s="152">
        <v>400</v>
      </c>
      <c r="Q92" s="156" t="str">
        <f>IF(L92="","",IFERROR(VLOOKUP(UPPER($G92)&amp;"/"&amp;$P92,NETWORKS_TABLE[],MATCH(Q$3,NETWORKS_TABLE[#Headers],0),FALSE),""))</f>
        <v>VDIMGNT</v>
      </c>
      <c r="R92" s="156" t="str">
        <f>IF(B92="","",IFERROR(VLOOKUP(UPPER($G92)&amp;"/"&amp;$P92,NETWORKS_TABLE[],MATCH(R$3,NETWORKS_TABLE[#Headers],0),FALSE),""))</f>
        <v>10.224.200.0/24</v>
      </c>
      <c r="S92" s="188" t="s" cm="1">
        <v>78</v>
      </c>
      <c r="T92" s="152"/>
      <c r="U92" s="152"/>
      <c r="V92" s="155"/>
      <c r="AC92" t="s">
        <v>1780</v>
      </c>
    </row>
    <row r="93" spans="1:29">
      <c r="A93" s="40"/>
      <c r="B93" s="151" t="s">
        <v>239</v>
      </c>
      <c r="C93" s="152" t="s">
        <v>155</v>
      </c>
      <c r="D93" s="118" t="str">
        <f>IF(CONNECTIONS_TABLE[[#This Row],[Device Name]]="","",VLOOKUP(CONNECTIONS_TABLE[[#This Row],[Device Name]],DEVICE_TABLE[#Data],MATCH(D$3,DEVICE_TABLE[#Headers],0),FALSE))</f>
        <v>VDI</v>
      </c>
      <c r="E9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FGHVIEW12/ISCSI (VDI)</v>
      </c>
      <c r="F93" s="154"/>
      <c r="G93" s="118" t="str">
        <f>IF(CONNECTIONS_TABLE[[#This Row],[Device Name]]="","",VLOOKUP(CONNECTIONS_TABLE[[#This Row],[Device Name]],DEVICE_TABLE[],MATCH(G$3,DEVICE_TABLE[#Headers],0),FALSE))</f>
        <v>Listerhills</v>
      </c>
      <c r="H93" s="153" t="str">
        <f>IF(B93="","",VLOOKUP(B93,DEVICE_TABLE[#Data],MATCH(H$3,DEVICE_TABLE[#Headers],0),FALSE))</f>
        <v>CR2</v>
      </c>
      <c r="I93" s="122" t="s">
        <v>1575</v>
      </c>
      <c r="J93" s="122" t="s">
        <v>1095</v>
      </c>
      <c r="K93" s="122" t="s">
        <v>2016</v>
      </c>
      <c r="L93" s="153" t="str">
        <f t="shared" si="1"/>
        <v>FGHLHN142-2 gi2/0/16</v>
      </c>
      <c r="M93" s="122" t="s">
        <v>1991</v>
      </c>
      <c r="N93" s="122" t="s">
        <v>1988</v>
      </c>
      <c r="O93" s="152"/>
      <c r="P93" s="152">
        <v>230</v>
      </c>
      <c r="Q93" s="156" t="str">
        <f>IF(L93="","",IFERROR(VLOOKUP(UPPER($G93)&amp;"/"&amp;$P93,NETWORKS_TABLE[],MATCH(Q$3,NETWORKS_TABLE[#Headers],0),FALSE),""))</f>
        <v>HPISCSI</v>
      </c>
      <c r="R93" s="156" t="str">
        <f>IF(B93="","",IFERROR(VLOOKUP(UPPER($G93)&amp;"/"&amp;$P93,NETWORKS_TABLE[],MATCH(R$3,NETWORKS_TABLE[#Headers],0),FALSE),""))</f>
        <v>10.224.30.0/24</v>
      </c>
      <c r="S93" s="188" t="s" cm="1">
        <v>78</v>
      </c>
      <c r="T93" s="152"/>
      <c r="U93" s="152"/>
      <c r="V93" s="155"/>
      <c r="AC93" t="s">
        <v>1780</v>
      </c>
    </row>
    <row r="94" spans="1:29">
      <c r="A94" s="40"/>
      <c r="B94" s="151" t="s">
        <v>239</v>
      </c>
      <c r="C94" s="152" t="s">
        <v>2018</v>
      </c>
      <c r="D94" s="118" t="str">
        <f>IF(CONNECTIONS_TABLE[[#This Row],[Device Name]]="","",VLOOKUP(CONNECTIONS_TABLE[[#This Row],[Device Name]],DEVICE_TABLE[#Data],MATCH(D$3,DEVICE_TABLE[#Headers],0),FALSE))</f>
        <v>VDI</v>
      </c>
      <c r="E9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FGHVIEW12/MGNT (VDI)</v>
      </c>
      <c r="F94" s="154"/>
      <c r="G94" s="118" t="str">
        <f>IF(CONNECTIONS_TABLE[[#This Row],[Device Name]]="","",VLOOKUP(CONNECTIONS_TABLE[[#This Row],[Device Name]],DEVICE_TABLE[],MATCH(G$3,DEVICE_TABLE[#Headers],0),FALSE))</f>
        <v>Listerhills</v>
      </c>
      <c r="H94" s="153" t="str">
        <f>IF(B94="","",VLOOKUP(B94,DEVICE_TABLE[#Data],MATCH(H$3,DEVICE_TABLE[#Headers],0),FALSE))</f>
        <v>CR2</v>
      </c>
      <c r="I94" s="122" t="s">
        <v>1575</v>
      </c>
      <c r="J94" s="122" t="s">
        <v>1089</v>
      </c>
      <c r="K94" s="122" t="s">
        <v>2024</v>
      </c>
      <c r="L94" s="153" t="str">
        <f t="shared" si="1"/>
        <v>FGHLHN142-1 gi1/0/26</v>
      </c>
      <c r="M94" s="122" t="s">
        <v>1991</v>
      </c>
      <c r="N94" s="122" t="s">
        <v>1988</v>
      </c>
      <c r="O94" s="152"/>
      <c r="P94" s="152">
        <v>400</v>
      </c>
      <c r="Q94" s="156" t="str">
        <f>IF(L94="","",IFERROR(VLOOKUP(UPPER($G94)&amp;"/"&amp;$P94,NETWORKS_TABLE[],MATCH(Q$3,NETWORKS_TABLE[#Headers],0),FALSE),""))</f>
        <v>VDIMGNT</v>
      </c>
      <c r="R94" s="156" t="str">
        <f>IF(B94="","",IFERROR(VLOOKUP(UPPER($G94)&amp;"/"&amp;$P94,NETWORKS_TABLE[],MATCH(R$3,NETWORKS_TABLE[#Headers],0),FALSE),""))</f>
        <v>10.224.200.0/24</v>
      </c>
      <c r="S94" s="188" t="s" cm="1">
        <v>1781</v>
      </c>
      <c r="T94" s="152"/>
      <c r="U94" s="152"/>
      <c r="V94" s="155"/>
      <c r="AC94" t="s">
        <v>1780</v>
      </c>
    </row>
    <row r="95" spans="1:29">
      <c r="A95" s="40"/>
      <c r="B95" s="151" t="s">
        <v>239</v>
      </c>
      <c r="C95" s="152" t="s">
        <v>2026</v>
      </c>
      <c r="D95" s="118" t="str">
        <f>IF(CONNECTIONS_TABLE[[#This Row],[Device Name]]="","",VLOOKUP(CONNECTIONS_TABLE[[#This Row],[Device Name]],DEVICE_TABLE[#Data],MATCH(D$3,DEVICE_TABLE[#Headers],0),FALSE))</f>
        <v>VDI</v>
      </c>
      <c r="E9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FGHVIEW12/MGNT2 (VDI)</v>
      </c>
      <c r="F95" s="154"/>
      <c r="G95" s="118" t="str">
        <f>IF(CONNECTIONS_TABLE[[#This Row],[Device Name]]="","",VLOOKUP(CONNECTIONS_TABLE[[#This Row],[Device Name]],DEVICE_TABLE[],MATCH(G$3,DEVICE_TABLE[#Headers],0),FALSE))</f>
        <v>Listerhills</v>
      </c>
      <c r="H95" s="153" t="str">
        <f>IF(B95="","",VLOOKUP(B95,DEVICE_TABLE[#Data],MATCH(H$3,DEVICE_TABLE[#Headers],0),FALSE))</f>
        <v>CR2</v>
      </c>
      <c r="I95" s="122" t="s">
        <v>1575</v>
      </c>
      <c r="J95" s="122" t="s">
        <v>1095</v>
      </c>
      <c r="K95" s="122" t="s">
        <v>2032</v>
      </c>
      <c r="L95" s="153" t="str">
        <f t="shared" si="1"/>
        <v>FGHLHN142-2 gi2/0/26</v>
      </c>
      <c r="M95" s="122" t="s">
        <v>1991</v>
      </c>
      <c r="N95" s="122" t="s">
        <v>1988</v>
      </c>
      <c r="O95" s="152"/>
      <c r="P95" s="152">
        <v>400</v>
      </c>
      <c r="Q95" s="156" t="str">
        <f>IF(L95="","",IFERROR(VLOOKUP(UPPER($G95)&amp;"/"&amp;$P95,NETWORKS_TABLE[],MATCH(Q$3,NETWORKS_TABLE[#Headers],0),FALSE),""))</f>
        <v>VDIMGNT</v>
      </c>
      <c r="R95" s="156" t="str">
        <f>IF(B95="","",IFERROR(VLOOKUP(UPPER($G95)&amp;"/"&amp;$P95,NETWORKS_TABLE[],MATCH(R$3,NETWORKS_TABLE[#Headers],0),FALSE),""))</f>
        <v>10.224.200.0/24</v>
      </c>
      <c r="S95" s="188" t="s" cm="1">
        <v>1781</v>
      </c>
      <c r="T95" s="152"/>
      <c r="U95" s="152"/>
      <c r="V95" s="155"/>
      <c r="AC95" t="s">
        <v>1780</v>
      </c>
    </row>
    <row r="96" spans="1:29">
      <c r="A96" s="40"/>
      <c r="B96" s="151" t="s">
        <v>239</v>
      </c>
      <c r="C96" s="152" t="s">
        <v>2034</v>
      </c>
      <c r="D96" s="118" t="str">
        <f>IF(CONNECTIONS_TABLE[[#This Row],[Device Name]]="","",VLOOKUP(CONNECTIONS_TABLE[[#This Row],[Device Name]],DEVICE_TABLE[#Data],MATCH(D$3,DEVICE_TABLE[#Headers],0),FALSE))</f>
        <v>VDI</v>
      </c>
      <c r="E9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FGHVIEW12/DATA (VDI)</v>
      </c>
      <c r="F96" s="154"/>
      <c r="G96" s="118" t="str">
        <f>IF(CONNECTIONS_TABLE[[#This Row],[Device Name]]="","",VLOOKUP(CONNECTIONS_TABLE[[#This Row],[Device Name]],DEVICE_TABLE[],MATCH(G$3,DEVICE_TABLE[#Headers],0),FALSE))</f>
        <v>Listerhills</v>
      </c>
      <c r="H96" s="153" t="str">
        <f>IF(B96="","",VLOOKUP(B96,DEVICE_TABLE[#Data],MATCH(H$3,DEVICE_TABLE[#Headers],0),FALSE))</f>
        <v>CR2</v>
      </c>
      <c r="I96" s="122" t="s">
        <v>1575</v>
      </c>
      <c r="J96" s="122" t="s">
        <v>1379</v>
      </c>
      <c r="K96" s="122" t="s">
        <v>1912</v>
      </c>
      <c r="L96" s="153" t="str">
        <f t="shared" si="1"/>
        <v>FGHLHN42-1 twe1/0/16</v>
      </c>
      <c r="M96" s="122" t="s">
        <v>1872</v>
      </c>
      <c r="N96" s="122" t="s">
        <v>1988</v>
      </c>
      <c r="O96" s="152"/>
      <c r="P96" s="152">
        <v>412</v>
      </c>
      <c r="Q96" s="156" t="str">
        <f>IF(L96="","",IFERROR(VLOOKUP(UPPER($G96)&amp;"/"&amp;$P96,NETWORKS_TABLE[],MATCH(Q$3,NETWORKS_TABLE[#Headers],0),FALSE),""))</f>
        <v>FGHVIEW12</v>
      </c>
      <c r="R96" s="156" t="str">
        <f>IF(B96="","",IFERROR(VLOOKUP(UPPER($G96)&amp;"/"&amp;$P96,NETWORKS_TABLE[],MATCH(R$3,NETWORKS_TABLE[#Headers],0),FALSE),""))</f>
        <v>10.224.212.0/24</v>
      </c>
      <c r="S96" s="188" t="s" cm="1">
        <v>78</v>
      </c>
      <c r="T96" s="152"/>
      <c r="U96" s="152"/>
      <c r="V96" s="155"/>
      <c r="AC96" t="s">
        <v>1780</v>
      </c>
    </row>
    <row r="97" spans="1:29">
      <c r="A97" s="40"/>
      <c r="B97" s="151" t="s">
        <v>239</v>
      </c>
      <c r="C97" s="152" t="s">
        <v>2042</v>
      </c>
      <c r="D97" s="118" t="str">
        <f>IF(CONNECTIONS_TABLE[[#This Row],[Device Name]]="","",VLOOKUP(CONNECTIONS_TABLE[[#This Row],[Device Name]],DEVICE_TABLE[#Data],MATCH(D$3,DEVICE_TABLE[#Headers],0),FALSE))</f>
        <v>VDI</v>
      </c>
      <c r="E9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FGHVIEW12/DATA2 (VDI)</v>
      </c>
      <c r="F97" s="154"/>
      <c r="G97" s="118" t="str">
        <f>IF(CONNECTIONS_TABLE[[#This Row],[Device Name]]="","",VLOOKUP(CONNECTIONS_TABLE[[#This Row],[Device Name]],DEVICE_TABLE[],MATCH(G$3,DEVICE_TABLE[#Headers],0),FALSE))</f>
        <v>Listerhills</v>
      </c>
      <c r="H97" s="153" t="str">
        <f>IF(B97="","",VLOOKUP(B97,DEVICE_TABLE[#Data],MATCH(H$3,DEVICE_TABLE[#Headers],0),FALSE))</f>
        <v>CR2</v>
      </c>
      <c r="I97" s="122" t="s">
        <v>1575</v>
      </c>
      <c r="J97" s="122" t="s">
        <v>1383</v>
      </c>
      <c r="K97" s="122" t="s">
        <v>1913</v>
      </c>
      <c r="L97" s="153" t="str">
        <f t="shared" si="1"/>
        <v>FGHLHN42-2 twe2/0/16</v>
      </c>
      <c r="M97" s="122" t="s">
        <v>1872</v>
      </c>
      <c r="N97" s="122" t="s">
        <v>1988</v>
      </c>
      <c r="O97" s="152"/>
      <c r="P97" s="152">
        <v>412</v>
      </c>
      <c r="Q97" s="156" t="str">
        <f>IF(L97="","",IFERROR(VLOOKUP(UPPER($G97)&amp;"/"&amp;$P97,NETWORKS_TABLE[],MATCH(Q$3,NETWORKS_TABLE[#Headers],0),FALSE),""))</f>
        <v>FGHVIEW12</v>
      </c>
      <c r="R97" s="156" t="str">
        <f>IF(B97="","",IFERROR(VLOOKUP(UPPER($G97)&amp;"/"&amp;$P97,NETWORKS_TABLE[],MATCH(R$3,NETWORKS_TABLE[#Headers],0),FALSE),""))</f>
        <v>10.224.212.0/24</v>
      </c>
      <c r="S97" s="188" t="s" cm="1">
        <v>78</v>
      </c>
      <c r="T97" s="152"/>
      <c r="U97" s="152"/>
      <c r="V97" s="155"/>
      <c r="AC97" t="s">
        <v>1780</v>
      </c>
    </row>
    <row r="98" spans="1:29">
      <c r="A98" s="40"/>
      <c r="B98" s="151"/>
      <c r="C98" s="152"/>
      <c r="D98" s="118" t="str">
        <f>IF(CONNECTIONS_TABLE[[#This Row],[Device Name]]="","",VLOOKUP(CONNECTIONS_TABLE[[#This Row],[Device Name]],DEVICE_TABLE[#Data],MATCH(D$3,DEVICE_TABLE[#Headers],0),FALSE))</f>
        <v/>
      </c>
      <c r="E9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98" s="154"/>
      <c r="G98" s="118" t="str">
        <f>IF(CONNECTIONS_TABLE[[#This Row],[Device Name]]="","",VLOOKUP(CONNECTIONS_TABLE[[#This Row],[Device Name]],DEVICE_TABLE[],MATCH(G$3,DEVICE_TABLE[#Headers],0),FALSE))</f>
        <v/>
      </c>
      <c r="H98" s="153" t="str">
        <f>IF(B98="","",VLOOKUP(B98,DEVICE_TABLE[#Data],MATCH(H$3,DEVICE_TABLE[#Headers],0),FALSE))</f>
        <v/>
      </c>
      <c r="I98" s="122"/>
      <c r="J98" s="122"/>
      <c r="K98" s="122"/>
      <c r="L98" s="153" t="str">
        <f t="shared" si="1"/>
        <v xml:space="preserve"> </v>
      </c>
      <c r="M98" s="122"/>
      <c r="N98" s="122"/>
      <c r="O98" s="152"/>
      <c r="P98" s="152"/>
      <c r="Q98" s="156" t="str">
        <f>IF(L98="","",IFERROR(VLOOKUP(UPPER($G98)&amp;"/"&amp;$P98,NETWORKS_TABLE[],MATCH(Q$3,NETWORKS_TABLE[#Headers],0),FALSE),""))</f>
        <v/>
      </c>
      <c r="R98" s="156" t="str">
        <f>IF(B98="","",IFERROR(VLOOKUP(UPPER($G98)&amp;"/"&amp;$P98,NETWORKS_TABLE[],MATCH(R$3,NETWORKS_TABLE[#Headers],0),FALSE),""))</f>
        <v/>
      </c>
      <c r="S98" s="188" t="s" cm="1">
        <v>78</v>
      </c>
      <c r="T98" s="152"/>
      <c r="U98" s="152"/>
      <c r="V98" s="155"/>
      <c r="AC98" t="s">
        <v>78</v>
      </c>
    </row>
    <row r="99" spans="1:29">
      <c r="A99" s="40"/>
      <c r="B99" s="151" t="s">
        <v>245</v>
      </c>
      <c r="C99" s="152" t="s">
        <v>2002</v>
      </c>
      <c r="D99" s="118" t="str">
        <f>IF(CONNECTIONS_TABLE[[#This Row],[Device Name]]="","",VLOOKUP(CONNECTIONS_TABLE[[#This Row],[Device Name]],DEVICE_TABLE[#Data],MATCH(D$3,DEVICE_TABLE[#Headers],0),FALSE))</f>
        <v>VDI</v>
      </c>
      <c r="E9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FGHVIEW13/IDRAC (VDI)</v>
      </c>
      <c r="F99" s="154"/>
      <c r="G99" s="118" t="str">
        <f>IF(CONNECTIONS_TABLE[[#This Row],[Device Name]]="","",VLOOKUP(CONNECTIONS_TABLE[[#This Row],[Device Name]],DEVICE_TABLE[],MATCH(G$3,DEVICE_TABLE[#Headers],0),FALSE))</f>
        <v>Listerhills</v>
      </c>
      <c r="H99" s="153" t="str">
        <f>IF(B99="","",VLOOKUP(B99,DEVICE_TABLE[#Data],MATCH(H$3,DEVICE_TABLE[#Headers],0),FALSE))</f>
        <v>CR1</v>
      </c>
      <c r="I99" s="122" t="s">
        <v>1575</v>
      </c>
      <c r="J99" s="122" t="s">
        <v>1073</v>
      </c>
      <c r="K99" s="122" t="s">
        <v>2010</v>
      </c>
      <c r="L99" s="153" t="str">
        <f t="shared" si="1"/>
        <v>FGHLHN141-1 gi1/0/17</v>
      </c>
      <c r="M99" s="122" t="s">
        <v>1991</v>
      </c>
      <c r="N99" s="122" t="s">
        <v>1988</v>
      </c>
      <c r="O99" s="152"/>
      <c r="P99" s="152">
        <v>400</v>
      </c>
      <c r="Q99" s="156" t="str">
        <f>IF(L99="","",IFERROR(VLOOKUP(UPPER($G99)&amp;"/"&amp;$P99,NETWORKS_TABLE[],MATCH(Q$3,NETWORKS_TABLE[#Headers],0),FALSE),""))</f>
        <v>VDIMGNT</v>
      </c>
      <c r="R99" s="156" t="str">
        <f>IF(B99="","",IFERROR(VLOOKUP(UPPER($G99)&amp;"/"&amp;$P99,NETWORKS_TABLE[],MATCH(R$3,NETWORKS_TABLE[#Headers],0),FALSE),""))</f>
        <v>10.224.200.0/24</v>
      </c>
      <c r="S99" s="188" t="s" cm="1">
        <v>2118</v>
      </c>
      <c r="T99" s="152"/>
      <c r="U99" s="152"/>
      <c r="V99" s="155"/>
      <c r="AC99">
        <v>35</v>
      </c>
    </row>
    <row r="100" spans="1:29">
      <c r="A100" s="40"/>
      <c r="B100" s="151" t="s">
        <v>245</v>
      </c>
      <c r="C100" s="152" t="s">
        <v>155</v>
      </c>
      <c r="D100" s="118" t="str">
        <f>IF(CONNECTIONS_TABLE[[#This Row],[Device Name]]="","",VLOOKUP(CONNECTIONS_TABLE[[#This Row],[Device Name]],DEVICE_TABLE[#Data],MATCH(D$3,DEVICE_TABLE[#Headers],0),FALSE))</f>
        <v>VDI</v>
      </c>
      <c r="E10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FGHVIEW13/ISCSI (VDI)</v>
      </c>
      <c r="F100" s="154"/>
      <c r="G100" s="118" t="str">
        <f>IF(CONNECTIONS_TABLE[[#This Row],[Device Name]]="","",VLOOKUP(CONNECTIONS_TABLE[[#This Row],[Device Name]],DEVICE_TABLE[],MATCH(G$3,DEVICE_TABLE[#Headers],0),FALSE))</f>
        <v>Listerhills</v>
      </c>
      <c r="H100" s="153" t="str">
        <f>IF(B100="","",VLOOKUP(B100,DEVICE_TABLE[#Data],MATCH(H$3,DEVICE_TABLE[#Headers],0),FALSE))</f>
        <v>CR1</v>
      </c>
      <c r="I100" s="122" t="s">
        <v>1575</v>
      </c>
      <c r="J100" s="122" t="s">
        <v>1083</v>
      </c>
      <c r="K100" s="122" t="s">
        <v>2017</v>
      </c>
      <c r="L100" s="153" t="str">
        <f t="shared" si="1"/>
        <v>FGHLHN141-2 gi2/0/17</v>
      </c>
      <c r="M100" s="122" t="s">
        <v>1991</v>
      </c>
      <c r="N100" s="122" t="s">
        <v>1988</v>
      </c>
      <c r="O100" s="152"/>
      <c r="P100" s="152">
        <v>230</v>
      </c>
      <c r="Q100" s="156" t="str">
        <f>IF(L100="","",IFERROR(VLOOKUP(UPPER($G100)&amp;"/"&amp;$P100,NETWORKS_TABLE[],MATCH(Q$3,NETWORKS_TABLE[#Headers],0),FALSE),""))</f>
        <v>HPISCSI</v>
      </c>
      <c r="R100" s="156" t="str">
        <f>IF(B100="","",IFERROR(VLOOKUP(UPPER($G100)&amp;"/"&amp;$P100,NETWORKS_TABLE[],MATCH(R$3,NETWORKS_TABLE[#Headers],0),FALSE),""))</f>
        <v>10.224.30.0/24</v>
      </c>
      <c r="S100" s="188" t="s" cm="1">
        <v>2121</v>
      </c>
      <c r="T100" s="152"/>
      <c r="U100" s="152"/>
      <c r="V100" s="155"/>
      <c r="AC100">
        <v>86</v>
      </c>
    </row>
    <row r="101" spans="1:29">
      <c r="A101" s="40"/>
      <c r="B101" s="151" t="s">
        <v>245</v>
      </c>
      <c r="C101" s="152" t="s">
        <v>2018</v>
      </c>
      <c r="D101" s="118" t="str">
        <f>IF(CONNECTIONS_TABLE[[#This Row],[Device Name]]="","",VLOOKUP(CONNECTIONS_TABLE[[#This Row],[Device Name]],DEVICE_TABLE[#Data],MATCH(D$3,DEVICE_TABLE[#Headers],0),FALSE))</f>
        <v>VDI</v>
      </c>
      <c r="E10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FGHVIEW13/MGNT (VDI)</v>
      </c>
      <c r="F101" s="154"/>
      <c r="G101" s="118" t="str">
        <f>IF(CONNECTIONS_TABLE[[#This Row],[Device Name]]="","",VLOOKUP(CONNECTIONS_TABLE[[#This Row],[Device Name]],DEVICE_TABLE[],MATCH(G$3,DEVICE_TABLE[#Headers],0),FALSE))</f>
        <v>Listerhills</v>
      </c>
      <c r="H101" s="153" t="str">
        <f>IF(B101="","",VLOOKUP(B101,DEVICE_TABLE[#Data],MATCH(H$3,DEVICE_TABLE[#Headers],0),FALSE))</f>
        <v>CR1</v>
      </c>
      <c r="I101" s="122" t="s">
        <v>1575</v>
      </c>
      <c r="J101" s="122" t="s">
        <v>1073</v>
      </c>
      <c r="K101" s="122" t="s">
        <v>2025</v>
      </c>
      <c r="L101" s="153" t="str">
        <f t="shared" si="1"/>
        <v>FGHLHN141-1 gi1/0/27</v>
      </c>
      <c r="M101" s="122" t="s">
        <v>1991</v>
      </c>
      <c r="N101" s="122" t="s">
        <v>1988</v>
      </c>
      <c r="O101" s="152"/>
      <c r="P101" s="152">
        <v>400</v>
      </c>
      <c r="Q101" s="156" t="str">
        <f>IF(L101="","",IFERROR(VLOOKUP(UPPER($G101)&amp;"/"&amp;$P101,NETWORKS_TABLE[],MATCH(Q$3,NETWORKS_TABLE[#Headers],0),FALSE),""))</f>
        <v>VDIMGNT</v>
      </c>
      <c r="R101" s="156" t="str">
        <f>IF(B101="","",IFERROR(VLOOKUP(UPPER($G101)&amp;"/"&amp;$P101,NETWORKS_TABLE[],MATCH(R$3,NETWORKS_TABLE[#Headers],0),FALSE),""))</f>
        <v>10.224.200.0/24</v>
      </c>
      <c r="S101" s="188" t="s" cm="1">
        <v>1766</v>
      </c>
      <c r="T101" s="152"/>
      <c r="U101" s="152"/>
      <c r="V101" s="155"/>
      <c r="AC101" t="s">
        <v>1744</v>
      </c>
    </row>
    <row r="102" spans="1:29">
      <c r="A102" s="40"/>
      <c r="B102" s="151" t="s">
        <v>245</v>
      </c>
      <c r="C102" s="152" t="s">
        <v>2026</v>
      </c>
      <c r="D102" s="118" t="str">
        <f>IF(CONNECTIONS_TABLE[[#This Row],[Device Name]]="","",VLOOKUP(CONNECTIONS_TABLE[[#This Row],[Device Name]],DEVICE_TABLE[#Data],MATCH(D$3,DEVICE_TABLE[#Headers],0),FALSE))</f>
        <v>VDI</v>
      </c>
      <c r="E10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FGHVIEW13/MGNT2 (VDI)</v>
      </c>
      <c r="F102" s="154"/>
      <c r="G102" s="118" t="str">
        <f>IF(CONNECTIONS_TABLE[[#This Row],[Device Name]]="","",VLOOKUP(CONNECTIONS_TABLE[[#This Row],[Device Name]],DEVICE_TABLE[],MATCH(G$3,DEVICE_TABLE[#Headers],0),FALSE))</f>
        <v>Listerhills</v>
      </c>
      <c r="H102" s="153" t="str">
        <f>IF(B102="","",VLOOKUP(B102,DEVICE_TABLE[#Data],MATCH(H$3,DEVICE_TABLE[#Headers],0),FALSE))</f>
        <v>CR1</v>
      </c>
      <c r="I102" s="122" t="s">
        <v>1575</v>
      </c>
      <c r="J102" s="122" t="s">
        <v>1083</v>
      </c>
      <c r="K102" s="122" t="s">
        <v>2033</v>
      </c>
      <c r="L102" s="153" t="str">
        <f t="shared" si="1"/>
        <v>FGHLHN141-2 gi2/0/27</v>
      </c>
      <c r="M102" s="122" t="s">
        <v>1991</v>
      </c>
      <c r="N102" s="122" t="s">
        <v>1988</v>
      </c>
      <c r="O102" s="152"/>
      <c r="P102" s="152">
        <v>400</v>
      </c>
      <c r="Q102" s="156" t="str">
        <f>IF(L102="","",IFERROR(VLOOKUP(UPPER($G102)&amp;"/"&amp;$P102,NETWORKS_TABLE[],MATCH(Q$3,NETWORKS_TABLE[#Headers],0),FALSE),""))</f>
        <v>VDIMGNT</v>
      </c>
      <c r="R102" s="156" t="str">
        <f>IF(B102="","",IFERROR(VLOOKUP(UPPER($G102)&amp;"/"&amp;$P102,NETWORKS_TABLE[],MATCH(R$3,NETWORKS_TABLE[#Headers],0),FALSE),""))</f>
        <v>10.224.200.0/24</v>
      </c>
      <c r="S102" s="188" t="s" cm="1">
        <v>1766</v>
      </c>
      <c r="T102" s="152"/>
      <c r="U102" s="152"/>
      <c r="V102" s="155"/>
      <c r="AC102" t="s">
        <v>1744</v>
      </c>
    </row>
    <row r="103" spans="1:29">
      <c r="A103" s="40"/>
      <c r="B103" s="151" t="s">
        <v>245</v>
      </c>
      <c r="C103" s="152" t="s">
        <v>2034</v>
      </c>
      <c r="D103" s="118" t="str">
        <f>IF(CONNECTIONS_TABLE[[#This Row],[Device Name]]="","",VLOOKUP(CONNECTIONS_TABLE[[#This Row],[Device Name]],DEVICE_TABLE[#Data],MATCH(D$3,DEVICE_TABLE[#Headers],0),FALSE))</f>
        <v>VDI</v>
      </c>
      <c r="E10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FGHVIEW13/DATA (VDI)</v>
      </c>
      <c r="F103" s="154"/>
      <c r="G103" s="118" t="str">
        <f>IF(CONNECTIONS_TABLE[[#This Row],[Device Name]]="","",VLOOKUP(CONNECTIONS_TABLE[[#This Row],[Device Name]],DEVICE_TABLE[],MATCH(G$3,DEVICE_TABLE[#Headers],0),FALSE))</f>
        <v>Listerhills</v>
      </c>
      <c r="H103" s="153" t="str">
        <f>IF(B103="","",VLOOKUP(B103,DEVICE_TABLE[#Data],MATCH(H$3,DEVICE_TABLE[#Headers],0),FALSE))</f>
        <v>CR1</v>
      </c>
      <c r="I103" s="122" t="s">
        <v>1575</v>
      </c>
      <c r="J103" s="122" t="s">
        <v>1371</v>
      </c>
      <c r="K103" s="122" t="s">
        <v>2041</v>
      </c>
      <c r="L103" s="153" t="str">
        <f t="shared" si="1"/>
        <v>FGHLHN41-1 Twe1/0/17</v>
      </c>
      <c r="M103" s="122" t="s">
        <v>1872</v>
      </c>
      <c r="N103" s="122" t="s">
        <v>1988</v>
      </c>
      <c r="O103" s="152"/>
      <c r="P103" s="152">
        <v>413</v>
      </c>
      <c r="Q103" s="156" t="str">
        <f>IF(L103="","",IFERROR(VLOOKUP(UPPER($G103)&amp;"/"&amp;$P103,NETWORKS_TABLE[],MATCH(Q$3,NETWORKS_TABLE[#Headers],0),FALSE),""))</f>
        <v>FGHVIEW13</v>
      </c>
      <c r="R103" s="156" t="str">
        <f>IF(B103="","",IFERROR(VLOOKUP(UPPER($G103)&amp;"/"&amp;$P103,NETWORKS_TABLE[],MATCH(R$3,NETWORKS_TABLE[#Headers],0),FALSE),""))</f>
        <v>10.224.213.0/24</v>
      </c>
      <c r="S103" s="188" t="s" cm="1">
        <v>78</v>
      </c>
      <c r="T103" s="152"/>
      <c r="U103" s="152"/>
      <c r="V103" s="155"/>
    </row>
    <row r="104" spans="1:29">
      <c r="A104" s="40"/>
      <c r="B104" s="151" t="s">
        <v>245</v>
      </c>
      <c r="C104" s="152" t="s">
        <v>2042</v>
      </c>
      <c r="D104" s="118" t="str">
        <f>IF(CONNECTIONS_TABLE[[#This Row],[Device Name]]="","",VLOOKUP(CONNECTIONS_TABLE[[#This Row],[Device Name]],DEVICE_TABLE[#Data],MATCH(D$3,DEVICE_TABLE[#Headers],0),FALSE))</f>
        <v>VDI</v>
      </c>
      <c r="E10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FGHVIEW13/DATA2 (VDI)</v>
      </c>
      <c r="F104" s="154"/>
      <c r="G104" s="118" t="str">
        <f>IF(CONNECTIONS_TABLE[[#This Row],[Device Name]]="","",VLOOKUP(CONNECTIONS_TABLE[[#This Row],[Device Name]],DEVICE_TABLE[],MATCH(G$3,DEVICE_TABLE[#Headers],0),FALSE))</f>
        <v>Listerhills</v>
      </c>
      <c r="H104" s="153" t="str">
        <f>IF(B104="","",VLOOKUP(B104,DEVICE_TABLE[#Data],MATCH(H$3,DEVICE_TABLE[#Headers],0),FALSE))</f>
        <v>CR1</v>
      </c>
      <c r="I104" s="122" t="s">
        <v>1575</v>
      </c>
      <c r="J104" s="122" t="s">
        <v>1375</v>
      </c>
      <c r="K104" s="122" t="s">
        <v>2049</v>
      </c>
      <c r="L104" s="153" t="str">
        <f t="shared" si="1"/>
        <v>FGHLHN41-2 Twe2/0/17</v>
      </c>
      <c r="M104" s="122" t="s">
        <v>1872</v>
      </c>
      <c r="N104" s="122" t="s">
        <v>1988</v>
      </c>
      <c r="O104" s="152"/>
      <c r="P104" s="152">
        <v>413</v>
      </c>
      <c r="Q104" s="156" t="str">
        <f>IF(L104="","",IFERROR(VLOOKUP(UPPER($G104)&amp;"/"&amp;$P104,NETWORKS_TABLE[],MATCH(Q$3,NETWORKS_TABLE[#Headers],0),FALSE),""))</f>
        <v>FGHVIEW13</v>
      </c>
      <c r="R104" s="156" t="str">
        <f>IF(B104="","",IFERROR(VLOOKUP(UPPER($G104)&amp;"/"&amp;$P104,NETWORKS_TABLE[],MATCH(R$3,NETWORKS_TABLE[#Headers],0),FALSE),""))</f>
        <v>10.224.213.0/24</v>
      </c>
      <c r="S104" s="188" t="s" cm="1">
        <v>78</v>
      </c>
      <c r="T104" s="152"/>
      <c r="U104" s="152"/>
      <c r="V104" s="155"/>
    </row>
    <row r="105" spans="1:29">
      <c r="A105" s="40"/>
      <c r="B105" s="151"/>
      <c r="C105" s="152"/>
      <c r="D105" s="118" t="str">
        <f>IF(CONNECTIONS_TABLE[[#This Row],[Device Name]]="","",VLOOKUP(CONNECTIONS_TABLE[[#This Row],[Device Name]],DEVICE_TABLE[#Data],MATCH(D$3,DEVICE_TABLE[#Headers],0),FALSE))</f>
        <v/>
      </c>
      <c r="E10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05" s="154"/>
      <c r="G105" s="118" t="str">
        <f>IF(CONNECTIONS_TABLE[[#This Row],[Device Name]]="","",VLOOKUP(CONNECTIONS_TABLE[[#This Row],[Device Name]],DEVICE_TABLE[],MATCH(G$3,DEVICE_TABLE[#Headers],0),FALSE))</f>
        <v/>
      </c>
      <c r="H105" s="153" t="str">
        <f>IF(B105="","",VLOOKUP(B105,DEVICE_TABLE[#Data],MATCH(H$3,DEVICE_TABLE[#Headers],0),FALSE))</f>
        <v/>
      </c>
      <c r="I105" s="122"/>
      <c r="J105" s="122"/>
      <c r="K105" s="122"/>
      <c r="L105" s="153" t="str">
        <f t="shared" si="1"/>
        <v xml:space="preserve"> </v>
      </c>
      <c r="M105" s="122"/>
      <c r="N105" s="122"/>
      <c r="O105" s="152"/>
      <c r="P105" s="152"/>
      <c r="Q105" s="156" t="str">
        <f>IF(L105="","",IFERROR(VLOOKUP(UPPER($G105)&amp;"/"&amp;$P105,NETWORKS_TABLE[],MATCH(Q$3,NETWORKS_TABLE[#Headers],0),FALSE),""))</f>
        <v/>
      </c>
      <c r="R105" s="156" t="str">
        <f>IF(B105="","",IFERROR(VLOOKUP(UPPER($G105)&amp;"/"&amp;$P105,NETWORKS_TABLE[],MATCH(R$3,NETWORKS_TABLE[#Headers],0),FALSE),""))</f>
        <v/>
      </c>
      <c r="S105" s="188" t="s" cm="1">
        <v>78</v>
      </c>
      <c r="T105" s="152"/>
      <c r="U105" s="152"/>
      <c r="V105" s="155"/>
      <c r="AC105" t="s">
        <v>78</v>
      </c>
    </row>
    <row r="106" spans="1:29">
      <c r="A106" s="40"/>
      <c r="B106" s="151" t="s">
        <v>251</v>
      </c>
      <c r="C106" s="152" t="s">
        <v>2002</v>
      </c>
      <c r="D106" s="118" t="str">
        <f>IF(CONNECTIONS_TABLE[[#This Row],[Device Name]]="","",VLOOKUP(CONNECTIONS_TABLE[[#This Row],[Device Name]],DEVICE_TABLE[#Data],MATCH(D$3,DEVICE_TABLE[#Headers],0),FALSE))</f>
        <v>VDI</v>
      </c>
      <c r="E10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FGHVIEW14/IDRAC (VDI)</v>
      </c>
      <c r="F106" s="154"/>
      <c r="G106" s="118" t="str">
        <f>IF(CONNECTIONS_TABLE[[#This Row],[Device Name]]="","",VLOOKUP(CONNECTIONS_TABLE[[#This Row],[Device Name]],DEVICE_TABLE[],MATCH(G$3,DEVICE_TABLE[#Headers],0),FALSE))</f>
        <v>Listerhills</v>
      </c>
      <c r="H106" s="153" t="str">
        <f>IF(B106="","",VLOOKUP(B106,DEVICE_TABLE[#Data],MATCH(H$3,DEVICE_TABLE[#Headers],0),FALSE))</f>
        <v>CR2</v>
      </c>
      <c r="I106" s="122" t="s">
        <v>1575</v>
      </c>
      <c r="J106" s="122" t="s">
        <v>1089</v>
      </c>
      <c r="K106" s="122" t="s">
        <v>2010</v>
      </c>
      <c r="L106" s="153" t="str">
        <f t="shared" si="1"/>
        <v>FGHLHN142-1 gi1/0/17</v>
      </c>
      <c r="M106" s="122" t="s">
        <v>1991</v>
      </c>
      <c r="N106" s="122" t="s">
        <v>1988</v>
      </c>
      <c r="O106" s="152"/>
      <c r="P106" s="152">
        <v>400</v>
      </c>
      <c r="Q106" s="156" t="str">
        <f>IF(L106="","",IFERROR(VLOOKUP(UPPER($G106)&amp;"/"&amp;$P106,NETWORKS_TABLE[],MATCH(Q$3,NETWORKS_TABLE[#Headers],0),FALSE),""))</f>
        <v>VDIMGNT</v>
      </c>
      <c r="R106" s="156" t="str">
        <f>IF(B106="","",IFERROR(VLOOKUP(UPPER($G106)&amp;"/"&amp;$P106,NETWORKS_TABLE[],MATCH(R$3,NETWORKS_TABLE[#Headers],0),FALSE),""))</f>
        <v>10.224.200.0/24</v>
      </c>
      <c r="S106" s="188" t="s" cm="1">
        <v>2123</v>
      </c>
      <c r="T106" s="152"/>
      <c r="U106" s="152"/>
      <c r="V106" s="155"/>
      <c r="AC106">
        <v>37</v>
      </c>
    </row>
    <row r="107" spans="1:29">
      <c r="A107" s="40"/>
      <c r="B107" s="151" t="s">
        <v>251</v>
      </c>
      <c r="C107" s="152" t="s">
        <v>155</v>
      </c>
      <c r="D107" s="118" t="str">
        <f>IF(CONNECTIONS_TABLE[[#This Row],[Device Name]]="","",VLOOKUP(CONNECTIONS_TABLE[[#This Row],[Device Name]],DEVICE_TABLE[#Data],MATCH(D$3,DEVICE_TABLE[#Headers],0),FALSE))</f>
        <v>VDI</v>
      </c>
      <c r="E10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FGHVIEW14/ISCSI (VDI)</v>
      </c>
      <c r="F107" s="154"/>
      <c r="G107" s="118" t="str">
        <f>IF(CONNECTIONS_TABLE[[#This Row],[Device Name]]="","",VLOOKUP(CONNECTIONS_TABLE[[#This Row],[Device Name]],DEVICE_TABLE[],MATCH(G$3,DEVICE_TABLE[#Headers],0),FALSE))</f>
        <v>Listerhills</v>
      </c>
      <c r="H107" s="153" t="str">
        <f>IF(B107="","",VLOOKUP(B107,DEVICE_TABLE[#Data],MATCH(H$3,DEVICE_TABLE[#Headers],0),FALSE))</f>
        <v>CR2</v>
      </c>
      <c r="I107" s="122" t="s">
        <v>1575</v>
      </c>
      <c r="J107" s="122" t="s">
        <v>1095</v>
      </c>
      <c r="K107" s="122" t="s">
        <v>2017</v>
      </c>
      <c r="L107" s="153" t="str">
        <f t="shared" si="1"/>
        <v>FGHLHN142-2 gi2/0/17</v>
      </c>
      <c r="M107" s="122" t="s">
        <v>1991</v>
      </c>
      <c r="N107" s="122" t="s">
        <v>1988</v>
      </c>
      <c r="O107" s="152"/>
      <c r="P107" s="152">
        <v>230</v>
      </c>
      <c r="Q107" s="156" t="str">
        <f>IF(L107="","",IFERROR(VLOOKUP(UPPER($G107)&amp;"/"&amp;$P107,NETWORKS_TABLE[],MATCH(Q$3,NETWORKS_TABLE[#Headers],0),FALSE),""))</f>
        <v>HPISCSI</v>
      </c>
      <c r="R107" s="156" t="str">
        <f>IF(B107="","",IFERROR(VLOOKUP(UPPER($G107)&amp;"/"&amp;$P107,NETWORKS_TABLE[],MATCH(R$3,NETWORKS_TABLE[#Headers],0),FALSE),""))</f>
        <v>10.224.30.0/24</v>
      </c>
      <c r="S107" s="188" t="s" cm="1">
        <v>2124</v>
      </c>
      <c r="T107" s="152"/>
      <c r="U107" s="152"/>
      <c r="V107" s="155"/>
      <c r="AC107">
        <v>87</v>
      </c>
    </row>
    <row r="108" spans="1:29">
      <c r="A108" s="40"/>
      <c r="B108" s="151" t="s">
        <v>251</v>
      </c>
      <c r="C108" s="152" t="s">
        <v>2018</v>
      </c>
      <c r="D108" s="118" t="str">
        <f>IF(CONNECTIONS_TABLE[[#This Row],[Device Name]]="","",VLOOKUP(CONNECTIONS_TABLE[[#This Row],[Device Name]],DEVICE_TABLE[#Data],MATCH(D$3,DEVICE_TABLE[#Headers],0),FALSE))</f>
        <v>VDI</v>
      </c>
      <c r="E10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FGHVIEW14/MGNT (VDI)</v>
      </c>
      <c r="F108" s="154"/>
      <c r="G108" s="118" t="str">
        <f>IF(CONNECTIONS_TABLE[[#This Row],[Device Name]]="","",VLOOKUP(CONNECTIONS_TABLE[[#This Row],[Device Name]],DEVICE_TABLE[],MATCH(G$3,DEVICE_TABLE[#Headers],0),FALSE))</f>
        <v>Listerhills</v>
      </c>
      <c r="H108" s="153" t="str">
        <f>IF(B108="","",VLOOKUP(B108,DEVICE_TABLE[#Data],MATCH(H$3,DEVICE_TABLE[#Headers],0),FALSE))</f>
        <v>CR2</v>
      </c>
      <c r="I108" s="122" t="s">
        <v>1575</v>
      </c>
      <c r="J108" s="122" t="s">
        <v>1089</v>
      </c>
      <c r="K108" s="122" t="s">
        <v>2025</v>
      </c>
      <c r="L108" s="153" t="str">
        <f t="shared" si="1"/>
        <v>FGHLHN142-1 gi1/0/27</v>
      </c>
      <c r="M108" s="122" t="s">
        <v>1991</v>
      </c>
      <c r="N108" s="122" t="s">
        <v>1988</v>
      </c>
      <c r="O108" s="152"/>
      <c r="P108" s="152">
        <v>400</v>
      </c>
      <c r="Q108" s="156" t="str">
        <f>IF(L108="","",IFERROR(VLOOKUP(UPPER($G108)&amp;"/"&amp;$P108,NETWORKS_TABLE[],MATCH(Q$3,NETWORKS_TABLE[#Headers],0),FALSE),""))</f>
        <v>VDIMGNT</v>
      </c>
      <c r="R108" s="156" t="str">
        <f>IF(B108="","",IFERROR(VLOOKUP(UPPER($G108)&amp;"/"&amp;$P108,NETWORKS_TABLE[],MATCH(R$3,NETWORKS_TABLE[#Headers],0),FALSE),""))</f>
        <v>10.224.200.0/24</v>
      </c>
      <c r="S108" s="188" t="s" cm="1">
        <v>1785</v>
      </c>
      <c r="T108" s="152"/>
      <c r="U108" s="152"/>
      <c r="V108" s="155"/>
      <c r="AC108">
        <v>38</v>
      </c>
    </row>
    <row r="109" spans="1:29">
      <c r="A109" s="40"/>
      <c r="B109" s="151" t="s">
        <v>251</v>
      </c>
      <c r="C109" s="152" t="s">
        <v>2026</v>
      </c>
      <c r="D109" s="118" t="str">
        <f>IF(CONNECTIONS_TABLE[[#This Row],[Device Name]]="","",VLOOKUP(CONNECTIONS_TABLE[[#This Row],[Device Name]],DEVICE_TABLE[#Data],MATCH(D$3,DEVICE_TABLE[#Headers],0),FALSE))</f>
        <v>VDI</v>
      </c>
      <c r="E10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FGHVIEW14/MGNT2 (VDI)</v>
      </c>
      <c r="F109" s="154"/>
      <c r="G109" s="118" t="str">
        <f>IF(CONNECTIONS_TABLE[[#This Row],[Device Name]]="","",VLOOKUP(CONNECTIONS_TABLE[[#This Row],[Device Name]],DEVICE_TABLE[],MATCH(G$3,DEVICE_TABLE[#Headers],0),FALSE))</f>
        <v>Listerhills</v>
      </c>
      <c r="H109" s="153" t="str">
        <f>IF(B109="","",VLOOKUP(B109,DEVICE_TABLE[#Data],MATCH(H$3,DEVICE_TABLE[#Headers],0),FALSE))</f>
        <v>CR2</v>
      </c>
      <c r="I109" s="122" t="s">
        <v>1575</v>
      </c>
      <c r="J109" s="122" t="s">
        <v>1095</v>
      </c>
      <c r="K109" s="122" t="s">
        <v>2033</v>
      </c>
      <c r="L109" s="153" t="str">
        <f t="shared" si="1"/>
        <v>FGHLHN142-2 gi2/0/27</v>
      </c>
      <c r="M109" s="122" t="s">
        <v>1991</v>
      </c>
      <c r="N109" s="122" t="s">
        <v>1988</v>
      </c>
      <c r="O109" s="152"/>
      <c r="P109" s="152">
        <v>400</v>
      </c>
      <c r="Q109" s="156" t="str">
        <f>IF(L109="","",IFERROR(VLOOKUP(UPPER($G109)&amp;"/"&amp;$P109,NETWORKS_TABLE[],MATCH(Q$3,NETWORKS_TABLE[#Headers],0),FALSE),""))</f>
        <v>VDIMGNT</v>
      </c>
      <c r="R109" s="156" t="str">
        <f>IF(B109="","",IFERROR(VLOOKUP(UPPER($G109)&amp;"/"&amp;$P109,NETWORKS_TABLE[],MATCH(R$3,NETWORKS_TABLE[#Headers],0),FALSE),""))</f>
        <v>10.224.200.0/24</v>
      </c>
      <c r="S109" s="188" t="s" cm="1">
        <v>1785</v>
      </c>
      <c r="T109" s="152"/>
      <c r="U109" s="152"/>
      <c r="V109" s="155"/>
      <c r="AC109">
        <v>38</v>
      </c>
    </row>
    <row r="110" spans="1:29">
      <c r="A110" s="40"/>
      <c r="B110" s="151" t="s">
        <v>251</v>
      </c>
      <c r="C110" s="152" t="s">
        <v>2034</v>
      </c>
      <c r="D110" s="118" t="str">
        <f>IF(CONNECTIONS_TABLE[[#This Row],[Device Name]]="","",VLOOKUP(CONNECTIONS_TABLE[[#This Row],[Device Name]],DEVICE_TABLE[#Data],MATCH(D$3,DEVICE_TABLE[#Headers],0),FALSE))</f>
        <v>VDI</v>
      </c>
      <c r="E11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FGHVIEW14/DATA (VDI)</v>
      </c>
      <c r="F110" s="154"/>
      <c r="G110" s="118" t="str">
        <f>IF(CONNECTIONS_TABLE[[#This Row],[Device Name]]="","",VLOOKUP(CONNECTIONS_TABLE[[#This Row],[Device Name]],DEVICE_TABLE[],MATCH(G$3,DEVICE_TABLE[#Headers],0),FALSE))</f>
        <v>Listerhills</v>
      </c>
      <c r="H110" s="153" t="str">
        <f>IF(B110="","",VLOOKUP(B110,DEVICE_TABLE[#Data],MATCH(H$3,DEVICE_TABLE[#Headers],0),FALSE))</f>
        <v>CR2</v>
      </c>
      <c r="I110" s="122" t="s">
        <v>1575</v>
      </c>
      <c r="J110" s="122" t="s">
        <v>1379</v>
      </c>
      <c r="K110" s="122" t="s">
        <v>2041</v>
      </c>
      <c r="L110" s="153" t="str">
        <f t="shared" si="1"/>
        <v>FGHLHN42-1 Twe1/0/17</v>
      </c>
      <c r="M110" s="122" t="s">
        <v>1872</v>
      </c>
      <c r="N110" s="122" t="s">
        <v>1988</v>
      </c>
      <c r="O110" s="152"/>
      <c r="P110" s="152">
        <v>414</v>
      </c>
      <c r="Q110" s="156" t="str">
        <f>IF(L110="","",IFERROR(VLOOKUP(UPPER($G110)&amp;"/"&amp;$P110,NETWORKS_TABLE[],MATCH(Q$3,NETWORKS_TABLE[#Headers],0),FALSE),""))</f>
        <v>FGHVIEW14</v>
      </c>
      <c r="R110" s="156" t="str">
        <f>IF(B110="","",IFERROR(VLOOKUP(UPPER($G110)&amp;"/"&amp;$P110,NETWORKS_TABLE[],MATCH(R$3,NETWORKS_TABLE[#Headers],0),FALSE),""))</f>
        <v>10.224.214.0/24</v>
      </c>
      <c r="S110" s="188" t="s" cm="1">
        <v>78</v>
      </c>
      <c r="T110" s="152"/>
      <c r="U110" s="152"/>
      <c r="V110" s="155"/>
    </row>
    <row r="111" spans="1:29">
      <c r="A111" s="40"/>
      <c r="B111" s="151" t="s">
        <v>251</v>
      </c>
      <c r="C111" s="152" t="s">
        <v>2042</v>
      </c>
      <c r="D111" s="118" t="str">
        <f>IF(CONNECTIONS_TABLE[[#This Row],[Device Name]]="","",VLOOKUP(CONNECTIONS_TABLE[[#This Row],[Device Name]],DEVICE_TABLE[#Data],MATCH(D$3,DEVICE_TABLE[#Headers],0),FALSE))</f>
        <v>VDI</v>
      </c>
      <c r="E11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FGHVIEW14/DATA2 (VDI)</v>
      </c>
      <c r="F111" s="154"/>
      <c r="G111" s="118" t="str">
        <f>IF(CONNECTIONS_TABLE[[#This Row],[Device Name]]="","",VLOOKUP(CONNECTIONS_TABLE[[#This Row],[Device Name]],DEVICE_TABLE[],MATCH(G$3,DEVICE_TABLE[#Headers],0),FALSE))</f>
        <v>Listerhills</v>
      </c>
      <c r="H111" s="153" t="str">
        <f>IF(B111="","",VLOOKUP(B111,DEVICE_TABLE[#Data],MATCH(H$3,DEVICE_TABLE[#Headers],0),FALSE))</f>
        <v>CR2</v>
      </c>
      <c r="I111" s="122" t="s">
        <v>1575</v>
      </c>
      <c r="J111" s="122" t="s">
        <v>1383</v>
      </c>
      <c r="K111" s="122" t="s">
        <v>2049</v>
      </c>
      <c r="L111" s="153" t="str">
        <f t="shared" si="1"/>
        <v>FGHLHN42-2 Twe2/0/17</v>
      </c>
      <c r="M111" s="122" t="s">
        <v>1872</v>
      </c>
      <c r="N111" s="122" t="s">
        <v>1988</v>
      </c>
      <c r="O111" s="152"/>
      <c r="P111" s="152">
        <v>414</v>
      </c>
      <c r="Q111" s="156" t="str">
        <f>IF(L111="","",IFERROR(VLOOKUP(UPPER($G111)&amp;"/"&amp;$P111,NETWORKS_TABLE[],MATCH(Q$3,NETWORKS_TABLE[#Headers],0),FALSE),""))</f>
        <v>FGHVIEW14</v>
      </c>
      <c r="R111" s="156" t="str">
        <f>IF(B111="","",IFERROR(VLOOKUP(UPPER($G111)&amp;"/"&amp;$P111,NETWORKS_TABLE[],MATCH(R$3,NETWORKS_TABLE[#Headers],0),FALSE),""))</f>
        <v>10.224.214.0/24</v>
      </c>
      <c r="S111" s="188" t="s" cm="1">
        <v>78</v>
      </c>
      <c r="T111" s="152"/>
      <c r="U111" s="152"/>
      <c r="V111" s="155"/>
    </row>
    <row r="112" spans="1:29">
      <c r="A112" s="40"/>
      <c r="B112" s="151"/>
      <c r="C112" s="152"/>
      <c r="D112" s="118" t="str">
        <f>IF(CONNECTIONS_TABLE[[#This Row],[Device Name]]="","",VLOOKUP(CONNECTIONS_TABLE[[#This Row],[Device Name]],DEVICE_TABLE[#Data],MATCH(D$3,DEVICE_TABLE[#Headers],0),FALSE))</f>
        <v/>
      </c>
      <c r="E11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12" s="154"/>
      <c r="G112" s="118" t="str">
        <f>IF(CONNECTIONS_TABLE[[#This Row],[Device Name]]="","",VLOOKUP(CONNECTIONS_TABLE[[#This Row],[Device Name]],DEVICE_TABLE[],MATCH(G$3,DEVICE_TABLE[#Headers],0),FALSE))</f>
        <v/>
      </c>
      <c r="H112" s="153" t="str">
        <f>IF(B112="","",VLOOKUP(B112,DEVICE_TABLE[#Data],MATCH(H$3,DEVICE_TABLE[#Headers],0),FALSE))</f>
        <v/>
      </c>
      <c r="I112" s="122"/>
      <c r="J112" s="122"/>
      <c r="K112" s="122"/>
      <c r="L112" s="153" t="str">
        <f t="shared" si="1"/>
        <v xml:space="preserve"> </v>
      </c>
      <c r="M112" s="122"/>
      <c r="N112" s="122"/>
      <c r="O112" s="152"/>
      <c r="P112" s="152"/>
      <c r="Q112" s="156" t="str">
        <f>IF(L112="","",IFERROR(VLOOKUP(UPPER($G112)&amp;"/"&amp;$P112,NETWORKS_TABLE[],MATCH(Q$3,NETWORKS_TABLE[#Headers],0),FALSE),""))</f>
        <v/>
      </c>
      <c r="R112" s="156" t="str">
        <f>IF(B112="","",IFERROR(VLOOKUP(UPPER($G112)&amp;"/"&amp;$P112,NETWORKS_TABLE[],MATCH(R$3,NETWORKS_TABLE[#Headers],0),FALSE),""))</f>
        <v/>
      </c>
      <c r="S112" s="188" t="s" cm="1">
        <v>78</v>
      </c>
      <c r="T112" s="152"/>
      <c r="U112" s="152"/>
      <c r="V112" s="155"/>
      <c r="AC112" t="s">
        <v>78</v>
      </c>
    </row>
    <row r="113" spans="1:29">
      <c r="A113" s="40"/>
      <c r="B113" s="151"/>
      <c r="C113" s="152"/>
      <c r="D113" s="118" t="str">
        <f>IF(CONNECTIONS_TABLE[[#This Row],[Device Name]]="","",VLOOKUP(CONNECTIONS_TABLE[[#This Row],[Device Name]],DEVICE_TABLE[#Data],MATCH(D$3,DEVICE_TABLE[#Headers],0),FALSE))</f>
        <v/>
      </c>
      <c r="E11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13" s="154"/>
      <c r="G113" s="118" t="str">
        <f>IF(CONNECTIONS_TABLE[[#This Row],[Device Name]]="","",VLOOKUP(CONNECTIONS_TABLE[[#This Row],[Device Name]],DEVICE_TABLE[],MATCH(G$3,DEVICE_TABLE[#Headers],0),FALSE))</f>
        <v/>
      </c>
      <c r="H113" s="153" t="str">
        <f>IF(B113="","",VLOOKUP(B113,DEVICE_TABLE[#Data],MATCH(H$3,DEVICE_TABLE[#Headers],0),FALSE))</f>
        <v/>
      </c>
      <c r="I113" s="122"/>
      <c r="J113" s="122"/>
      <c r="K113" s="122"/>
      <c r="L113" s="153" t="str">
        <f t="shared" si="1"/>
        <v xml:space="preserve"> </v>
      </c>
      <c r="M113" s="122"/>
      <c r="N113" s="122"/>
      <c r="O113" s="152"/>
      <c r="P113" s="152"/>
      <c r="Q113" s="156" t="str">
        <f>IF(L113="","",IFERROR(VLOOKUP(UPPER($G113)&amp;"/"&amp;$P113,NETWORKS_TABLE[],MATCH(Q$3,NETWORKS_TABLE[#Headers],0),FALSE),""))</f>
        <v/>
      </c>
      <c r="R113" s="156" t="str">
        <f>IF(B113="","",IFERROR(VLOOKUP(UPPER($G113)&amp;"/"&amp;$P113,NETWORKS_TABLE[],MATCH(R$3,NETWORKS_TABLE[#Headers],0),FALSE),""))</f>
        <v/>
      </c>
      <c r="S113" s="188" t="s" cm="1">
        <v>78</v>
      </c>
      <c r="T113" s="152"/>
      <c r="U113" s="152"/>
      <c r="V113" s="155"/>
      <c r="AC113" t="s">
        <v>78</v>
      </c>
    </row>
    <row r="114" spans="1:29">
      <c r="A114" s="40"/>
      <c r="B114" s="151"/>
      <c r="C114" s="152"/>
      <c r="D114" s="118" t="str">
        <f>IF(CONNECTIONS_TABLE[[#This Row],[Device Name]]="","",VLOOKUP(CONNECTIONS_TABLE[[#This Row],[Device Name]],DEVICE_TABLE[#Data],MATCH(D$3,DEVICE_TABLE[#Headers],0),FALSE))</f>
        <v/>
      </c>
      <c r="E11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14" s="154"/>
      <c r="G114" s="118" t="str">
        <f>IF(CONNECTIONS_TABLE[[#This Row],[Device Name]]="","",VLOOKUP(CONNECTIONS_TABLE[[#This Row],[Device Name]],DEVICE_TABLE[],MATCH(G$3,DEVICE_TABLE[#Headers],0),FALSE))</f>
        <v/>
      </c>
      <c r="H114" s="153" t="str">
        <f>IF(B114="","",VLOOKUP(B114,DEVICE_TABLE[#Data],MATCH(H$3,DEVICE_TABLE[#Headers],0),FALSE))</f>
        <v/>
      </c>
      <c r="I114" s="122"/>
      <c r="J114" s="122"/>
      <c r="K114" s="122"/>
      <c r="L114" s="153" t="str">
        <f t="shared" si="1"/>
        <v xml:space="preserve"> </v>
      </c>
      <c r="M114" s="122"/>
      <c r="N114" s="122"/>
      <c r="O114" s="152"/>
      <c r="P114" s="152"/>
      <c r="Q114" s="156" t="str">
        <f>IF(L114="","",IFERROR(VLOOKUP(UPPER($G114)&amp;"/"&amp;$P114,NETWORKS_TABLE[],MATCH(Q$3,NETWORKS_TABLE[#Headers],0),FALSE),""))</f>
        <v/>
      </c>
      <c r="R114" s="156" t="str">
        <f>IF(B114="","",IFERROR(VLOOKUP(UPPER($G114)&amp;"/"&amp;$P114,NETWORKS_TABLE[],MATCH(R$3,NETWORKS_TABLE[#Headers],0),FALSE),""))</f>
        <v/>
      </c>
      <c r="S114" s="188" t="s" cm="1">
        <v>78</v>
      </c>
      <c r="T114" s="152"/>
      <c r="U114" s="152"/>
      <c r="V114" s="155"/>
      <c r="AC114" t="s">
        <v>78</v>
      </c>
    </row>
    <row r="115" spans="1:29">
      <c r="A115" s="40"/>
      <c r="B115" s="151"/>
      <c r="C115" s="152"/>
      <c r="D115" s="118" t="str">
        <f>IF(CONNECTIONS_TABLE[[#This Row],[Device Name]]="","",VLOOKUP(CONNECTIONS_TABLE[[#This Row],[Device Name]],DEVICE_TABLE[#Data],MATCH(D$3,DEVICE_TABLE[#Headers],0),FALSE))</f>
        <v/>
      </c>
      <c r="E11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15" s="154"/>
      <c r="G115" s="118" t="str">
        <f>IF(CONNECTIONS_TABLE[[#This Row],[Device Name]]="","",VLOOKUP(CONNECTIONS_TABLE[[#This Row],[Device Name]],DEVICE_TABLE[],MATCH(G$3,DEVICE_TABLE[#Headers],0),FALSE))</f>
        <v/>
      </c>
      <c r="H115" s="153" t="str">
        <f>IF(B115="","",VLOOKUP(B115,DEVICE_TABLE[#Data],MATCH(H$3,DEVICE_TABLE[#Headers],0),FALSE))</f>
        <v/>
      </c>
      <c r="I115" s="122"/>
      <c r="J115" s="122"/>
      <c r="K115" s="122"/>
      <c r="L115" s="153" t="str">
        <f t="shared" si="1"/>
        <v xml:space="preserve"> </v>
      </c>
      <c r="M115" s="122"/>
      <c r="N115" s="122"/>
      <c r="O115" s="152"/>
      <c r="P115" s="152"/>
      <c r="Q115" s="156" t="str">
        <f>IF(L115="","",IFERROR(VLOOKUP(UPPER($G115)&amp;"/"&amp;$P115,NETWORKS_TABLE[],MATCH(Q$3,NETWORKS_TABLE[#Headers],0),FALSE),""))</f>
        <v/>
      </c>
      <c r="R115" s="156" t="str">
        <f>IF(B115="","",IFERROR(VLOOKUP(UPPER($G115)&amp;"/"&amp;$P115,NETWORKS_TABLE[],MATCH(R$3,NETWORKS_TABLE[#Headers],0),FALSE),""))</f>
        <v/>
      </c>
      <c r="S115" s="188" t="s" cm="1">
        <v>78</v>
      </c>
      <c r="T115" s="152"/>
      <c r="U115" s="152"/>
      <c r="V115" s="155"/>
      <c r="AC115" t="s">
        <v>78</v>
      </c>
    </row>
    <row r="116" spans="1:29">
      <c r="A116" s="40"/>
      <c r="B116" s="151" t="s">
        <v>1704</v>
      </c>
      <c r="C116" s="152" t="s">
        <v>2050</v>
      </c>
      <c r="D116" s="118" t="str">
        <f>IF(CONNECTIONS_TABLE[[#This Row],[Device Name]]="","",VLOOKUP(CONNECTIONS_TABLE[[#This Row],[Device Name]],DEVICE_TABLE[#Data],MATCH(D$3,DEVICE_TABLE[#Headers],0),FALSE))</f>
        <v>STORAGE</v>
      </c>
      <c r="E11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TINTRI2/A-MGNT (STORAGE)</v>
      </c>
      <c r="F116" s="154"/>
      <c r="G116" s="118" t="str">
        <f>IF(CONNECTIONS_TABLE[[#This Row],[Device Name]]="","",VLOOKUP(CONNECTIONS_TABLE[[#This Row],[Device Name]],DEVICE_TABLE[],MATCH(G$3,DEVICE_TABLE[#Headers],0),FALSE))</f>
        <v>Listerhills</v>
      </c>
      <c r="H116" s="153" t="str">
        <f>IF(B116="","",VLOOKUP(B116,DEVICE_TABLE[#Data],MATCH(H$3,DEVICE_TABLE[#Headers],0),FALSE))</f>
        <v>CR2</v>
      </c>
      <c r="I116" s="122" t="s">
        <v>1575</v>
      </c>
      <c r="J116" s="122" t="s">
        <v>1089</v>
      </c>
      <c r="K116" s="122" t="s">
        <v>2051</v>
      </c>
      <c r="L116" s="153" t="str">
        <f t="shared" si="1"/>
        <v>FGHLHN142-1 gi1/0/31</v>
      </c>
      <c r="M116" s="122" t="s">
        <v>1991</v>
      </c>
      <c r="N116" s="122" t="s">
        <v>1988</v>
      </c>
      <c r="O116" s="152"/>
      <c r="P116" s="152">
        <v>300</v>
      </c>
      <c r="Q116" s="156" t="str">
        <f>IF(L116="","",IFERROR(VLOOKUP(UPPER($G116)&amp;"/"&amp;$P116,NETWORKS_TABLE[],MATCH(Q$3,NETWORKS_TABLE[#Headers],0),FALSE),""))</f>
        <v>SERVER</v>
      </c>
      <c r="R116" s="156" t="str">
        <f>IF(B116="","",IFERROR(VLOOKUP(UPPER($G116)&amp;"/"&amp;$P116,NETWORKS_TABLE[],MATCH(R$3,NETWORKS_TABLE[#Headers],0),FALSE),""))</f>
        <v>10.224.100.0/24</v>
      </c>
      <c r="S116" s="188" t="s" cm="1">
        <v>1706</v>
      </c>
      <c r="T116" s="152"/>
      <c r="U116" s="152"/>
      <c r="V116" s="155"/>
      <c r="AC116" t="s">
        <v>1705</v>
      </c>
    </row>
    <row r="117" spans="1:29">
      <c r="A117" s="40"/>
      <c r="B117" s="151" t="s">
        <v>1704</v>
      </c>
      <c r="C117" s="152" t="s">
        <v>2052</v>
      </c>
      <c r="D117" s="118" t="str">
        <f>IF(CONNECTIONS_TABLE[[#This Row],[Device Name]]="","",VLOOKUP(CONNECTIONS_TABLE[[#This Row],[Device Name]],DEVICE_TABLE[#Data],MATCH(D$3,DEVICE_TABLE[#Headers],0),FALSE))</f>
        <v>STORAGE</v>
      </c>
      <c r="E11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TINTRI2/A-MGNT2 (STORAGE)</v>
      </c>
      <c r="F117" s="154"/>
      <c r="G117" s="118" t="str">
        <f>IF(CONNECTIONS_TABLE[[#This Row],[Device Name]]="","",VLOOKUP(CONNECTIONS_TABLE[[#This Row],[Device Name]],DEVICE_TABLE[],MATCH(G$3,DEVICE_TABLE[#Headers],0),FALSE))</f>
        <v>Listerhills</v>
      </c>
      <c r="H117" s="153" t="str">
        <f>IF(B117="","",VLOOKUP(B117,DEVICE_TABLE[#Data],MATCH(H$3,DEVICE_TABLE[#Headers],0),FALSE))</f>
        <v>CR2</v>
      </c>
      <c r="I117" s="122" t="s">
        <v>1575</v>
      </c>
      <c r="J117" s="122" t="s">
        <v>1095</v>
      </c>
      <c r="K117" s="122" t="s">
        <v>2053</v>
      </c>
      <c r="L117" s="153" t="str">
        <f t="shared" si="1"/>
        <v>FGHLHN142-2 gi2/0/31</v>
      </c>
      <c r="M117" s="122" t="s">
        <v>1991</v>
      </c>
      <c r="N117" s="122" t="s">
        <v>1988</v>
      </c>
      <c r="O117" s="152"/>
      <c r="P117" s="152">
        <v>300</v>
      </c>
      <c r="Q117" s="156" t="str">
        <f>IF(L117="","",IFERROR(VLOOKUP(UPPER($G117)&amp;"/"&amp;$P117,NETWORKS_TABLE[],MATCH(Q$3,NETWORKS_TABLE[#Headers],0),FALSE),""))</f>
        <v>SERVER</v>
      </c>
      <c r="R117" s="156" t="str">
        <f>IF(B117="","",IFERROR(VLOOKUP(UPPER($G117)&amp;"/"&amp;$P117,NETWORKS_TABLE[],MATCH(R$3,NETWORKS_TABLE[#Headers],0),FALSE),""))</f>
        <v>10.224.100.0/24</v>
      </c>
      <c r="S117" s="188" t="s" cm="1">
        <v>1706</v>
      </c>
      <c r="T117" s="152"/>
      <c r="U117" s="152"/>
      <c r="V117" s="155"/>
      <c r="AC117" t="s">
        <v>1705</v>
      </c>
    </row>
    <row r="118" spans="1:29">
      <c r="A118" s="40"/>
      <c r="B118" s="151" t="s">
        <v>1704</v>
      </c>
      <c r="C118" s="152" t="s">
        <v>2054</v>
      </c>
      <c r="D118" s="118" t="str">
        <f>IF(CONNECTIONS_TABLE[[#This Row],[Device Name]]="","",VLOOKUP(CONNECTIONS_TABLE[[#This Row],[Device Name]],DEVICE_TABLE[#Data],MATCH(D$3,DEVICE_TABLE[#Headers],0),FALSE))</f>
        <v>STORAGE</v>
      </c>
      <c r="E11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TINTRI2/A-REPL (STORAGE)</v>
      </c>
      <c r="F118" s="154"/>
      <c r="G118" s="118" t="str">
        <f>IF(CONNECTIONS_TABLE[[#This Row],[Device Name]]="","",VLOOKUP(CONNECTIONS_TABLE[[#This Row],[Device Name]],DEVICE_TABLE[],MATCH(G$3,DEVICE_TABLE[#Headers],0),FALSE))</f>
        <v>Listerhills</v>
      </c>
      <c r="H118" s="153" t="str">
        <f>IF(B118="","",VLOOKUP(B118,DEVICE_TABLE[#Data],MATCH(H$3,DEVICE_TABLE[#Headers],0),FALSE))</f>
        <v>CR2</v>
      </c>
      <c r="I118" s="122" t="s">
        <v>1575</v>
      </c>
      <c r="J118" s="122" t="s">
        <v>1089</v>
      </c>
      <c r="K118" s="122" t="s">
        <v>2055</v>
      </c>
      <c r="L118" s="153" t="str">
        <f t="shared" si="1"/>
        <v>FGHLHN142-1 gi1/0/32</v>
      </c>
      <c r="M118" s="122" t="s">
        <v>1991</v>
      </c>
      <c r="N118" s="122" t="s">
        <v>1988</v>
      </c>
      <c r="O118" s="152"/>
      <c r="P118" s="152">
        <v>300</v>
      </c>
      <c r="Q118" s="156" t="str">
        <f>IF(L118="","",IFERROR(VLOOKUP(UPPER($G118)&amp;"/"&amp;$P118,NETWORKS_TABLE[],MATCH(Q$3,NETWORKS_TABLE[#Headers],0),FALSE),""))</f>
        <v>SERVER</v>
      </c>
      <c r="R118" s="156" t="str">
        <f>IF(B118="","",IFERROR(VLOOKUP(UPPER($G118)&amp;"/"&amp;$P118,NETWORKS_TABLE[],MATCH(R$3,NETWORKS_TABLE[#Headers],0),FALSE),""))</f>
        <v>10.224.100.0/24</v>
      </c>
      <c r="S118" s="188" t="s" cm="1">
        <v>78</v>
      </c>
      <c r="T118" s="152"/>
      <c r="U118" s="152"/>
      <c r="V118" s="155"/>
    </row>
    <row r="119" spans="1:29">
      <c r="A119" s="40"/>
      <c r="B119" s="151" t="s">
        <v>1704</v>
      </c>
      <c r="C119" s="152" t="s">
        <v>2056</v>
      </c>
      <c r="D119" s="118" t="str">
        <f>IF(CONNECTIONS_TABLE[[#This Row],[Device Name]]="","",VLOOKUP(CONNECTIONS_TABLE[[#This Row],[Device Name]],DEVICE_TABLE[#Data],MATCH(D$3,DEVICE_TABLE[#Headers],0),FALSE))</f>
        <v>STORAGE</v>
      </c>
      <c r="E11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TINTRI2/A-REPL2 (STORAGE)</v>
      </c>
      <c r="F119" s="154"/>
      <c r="G119" s="118" t="str">
        <f>IF(CONNECTIONS_TABLE[[#This Row],[Device Name]]="","",VLOOKUP(CONNECTIONS_TABLE[[#This Row],[Device Name]],DEVICE_TABLE[],MATCH(G$3,DEVICE_TABLE[#Headers],0),FALSE))</f>
        <v>Listerhills</v>
      </c>
      <c r="H119" s="153" t="str">
        <f>IF(B119="","",VLOOKUP(B119,DEVICE_TABLE[#Data],MATCH(H$3,DEVICE_TABLE[#Headers],0),FALSE))</f>
        <v>CR2</v>
      </c>
      <c r="I119" s="122" t="s">
        <v>1575</v>
      </c>
      <c r="J119" s="122" t="s">
        <v>1095</v>
      </c>
      <c r="K119" s="122" t="s">
        <v>2057</v>
      </c>
      <c r="L119" s="153" t="str">
        <f t="shared" si="1"/>
        <v>FGHLHN142-2 gi2/0/32</v>
      </c>
      <c r="M119" s="122" t="s">
        <v>1991</v>
      </c>
      <c r="N119" s="122" t="s">
        <v>1988</v>
      </c>
      <c r="O119" s="152"/>
      <c r="P119" s="152">
        <v>300</v>
      </c>
      <c r="Q119" s="156" t="str">
        <f>IF(L119="","",IFERROR(VLOOKUP(UPPER($G119)&amp;"/"&amp;$P119,NETWORKS_TABLE[],MATCH(Q$3,NETWORKS_TABLE[#Headers],0),FALSE),""))</f>
        <v>SERVER</v>
      </c>
      <c r="R119" s="156" t="str">
        <f>IF(B119="","",IFERROR(VLOOKUP(UPPER($G119)&amp;"/"&amp;$P119,NETWORKS_TABLE[],MATCH(R$3,NETWORKS_TABLE[#Headers],0),FALSE),""))</f>
        <v>10.224.100.0/24</v>
      </c>
      <c r="S119" s="188" t="s" cm="1">
        <v>78</v>
      </c>
      <c r="T119" s="152"/>
      <c r="U119" s="152"/>
      <c r="V119" s="155"/>
    </row>
    <row r="120" spans="1:29">
      <c r="A120" s="40"/>
      <c r="B120" s="151" t="s">
        <v>1704</v>
      </c>
      <c r="C120" s="152" t="s">
        <v>2058</v>
      </c>
      <c r="D120" s="118" t="str">
        <f>IF(CONNECTIONS_TABLE[[#This Row],[Device Name]]="","",VLOOKUP(CONNECTIONS_TABLE[[#This Row],[Device Name]],DEVICE_TABLE[#Data],MATCH(D$3,DEVICE_TABLE[#Headers],0),FALSE))</f>
        <v>STORAGE</v>
      </c>
      <c r="E12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TINTRI2/A-DATA (STORAGE)</v>
      </c>
      <c r="F120" s="154"/>
      <c r="G120" s="118" t="str">
        <f>IF(CONNECTIONS_TABLE[[#This Row],[Device Name]]="","",VLOOKUP(CONNECTIONS_TABLE[[#This Row],[Device Name]],DEVICE_TABLE[],MATCH(G$3,DEVICE_TABLE[#Headers],0),FALSE))</f>
        <v>Listerhills</v>
      </c>
      <c r="H120" s="153" t="str">
        <f>IF(B120="","",VLOOKUP(B120,DEVICE_TABLE[#Data],MATCH(H$3,DEVICE_TABLE[#Headers],0),FALSE))</f>
        <v>CR2</v>
      </c>
      <c r="I120" s="122" t="s">
        <v>1575</v>
      </c>
      <c r="J120" s="122" t="s">
        <v>1379</v>
      </c>
      <c r="K120" s="122" t="s">
        <v>1920</v>
      </c>
      <c r="L120" s="153" t="str">
        <f t="shared" si="1"/>
        <v>FGHLHN42-1 twe1/0/21</v>
      </c>
      <c r="M120" s="122" t="s">
        <v>1872</v>
      </c>
      <c r="N120" s="122" t="s">
        <v>1988</v>
      </c>
      <c r="O120" s="152"/>
      <c r="P120" s="152">
        <v>448</v>
      </c>
      <c r="Q120" s="156" t="str">
        <f>IF(L120="","",IFERROR(VLOOKUP(UPPER($G120)&amp;"/"&amp;$P120,NETWORKS_TABLE[],MATCH(Q$3,NETWORKS_TABLE[#Headers],0),FALSE),""))</f>
        <v>TINTRI</v>
      </c>
      <c r="R120" s="156" t="str">
        <f>IF(B120="","",IFERROR(VLOOKUP(UPPER($G120)&amp;"/"&amp;$P120,NETWORKS_TABLE[],MATCH(R$3,NETWORKS_TABLE[#Headers],0),FALSE),""))</f>
        <v>10.224.48.0/24</v>
      </c>
      <c r="S120" s="188" t="s" cm="1">
        <v>2122</v>
      </c>
      <c r="T120" s="152"/>
      <c r="U120" s="152"/>
      <c r="V120" s="155"/>
      <c r="AC120" t="s">
        <v>1705</v>
      </c>
    </row>
    <row r="121" spans="1:29">
      <c r="A121" s="40"/>
      <c r="B121" s="151"/>
      <c r="C121" s="152"/>
      <c r="D121" s="118" t="str">
        <f>IF(CONNECTIONS_TABLE[[#This Row],[Device Name]]="","",VLOOKUP(CONNECTIONS_TABLE[[#This Row],[Device Name]],DEVICE_TABLE[#Data],MATCH(D$3,DEVICE_TABLE[#Headers],0),FALSE))</f>
        <v/>
      </c>
      <c r="E12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21" s="154"/>
      <c r="G121" s="118" t="str">
        <f>IF(CONNECTIONS_TABLE[[#This Row],[Device Name]]="","",VLOOKUP(CONNECTIONS_TABLE[[#This Row],[Device Name]],DEVICE_TABLE[],MATCH(G$3,DEVICE_TABLE[#Headers],0),FALSE))</f>
        <v/>
      </c>
      <c r="H121" s="153" t="str">
        <f>IF(B121="","",VLOOKUP(B121,DEVICE_TABLE[#Data],MATCH(H$3,DEVICE_TABLE[#Headers],0),FALSE))</f>
        <v/>
      </c>
      <c r="I121" s="122"/>
      <c r="J121" s="122"/>
      <c r="K121" s="122"/>
      <c r="L121" s="153" t="str">
        <f t="shared" si="1"/>
        <v xml:space="preserve"> </v>
      </c>
      <c r="M121" s="122"/>
      <c r="N121" s="122"/>
      <c r="O121" s="152"/>
      <c r="P121" s="152"/>
      <c r="Q121" s="156" t="str">
        <f>IF(L121="","",IFERROR(VLOOKUP(UPPER($G121)&amp;"/"&amp;$P121,NETWORKS_TABLE[],MATCH(Q$3,NETWORKS_TABLE[#Headers],0),FALSE),""))</f>
        <v/>
      </c>
      <c r="R121" s="156" t="str">
        <f>IF(B121="","",IFERROR(VLOOKUP(UPPER($G121)&amp;"/"&amp;$P121,NETWORKS_TABLE[],MATCH(R$3,NETWORKS_TABLE[#Headers],0),FALSE),""))</f>
        <v/>
      </c>
      <c r="S121" s="188" t="s" cm="1">
        <v>78</v>
      </c>
      <c r="T121" s="152"/>
      <c r="U121" s="152"/>
      <c r="V121" s="155"/>
      <c r="AC121" t="s">
        <v>78</v>
      </c>
    </row>
    <row r="122" spans="1:29">
      <c r="A122" s="40"/>
      <c r="B122" s="151" t="s">
        <v>1704</v>
      </c>
      <c r="C122" s="152" t="s">
        <v>2059</v>
      </c>
      <c r="D122" s="118" t="str">
        <f>IF(CONNECTIONS_TABLE[[#This Row],[Device Name]]="","",VLOOKUP(CONNECTIONS_TABLE[[#This Row],[Device Name]],DEVICE_TABLE[#Data],MATCH(D$3,DEVICE_TABLE[#Headers],0),FALSE))</f>
        <v>STORAGE</v>
      </c>
      <c r="E12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TINTRI2/B-MGNT (STORAGE)</v>
      </c>
      <c r="F122" s="154"/>
      <c r="G122" s="118" t="str">
        <f>IF(CONNECTIONS_TABLE[[#This Row],[Device Name]]="","",VLOOKUP(CONNECTIONS_TABLE[[#This Row],[Device Name]],DEVICE_TABLE[],MATCH(G$3,DEVICE_TABLE[#Headers],0),FALSE))</f>
        <v>Listerhills</v>
      </c>
      <c r="H122" s="153" t="str">
        <f>IF(B122="","",VLOOKUP(B122,DEVICE_TABLE[#Data],MATCH(H$3,DEVICE_TABLE[#Headers],0),FALSE))</f>
        <v>CR2</v>
      </c>
      <c r="I122" s="122" t="s">
        <v>1575</v>
      </c>
      <c r="J122" s="122" t="s">
        <v>1089</v>
      </c>
      <c r="K122" s="122" t="s">
        <v>2060</v>
      </c>
      <c r="L122" s="153" t="str">
        <f t="shared" si="1"/>
        <v>FGHLHN142-1 gi1/0/33</v>
      </c>
      <c r="M122" s="122" t="s">
        <v>1991</v>
      </c>
      <c r="N122" s="122" t="s">
        <v>1988</v>
      </c>
      <c r="O122" s="152"/>
      <c r="P122" s="152">
        <v>300</v>
      </c>
      <c r="Q122" s="156" t="str">
        <f>IF(L122="","",IFERROR(VLOOKUP(UPPER($G122)&amp;"/"&amp;$P122,NETWORKS_TABLE[],MATCH(Q$3,NETWORKS_TABLE[#Headers],0),FALSE),""))</f>
        <v>SERVER</v>
      </c>
      <c r="R122" s="156" t="str">
        <f>IF(B122="","",IFERROR(VLOOKUP(UPPER($G122)&amp;"/"&amp;$P122,NETWORKS_TABLE[],MATCH(R$3,NETWORKS_TABLE[#Headers],0),FALSE),""))</f>
        <v>10.224.100.0/24</v>
      </c>
      <c r="S122" s="188" t="s" cm="1">
        <v>1706</v>
      </c>
      <c r="T122" s="152"/>
      <c r="U122" s="152"/>
      <c r="V122" s="155"/>
      <c r="AC122" t="s">
        <v>1705</v>
      </c>
    </row>
    <row r="123" spans="1:29">
      <c r="A123" s="40"/>
      <c r="B123" s="151" t="s">
        <v>1704</v>
      </c>
      <c r="C123" s="152" t="s">
        <v>2061</v>
      </c>
      <c r="D123" s="118" t="str">
        <f>IF(CONNECTIONS_TABLE[[#This Row],[Device Name]]="","",VLOOKUP(CONNECTIONS_TABLE[[#This Row],[Device Name]],DEVICE_TABLE[#Data],MATCH(D$3,DEVICE_TABLE[#Headers],0),FALSE))</f>
        <v>STORAGE</v>
      </c>
      <c r="E12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TINTRI2/B-MGNT2 (STORAGE)</v>
      </c>
      <c r="F123" s="154"/>
      <c r="G123" s="118" t="str">
        <f>IF(CONNECTIONS_TABLE[[#This Row],[Device Name]]="","",VLOOKUP(CONNECTIONS_TABLE[[#This Row],[Device Name]],DEVICE_TABLE[],MATCH(G$3,DEVICE_TABLE[#Headers],0),FALSE))</f>
        <v>Listerhills</v>
      </c>
      <c r="H123" s="153" t="str">
        <f>IF(B123="","",VLOOKUP(B123,DEVICE_TABLE[#Data],MATCH(H$3,DEVICE_TABLE[#Headers],0),FALSE))</f>
        <v>CR2</v>
      </c>
      <c r="I123" s="122" t="s">
        <v>1575</v>
      </c>
      <c r="J123" s="122" t="s">
        <v>1095</v>
      </c>
      <c r="K123" s="122" t="s">
        <v>2062</v>
      </c>
      <c r="L123" s="153" t="str">
        <f t="shared" si="1"/>
        <v>FGHLHN142-2 gi2/0/33</v>
      </c>
      <c r="M123" s="122" t="s">
        <v>1991</v>
      </c>
      <c r="N123" s="122" t="s">
        <v>1988</v>
      </c>
      <c r="O123" s="152"/>
      <c r="P123" s="152">
        <v>300</v>
      </c>
      <c r="Q123" s="156" t="str">
        <f>IF(L123="","",IFERROR(VLOOKUP(UPPER($G123)&amp;"/"&amp;$P123,NETWORKS_TABLE[],MATCH(Q$3,NETWORKS_TABLE[#Headers],0),FALSE),""))</f>
        <v>SERVER</v>
      </c>
      <c r="R123" s="156" t="str">
        <f>IF(B123="","",IFERROR(VLOOKUP(UPPER($G123)&amp;"/"&amp;$P123,NETWORKS_TABLE[],MATCH(R$3,NETWORKS_TABLE[#Headers],0),FALSE),""))</f>
        <v>10.224.100.0/24</v>
      </c>
      <c r="S123" s="188" t="s" cm="1">
        <v>1706</v>
      </c>
      <c r="T123" s="152"/>
      <c r="U123" s="152"/>
      <c r="V123" s="155"/>
      <c r="AC123" t="s">
        <v>1705</v>
      </c>
    </row>
    <row r="124" spans="1:29">
      <c r="A124" s="40"/>
      <c r="B124" s="151" t="s">
        <v>1704</v>
      </c>
      <c r="C124" s="152" t="s">
        <v>2063</v>
      </c>
      <c r="D124" s="118" t="str">
        <f>IF(CONNECTIONS_TABLE[[#This Row],[Device Name]]="","",VLOOKUP(CONNECTIONS_TABLE[[#This Row],[Device Name]],DEVICE_TABLE[#Data],MATCH(D$3,DEVICE_TABLE[#Headers],0),FALSE))</f>
        <v>STORAGE</v>
      </c>
      <c r="E12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TINTRI2/B-REPL (STORAGE)</v>
      </c>
      <c r="F124" s="154"/>
      <c r="G124" s="118" t="str">
        <f>IF(CONNECTIONS_TABLE[[#This Row],[Device Name]]="","",VLOOKUP(CONNECTIONS_TABLE[[#This Row],[Device Name]],DEVICE_TABLE[],MATCH(G$3,DEVICE_TABLE[#Headers],0),FALSE))</f>
        <v>Listerhills</v>
      </c>
      <c r="H124" s="153" t="str">
        <f>IF(B124="","",VLOOKUP(B124,DEVICE_TABLE[#Data],MATCH(H$3,DEVICE_TABLE[#Headers],0),FALSE))</f>
        <v>CR2</v>
      </c>
      <c r="I124" s="122" t="s">
        <v>1575</v>
      </c>
      <c r="J124" s="122" t="s">
        <v>1089</v>
      </c>
      <c r="K124" s="122" t="s">
        <v>2064</v>
      </c>
      <c r="L124" s="153" t="str">
        <f t="shared" si="1"/>
        <v>FGHLHN142-1 gi1/0/34</v>
      </c>
      <c r="M124" s="122" t="s">
        <v>1991</v>
      </c>
      <c r="N124" s="122" t="s">
        <v>1988</v>
      </c>
      <c r="O124" s="152"/>
      <c r="P124" s="152">
        <v>300</v>
      </c>
      <c r="Q124" s="156" t="str">
        <f>IF(L124="","",IFERROR(VLOOKUP(UPPER($G124)&amp;"/"&amp;$P124,NETWORKS_TABLE[],MATCH(Q$3,NETWORKS_TABLE[#Headers],0),FALSE),""))</f>
        <v>SERVER</v>
      </c>
      <c r="R124" s="156" t="str">
        <f>IF(B124="","",IFERROR(VLOOKUP(UPPER($G124)&amp;"/"&amp;$P124,NETWORKS_TABLE[],MATCH(R$3,NETWORKS_TABLE[#Headers],0),FALSE),""))</f>
        <v>10.224.100.0/24</v>
      </c>
      <c r="S124" s="188" t="s" cm="1">
        <v>78</v>
      </c>
      <c r="T124" s="152"/>
      <c r="U124" s="152"/>
      <c r="V124" s="155"/>
    </row>
    <row r="125" spans="1:29">
      <c r="A125" s="40"/>
      <c r="B125" s="151" t="s">
        <v>1704</v>
      </c>
      <c r="C125" s="152" t="s">
        <v>2065</v>
      </c>
      <c r="D125" s="118" t="str">
        <f>IF(CONNECTIONS_TABLE[[#This Row],[Device Name]]="","",VLOOKUP(CONNECTIONS_TABLE[[#This Row],[Device Name]],DEVICE_TABLE[#Data],MATCH(D$3,DEVICE_TABLE[#Headers],0),FALSE))</f>
        <v>STORAGE</v>
      </c>
      <c r="E12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TINTRI2/B-REPL2 (STORAGE)</v>
      </c>
      <c r="F125" s="154"/>
      <c r="G125" s="118" t="str">
        <f>IF(CONNECTIONS_TABLE[[#This Row],[Device Name]]="","",VLOOKUP(CONNECTIONS_TABLE[[#This Row],[Device Name]],DEVICE_TABLE[],MATCH(G$3,DEVICE_TABLE[#Headers],0),FALSE))</f>
        <v>Listerhills</v>
      </c>
      <c r="H125" s="153" t="str">
        <f>IF(B125="","",VLOOKUP(B125,DEVICE_TABLE[#Data],MATCH(H$3,DEVICE_TABLE[#Headers],0),FALSE))</f>
        <v>CR2</v>
      </c>
      <c r="I125" s="122" t="s">
        <v>1575</v>
      </c>
      <c r="J125" s="122" t="s">
        <v>1095</v>
      </c>
      <c r="K125" s="122" t="s">
        <v>2066</v>
      </c>
      <c r="L125" s="153" t="str">
        <f t="shared" si="1"/>
        <v>FGHLHN142-2 gi2/0/34</v>
      </c>
      <c r="M125" s="122" t="s">
        <v>1991</v>
      </c>
      <c r="N125" s="122" t="s">
        <v>1988</v>
      </c>
      <c r="O125" s="152"/>
      <c r="P125" s="152">
        <v>300</v>
      </c>
      <c r="Q125" s="156" t="str">
        <f>IF(L125="","",IFERROR(VLOOKUP(UPPER($G125)&amp;"/"&amp;$P125,NETWORKS_TABLE[],MATCH(Q$3,NETWORKS_TABLE[#Headers],0),FALSE),""))</f>
        <v>SERVER</v>
      </c>
      <c r="R125" s="156" t="str">
        <f>IF(B125="","",IFERROR(VLOOKUP(UPPER($G125)&amp;"/"&amp;$P125,NETWORKS_TABLE[],MATCH(R$3,NETWORKS_TABLE[#Headers],0),FALSE),""))</f>
        <v>10.224.100.0/24</v>
      </c>
      <c r="S125" s="188" t="s" cm="1">
        <v>78</v>
      </c>
      <c r="T125" s="152"/>
      <c r="U125" s="152"/>
      <c r="V125" s="155"/>
    </row>
    <row r="126" spans="1:29">
      <c r="A126" s="40"/>
      <c r="B126" s="151" t="s">
        <v>1704</v>
      </c>
      <c r="C126" s="152" t="s">
        <v>2067</v>
      </c>
      <c r="D126" s="118" t="str">
        <f>IF(CONNECTIONS_TABLE[[#This Row],[Device Name]]="","",VLOOKUP(CONNECTIONS_TABLE[[#This Row],[Device Name]],DEVICE_TABLE[#Data],MATCH(D$3,DEVICE_TABLE[#Headers],0),FALSE))</f>
        <v>STORAGE</v>
      </c>
      <c r="E12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TINTRI2/B-DATA (STORAGE)</v>
      </c>
      <c r="F126" s="154"/>
      <c r="G126" s="118" t="str">
        <f>IF(CONNECTIONS_TABLE[[#This Row],[Device Name]]="","",VLOOKUP(CONNECTIONS_TABLE[[#This Row],[Device Name]],DEVICE_TABLE[],MATCH(G$3,DEVICE_TABLE[#Headers],0),FALSE))</f>
        <v>Listerhills</v>
      </c>
      <c r="H126" s="153" t="str">
        <f>IF(B126="","",VLOOKUP(B126,DEVICE_TABLE[#Data],MATCH(H$3,DEVICE_TABLE[#Headers],0),FALSE))</f>
        <v>CR2</v>
      </c>
      <c r="I126" s="122" t="s">
        <v>1575</v>
      </c>
      <c r="J126" s="122" t="s">
        <v>1383</v>
      </c>
      <c r="K126" s="122" t="s">
        <v>1924</v>
      </c>
      <c r="L126" s="153" t="str">
        <f t="shared" si="1"/>
        <v>FGHLHN42-2 twe2/0/21</v>
      </c>
      <c r="M126" s="122" t="s">
        <v>1872</v>
      </c>
      <c r="N126" s="122" t="s">
        <v>1988</v>
      </c>
      <c r="O126" s="152"/>
      <c r="P126" s="152">
        <v>448</v>
      </c>
      <c r="Q126" s="156" t="str">
        <f>IF(L126="","",IFERROR(VLOOKUP(UPPER($G126)&amp;"/"&amp;$P126,NETWORKS_TABLE[],MATCH(Q$3,NETWORKS_TABLE[#Headers],0),FALSE),""))</f>
        <v>TINTRI</v>
      </c>
      <c r="R126" s="156" t="str">
        <f>IF(B126="","",IFERROR(VLOOKUP(UPPER($G126)&amp;"/"&amp;$P126,NETWORKS_TABLE[],MATCH(R$3,NETWORKS_TABLE[#Headers],0),FALSE),""))</f>
        <v>10.224.48.0/24</v>
      </c>
      <c r="S126" s="188" t="s" cm="1">
        <v>2122</v>
      </c>
      <c r="T126" s="152"/>
      <c r="U126" s="152"/>
      <c r="V126" s="155"/>
      <c r="AC126" t="s">
        <v>1705</v>
      </c>
    </row>
    <row r="127" spans="1:29">
      <c r="A127" s="40"/>
      <c r="B127" s="151"/>
      <c r="C127" s="152"/>
      <c r="D127" s="118" t="str">
        <f>IF(CONNECTIONS_TABLE[[#This Row],[Device Name]]="","",VLOOKUP(CONNECTIONS_TABLE[[#This Row],[Device Name]],DEVICE_TABLE[#Data],MATCH(D$3,DEVICE_TABLE[#Headers],0),FALSE))</f>
        <v/>
      </c>
      <c r="E12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27" s="154"/>
      <c r="G127" s="118" t="str">
        <f>IF(CONNECTIONS_TABLE[[#This Row],[Device Name]]="","",VLOOKUP(CONNECTIONS_TABLE[[#This Row],[Device Name]],DEVICE_TABLE[],MATCH(G$3,DEVICE_TABLE[#Headers],0),FALSE))</f>
        <v/>
      </c>
      <c r="H127" s="153" t="str">
        <f>IF(B127="","",VLOOKUP(B127,DEVICE_TABLE[#Data],MATCH(H$3,DEVICE_TABLE[#Headers],0),FALSE))</f>
        <v/>
      </c>
      <c r="I127" s="122"/>
      <c r="J127" s="122"/>
      <c r="K127" s="122"/>
      <c r="L127" s="153" t="str">
        <f t="shared" si="1"/>
        <v xml:space="preserve"> </v>
      </c>
      <c r="M127" s="122"/>
      <c r="N127" s="122"/>
      <c r="O127" s="152"/>
      <c r="P127" s="152"/>
      <c r="Q127" s="156" t="str">
        <f>IF(L127="","",IFERROR(VLOOKUP(UPPER($G127)&amp;"/"&amp;$P127,NETWORKS_TABLE[],MATCH(Q$3,NETWORKS_TABLE[#Headers],0),FALSE),""))</f>
        <v/>
      </c>
      <c r="R127" s="156" t="str">
        <f>IF(B127="","",IFERROR(VLOOKUP(UPPER($G127)&amp;"/"&amp;$P127,NETWORKS_TABLE[],MATCH(R$3,NETWORKS_TABLE[#Headers],0),FALSE),""))</f>
        <v/>
      </c>
      <c r="S127" s="188" t="s" cm="1">
        <v>78</v>
      </c>
      <c r="T127" s="152"/>
      <c r="U127" s="152"/>
      <c r="V127" s="155"/>
      <c r="AC127" t="s">
        <v>78</v>
      </c>
    </row>
    <row r="128" spans="1:29">
      <c r="A128" s="40"/>
      <c r="B128" s="151" t="s">
        <v>1701</v>
      </c>
      <c r="C128" s="152" t="s">
        <v>2050</v>
      </c>
      <c r="D128" s="118" t="str">
        <f>IF(CONNECTIONS_TABLE[[#This Row],[Device Name]]="","",VLOOKUP(CONNECTIONS_TABLE[[#This Row],[Device Name]],DEVICE_TABLE[#Data],MATCH(D$3,DEVICE_TABLE[#Headers],0),FALSE))</f>
        <v>STORAGE</v>
      </c>
      <c r="E12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TINTRI1/A-MGNT (STORAGE)</v>
      </c>
      <c r="F128" s="154"/>
      <c r="G128" s="118" t="str">
        <f>IF(CONNECTIONS_TABLE[[#This Row],[Device Name]]="","",VLOOKUP(CONNECTIONS_TABLE[[#This Row],[Device Name]],DEVICE_TABLE[],MATCH(G$3,DEVICE_TABLE[#Headers],0),FALSE))</f>
        <v>Listerhills</v>
      </c>
      <c r="H128" s="153" t="str">
        <f>IF(B128="","",VLOOKUP(B128,DEVICE_TABLE[#Data],MATCH(H$3,DEVICE_TABLE[#Headers],0),FALSE))</f>
        <v>CR1</v>
      </c>
      <c r="I128" s="122" t="s">
        <v>1575</v>
      </c>
      <c r="J128" s="122" t="s">
        <v>1073</v>
      </c>
      <c r="K128" s="122" t="s">
        <v>2051</v>
      </c>
      <c r="L128" s="153" t="str">
        <f t="shared" si="1"/>
        <v>FGHLHN141-1 gi1/0/31</v>
      </c>
      <c r="M128" s="122" t="s">
        <v>1991</v>
      </c>
      <c r="N128" s="122" t="s">
        <v>1988</v>
      </c>
      <c r="O128" s="152"/>
      <c r="P128" s="152">
        <v>300</v>
      </c>
      <c r="Q128" s="156" t="str">
        <f>IF(L128="","",IFERROR(VLOOKUP(UPPER($G128)&amp;"/"&amp;$P128,NETWORKS_TABLE[],MATCH(Q$3,NETWORKS_TABLE[#Headers],0),FALSE),""))</f>
        <v>SERVER</v>
      </c>
      <c r="R128" s="156" t="str">
        <f>IF(B128="","",IFERROR(VLOOKUP(UPPER($G128)&amp;"/"&amp;$P128,NETWORKS_TABLE[],MATCH(R$3,NETWORKS_TABLE[#Headers],0),FALSE),""))</f>
        <v>10.224.100.0/24</v>
      </c>
      <c r="S128" s="188" t="s" cm="1">
        <v>1703</v>
      </c>
      <c r="T128" s="152"/>
      <c r="U128" s="152"/>
      <c r="V128" s="155"/>
      <c r="AC128">
        <v>131</v>
      </c>
    </row>
    <row r="129" spans="1:29">
      <c r="A129" s="40"/>
      <c r="B129" s="151" t="s">
        <v>1701</v>
      </c>
      <c r="C129" s="152" t="s">
        <v>2052</v>
      </c>
      <c r="D129" s="118" t="str">
        <f>IF(CONNECTIONS_TABLE[[#This Row],[Device Name]]="","",VLOOKUP(CONNECTIONS_TABLE[[#This Row],[Device Name]],DEVICE_TABLE[#Data],MATCH(D$3,DEVICE_TABLE[#Headers],0),FALSE))</f>
        <v>STORAGE</v>
      </c>
      <c r="E12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TINTRI1/A-MGNT2 (STORAGE)</v>
      </c>
      <c r="F129" s="154"/>
      <c r="G129" s="118" t="str">
        <f>IF(CONNECTIONS_TABLE[[#This Row],[Device Name]]="","",VLOOKUP(CONNECTIONS_TABLE[[#This Row],[Device Name]],DEVICE_TABLE[],MATCH(G$3,DEVICE_TABLE[#Headers],0),FALSE))</f>
        <v>Listerhills</v>
      </c>
      <c r="H129" s="153" t="str">
        <f>IF(B129="","",VLOOKUP(B129,DEVICE_TABLE[#Data],MATCH(H$3,DEVICE_TABLE[#Headers],0),FALSE))</f>
        <v>CR1</v>
      </c>
      <c r="I129" s="122" t="s">
        <v>1575</v>
      </c>
      <c r="J129" s="122" t="s">
        <v>1083</v>
      </c>
      <c r="K129" s="122" t="s">
        <v>2053</v>
      </c>
      <c r="L129" s="153" t="str">
        <f t="shared" si="1"/>
        <v>FGHLHN141-2 gi2/0/31</v>
      </c>
      <c r="M129" s="122" t="s">
        <v>1991</v>
      </c>
      <c r="N129" s="122" t="s">
        <v>1988</v>
      </c>
      <c r="O129" s="152"/>
      <c r="P129" s="152">
        <v>300</v>
      </c>
      <c r="Q129" s="156" t="str">
        <f>IF(L129="","",IFERROR(VLOOKUP(UPPER($G129)&amp;"/"&amp;$P129,NETWORKS_TABLE[],MATCH(Q$3,NETWORKS_TABLE[#Headers],0),FALSE),""))</f>
        <v>SERVER</v>
      </c>
      <c r="R129" s="156" t="str">
        <f>IF(B129="","",IFERROR(VLOOKUP(UPPER($G129)&amp;"/"&amp;$P129,NETWORKS_TABLE[],MATCH(R$3,NETWORKS_TABLE[#Headers],0),FALSE),""))</f>
        <v>10.224.100.0/24</v>
      </c>
      <c r="S129" s="188" t="s" cm="1">
        <v>1703</v>
      </c>
      <c r="T129" s="152"/>
      <c r="U129" s="152"/>
      <c r="V129" s="155"/>
      <c r="AC129">
        <v>131</v>
      </c>
    </row>
    <row r="130" spans="1:29">
      <c r="A130" s="40"/>
      <c r="B130" s="151" t="s">
        <v>1701</v>
      </c>
      <c r="C130" s="152" t="s">
        <v>2054</v>
      </c>
      <c r="D130" s="118" t="str">
        <f>IF(CONNECTIONS_TABLE[[#This Row],[Device Name]]="","",VLOOKUP(CONNECTIONS_TABLE[[#This Row],[Device Name]],DEVICE_TABLE[#Data],MATCH(D$3,DEVICE_TABLE[#Headers],0),FALSE))</f>
        <v>STORAGE</v>
      </c>
      <c r="E13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TINTRI1/A-REPL (STORAGE)</v>
      </c>
      <c r="F130" s="154"/>
      <c r="G130" s="118" t="str">
        <f>IF(CONNECTIONS_TABLE[[#This Row],[Device Name]]="","",VLOOKUP(CONNECTIONS_TABLE[[#This Row],[Device Name]],DEVICE_TABLE[],MATCH(G$3,DEVICE_TABLE[#Headers],0),FALSE))</f>
        <v>Listerhills</v>
      </c>
      <c r="H130" s="153" t="str">
        <f>IF(B130="","",VLOOKUP(B130,DEVICE_TABLE[#Data],MATCH(H$3,DEVICE_TABLE[#Headers],0),FALSE))</f>
        <v>CR1</v>
      </c>
      <c r="I130" s="122" t="s">
        <v>1575</v>
      </c>
      <c r="J130" s="122" t="s">
        <v>1073</v>
      </c>
      <c r="K130" s="122" t="s">
        <v>2055</v>
      </c>
      <c r="L130" s="153" t="str">
        <f t="shared" si="1"/>
        <v>FGHLHN141-1 gi1/0/32</v>
      </c>
      <c r="M130" s="122" t="s">
        <v>1991</v>
      </c>
      <c r="N130" s="122" t="s">
        <v>1988</v>
      </c>
      <c r="O130" s="152"/>
      <c r="P130" s="152">
        <v>300</v>
      </c>
      <c r="Q130" s="156" t="str">
        <f>IF(L130="","",IFERROR(VLOOKUP(UPPER($G130)&amp;"/"&amp;$P130,NETWORKS_TABLE[],MATCH(Q$3,NETWORKS_TABLE[#Headers],0),FALSE),""))</f>
        <v>SERVER</v>
      </c>
      <c r="R130" s="156" t="str">
        <f>IF(B130="","",IFERROR(VLOOKUP(UPPER($G130)&amp;"/"&amp;$P130,NETWORKS_TABLE[],MATCH(R$3,NETWORKS_TABLE[#Headers],0),FALSE),""))</f>
        <v>10.224.100.0/24</v>
      </c>
      <c r="S130" s="188" t="s" cm="1">
        <v>78</v>
      </c>
      <c r="T130" s="152"/>
      <c r="U130" s="152"/>
      <c r="V130" s="155"/>
      <c r="AC130">
        <v>131</v>
      </c>
    </row>
    <row r="131" spans="1:29">
      <c r="A131" s="40"/>
      <c r="B131" s="151" t="s">
        <v>1701</v>
      </c>
      <c r="C131" s="152" t="s">
        <v>2056</v>
      </c>
      <c r="D131" s="118" t="str">
        <f>IF(CONNECTIONS_TABLE[[#This Row],[Device Name]]="","",VLOOKUP(CONNECTIONS_TABLE[[#This Row],[Device Name]],DEVICE_TABLE[#Data],MATCH(D$3,DEVICE_TABLE[#Headers],0),FALSE))</f>
        <v>STORAGE</v>
      </c>
      <c r="E13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TINTRI1/A-REPL2 (STORAGE)</v>
      </c>
      <c r="F131" s="154"/>
      <c r="G131" s="118" t="str">
        <f>IF(CONNECTIONS_TABLE[[#This Row],[Device Name]]="","",VLOOKUP(CONNECTIONS_TABLE[[#This Row],[Device Name]],DEVICE_TABLE[],MATCH(G$3,DEVICE_TABLE[#Headers],0),FALSE))</f>
        <v>Listerhills</v>
      </c>
      <c r="H131" s="153" t="str">
        <f>IF(B131="","",VLOOKUP(B131,DEVICE_TABLE[#Data],MATCH(H$3,DEVICE_TABLE[#Headers],0),FALSE))</f>
        <v>CR1</v>
      </c>
      <c r="I131" s="122" t="s">
        <v>1575</v>
      </c>
      <c r="J131" s="122" t="s">
        <v>1083</v>
      </c>
      <c r="K131" s="122" t="s">
        <v>2057</v>
      </c>
      <c r="L131" s="153" t="str">
        <f t="shared" si="1"/>
        <v>FGHLHN141-2 gi2/0/32</v>
      </c>
      <c r="M131" s="122" t="s">
        <v>1991</v>
      </c>
      <c r="N131" s="122" t="s">
        <v>1988</v>
      </c>
      <c r="O131" s="152"/>
      <c r="P131" s="152">
        <v>300</v>
      </c>
      <c r="Q131" s="156" t="str">
        <f>IF(L131="","",IFERROR(VLOOKUP(UPPER($G131)&amp;"/"&amp;$P131,NETWORKS_TABLE[],MATCH(Q$3,NETWORKS_TABLE[#Headers],0),FALSE),""))</f>
        <v>SERVER</v>
      </c>
      <c r="R131" s="156" t="str">
        <f>IF(B131="","",IFERROR(VLOOKUP(UPPER($G131)&amp;"/"&amp;$P131,NETWORKS_TABLE[],MATCH(R$3,NETWORKS_TABLE[#Headers],0),FALSE),""))</f>
        <v>10.224.100.0/24</v>
      </c>
      <c r="S131" s="188" t="s" cm="1">
        <v>78</v>
      </c>
      <c r="T131" s="152"/>
      <c r="U131" s="152"/>
      <c r="V131" s="155"/>
      <c r="AC131">
        <v>131</v>
      </c>
    </row>
    <row r="132" spans="1:29">
      <c r="A132" s="40"/>
      <c r="B132" s="151" t="s">
        <v>1701</v>
      </c>
      <c r="C132" s="152" t="s">
        <v>2058</v>
      </c>
      <c r="D132" s="118" t="str">
        <f>IF(CONNECTIONS_TABLE[[#This Row],[Device Name]]="","",VLOOKUP(CONNECTIONS_TABLE[[#This Row],[Device Name]],DEVICE_TABLE[#Data],MATCH(D$3,DEVICE_TABLE[#Headers],0),FALSE))</f>
        <v>STORAGE</v>
      </c>
      <c r="E13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TINTRI1/A-DATA (STORAGE)</v>
      </c>
      <c r="F132" s="154"/>
      <c r="G132" s="118" t="str">
        <f>IF(CONNECTIONS_TABLE[[#This Row],[Device Name]]="","",VLOOKUP(CONNECTIONS_TABLE[[#This Row],[Device Name]],DEVICE_TABLE[],MATCH(G$3,DEVICE_TABLE[#Headers],0),FALSE))</f>
        <v>Listerhills</v>
      </c>
      <c r="H132" s="153" t="str">
        <f>IF(B132="","",VLOOKUP(B132,DEVICE_TABLE[#Data],MATCH(H$3,DEVICE_TABLE[#Headers],0),FALSE))</f>
        <v>CR1</v>
      </c>
      <c r="I132" s="122" t="s">
        <v>1575</v>
      </c>
      <c r="J132" s="122" t="s">
        <v>1371</v>
      </c>
      <c r="K132" s="122" t="s">
        <v>1920</v>
      </c>
      <c r="L132" s="153" t="str">
        <f t="shared" si="1"/>
        <v>FGHLHN41-1 twe1/0/21</v>
      </c>
      <c r="M132" s="122" t="s">
        <v>1872</v>
      </c>
      <c r="N132" s="122" t="s">
        <v>1988</v>
      </c>
      <c r="O132" s="152"/>
      <c r="P132" s="152">
        <v>448</v>
      </c>
      <c r="Q132" s="156" t="str">
        <f>IF(L132="","",IFERROR(VLOOKUP(UPPER($G132)&amp;"/"&amp;$P132,NETWORKS_TABLE[],MATCH(Q$3,NETWORKS_TABLE[#Headers],0),FALSE),""))</f>
        <v>TINTRI</v>
      </c>
      <c r="R132" s="156" t="str">
        <f>IF(B132="","",IFERROR(VLOOKUP(UPPER($G132)&amp;"/"&amp;$P132,NETWORKS_TABLE[],MATCH(R$3,NETWORKS_TABLE[#Headers],0),FALSE),""))</f>
        <v>10.224.48.0/24</v>
      </c>
      <c r="S132" s="188" t="s" cm="1">
        <v>2125</v>
      </c>
      <c r="T132" s="152"/>
      <c r="U132" s="152"/>
      <c r="V132" s="155"/>
      <c r="AC132">
        <v>131</v>
      </c>
    </row>
    <row r="133" spans="1:29">
      <c r="A133" s="40"/>
      <c r="B133" s="151" t="s">
        <v>1701</v>
      </c>
      <c r="C133" s="152" t="s">
        <v>2059</v>
      </c>
      <c r="D133" s="118" t="str">
        <f>IF(CONNECTIONS_TABLE[[#This Row],[Device Name]]="","",VLOOKUP(CONNECTIONS_TABLE[[#This Row],[Device Name]],DEVICE_TABLE[#Data],MATCH(D$3,DEVICE_TABLE[#Headers],0),FALSE))</f>
        <v>STORAGE</v>
      </c>
      <c r="E13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TINTRI1/B-MGNT (STORAGE)</v>
      </c>
      <c r="F133" s="154"/>
      <c r="G133" s="118" t="str">
        <f>IF(CONNECTIONS_TABLE[[#This Row],[Device Name]]="","",VLOOKUP(CONNECTIONS_TABLE[[#This Row],[Device Name]],DEVICE_TABLE[],MATCH(G$3,DEVICE_TABLE[#Headers],0),FALSE))</f>
        <v>Listerhills</v>
      </c>
      <c r="H133" s="153" t="str">
        <f>IF(B133="","",VLOOKUP(B133,DEVICE_TABLE[#Data],MATCH(H$3,DEVICE_TABLE[#Headers],0),FALSE))</f>
        <v>CR1</v>
      </c>
      <c r="I133" s="122" t="s">
        <v>1575</v>
      </c>
      <c r="J133" s="122" t="s">
        <v>1073</v>
      </c>
      <c r="K133" s="122" t="s">
        <v>2060</v>
      </c>
      <c r="L133" s="153" t="str">
        <f t="shared" ref="L133:L196" si="2">J133&amp;" "&amp;K133</f>
        <v>FGHLHN141-1 gi1/0/33</v>
      </c>
      <c r="M133" s="122" t="s">
        <v>1991</v>
      </c>
      <c r="N133" s="122" t="s">
        <v>1988</v>
      </c>
      <c r="O133" s="152"/>
      <c r="P133" s="152">
        <v>300</v>
      </c>
      <c r="Q133" s="156" t="str">
        <f>IF(L133="","",IFERROR(VLOOKUP(UPPER($G133)&amp;"/"&amp;$P133,NETWORKS_TABLE[],MATCH(Q$3,NETWORKS_TABLE[#Headers],0),FALSE),""))</f>
        <v>SERVER</v>
      </c>
      <c r="R133" s="156" t="str">
        <f>IF(B133="","",IFERROR(VLOOKUP(UPPER($G133)&amp;"/"&amp;$P133,NETWORKS_TABLE[],MATCH(R$3,NETWORKS_TABLE[#Headers],0),FALSE),""))</f>
        <v>10.224.100.0/24</v>
      </c>
      <c r="S133" s="188" t="s" cm="1">
        <v>1703</v>
      </c>
      <c r="T133" s="152"/>
      <c r="U133" s="152"/>
      <c r="V133" s="155"/>
      <c r="AC133">
        <v>131</v>
      </c>
    </row>
    <row r="134" spans="1:29">
      <c r="A134" s="40"/>
      <c r="B134" s="151" t="s">
        <v>1701</v>
      </c>
      <c r="C134" s="152" t="s">
        <v>2061</v>
      </c>
      <c r="D134" s="118" t="str">
        <f>IF(CONNECTIONS_TABLE[[#This Row],[Device Name]]="","",VLOOKUP(CONNECTIONS_TABLE[[#This Row],[Device Name]],DEVICE_TABLE[#Data],MATCH(D$3,DEVICE_TABLE[#Headers],0),FALSE))</f>
        <v>STORAGE</v>
      </c>
      <c r="E13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TINTRI1/B-MGNT2 (STORAGE)</v>
      </c>
      <c r="F134" s="154"/>
      <c r="G134" s="118" t="str">
        <f>IF(CONNECTIONS_TABLE[[#This Row],[Device Name]]="","",VLOOKUP(CONNECTIONS_TABLE[[#This Row],[Device Name]],DEVICE_TABLE[],MATCH(G$3,DEVICE_TABLE[#Headers],0),FALSE))</f>
        <v>Listerhills</v>
      </c>
      <c r="H134" s="153" t="str">
        <f>IF(B134="","",VLOOKUP(B134,DEVICE_TABLE[#Data],MATCH(H$3,DEVICE_TABLE[#Headers],0),FALSE))</f>
        <v>CR1</v>
      </c>
      <c r="I134" s="122" t="s">
        <v>1575</v>
      </c>
      <c r="J134" s="122" t="s">
        <v>1083</v>
      </c>
      <c r="K134" s="122" t="s">
        <v>2062</v>
      </c>
      <c r="L134" s="153" t="str">
        <f t="shared" si="2"/>
        <v>FGHLHN141-2 gi2/0/33</v>
      </c>
      <c r="M134" s="122" t="s">
        <v>1991</v>
      </c>
      <c r="N134" s="122" t="s">
        <v>1988</v>
      </c>
      <c r="O134" s="152"/>
      <c r="P134" s="152">
        <v>300</v>
      </c>
      <c r="Q134" s="156" t="str">
        <f>IF(L134="","",IFERROR(VLOOKUP(UPPER($G134)&amp;"/"&amp;$P134,NETWORKS_TABLE[],MATCH(Q$3,NETWORKS_TABLE[#Headers],0),FALSE),""))</f>
        <v>SERVER</v>
      </c>
      <c r="R134" s="156" t="str">
        <f>IF(B134="","",IFERROR(VLOOKUP(UPPER($G134)&amp;"/"&amp;$P134,NETWORKS_TABLE[],MATCH(R$3,NETWORKS_TABLE[#Headers],0),FALSE),""))</f>
        <v>10.224.100.0/24</v>
      </c>
      <c r="S134" s="188" t="s" cm="1">
        <v>1703</v>
      </c>
      <c r="T134" s="152"/>
      <c r="U134" s="152"/>
      <c r="V134" s="155"/>
      <c r="AC134">
        <v>131</v>
      </c>
    </row>
    <row r="135" spans="1:29">
      <c r="A135" s="40"/>
      <c r="B135" s="151" t="s">
        <v>1701</v>
      </c>
      <c r="C135" s="152" t="s">
        <v>2063</v>
      </c>
      <c r="D135" s="118" t="str">
        <f>IF(CONNECTIONS_TABLE[[#This Row],[Device Name]]="","",VLOOKUP(CONNECTIONS_TABLE[[#This Row],[Device Name]],DEVICE_TABLE[#Data],MATCH(D$3,DEVICE_TABLE[#Headers],0),FALSE))</f>
        <v>STORAGE</v>
      </c>
      <c r="E13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TINTRI1/B-REPL (STORAGE)</v>
      </c>
      <c r="F135" s="154"/>
      <c r="G135" s="118" t="str">
        <f>IF(CONNECTIONS_TABLE[[#This Row],[Device Name]]="","",VLOOKUP(CONNECTIONS_TABLE[[#This Row],[Device Name]],DEVICE_TABLE[],MATCH(G$3,DEVICE_TABLE[#Headers],0),FALSE))</f>
        <v>Listerhills</v>
      </c>
      <c r="H135" s="153" t="str">
        <f>IF(B135="","",VLOOKUP(B135,DEVICE_TABLE[#Data],MATCH(H$3,DEVICE_TABLE[#Headers],0),FALSE))</f>
        <v>CR1</v>
      </c>
      <c r="I135" s="122" t="s">
        <v>1575</v>
      </c>
      <c r="J135" s="122" t="s">
        <v>1073</v>
      </c>
      <c r="K135" s="122" t="s">
        <v>2064</v>
      </c>
      <c r="L135" s="153" t="str">
        <f t="shared" si="2"/>
        <v>FGHLHN141-1 gi1/0/34</v>
      </c>
      <c r="M135" s="122" t="s">
        <v>1991</v>
      </c>
      <c r="N135" s="122" t="s">
        <v>1988</v>
      </c>
      <c r="O135" s="152"/>
      <c r="P135" s="152">
        <v>300</v>
      </c>
      <c r="Q135" s="156" t="str">
        <f>IF(L135="","",IFERROR(VLOOKUP(UPPER($G135)&amp;"/"&amp;$P135,NETWORKS_TABLE[],MATCH(Q$3,NETWORKS_TABLE[#Headers],0),FALSE),""))</f>
        <v>SERVER</v>
      </c>
      <c r="R135" s="156" t="str">
        <f>IF(B135="","",IFERROR(VLOOKUP(UPPER($G135)&amp;"/"&amp;$P135,NETWORKS_TABLE[],MATCH(R$3,NETWORKS_TABLE[#Headers],0),FALSE),""))</f>
        <v>10.224.100.0/24</v>
      </c>
      <c r="S135" s="188" t="s" cm="1">
        <v>78</v>
      </c>
      <c r="T135" s="152"/>
      <c r="U135" s="152"/>
      <c r="V135" s="155"/>
      <c r="AC135">
        <v>131</v>
      </c>
    </row>
    <row r="136" spans="1:29">
      <c r="A136" s="40"/>
      <c r="B136" s="151" t="s">
        <v>1701</v>
      </c>
      <c r="C136" s="152" t="s">
        <v>2065</v>
      </c>
      <c r="D136" s="118" t="str">
        <f>IF(CONNECTIONS_TABLE[[#This Row],[Device Name]]="","",VLOOKUP(CONNECTIONS_TABLE[[#This Row],[Device Name]],DEVICE_TABLE[#Data],MATCH(D$3,DEVICE_TABLE[#Headers],0),FALSE))</f>
        <v>STORAGE</v>
      </c>
      <c r="E13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TINTRI1/B-REPL2 (STORAGE)</v>
      </c>
      <c r="F136" s="154"/>
      <c r="G136" s="118" t="str">
        <f>IF(CONNECTIONS_TABLE[[#This Row],[Device Name]]="","",VLOOKUP(CONNECTIONS_TABLE[[#This Row],[Device Name]],DEVICE_TABLE[],MATCH(G$3,DEVICE_TABLE[#Headers],0),FALSE))</f>
        <v>Listerhills</v>
      </c>
      <c r="H136" s="153" t="str">
        <f>IF(B136="","",VLOOKUP(B136,DEVICE_TABLE[#Data],MATCH(H$3,DEVICE_TABLE[#Headers],0),FALSE))</f>
        <v>CR1</v>
      </c>
      <c r="I136" s="122" t="s">
        <v>1575</v>
      </c>
      <c r="J136" s="122" t="s">
        <v>1083</v>
      </c>
      <c r="K136" s="122" t="s">
        <v>2066</v>
      </c>
      <c r="L136" s="153" t="str">
        <f t="shared" si="2"/>
        <v>FGHLHN141-2 gi2/0/34</v>
      </c>
      <c r="M136" s="122" t="s">
        <v>1991</v>
      </c>
      <c r="N136" s="122" t="s">
        <v>1988</v>
      </c>
      <c r="O136" s="152"/>
      <c r="P136" s="152">
        <v>300</v>
      </c>
      <c r="Q136" s="156" t="str">
        <f>IF(L136="","",IFERROR(VLOOKUP(UPPER($G136)&amp;"/"&amp;$P136,NETWORKS_TABLE[],MATCH(Q$3,NETWORKS_TABLE[#Headers],0),FALSE),""))</f>
        <v>SERVER</v>
      </c>
      <c r="R136" s="156" t="str">
        <f>IF(B136="","",IFERROR(VLOOKUP(UPPER($G136)&amp;"/"&amp;$P136,NETWORKS_TABLE[],MATCH(R$3,NETWORKS_TABLE[#Headers],0),FALSE),""))</f>
        <v>10.224.100.0/24</v>
      </c>
      <c r="S136" s="188" t="s" cm="1">
        <v>78</v>
      </c>
      <c r="T136" s="152"/>
      <c r="U136" s="152"/>
      <c r="V136" s="155"/>
      <c r="AC136">
        <v>131</v>
      </c>
    </row>
    <row r="137" spans="1:29">
      <c r="A137" s="40"/>
      <c r="B137" s="151" t="s">
        <v>1701</v>
      </c>
      <c r="C137" s="152" t="s">
        <v>2067</v>
      </c>
      <c r="D137" s="118" t="str">
        <f>IF(CONNECTIONS_TABLE[[#This Row],[Device Name]]="","",VLOOKUP(CONNECTIONS_TABLE[[#This Row],[Device Name]],DEVICE_TABLE[#Data],MATCH(D$3,DEVICE_TABLE[#Headers],0),FALSE))</f>
        <v>STORAGE</v>
      </c>
      <c r="E13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TINTRI1/B-DATA (STORAGE)</v>
      </c>
      <c r="F137" s="154"/>
      <c r="G137" s="118" t="str">
        <f>IF(CONNECTIONS_TABLE[[#This Row],[Device Name]]="","",VLOOKUP(CONNECTIONS_TABLE[[#This Row],[Device Name]],DEVICE_TABLE[],MATCH(G$3,DEVICE_TABLE[#Headers],0),FALSE))</f>
        <v>Listerhills</v>
      </c>
      <c r="H137" s="153" t="str">
        <f>IF(B137="","",VLOOKUP(B137,DEVICE_TABLE[#Data],MATCH(H$3,DEVICE_TABLE[#Headers],0),FALSE))</f>
        <v>CR1</v>
      </c>
      <c r="I137" s="122" t="s">
        <v>1575</v>
      </c>
      <c r="J137" s="122" t="s">
        <v>1375</v>
      </c>
      <c r="K137" s="122" t="s">
        <v>1924</v>
      </c>
      <c r="L137" s="153" t="str">
        <f t="shared" si="2"/>
        <v>FGHLHN41-2 twe2/0/21</v>
      </c>
      <c r="M137" s="122" t="s">
        <v>1872</v>
      </c>
      <c r="N137" s="122" t="s">
        <v>1988</v>
      </c>
      <c r="O137" s="152"/>
      <c r="P137" s="152">
        <v>448</v>
      </c>
      <c r="Q137" s="156" t="str">
        <f>IF(L137="","",IFERROR(VLOOKUP(UPPER($G137)&amp;"/"&amp;$P137,NETWORKS_TABLE[],MATCH(Q$3,NETWORKS_TABLE[#Headers],0),FALSE),""))</f>
        <v>TINTRI</v>
      </c>
      <c r="R137" s="156" t="str">
        <f>IF(B137="","",IFERROR(VLOOKUP(UPPER($G137)&amp;"/"&amp;$P137,NETWORKS_TABLE[],MATCH(R$3,NETWORKS_TABLE[#Headers],0),FALSE),""))</f>
        <v>10.224.48.0/24</v>
      </c>
      <c r="S137" s="188" t="s" cm="1">
        <v>2125</v>
      </c>
      <c r="T137" s="152"/>
      <c r="U137" s="152"/>
      <c r="V137" s="155"/>
      <c r="AC137">
        <v>131</v>
      </c>
    </row>
    <row r="138" spans="1:29">
      <c r="A138" s="40"/>
      <c r="B138" s="151"/>
      <c r="C138" s="152"/>
      <c r="D138" s="118" t="str">
        <f>IF(CONNECTIONS_TABLE[[#This Row],[Device Name]]="","",VLOOKUP(CONNECTIONS_TABLE[[#This Row],[Device Name]],DEVICE_TABLE[#Data],MATCH(D$3,DEVICE_TABLE[#Headers],0),FALSE))</f>
        <v/>
      </c>
      <c r="E13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38" s="154"/>
      <c r="G138" s="118" t="str">
        <f>IF(CONNECTIONS_TABLE[[#This Row],[Device Name]]="","",VLOOKUP(CONNECTIONS_TABLE[[#This Row],[Device Name]],DEVICE_TABLE[],MATCH(G$3,DEVICE_TABLE[#Headers],0),FALSE))</f>
        <v/>
      </c>
      <c r="H138" s="153" t="str">
        <f>IF(B138="","",VLOOKUP(B138,DEVICE_TABLE[#Data],MATCH(H$3,DEVICE_TABLE[#Headers],0),FALSE))</f>
        <v/>
      </c>
      <c r="I138" s="122"/>
      <c r="J138" s="122"/>
      <c r="K138" s="122"/>
      <c r="L138" s="153" t="str">
        <f t="shared" si="2"/>
        <v xml:space="preserve"> </v>
      </c>
      <c r="M138" s="122"/>
      <c r="N138" s="122"/>
      <c r="O138" s="152"/>
      <c r="P138" s="152"/>
      <c r="Q138" s="156" t="str">
        <f>IF(L138="","",IFERROR(VLOOKUP(UPPER($G138)&amp;"/"&amp;$P138,NETWORKS_TABLE[],MATCH(Q$3,NETWORKS_TABLE[#Headers],0),FALSE),""))</f>
        <v/>
      </c>
      <c r="R138" s="156" t="str">
        <f>IF(B138="","",IFERROR(VLOOKUP(UPPER($G138)&amp;"/"&amp;$P138,NETWORKS_TABLE[],MATCH(R$3,NETWORKS_TABLE[#Headers],0),FALSE),""))</f>
        <v/>
      </c>
      <c r="S138" s="188" t="s" cm="1">
        <v>78</v>
      </c>
      <c r="T138" s="152"/>
      <c r="U138" s="152"/>
      <c r="V138" s="155"/>
      <c r="AC138" t="s">
        <v>78</v>
      </c>
    </row>
    <row r="139" spans="1:29">
      <c r="A139" s="40"/>
      <c r="B139" s="151" t="s">
        <v>1688</v>
      </c>
      <c r="C139" s="152" t="s">
        <v>2068</v>
      </c>
      <c r="D139" s="118" t="str">
        <f>IF(CONNECTIONS_TABLE[[#This Row],[Device Name]]="","",VLOOKUP(CONNECTIONS_TABLE[[#This Row],[Device Name]],DEVICE_TABLE[#Data],MATCH(D$3,DEVICE_TABLE[#Headers],0),FALSE))</f>
        <v>STORAGE</v>
      </c>
      <c r="E13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FGHNFS05/ILO (STORAGE)</v>
      </c>
      <c r="F139" s="154"/>
      <c r="G139" s="118" t="str">
        <f>IF(CONNECTIONS_TABLE[[#This Row],[Device Name]]="","",VLOOKUP(CONNECTIONS_TABLE[[#This Row],[Device Name]],DEVICE_TABLE[],MATCH(G$3,DEVICE_TABLE[#Headers],0),FALSE))</f>
        <v>Listerhills</v>
      </c>
      <c r="H139" s="153" t="str">
        <f>IF(B139="","",VLOOKUP(B139,DEVICE_TABLE[#Data],MATCH(H$3,DEVICE_TABLE[#Headers],0),FALSE))</f>
        <v>CR1</v>
      </c>
      <c r="I139" s="122" t="s">
        <v>1575</v>
      </c>
      <c r="J139" s="122" t="s">
        <v>1083</v>
      </c>
      <c r="K139" s="122" t="s">
        <v>2069</v>
      </c>
      <c r="L139" s="153" t="str">
        <f t="shared" si="2"/>
        <v>FGHLHN141-2 gi2/0/2</v>
      </c>
      <c r="M139" s="122" t="s">
        <v>1991</v>
      </c>
      <c r="N139" s="122" t="s">
        <v>1988</v>
      </c>
      <c r="O139" s="152"/>
      <c r="P139" s="152">
        <v>220</v>
      </c>
      <c r="Q139" s="156" t="str">
        <f>IF(L139="","",IFERROR(VLOOKUP(UPPER($G139)&amp;"/"&amp;$P139,NETWORKS_TABLE[],MATCH(Q$3,NETWORKS_TABLE[#Headers],0),FALSE),""))</f>
        <v>VIRTUALMGNT</v>
      </c>
      <c r="R139" s="156" t="str">
        <f>IF(B139="","",IFERROR(VLOOKUP(UPPER($G139)&amp;"/"&amp;$P139,NETWORKS_TABLE[],MATCH(R$3,NETWORKS_TABLE[#Headers],0),FALSE),""))</f>
        <v>10.224.20.0/24</v>
      </c>
      <c r="S139" s="188" t="s" cm="1">
        <v>1692</v>
      </c>
      <c r="T139" s="152"/>
      <c r="U139" s="152"/>
      <c r="V139" s="155"/>
      <c r="AC139" t="s">
        <v>1691</v>
      </c>
    </row>
    <row r="140" spans="1:29">
      <c r="A140" s="40"/>
      <c r="B140" s="151" t="s">
        <v>1688</v>
      </c>
      <c r="C140" s="152" t="s">
        <v>2018</v>
      </c>
      <c r="D140" s="118" t="str">
        <f>IF(CONNECTIONS_TABLE[[#This Row],[Device Name]]="","",VLOOKUP(CONNECTIONS_TABLE[[#This Row],[Device Name]],DEVICE_TABLE[#Data],MATCH(D$3,DEVICE_TABLE[#Headers],0),FALSE))</f>
        <v>STORAGE</v>
      </c>
      <c r="E14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FGHNFS05/MGNT (STORAGE)</v>
      </c>
      <c r="F140" s="154"/>
      <c r="G140" s="118" t="str">
        <f>IF(CONNECTIONS_TABLE[[#This Row],[Device Name]]="","",VLOOKUP(CONNECTIONS_TABLE[[#This Row],[Device Name]],DEVICE_TABLE[],MATCH(G$3,DEVICE_TABLE[#Headers],0),FALSE))</f>
        <v>Listerhills</v>
      </c>
      <c r="H140" s="153" t="str">
        <f>IF(B140="","",VLOOKUP(B140,DEVICE_TABLE[#Data],MATCH(H$3,DEVICE_TABLE[#Headers],0),FALSE))</f>
        <v>CR1</v>
      </c>
      <c r="I140" s="122" t="s">
        <v>1575</v>
      </c>
      <c r="J140" s="122" t="s">
        <v>1371</v>
      </c>
      <c r="K140" s="122" t="s">
        <v>2070</v>
      </c>
      <c r="L140" s="153" t="str">
        <f t="shared" si="2"/>
        <v>FGHLHN41-1 twe1/0/40</v>
      </c>
      <c r="M140" s="122" t="s">
        <v>1872</v>
      </c>
      <c r="N140" s="122" t="s">
        <v>1988</v>
      </c>
      <c r="O140" s="152"/>
      <c r="P140" s="152">
        <v>220</v>
      </c>
      <c r="Q140" s="156" t="str">
        <f>IF(L140="","",IFERROR(VLOOKUP(UPPER($G140)&amp;"/"&amp;$P140,NETWORKS_TABLE[],MATCH(Q$3,NETWORKS_TABLE[#Headers],0),FALSE),""))</f>
        <v>VIRTUALMGNT</v>
      </c>
      <c r="R140" s="156" t="str">
        <f>IF(B140="","",IFERROR(VLOOKUP(UPPER($G140)&amp;"/"&amp;$P140,NETWORKS_TABLE[],MATCH(R$3,NETWORKS_TABLE[#Headers],0),FALSE),""))</f>
        <v>10.224.20.0/24</v>
      </c>
      <c r="S140" s="188" t="s" cm="1">
        <v>1692</v>
      </c>
      <c r="T140" s="152"/>
      <c r="U140" s="152"/>
      <c r="V140" s="155"/>
      <c r="AC140" t="s">
        <v>1691</v>
      </c>
    </row>
    <row r="141" spans="1:29">
      <c r="A141" s="40"/>
      <c r="B141" s="151" t="s">
        <v>1688</v>
      </c>
      <c r="C141" s="152" t="s">
        <v>2034</v>
      </c>
      <c r="D141" s="118" t="str">
        <f>IF(CONNECTIONS_TABLE[[#This Row],[Device Name]]="","",VLOOKUP(CONNECTIONS_TABLE[[#This Row],[Device Name]],DEVICE_TABLE[#Data],MATCH(D$3,DEVICE_TABLE[#Headers],0),FALSE))</f>
        <v>STORAGE</v>
      </c>
      <c r="E14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FGHNFS05/DATA (STORAGE)</v>
      </c>
      <c r="F141" s="154"/>
      <c r="G141" s="118" t="str">
        <f>IF(CONNECTIONS_TABLE[[#This Row],[Device Name]]="","",VLOOKUP(CONNECTIONS_TABLE[[#This Row],[Device Name]],DEVICE_TABLE[],MATCH(G$3,DEVICE_TABLE[#Headers],0),FALSE))</f>
        <v>Listerhills</v>
      </c>
      <c r="H141" s="153" t="str">
        <f>IF(B141="","",VLOOKUP(B141,DEVICE_TABLE[#Data],MATCH(H$3,DEVICE_TABLE[#Headers],0),FALSE))</f>
        <v>CR1</v>
      </c>
      <c r="I141" s="122" t="s">
        <v>1575</v>
      </c>
      <c r="J141" s="122" t="s">
        <v>1375</v>
      </c>
      <c r="K141" s="122" t="s">
        <v>2071</v>
      </c>
      <c r="L141" s="153" t="str">
        <f t="shared" si="2"/>
        <v>FGHLHN41-2 twe2/0/40</v>
      </c>
      <c r="M141" s="122" t="s">
        <v>1872</v>
      </c>
      <c r="N141" s="122" t="s">
        <v>1988</v>
      </c>
      <c r="O141" s="152"/>
      <c r="P141" s="152">
        <v>448</v>
      </c>
      <c r="Q141" s="156" t="str">
        <f>IF(L141="","",IFERROR(VLOOKUP(UPPER($G141)&amp;"/"&amp;$P141,NETWORKS_TABLE[],MATCH(Q$3,NETWORKS_TABLE[#Headers],0),FALSE),""))</f>
        <v>TINTRI</v>
      </c>
      <c r="R141" s="156" t="str">
        <f>IF(B141="","",IFERROR(VLOOKUP(UPPER($G141)&amp;"/"&amp;$P141,NETWORKS_TABLE[],MATCH(R$3,NETWORKS_TABLE[#Headers],0),FALSE),""))</f>
        <v>10.224.48.0/24</v>
      </c>
      <c r="S141" s="188" t="s" cm="1">
        <v>2126</v>
      </c>
      <c r="T141" s="152"/>
      <c r="U141" s="152"/>
      <c r="V141" s="155"/>
      <c r="AC141" t="s">
        <v>1691</v>
      </c>
    </row>
    <row r="142" spans="1:29">
      <c r="A142" s="40"/>
      <c r="B142" s="151"/>
      <c r="C142" s="152"/>
      <c r="D142" s="118" t="str">
        <f>IF(CONNECTIONS_TABLE[[#This Row],[Device Name]]="","",VLOOKUP(CONNECTIONS_TABLE[[#This Row],[Device Name]],DEVICE_TABLE[#Data],MATCH(D$3,DEVICE_TABLE[#Headers],0),FALSE))</f>
        <v/>
      </c>
      <c r="E14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42" s="154"/>
      <c r="G142" s="118" t="str">
        <f>IF(CONNECTIONS_TABLE[[#This Row],[Device Name]]="","",VLOOKUP(CONNECTIONS_TABLE[[#This Row],[Device Name]],DEVICE_TABLE[],MATCH(G$3,DEVICE_TABLE[#Headers],0),FALSE))</f>
        <v/>
      </c>
      <c r="H142" s="153" t="str">
        <f>IF(B142="","",VLOOKUP(B142,DEVICE_TABLE[#Data],MATCH(H$3,DEVICE_TABLE[#Headers],0),FALSE))</f>
        <v/>
      </c>
      <c r="I142" s="122"/>
      <c r="J142" s="122"/>
      <c r="K142" s="122"/>
      <c r="L142" s="153" t="str">
        <f t="shared" si="2"/>
        <v xml:space="preserve"> </v>
      </c>
      <c r="M142" s="122"/>
      <c r="N142" s="122"/>
      <c r="O142" s="152"/>
      <c r="P142" s="152"/>
      <c r="Q142" s="156" t="str">
        <f>IF(L142="","",IFERROR(VLOOKUP(UPPER($G142)&amp;"/"&amp;$P142,NETWORKS_TABLE[],MATCH(Q$3,NETWORKS_TABLE[#Headers],0),FALSE),""))</f>
        <v/>
      </c>
      <c r="R142" s="156" t="str">
        <f>IF(B142="","",IFERROR(VLOOKUP(UPPER($G142)&amp;"/"&amp;$P142,NETWORKS_TABLE[],MATCH(R$3,NETWORKS_TABLE[#Headers],0),FALSE),""))</f>
        <v/>
      </c>
      <c r="S142" s="188" t="s" cm="1">
        <v>78</v>
      </c>
      <c r="T142" s="152"/>
      <c r="U142" s="152"/>
      <c r="V142" s="155"/>
      <c r="AC142" t="s">
        <v>78</v>
      </c>
    </row>
    <row r="143" spans="1:29">
      <c r="A143" s="40"/>
      <c r="B143" s="151" t="s">
        <v>1675</v>
      </c>
      <c r="C143" s="152" t="s">
        <v>2072</v>
      </c>
      <c r="D143" s="118" t="str">
        <f>IF(CONNECTIONS_TABLE[[#This Row],[Device Name]]="","",VLOOKUP(CONNECTIONS_TABLE[[#This Row],[Device Name]],DEVICE_TABLE[#Data],MATCH(D$3,DEVICE_TABLE[#Headers],0),FALSE))</f>
        <v>BLADE CHASSIS</v>
      </c>
      <c r="E14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FGH-C7K01-M1/Q1-DATA (BLADE CHASSIS)</v>
      </c>
      <c r="F143" s="154"/>
      <c r="G143" s="118" t="str">
        <f>IF(CONNECTIONS_TABLE[[#This Row],[Device Name]]="","",VLOOKUP(CONNECTIONS_TABLE[[#This Row],[Device Name]],DEVICE_TABLE[],MATCH(G$3,DEVICE_TABLE[#Headers],0),FALSE))</f>
        <v>Listerhills</v>
      </c>
      <c r="H143" s="153" t="str">
        <f>IF(B143="","",VLOOKUP(B143,DEVICE_TABLE[#Data],MATCH(H$3,DEVICE_TABLE[#Headers],0),FALSE))</f>
        <v>CR2</v>
      </c>
      <c r="I143" s="122" t="s">
        <v>2003</v>
      </c>
      <c r="J143" s="122" t="s">
        <v>1379</v>
      </c>
      <c r="K143" s="122" t="s">
        <v>2073</v>
      </c>
      <c r="L143" s="153" t="str">
        <f t="shared" si="2"/>
        <v>FGHLHN42-1 hu1/0/50</v>
      </c>
      <c r="M143" s="122" t="s">
        <v>2074</v>
      </c>
      <c r="N143" s="122" t="s">
        <v>1988</v>
      </c>
      <c r="O143" s="152"/>
      <c r="P143" s="152" t="s">
        <v>2075</v>
      </c>
      <c r="Q143" s="156" t="str">
        <f>IF(L143="","",IFERROR(VLOOKUP(UPPER($G143)&amp;"/"&amp;$P143,NETWORKS_TABLE[],MATCH(Q$3,NETWORKS_TABLE[#Headers],0),FALSE),""))</f>
        <v/>
      </c>
      <c r="R143" s="156" t="str">
        <f>IF(B143="","",IFERROR(VLOOKUP(UPPER($G143)&amp;"/"&amp;$P143,NETWORKS_TABLE[],MATCH(R$3,NETWORKS_TABLE[#Headers],0),FALSE),""))</f>
        <v/>
      </c>
      <c r="S143" s="188" t="s" cm="1">
        <v>78</v>
      </c>
      <c r="T143" s="152">
        <v>32</v>
      </c>
      <c r="U143" s="152" t="s">
        <v>2076</v>
      </c>
      <c r="V143" s="155"/>
    </row>
    <row r="144" spans="1:29">
      <c r="A144" s="40"/>
      <c r="B144" s="151" t="s">
        <v>1675</v>
      </c>
      <c r="C144" s="152" t="s">
        <v>2077</v>
      </c>
      <c r="D144" s="118" t="str">
        <f>IF(CONNECTIONS_TABLE[[#This Row],[Device Name]]="","",VLOOKUP(CONNECTIONS_TABLE[[#This Row],[Device Name]],DEVICE_TABLE[#Data],MATCH(D$3,DEVICE_TABLE[#Headers],0),FALSE))</f>
        <v>BLADE CHASSIS</v>
      </c>
      <c r="E14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FGH-C7K01-M1/X1-DATA (BLADE CHASSIS)</v>
      </c>
      <c r="F144" s="154"/>
      <c r="G144" s="118" t="str">
        <f>IF(CONNECTIONS_TABLE[[#This Row],[Device Name]]="","",VLOOKUP(CONNECTIONS_TABLE[[#This Row],[Device Name]],DEVICE_TABLE[],MATCH(G$3,DEVICE_TABLE[#Headers],0),FALSE))</f>
        <v>Listerhills</v>
      </c>
      <c r="H144" s="153" t="str">
        <f>IF(B144="","",VLOOKUP(B144,DEVICE_TABLE[#Data],MATCH(H$3,DEVICE_TABLE[#Headers],0),FALSE))</f>
        <v>CR2</v>
      </c>
      <c r="I144" s="122" t="s">
        <v>2003</v>
      </c>
      <c r="J144" s="122" t="s">
        <v>1379</v>
      </c>
      <c r="K144" s="122" t="s">
        <v>2078</v>
      </c>
      <c r="L144" s="153" t="str">
        <f t="shared" si="2"/>
        <v>FGHLHN42-1 twe1/0/42</v>
      </c>
      <c r="M144" s="122" t="s">
        <v>1872</v>
      </c>
      <c r="N144" s="122" t="s">
        <v>1988</v>
      </c>
      <c r="O144" s="152">
        <v>42</v>
      </c>
      <c r="P144" s="152" t="s">
        <v>2075</v>
      </c>
      <c r="Q144" s="156" t="str">
        <f>IF(L144="","",IFERROR(VLOOKUP(UPPER($G144)&amp;"/"&amp;$P144,NETWORKS_TABLE[],MATCH(Q$3,NETWORKS_TABLE[#Headers],0),FALSE),""))</f>
        <v/>
      </c>
      <c r="R144" s="156" t="str">
        <f>IF(B144="","",IFERROR(VLOOKUP(UPPER($G144)&amp;"/"&amp;$P144,NETWORKS_TABLE[],MATCH(R$3,NETWORKS_TABLE[#Headers],0),FALSE),""))</f>
        <v/>
      </c>
      <c r="S144" s="188" t="s" cm="1">
        <v>78</v>
      </c>
      <c r="T144" s="152">
        <v>32</v>
      </c>
      <c r="U144" s="152" t="s">
        <v>2076</v>
      </c>
      <c r="V144" s="155"/>
    </row>
    <row r="145" spans="1:29">
      <c r="A145" s="40"/>
      <c r="B145" s="151" t="s">
        <v>1675</v>
      </c>
      <c r="C145" s="152" t="s">
        <v>2079</v>
      </c>
      <c r="D145" s="118" t="str">
        <f>IF(CONNECTIONS_TABLE[[#This Row],[Device Name]]="","",VLOOKUP(CONNECTIONS_TABLE[[#This Row],[Device Name]],DEVICE_TABLE[#Data],MATCH(D$3,DEVICE_TABLE[#Headers],0),FALSE))</f>
        <v>BLADE CHASSIS</v>
      </c>
      <c r="E14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FGH-C7K01-M1/X2-DATA (BLADE CHASSIS)</v>
      </c>
      <c r="F145" s="154"/>
      <c r="G145" s="118" t="str">
        <f>IF(CONNECTIONS_TABLE[[#This Row],[Device Name]]="","",VLOOKUP(CONNECTIONS_TABLE[[#This Row],[Device Name]],DEVICE_TABLE[],MATCH(G$3,DEVICE_TABLE[#Headers],0),FALSE))</f>
        <v>Listerhills</v>
      </c>
      <c r="H145" s="153" t="str">
        <f>IF(B145="","",VLOOKUP(B145,DEVICE_TABLE[#Data],MATCH(H$3,DEVICE_TABLE[#Headers],0),FALSE))</f>
        <v>CR2</v>
      </c>
      <c r="I145" s="122" t="s">
        <v>2003</v>
      </c>
      <c r="J145" s="122" t="s">
        <v>1383</v>
      </c>
      <c r="K145" s="122" t="s">
        <v>2080</v>
      </c>
      <c r="L145" s="153" t="str">
        <f t="shared" si="2"/>
        <v>FGHLHN42-2 twe2/0/42</v>
      </c>
      <c r="M145" s="122" t="s">
        <v>1872</v>
      </c>
      <c r="N145" s="122" t="s">
        <v>1988</v>
      </c>
      <c r="O145" s="152">
        <v>42</v>
      </c>
      <c r="P145" s="152" t="s">
        <v>2075</v>
      </c>
      <c r="Q145" s="156" t="str">
        <f>IF(L145="","",IFERROR(VLOOKUP(UPPER($G145)&amp;"/"&amp;$P145,NETWORKS_TABLE[],MATCH(Q$3,NETWORKS_TABLE[#Headers],0),FALSE),""))</f>
        <v/>
      </c>
      <c r="R145" s="156" t="str">
        <f>IF(B145="","",IFERROR(VLOOKUP(UPPER($G145)&amp;"/"&amp;$P145,NETWORKS_TABLE[],MATCH(R$3,NETWORKS_TABLE[#Headers],0),FALSE),""))</f>
        <v/>
      </c>
      <c r="S145" s="188" t="s" cm="1">
        <v>78</v>
      </c>
      <c r="T145" s="152">
        <v>32</v>
      </c>
      <c r="U145" s="152" t="s">
        <v>2076</v>
      </c>
      <c r="V145" s="155"/>
    </row>
    <row r="146" spans="1:29">
      <c r="A146" s="40"/>
      <c r="B146" s="151" t="s">
        <v>1675</v>
      </c>
      <c r="C146" s="152" t="s">
        <v>2081</v>
      </c>
      <c r="D146" s="118" t="str">
        <f>IF(CONNECTIONS_TABLE[[#This Row],[Device Name]]="","",VLOOKUP(CONNECTIONS_TABLE[[#This Row],[Device Name]],DEVICE_TABLE[#Data],MATCH(D$3,DEVICE_TABLE[#Headers],0),FALSE))</f>
        <v>BLADE CHASSIS</v>
      </c>
      <c r="E14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FGH-C7K01-M1/X3-PCI (BLADE CHASSIS)</v>
      </c>
      <c r="F146" s="154"/>
      <c r="G146" s="118" t="str">
        <f>IF(CONNECTIONS_TABLE[[#This Row],[Device Name]]="","",VLOOKUP(CONNECTIONS_TABLE[[#This Row],[Device Name]],DEVICE_TABLE[],MATCH(G$3,DEVICE_TABLE[#Headers],0),FALSE))</f>
        <v>Listerhills</v>
      </c>
      <c r="H146" s="153" t="str">
        <f>IF(B146="","",VLOOKUP(B146,DEVICE_TABLE[#Data],MATCH(H$3,DEVICE_TABLE[#Headers],0),FALSE))</f>
        <v>CR2</v>
      </c>
      <c r="I146" s="122" t="s">
        <v>2082</v>
      </c>
      <c r="J146" s="122"/>
      <c r="K146" s="122"/>
      <c r="L146" s="153" t="str">
        <f t="shared" si="2"/>
        <v xml:space="preserve"> </v>
      </c>
      <c r="M146" s="122"/>
      <c r="N146" s="122"/>
      <c r="O146" s="152"/>
      <c r="P146" s="152"/>
      <c r="Q146" s="156" t="str">
        <f>IF(L146="","",IFERROR(VLOOKUP(UPPER($G146)&amp;"/"&amp;$P146,NETWORKS_TABLE[],MATCH(Q$3,NETWORKS_TABLE[#Headers],0),FALSE),""))</f>
        <v/>
      </c>
      <c r="R146" s="156" t="str">
        <f>IF(B146="","",IFERROR(VLOOKUP(UPPER($G146)&amp;"/"&amp;$P146,NETWORKS_TABLE[],MATCH(R$3,NETWORKS_TABLE[#Headers],0),FALSE),""))</f>
        <v/>
      </c>
      <c r="S146" s="188"/>
      <c r="T146" s="152"/>
      <c r="U146" s="152"/>
      <c r="V146" s="155"/>
    </row>
    <row r="147" spans="1:29">
      <c r="A147" s="40"/>
      <c r="B147" s="151" t="s">
        <v>1675</v>
      </c>
      <c r="C147" s="152" t="s">
        <v>2083</v>
      </c>
      <c r="D147" s="118" t="str">
        <f>IF(CONNECTIONS_TABLE[[#This Row],[Device Name]]="","",VLOOKUP(CONNECTIONS_TABLE[[#This Row],[Device Name]],DEVICE_TABLE[#Data],MATCH(D$3,DEVICE_TABLE[#Headers],0),FALSE))</f>
        <v>BLADE CHASSIS</v>
      </c>
      <c r="E14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FGH-C7K01-M1/X4-PCI (BLADE CHASSIS)</v>
      </c>
      <c r="F147" s="154"/>
      <c r="G147" s="118" t="str">
        <f>IF(CONNECTIONS_TABLE[[#This Row],[Device Name]]="","",VLOOKUP(CONNECTIONS_TABLE[[#This Row],[Device Name]],DEVICE_TABLE[],MATCH(G$3,DEVICE_TABLE[#Headers],0),FALSE))</f>
        <v>Listerhills</v>
      </c>
      <c r="H147" s="153" t="str">
        <f>IF(B147="","",VLOOKUP(B147,DEVICE_TABLE[#Data],MATCH(H$3,DEVICE_TABLE[#Headers],0),FALSE))</f>
        <v>CR2</v>
      </c>
      <c r="I147" s="122" t="s">
        <v>2082</v>
      </c>
      <c r="J147" s="122"/>
      <c r="K147" s="122"/>
      <c r="L147" s="153" t="str">
        <f t="shared" si="2"/>
        <v xml:space="preserve"> </v>
      </c>
      <c r="M147" s="122"/>
      <c r="N147" s="122"/>
      <c r="O147" s="152"/>
      <c r="P147" s="152"/>
      <c r="Q147" s="156" t="str">
        <f>IF(L147="","",IFERROR(VLOOKUP(UPPER($G147)&amp;"/"&amp;$P147,NETWORKS_TABLE[],MATCH(Q$3,NETWORKS_TABLE[#Headers],0),FALSE),""))</f>
        <v/>
      </c>
      <c r="R147" s="156" t="str">
        <f>IF(B147="","",IFERROR(VLOOKUP(UPPER($G147)&amp;"/"&amp;$P147,NETWORKS_TABLE[],MATCH(R$3,NETWORKS_TABLE[#Headers],0),FALSE),""))</f>
        <v/>
      </c>
      <c r="S147" s="188"/>
      <c r="T147" s="152"/>
      <c r="U147" s="152"/>
      <c r="V147" s="155"/>
    </row>
    <row r="148" spans="1:29">
      <c r="A148" s="40"/>
      <c r="B148" s="151" t="s">
        <v>1675</v>
      </c>
      <c r="C148" s="152" t="s">
        <v>2084</v>
      </c>
      <c r="D148" s="118" t="str">
        <f>IF(CONNECTIONS_TABLE[[#This Row],[Device Name]]="","",VLOOKUP(CONNECTIONS_TABLE[[#This Row],[Device Name]],DEVICE_TABLE[#Data],MATCH(D$3,DEVICE_TABLE[#Headers],0),FALSE))</f>
        <v>BLADE CHASSIS</v>
      </c>
      <c r="E14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FGH-C7K01-M1/X5-ECOM (BLADE CHASSIS)</v>
      </c>
      <c r="F148" s="154"/>
      <c r="G148" s="118" t="str">
        <f>IF(CONNECTIONS_TABLE[[#This Row],[Device Name]]="","",VLOOKUP(CONNECTIONS_TABLE[[#This Row],[Device Name]],DEVICE_TABLE[],MATCH(G$3,DEVICE_TABLE[#Headers],0),FALSE))</f>
        <v>Listerhills</v>
      </c>
      <c r="H148" s="153" t="str">
        <f>IF(B148="","",VLOOKUP(B148,DEVICE_TABLE[#Data],MATCH(H$3,DEVICE_TABLE[#Headers],0),FALSE))</f>
        <v>CR2</v>
      </c>
      <c r="I148" s="122" t="s">
        <v>2082</v>
      </c>
      <c r="J148" s="122"/>
      <c r="K148" s="122"/>
      <c r="L148" s="153" t="str">
        <f t="shared" si="2"/>
        <v xml:space="preserve"> </v>
      </c>
      <c r="M148" s="122"/>
      <c r="N148" s="122"/>
      <c r="O148" s="152"/>
      <c r="P148" s="152"/>
      <c r="Q148" s="156" t="str">
        <f>IF(L148="","",IFERROR(VLOOKUP(UPPER($G148)&amp;"/"&amp;$P148,NETWORKS_TABLE[],MATCH(Q$3,NETWORKS_TABLE[#Headers],0),FALSE),""))</f>
        <v/>
      </c>
      <c r="R148" s="156" t="str">
        <f>IF(B148="","",IFERROR(VLOOKUP(UPPER($G148)&amp;"/"&amp;$P148,NETWORKS_TABLE[],MATCH(R$3,NETWORKS_TABLE[#Headers],0),FALSE),""))</f>
        <v/>
      </c>
      <c r="S148" s="188"/>
      <c r="T148" s="152"/>
      <c r="U148" s="152"/>
      <c r="V148" s="155"/>
    </row>
    <row r="149" spans="1:29">
      <c r="A149" s="40"/>
      <c r="B149" s="151" t="s">
        <v>1675</v>
      </c>
      <c r="C149" s="152" t="s">
        <v>2085</v>
      </c>
      <c r="D149" s="118" t="str">
        <f>IF(CONNECTIONS_TABLE[[#This Row],[Device Name]]="","",VLOOKUP(CONNECTIONS_TABLE[[#This Row],[Device Name]],DEVICE_TABLE[#Data],MATCH(D$3,DEVICE_TABLE[#Headers],0),FALSE))</f>
        <v>BLADE CHASSIS</v>
      </c>
      <c r="E14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FGH-C7K01-M1/X6-ECOM (BLADE CHASSIS)</v>
      </c>
      <c r="F149" s="154"/>
      <c r="G149" s="118" t="str">
        <f>IF(CONNECTIONS_TABLE[[#This Row],[Device Name]]="","",VLOOKUP(CONNECTIONS_TABLE[[#This Row],[Device Name]],DEVICE_TABLE[],MATCH(G$3,DEVICE_TABLE[#Headers],0),FALSE))</f>
        <v>Listerhills</v>
      </c>
      <c r="H149" s="153" t="str">
        <f>IF(B149="","",VLOOKUP(B149,DEVICE_TABLE[#Data],MATCH(H$3,DEVICE_TABLE[#Headers],0),FALSE))</f>
        <v>CR2</v>
      </c>
      <c r="I149" s="122" t="s">
        <v>2082</v>
      </c>
      <c r="J149" s="122"/>
      <c r="K149" s="122"/>
      <c r="L149" s="153" t="str">
        <f t="shared" si="2"/>
        <v xml:space="preserve"> </v>
      </c>
      <c r="M149" s="122"/>
      <c r="N149" s="122"/>
      <c r="O149" s="152"/>
      <c r="P149" s="152"/>
      <c r="Q149" s="156" t="str">
        <f>IF(L149="","",IFERROR(VLOOKUP(UPPER($G149)&amp;"/"&amp;$P149,NETWORKS_TABLE[],MATCH(Q$3,NETWORKS_TABLE[#Headers],0),FALSE),""))</f>
        <v/>
      </c>
      <c r="R149" s="156" t="str">
        <f>IF(B149="","",IFERROR(VLOOKUP(UPPER($G149)&amp;"/"&amp;$P149,NETWORKS_TABLE[],MATCH(R$3,NETWORKS_TABLE[#Headers],0),FALSE),""))</f>
        <v/>
      </c>
      <c r="S149" s="188"/>
      <c r="T149" s="152"/>
      <c r="U149" s="152"/>
      <c r="V149" s="155"/>
    </row>
    <row r="150" spans="1:29">
      <c r="A150" s="40"/>
      <c r="B150" s="151"/>
      <c r="C150" s="152"/>
      <c r="D150" s="118" t="str">
        <f>IF(CONNECTIONS_TABLE[[#This Row],[Device Name]]="","",VLOOKUP(CONNECTIONS_TABLE[[#This Row],[Device Name]],DEVICE_TABLE[#Data],MATCH(D$3,DEVICE_TABLE[#Headers],0),FALSE))</f>
        <v/>
      </c>
      <c r="E15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50" s="154"/>
      <c r="G150" s="118" t="str">
        <f>IF(CONNECTIONS_TABLE[[#This Row],[Device Name]]="","",VLOOKUP(CONNECTIONS_TABLE[[#This Row],[Device Name]],DEVICE_TABLE[],MATCH(G$3,DEVICE_TABLE[#Headers],0),FALSE))</f>
        <v/>
      </c>
      <c r="H150" s="153" t="str">
        <f>IF(B150="","",VLOOKUP(B150,DEVICE_TABLE[#Data],MATCH(H$3,DEVICE_TABLE[#Headers],0),FALSE))</f>
        <v/>
      </c>
      <c r="I150" s="122"/>
      <c r="J150" s="122"/>
      <c r="K150" s="122"/>
      <c r="L150" s="153" t="str">
        <f t="shared" si="2"/>
        <v xml:space="preserve"> </v>
      </c>
      <c r="M150" s="122"/>
      <c r="N150" s="122"/>
      <c r="O150" s="152"/>
      <c r="P150" s="152"/>
      <c r="Q150" s="156" t="str">
        <f>IF(L150="","",IFERROR(VLOOKUP(UPPER($G150)&amp;"/"&amp;$P150,NETWORKS_TABLE[],MATCH(Q$3,NETWORKS_TABLE[#Headers],0),FALSE),""))</f>
        <v/>
      </c>
      <c r="R150" s="156" t="str">
        <f>IF(B150="","",IFERROR(VLOOKUP(UPPER($G150)&amp;"/"&amp;$P150,NETWORKS_TABLE[],MATCH(R$3,NETWORKS_TABLE[#Headers],0),FALSE),""))</f>
        <v/>
      </c>
      <c r="S150" s="188"/>
      <c r="T150" s="152"/>
      <c r="U150" s="152"/>
      <c r="V150" s="155"/>
      <c r="AC150" t="s">
        <v>78</v>
      </c>
    </row>
    <row r="151" spans="1:29">
      <c r="A151" s="40"/>
      <c r="B151" s="151" t="s">
        <v>1680</v>
      </c>
      <c r="C151" s="152" t="s">
        <v>2072</v>
      </c>
      <c r="D151" s="118" t="str">
        <f>IF(CONNECTIONS_TABLE[[#This Row],[Device Name]]="","",VLOOKUP(CONNECTIONS_TABLE[[#This Row],[Device Name]],DEVICE_TABLE[#Data],MATCH(D$3,DEVICE_TABLE[#Headers],0),FALSE))</f>
        <v>BLADE CHASSIS</v>
      </c>
      <c r="E15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FGH-C7K01-M2/Q1-DATA (BLADE CHASSIS)</v>
      </c>
      <c r="F151" s="154"/>
      <c r="G151" s="118" t="str">
        <f>IF(CONNECTIONS_TABLE[[#This Row],[Device Name]]="","",VLOOKUP(CONNECTIONS_TABLE[[#This Row],[Device Name]],DEVICE_TABLE[],MATCH(G$3,DEVICE_TABLE[#Headers],0),FALSE))</f>
        <v>Listerhills</v>
      </c>
      <c r="H151" s="153" t="str">
        <f>IF(B151="","",VLOOKUP(B151,DEVICE_TABLE[#Data],MATCH(H$3,DEVICE_TABLE[#Headers],0),FALSE))</f>
        <v>CR2</v>
      </c>
      <c r="I151" s="122" t="s">
        <v>2003</v>
      </c>
      <c r="J151" s="122" t="s">
        <v>1383</v>
      </c>
      <c r="K151" s="122" t="s">
        <v>2086</v>
      </c>
      <c r="L151" s="153" t="str">
        <f t="shared" si="2"/>
        <v>FGHLHN42-2 hu2/0/50</v>
      </c>
      <c r="M151" s="122" t="s">
        <v>2074</v>
      </c>
      <c r="N151" s="122" t="s">
        <v>1988</v>
      </c>
      <c r="O151" s="152"/>
      <c r="P151" s="152" t="s">
        <v>2075</v>
      </c>
      <c r="Q151" s="156" t="str">
        <f>IF(L151="","",IFERROR(VLOOKUP(UPPER($G151)&amp;"/"&amp;$P151,NETWORKS_TABLE[],MATCH(Q$3,NETWORKS_TABLE[#Headers],0),FALSE),""))</f>
        <v/>
      </c>
      <c r="R151" s="156" t="str">
        <f>IF(B151="","",IFERROR(VLOOKUP(UPPER($G151)&amp;"/"&amp;$P151,NETWORKS_TABLE[],MATCH(R$3,NETWORKS_TABLE[#Headers],0),FALSE),""))</f>
        <v/>
      </c>
      <c r="S151" s="188"/>
      <c r="T151" s="152">
        <v>32</v>
      </c>
      <c r="U151" s="152" t="s">
        <v>2076</v>
      </c>
      <c r="V151" s="155"/>
    </row>
    <row r="152" spans="1:29">
      <c r="A152" s="40"/>
      <c r="B152" s="151" t="s">
        <v>1680</v>
      </c>
      <c r="C152" s="152" t="s">
        <v>2077</v>
      </c>
      <c r="D152" s="118" t="str">
        <f>IF(CONNECTIONS_TABLE[[#This Row],[Device Name]]="","",VLOOKUP(CONNECTIONS_TABLE[[#This Row],[Device Name]],DEVICE_TABLE[#Data],MATCH(D$3,DEVICE_TABLE[#Headers],0),FALSE))</f>
        <v>BLADE CHASSIS</v>
      </c>
      <c r="E15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FGH-C7K01-M2/X1-DATA (BLADE CHASSIS)</v>
      </c>
      <c r="F152" s="154"/>
      <c r="G152" s="118" t="str">
        <f>IF(CONNECTIONS_TABLE[[#This Row],[Device Name]]="","",VLOOKUP(CONNECTIONS_TABLE[[#This Row],[Device Name]],DEVICE_TABLE[],MATCH(G$3,DEVICE_TABLE[#Headers],0),FALSE))</f>
        <v>Listerhills</v>
      </c>
      <c r="H152" s="153" t="str">
        <f>IF(B152="","",VLOOKUP(B152,DEVICE_TABLE[#Data],MATCH(H$3,DEVICE_TABLE[#Headers],0),FALSE))</f>
        <v>CR2</v>
      </c>
      <c r="I152" s="122" t="s">
        <v>2003</v>
      </c>
      <c r="J152" s="122" t="s">
        <v>1379</v>
      </c>
      <c r="K152" s="122" t="s">
        <v>2087</v>
      </c>
      <c r="L152" s="153" t="str">
        <f t="shared" si="2"/>
        <v>FGHLHN42-1 twe1/0/43</v>
      </c>
      <c r="M152" s="122" t="s">
        <v>1872</v>
      </c>
      <c r="N152" s="122" t="s">
        <v>1988</v>
      </c>
      <c r="O152" s="152">
        <v>43</v>
      </c>
      <c r="P152" s="152" t="s">
        <v>2075</v>
      </c>
      <c r="Q152" s="156" t="str">
        <f>IF(L152="","",IFERROR(VLOOKUP(UPPER($G152)&amp;"/"&amp;$P152,NETWORKS_TABLE[],MATCH(Q$3,NETWORKS_TABLE[#Headers],0),FALSE),""))</f>
        <v/>
      </c>
      <c r="R152" s="156" t="str">
        <f>IF(B152="","",IFERROR(VLOOKUP(UPPER($G152)&amp;"/"&amp;$P152,NETWORKS_TABLE[],MATCH(R$3,NETWORKS_TABLE[#Headers],0),FALSE),""))</f>
        <v/>
      </c>
      <c r="S152" s="188"/>
      <c r="T152" s="152">
        <v>32</v>
      </c>
      <c r="U152" s="152" t="s">
        <v>2076</v>
      </c>
      <c r="V152" s="155"/>
    </row>
    <row r="153" spans="1:29">
      <c r="A153" s="40"/>
      <c r="B153" s="151" t="s">
        <v>1680</v>
      </c>
      <c r="C153" s="152" t="s">
        <v>2079</v>
      </c>
      <c r="D153" s="118" t="str">
        <f>IF(CONNECTIONS_TABLE[[#This Row],[Device Name]]="","",VLOOKUP(CONNECTIONS_TABLE[[#This Row],[Device Name]],DEVICE_TABLE[#Data],MATCH(D$3,DEVICE_TABLE[#Headers],0),FALSE))</f>
        <v>BLADE CHASSIS</v>
      </c>
      <c r="E15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FGH-C7K01-M2/X2-DATA (BLADE CHASSIS)</v>
      </c>
      <c r="F153" s="154"/>
      <c r="G153" s="118" t="str">
        <f>IF(CONNECTIONS_TABLE[[#This Row],[Device Name]]="","",VLOOKUP(CONNECTIONS_TABLE[[#This Row],[Device Name]],DEVICE_TABLE[],MATCH(G$3,DEVICE_TABLE[#Headers],0),FALSE))</f>
        <v>Listerhills</v>
      </c>
      <c r="H153" s="153" t="str">
        <f>IF(B153="","",VLOOKUP(B153,DEVICE_TABLE[#Data],MATCH(H$3,DEVICE_TABLE[#Headers],0),FALSE))</f>
        <v>CR2</v>
      </c>
      <c r="I153" s="122" t="s">
        <v>2003</v>
      </c>
      <c r="J153" s="122" t="s">
        <v>1383</v>
      </c>
      <c r="K153" s="122" t="s">
        <v>2088</v>
      </c>
      <c r="L153" s="153" t="str">
        <f t="shared" si="2"/>
        <v>FGHLHN42-2 twe2/0/43</v>
      </c>
      <c r="M153" s="122" t="s">
        <v>1872</v>
      </c>
      <c r="N153" s="122" t="s">
        <v>1988</v>
      </c>
      <c r="O153" s="152">
        <v>43</v>
      </c>
      <c r="P153" s="152" t="s">
        <v>2075</v>
      </c>
      <c r="Q153" s="156" t="str">
        <f>IF(L153="","",IFERROR(VLOOKUP(UPPER($G153)&amp;"/"&amp;$P153,NETWORKS_TABLE[],MATCH(Q$3,NETWORKS_TABLE[#Headers],0),FALSE),""))</f>
        <v/>
      </c>
      <c r="R153" s="156" t="str">
        <f>IF(B153="","",IFERROR(VLOOKUP(UPPER($G153)&amp;"/"&amp;$P153,NETWORKS_TABLE[],MATCH(R$3,NETWORKS_TABLE[#Headers],0),FALSE),""))</f>
        <v/>
      </c>
      <c r="S153" s="188"/>
      <c r="T153" s="152">
        <v>32</v>
      </c>
      <c r="U153" s="152" t="s">
        <v>2076</v>
      </c>
      <c r="V153" s="155"/>
    </row>
    <row r="154" spans="1:29">
      <c r="A154" s="40"/>
      <c r="B154" s="151" t="s">
        <v>1680</v>
      </c>
      <c r="C154" s="152" t="s">
        <v>2081</v>
      </c>
      <c r="D154" s="118" t="str">
        <f>IF(CONNECTIONS_TABLE[[#This Row],[Device Name]]="","",VLOOKUP(CONNECTIONS_TABLE[[#This Row],[Device Name]],DEVICE_TABLE[#Data],MATCH(D$3,DEVICE_TABLE[#Headers],0),FALSE))</f>
        <v>BLADE CHASSIS</v>
      </c>
      <c r="E15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FGH-C7K01-M2/X3-PCI (BLADE CHASSIS)</v>
      </c>
      <c r="F154" s="154"/>
      <c r="G154" s="118" t="str">
        <f>IF(CONNECTIONS_TABLE[[#This Row],[Device Name]]="","",VLOOKUP(CONNECTIONS_TABLE[[#This Row],[Device Name]],DEVICE_TABLE[],MATCH(G$3,DEVICE_TABLE[#Headers],0),FALSE))</f>
        <v>Listerhills</v>
      </c>
      <c r="H154" s="153" t="str">
        <f>IF(B154="","",VLOOKUP(B154,DEVICE_TABLE[#Data],MATCH(H$3,DEVICE_TABLE[#Headers],0),FALSE))</f>
        <v>CR2</v>
      </c>
      <c r="I154" s="122" t="s">
        <v>2082</v>
      </c>
      <c r="J154" s="122"/>
      <c r="K154" s="122"/>
      <c r="L154" s="153" t="str">
        <f t="shared" si="2"/>
        <v xml:space="preserve"> </v>
      </c>
      <c r="M154" s="122"/>
      <c r="N154" s="122"/>
      <c r="O154" s="152"/>
      <c r="P154" s="152"/>
      <c r="Q154" s="156" t="str">
        <f>IF(L154="","",IFERROR(VLOOKUP(UPPER($G154)&amp;"/"&amp;$P154,NETWORKS_TABLE[],MATCH(Q$3,NETWORKS_TABLE[#Headers],0),FALSE),""))</f>
        <v/>
      </c>
      <c r="R154" s="156" t="str">
        <f>IF(B154="","",IFERROR(VLOOKUP(UPPER($G154)&amp;"/"&amp;$P154,NETWORKS_TABLE[],MATCH(R$3,NETWORKS_TABLE[#Headers],0),FALSE),""))</f>
        <v/>
      </c>
      <c r="S154" s="188"/>
      <c r="T154" s="152"/>
      <c r="U154" s="152"/>
      <c r="V154" s="155"/>
    </row>
    <row r="155" spans="1:29">
      <c r="A155" s="40"/>
      <c r="B155" s="151" t="s">
        <v>1680</v>
      </c>
      <c r="C155" s="152" t="s">
        <v>2083</v>
      </c>
      <c r="D155" s="118" t="str">
        <f>IF(CONNECTIONS_TABLE[[#This Row],[Device Name]]="","",VLOOKUP(CONNECTIONS_TABLE[[#This Row],[Device Name]],DEVICE_TABLE[#Data],MATCH(D$3,DEVICE_TABLE[#Headers],0),FALSE))</f>
        <v>BLADE CHASSIS</v>
      </c>
      <c r="E15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FGH-C7K01-M2/X4-PCI (BLADE CHASSIS)</v>
      </c>
      <c r="F155" s="154"/>
      <c r="G155" s="118" t="str">
        <f>IF(CONNECTIONS_TABLE[[#This Row],[Device Name]]="","",VLOOKUP(CONNECTIONS_TABLE[[#This Row],[Device Name]],DEVICE_TABLE[],MATCH(G$3,DEVICE_TABLE[#Headers],0),FALSE))</f>
        <v>Listerhills</v>
      </c>
      <c r="H155" s="153" t="str">
        <f>IF(B155="","",VLOOKUP(B155,DEVICE_TABLE[#Data],MATCH(H$3,DEVICE_TABLE[#Headers],0),FALSE))</f>
        <v>CR2</v>
      </c>
      <c r="I155" s="122" t="s">
        <v>2082</v>
      </c>
      <c r="J155" s="122"/>
      <c r="K155" s="122"/>
      <c r="L155" s="153" t="str">
        <f t="shared" si="2"/>
        <v xml:space="preserve"> </v>
      </c>
      <c r="M155" s="122"/>
      <c r="N155" s="122"/>
      <c r="O155" s="152"/>
      <c r="P155" s="152"/>
      <c r="Q155" s="156" t="str">
        <f>IF(L155="","",IFERROR(VLOOKUP(UPPER($G155)&amp;"/"&amp;$P155,NETWORKS_TABLE[],MATCH(Q$3,NETWORKS_TABLE[#Headers],0),FALSE),""))</f>
        <v/>
      </c>
      <c r="R155" s="156" t="str">
        <f>IF(B155="","",IFERROR(VLOOKUP(UPPER($G155)&amp;"/"&amp;$P155,NETWORKS_TABLE[],MATCH(R$3,NETWORKS_TABLE[#Headers],0),FALSE),""))</f>
        <v/>
      </c>
      <c r="S155" s="188"/>
      <c r="T155" s="152"/>
      <c r="U155" s="152"/>
      <c r="V155" s="155"/>
    </row>
    <row r="156" spans="1:29">
      <c r="A156" s="40"/>
      <c r="B156" s="151" t="s">
        <v>1680</v>
      </c>
      <c r="C156" s="152" t="s">
        <v>2084</v>
      </c>
      <c r="D156" s="118" t="str">
        <f>IF(CONNECTIONS_TABLE[[#This Row],[Device Name]]="","",VLOOKUP(CONNECTIONS_TABLE[[#This Row],[Device Name]],DEVICE_TABLE[#Data],MATCH(D$3,DEVICE_TABLE[#Headers],0),FALSE))</f>
        <v>BLADE CHASSIS</v>
      </c>
      <c r="E15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FGH-C7K01-M2/X5-ECOM (BLADE CHASSIS)</v>
      </c>
      <c r="F156" s="154"/>
      <c r="G156" s="118" t="str">
        <f>IF(CONNECTIONS_TABLE[[#This Row],[Device Name]]="","",VLOOKUP(CONNECTIONS_TABLE[[#This Row],[Device Name]],DEVICE_TABLE[],MATCH(G$3,DEVICE_TABLE[#Headers],0),FALSE))</f>
        <v>Listerhills</v>
      </c>
      <c r="H156" s="153" t="str">
        <f>IF(B156="","",VLOOKUP(B156,DEVICE_TABLE[#Data],MATCH(H$3,DEVICE_TABLE[#Headers],0),FALSE))</f>
        <v>CR2</v>
      </c>
      <c r="I156" s="122" t="s">
        <v>2082</v>
      </c>
      <c r="J156" s="122"/>
      <c r="K156" s="122"/>
      <c r="L156" s="153" t="str">
        <f t="shared" si="2"/>
        <v xml:space="preserve"> </v>
      </c>
      <c r="M156" s="122"/>
      <c r="N156" s="122"/>
      <c r="O156" s="152"/>
      <c r="P156" s="152"/>
      <c r="Q156" s="156" t="str">
        <f>IF(L156="","",IFERROR(VLOOKUP(UPPER($G156)&amp;"/"&amp;$P156,NETWORKS_TABLE[],MATCH(Q$3,NETWORKS_TABLE[#Headers],0),FALSE),""))</f>
        <v/>
      </c>
      <c r="R156" s="156" t="str">
        <f>IF(B156="","",IFERROR(VLOOKUP(UPPER($G156)&amp;"/"&amp;$P156,NETWORKS_TABLE[],MATCH(R$3,NETWORKS_TABLE[#Headers],0),FALSE),""))</f>
        <v/>
      </c>
      <c r="S156" s="188"/>
      <c r="T156" s="152"/>
      <c r="U156" s="152"/>
      <c r="V156" s="155"/>
    </row>
    <row r="157" spans="1:29">
      <c r="A157" s="40"/>
      <c r="B157" s="151" t="s">
        <v>1680</v>
      </c>
      <c r="C157" s="152" t="s">
        <v>2085</v>
      </c>
      <c r="D157" s="118" t="str">
        <f>IF(CONNECTIONS_TABLE[[#This Row],[Device Name]]="","",VLOOKUP(CONNECTIONS_TABLE[[#This Row],[Device Name]],DEVICE_TABLE[#Data],MATCH(D$3,DEVICE_TABLE[#Headers],0),FALSE))</f>
        <v>BLADE CHASSIS</v>
      </c>
      <c r="E15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FGH-C7K01-M2/X6-ECOM (BLADE CHASSIS)</v>
      </c>
      <c r="F157" s="154"/>
      <c r="G157" s="118" t="str">
        <f>IF(CONNECTIONS_TABLE[[#This Row],[Device Name]]="","",VLOOKUP(CONNECTIONS_TABLE[[#This Row],[Device Name]],DEVICE_TABLE[],MATCH(G$3,DEVICE_TABLE[#Headers],0),FALSE))</f>
        <v>Listerhills</v>
      </c>
      <c r="H157" s="153" t="str">
        <f>IF(B157="","",VLOOKUP(B157,DEVICE_TABLE[#Data],MATCH(H$3,DEVICE_TABLE[#Headers],0),FALSE))</f>
        <v>CR2</v>
      </c>
      <c r="I157" s="122" t="s">
        <v>2082</v>
      </c>
      <c r="J157" s="122"/>
      <c r="K157" s="122"/>
      <c r="L157" s="153" t="str">
        <f t="shared" si="2"/>
        <v xml:space="preserve"> </v>
      </c>
      <c r="M157" s="122"/>
      <c r="N157" s="122"/>
      <c r="O157" s="152"/>
      <c r="P157" s="152"/>
      <c r="Q157" s="156" t="str">
        <f>IF(L157="","",IFERROR(VLOOKUP(UPPER($G157)&amp;"/"&amp;$P157,NETWORKS_TABLE[],MATCH(Q$3,NETWORKS_TABLE[#Headers],0),FALSE),""))</f>
        <v/>
      </c>
      <c r="R157" s="156" t="str">
        <f>IF(B157="","",IFERROR(VLOOKUP(UPPER($G157)&amp;"/"&amp;$P157,NETWORKS_TABLE[],MATCH(R$3,NETWORKS_TABLE[#Headers],0),FALSE),""))</f>
        <v/>
      </c>
      <c r="S157" s="188"/>
      <c r="T157" s="152"/>
      <c r="U157" s="152"/>
      <c r="V157" s="155"/>
    </row>
    <row r="158" spans="1:29">
      <c r="A158" s="40"/>
      <c r="B158" s="151"/>
      <c r="C158" s="152"/>
      <c r="D158" s="118" t="str">
        <f>IF(CONNECTIONS_TABLE[[#This Row],[Device Name]]="","",VLOOKUP(CONNECTIONS_TABLE[[#This Row],[Device Name]],DEVICE_TABLE[#Data],MATCH(D$3,DEVICE_TABLE[#Headers],0),FALSE))</f>
        <v/>
      </c>
      <c r="E15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58" s="154"/>
      <c r="G158" s="118" t="str">
        <f>IF(CONNECTIONS_TABLE[[#This Row],[Device Name]]="","",VLOOKUP(CONNECTIONS_TABLE[[#This Row],[Device Name]],DEVICE_TABLE[],MATCH(G$3,DEVICE_TABLE[#Headers],0),FALSE))</f>
        <v/>
      </c>
      <c r="H158" s="153" t="str">
        <f>IF(B158="","",VLOOKUP(B158,DEVICE_TABLE[#Data],MATCH(H$3,DEVICE_TABLE[#Headers],0),FALSE))</f>
        <v/>
      </c>
      <c r="I158" s="122"/>
      <c r="J158" s="122"/>
      <c r="K158" s="122"/>
      <c r="L158" s="153" t="str">
        <f t="shared" si="2"/>
        <v xml:space="preserve"> </v>
      </c>
      <c r="M158" s="122"/>
      <c r="N158" s="122"/>
      <c r="O158" s="152"/>
      <c r="P158" s="152"/>
      <c r="Q158" s="156" t="str">
        <f>IF(L158="","",IFERROR(VLOOKUP(UPPER($G158)&amp;"/"&amp;$P158,NETWORKS_TABLE[],MATCH(Q$3,NETWORKS_TABLE[#Headers],0),FALSE),""))</f>
        <v/>
      </c>
      <c r="R158" s="156" t="str">
        <f>IF(B158="","",IFERROR(VLOOKUP(UPPER($G158)&amp;"/"&amp;$P158,NETWORKS_TABLE[],MATCH(R$3,NETWORKS_TABLE[#Headers],0),FALSE),""))</f>
        <v/>
      </c>
      <c r="S158" s="188"/>
      <c r="T158" s="152"/>
      <c r="U158" s="152"/>
      <c r="V158" s="155"/>
      <c r="AC158" t="s">
        <v>78</v>
      </c>
    </row>
    <row r="159" spans="1:29">
      <c r="A159" s="40"/>
      <c r="B159" s="151" t="s">
        <v>1682</v>
      </c>
      <c r="C159" s="152" t="s">
        <v>2072</v>
      </c>
      <c r="D159" s="118" t="str">
        <f>IF(CONNECTIONS_TABLE[[#This Row],[Device Name]]="","",VLOOKUP(CONNECTIONS_TABLE[[#This Row],[Device Name]],DEVICE_TABLE[#Data],MATCH(D$3,DEVICE_TABLE[#Headers],0),FALSE))</f>
        <v>BLADE CHASSIS</v>
      </c>
      <c r="E15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FGH-C7K02-M1/Q1-DATA (BLADE CHASSIS)</v>
      </c>
      <c r="F159" s="154"/>
      <c r="G159" s="118" t="str">
        <f>IF(CONNECTIONS_TABLE[[#This Row],[Device Name]]="","",VLOOKUP(CONNECTIONS_TABLE[[#This Row],[Device Name]],DEVICE_TABLE[],MATCH(G$3,DEVICE_TABLE[#Headers],0),FALSE))</f>
        <v>Listerhills</v>
      </c>
      <c r="H159" s="153" t="str">
        <f>IF(B159="","",VLOOKUP(B159,DEVICE_TABLE[#Data],MATCH(H$3,DEVICE_TABLE[#Headers],0),FALSE))</f>
        <v>CR1</v>
      </c>
      <c r="I159" s="122" t="s">
        <v>2082</v>
      </c>
      <c r="J159" s="122"/>
      <c r="K159" s="122"/>
      <c r="L159" s="153" t="str">
        <f t="shared" si="2"/>
        <v xml:space="preserve"> </v>
      </c>
      <c r="M159" s="122"/>
      <c r="N159" s="122"/>
      <c r="O159" s="152"/>
      <c r="P159" s="152"/>
      <c r="Q159" s="156" t="str">
        <f>IF(L159="","",IFERROR(VLOOKUP(UPPER($G159)&amp;"/"&amp;$P159,NETWORKS_TABLE[],MATCH(Q$3,NETWORKS_TABLE[#Headers],0),FALSE),""))</f>
        <v/>
      </c>
      <c r="R159" s="156" t="str">
        <f>IF(B159="","",IFERROR(VLOOKUP(UPPER($G159)&amp;"/"&amp;$P159,NETWORKS_TABLE[],MATCH(R$3,NETWORKS_TABLE[#Headers],0),FALSE),""))</f>
        <v/>
      </c>
      <c r="S159" s="188"/>
      <c r="T159" s="152"/>
      <c r="U159" s="152"/>
      <c r="V159" s="155"/>
      <c r="AC159" t="s">
        <v>1683</v>
      </c>
    </row>
    <row r="160" spans="1:29">
      <c r="A160" s="40"/>
      <c r="B160" s="151" t="s">
        <v>1682</v>
      </c>
      <c r="C160" s="152" t="s">
        <v>2077</v>
      </c>
      <c r="D160" s="118" t="str">
        <f>IF(CONNECTIONS_TABLE[[#This Row],[Device Name]]="","",VLOOKUP(CONNECTIONS_TABLE[[#This Row],[Device Name]],DEVICE_TABLE[#Data],MATCH(D$3,DEVICE_TABLE[#Headers],0),FALSE))</f>
        <v>BLADE CHASSIS</v>
      </c>
      <c r="E16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FGH-C7K02-M1/X1-DATA (BLADE CHASSIS)</v>
      </c>
      <c r="F160" s="154"/>
      <c r="G160" s="118" t="str">
        <f>IF(CONNECTIONS_TABLE[[#This Row],[Device Name]]="","",VLOOKUP(CONNECTIONS_TABLE[[#This Row],[Device Name]],DEVICE_TABLE[],MATCH(G$3,DEVICE_TABLE[#Headers],0),FALSE))</f>
        <v>Listerhills</v>
      </c>
      <c r="H160" s="153" t="str">
        <f>IF(B160="","",VLOOKUP(B160,DEVICE_TABLE[#Data],MATCH(H$3,DEVICE_TABLE[#Headers],0),FALSE))</f>
        <v>CR1</v>
      </c>
      <c r="I160" s="122" t="s">
        <v>2003</v>
      </c>
      <c r="J160" s="122" t="s">
        <v>1371</v>
      </c>
      <c r="K160" s="122" t="s">
        <v>2078</v>
      </c>
      <c r="L160" s="153" t="str">
        <f t="shared" si="2"/>
        <v>FGHLHN41-1 twe1/0/42</v>
      </c>
      <c r="M160" s="122" t="s">
        <v>1872</v>
      </c>
      <c r="N160" s="122" t="s">
        <v>1988</v>
      </c>
      <c r="O160" s="152">
        <v>42</v>
      </c>
      <c r="P160" s="152" t="s">
        <v>2075</v>
      </c>
      <c r="Q160" s="156" t="str">
        <f>IF(L160="","",IFERROR(VLOOKUP(UPPER($G160)&amp;"/"&amp;$P160,NETWORKS_TABLE[],MATCH(Q$3,NETWORKS_TABLE[#Headers],0),FALSE),""))</f>
        <v/>
      </c>
      <c r="R160" s="156" t="str">
        <f>IF(B160="","",IFERROR(VLOOKUP(UPPER($G160)&amp;"/"&amp;$P160,NETWORKS_TABLE[],MATCH(R$3,NETWORKS_TABLE[#Headers],0),FALSE),""))</f>
        <v/>
      </c>
      <c r="S160" s="188"/>
      <c r="T160" s="152">
        <v>32</v>
      </c>
      <c r="U160" s="152" t="s">
        <v>2076</v>
      </c>
      <c r="V160" s="155"/>
      <c r="AC160" t="s">
        <v>1683</v>
      </c>
    </row>
    <row r="161" spans="1:29">
      <c r="A161" s="40"/>
      <c r="B161" s="151" t="s">
        <v>1682</v>
      </c>
      <c r="C161" s="152" t="s">
        <v>2079</v>
      </c>
      <c r="D161" s="118" t="str">
        <f>IF(CONNECTIONS_TABLE[[#This Row],[Device Name]]="","",VLOOKUP(CONNECTIONS_TABLE[[#This Row],[Device Name]],DEVICE_TABLE[#Data],MATCH(D$3,DEVICE_TABLE[#Headers],0),FALSE))</f>
        <v>BLADE CHASSIS</v>
      </c>
      <c r="E16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FGH-C7K02-M1/X2-DATA (BLADE CHASSIS)</v>
      </c>
      <c r="F161" s="154"/>
      <c r="G161" s="118" t="str">
        <f>IF(CONNECTIONS_TABLE[[#This Row],[Device Name]]="","",VLOOKUP(CONNECTIONS_TABLE[[#This Row],[Device Name]],DEVICE_TABLE[],MATCH(G$3,DEVICE_TABLE[#Headers],0),FALSE))</f>
        <v>Listerhills</v>
      </c>
      <c r="H161" s="153" t="str">
        <f>IF(B161="","",VLOOKUP(B161,DEVICE_TABLE[#Data],MATCH(H$3,DEVICE_TABLE[#Headers],0),FALSE))</f>
        <v>CR1</v>
      </c>
      <c r="I161" s="122" t="s">
        <v>2003</v>
      </c>
      <c r="J161" s="122" t="s">
        <v>1375</v>
      </c>
      <c r="K161" s="122" t="s">
        <v>2080</v>
      </c>
      <c r="L161" s="153" t="str">
        <f t="shared" si="2"/>
        <v>FGHLHN41-2 twe2/0/42</v>
      </c>
      <c r="M161" s="122" t="s">
        <v>1872</v>
      </c>
      <c r="N161" s="122" t="s">
        <v>1988</v>
      </c>
      <c r="O161" s="152">
        <v>42</v>
      </c>
      <c r="P161" s="152" t="s">
        <v>2075</v>
      </c>
      <c r="Q161" s="156" t="str">
        <f>IF(L161="","",IFERROR(VLOOKUP(UPPER($G161)&amp;"/"&amp;$P161,NETWORKS_TABLE[],MATCH(Q$3,NETWORKS_TABLE[#Headers],0),FALSE),""))</f>
        <v/>
      </c>
      <c r="R161" s="156" t="str">
        <f>IF(B161="","",IFERROR(VLOOKUP(UPPER($G161)&amp;"/"&amp;$P161,NETWORKS_TABLE[],MATCH(R$3,NETWORKS_TABLE[#Headers],0),FALSE),""))</f>
        <v/>
      </c>
      <c r="S161" s="188"/>
      <c r="T161" s="152">
        <v>32</v>
      </c>
      <c r="U161" s="152" t="s">
        <v>2076</v>
      </c>
      <c r="V161" s="155"/>
      <c r="AC161" t="s">
        <v>1683</v>
      </c>
    </row>
    <row r="162" spans="1:29">
      <c r="A162" s="40"/>
      <c r="B162" s="151" t="s">
        <v>1682</v>
      </c>
      <c r="C162" s="152" t="s">
        <v>2081</v>
      </c>
      <c r="D162" s="118" t="str">
        <f>IF(CONNECTIONS_TABLE[[#This Row],[Device Name]]="","",VLOOKUP(CONNECTIONS_TABLE[[#This Row],[Device Name]],DEVICE_TABLE[#Data],MATCH(D$3,DEVICE_TABLE[#Headers],0),FALSE))</f>
        <v>BLADE CHASSIS</v>
      </c>
      <c r="E16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FGH-C7K02-M1/X3-PCI (BLADE CHASSIS)</v>
      </c>
      <c r="F162" s="154"/>
      <c r="G162" s="118" t="str">
        <f>IF(CONNECTIONS_TABLE[[#This Row],[Device Name]]="","",VLOOKUP(CONNECTIONS_TABLE[[#This Row],[Device Name]],DEVICE_TABLE[],MATCH(G$3,DEVICE_TABLE[#Headers],0),FALSE))</f>
        <v>Listerhills</v>
      </c>
      <c r="H162" s="153" t="str">
        <f>IF(B162="","",VLOOKUP(B162,DEVICE_TABLE[#Data],MATCH(H$3,DEVICE_TABLE[#Headers],0),FALSE))</f>
        <v>CR1</v>
      </c>
      <c r="I162" s="122" t="s">
        <v>2082</v>
      </c>
      <c r="J162" s="122"/>
      <c r="K162" s="122"/>
      <c r="L162" s="153" t="str">
        <f t="shared" si="2"/>
        <v xml:space="preserve"> </v>
      </c>
      <c r="M162" s="122"/>
      <c r="N162" s="122"/>
      <c r="O162" s="152"/>
      <c r="P162" s="152"/>
      <c r="Q162" s="156" t="str">
        <f>IF(L162="","",IFERROR(VLOOKUP(UPPER($G162)&amp;"/"&amp;$P162,NETWORKS_TABLE[],MATCH(Q$3,NETWORKS_TABLE[#Headers],0),FALSE),""))</f>
        <v/>
      </c>
      <c r="R162" s="156" t="str">
        <f>IF(B162="","",IFERROR(VLOOKUP(UPPER($G162)&amp;"/"&amp;$P162,NETWORKS_TABLE[],MATCH(R$3,NETWORKS_TABLE[#Headers],0),FALSE),""))</f>
        <v/>
      </c>
      <c r="S162" s="188"/>
      <c r="T162" s="152"/>
      <c r="U162" s="152"/>
      <c r="V162" s="155"/>
      <c r="AC162" t="s">
        <v>1683</v>
      </c>
    </row>
    <row r="163" spans="1:29">
      <c r="A163" s="40"/>
      <c r="B163" s="151" t="s">
        <v>1682</v>
      </c>
      <c r="C163" s="152" t="s">
        <v>2083</v>
      </c>
      <c r="D163" s="118" t="str">
        <f>IF(CONNECTIONS_TABLE[[#This Row],[Device Name]]="","",VLOOKUP(CONNECTIONS_TABLE[[#This Row],[Device Name]],DEVICE_TABLE[#Data],MATCH(D$3,DEVICE_TABLE[#Headers],0),FALSE))</f>
        <v>BLADE CHASSIS</v>
      </c>
      <c r="E16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FGH-C7K02-M1/X4-PCI (BLADE CHASSIS)</v>
      </c>
      <c r="F163" s="154"/>
      <c r="G163" s="118" t="str">
        <f>IF(CONNECTIONS_TABLE[[#This Row],[Device Name]]="","",VLOOKUP(CONNECTIONS_TABLE[[#This Row],[Device Name]],DEVICE_TABLE[],MATCH(G$3,DEVICE_TABLE[#Headers],0),FALSE))</f>
        <v>Listerhills</v>
      </c>
      <c r="H163" s="153" t="str">
        <f>IF(B163="","",VLOOKUP(B163,DEVICE_TABLE[#Data],MATCH(H$3,DEVICE_TABLE[#Headers],0),FALSE))</f>
        <v>CR1</v>
      </c>
      <c r="I163" s="122" t="s">
        <v>2082</v>
      </c>
      <c r="J163" s="122"/>
      <c r="K163" s="122"/>
      <c r="L163" s="153" t="str">
        <f t="shared" si="2"/>
        <v xml:space="preserve"> </v>
      </c>
      <c r="M163" s="122"/>
      <c r="N163" s="122"/>
      <c r="O163" s="152"/>
      <c r="P163" s="152"/>
      <c r="Q163" s="156" t="str">
        <f>IF(L163="","",IFERROR(VLOOKUP(UPPER($G163)&amp;"/"&amp;$P163,NETWORKS_TABLE[],MATCH(Q$3,NETWORKS_TABLE[#Headers],0),FALSE),""))</f>
        <v/>
      </c>
      <c r="R163" s="156" t="str">
        <f>IF(B163="","",IFERROR(VLOOKUP(UPPER($G163)&amp;"/"&amp;$P163,NETWORKS_TABLE[],MATCH(R$3,NETWORKS_TABLE[#Headers],0),FALSE),""))</f>
        <v/>
      </c>
      <c r="S163" s="188"/>
      <c r="T163" s="152"/>
      <c r="U163" s="152"/>
      <c r="V163" s="155"/>
      <c r="AC163" t="s">
        <v>1683</v>
      </c>
    </row>
    <row r="164" spans="1:29">
      <c r="A164" s="40"/>
      <c r="B164" s="151" t="s">
        <v>1682</v>
      </c>
      <c r="C164" s="152" t="s">
        <v>2084</v>
      </c>
      <c r="D164" s="118" t="str">
        <f>IF(CONNECTIONS_TABLE[[#This Row],[Device Name]]="","",VLOOKUP(CONNECTIONS_TABLE[[#This Row],[Device Name]],DEVICE_TABLE[#Data],MATCH(D$3,DEVICE_TABLE[#Headers],0),FALSE))</f>
        <v>BLADE CHASSIS</v>
      </c>
      <c r="E16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FGH-C7K02-M1/X5-ECOM (BLADE CHASSIS)</v>
      </c>
      <c r="F164" s="154"/>
      <c r="G164" s="118" t="str">
        <f>IF(CONNECTIONS_TABLE[[#This Row],[Device Name]]="","",VLOOKUP(CONNECTIONS_TABLE[[#This Row],[Device Name]],DEVICE_TABLE[],MATCH(G$3,DEVICE_TABLE[#Headers],0),FALSE))</f>
        <v>Listerhills</v>
      </c>
      <c r="H164" s="153" t="str">
        <f>IF(B164="","",VLOOKUP(B164,DEVICE_TABLE[#Data],MATCH(H$3,DEVICE_TABLE[#Headers],0),FALSE))</f>
        <v>CR1</v>
      </c>
      <c r="I164" s="122" t="s">
        <v>2082</v>
      </c>
      <c r="J164" s="122"/>
      <c r="K164" s="122"/>
      <c r="L164" s="153" t="str">
        <f t="shared" si="2"/>
        <v xml:space="preserve"> </v>
      </c>
      <c r="M164" s="122"/>
      <c r="N164" s="122"/>
      <c r="O164" s="152"/>
      <c r="P164" s="152"/>
      <c r="Q164" s="156" t="str">
        <f>IF(L164="","",IFERROR(VLOOKUP(UPPER($G164)&amp;"/"&amp;$P164,NETWORKS_TABLE[],MATCH(Q$3,NETWORKS_TABLE[#Headers],0),FALSE),""))</f>
        <v/>
      </c>
      <c r="R164" s="156" t="str">
        <f>IF(B164="","",IFERROR(VLOOKUP(UPPER($G164)&amp;"/"&amp;$P164,NETWORKS_TABLE[],MATCH(R$3,NETWORKS_TABLE[#Headers],0),FALSE),""))</f>
        <v/>
      </c>
      <c r="S164" s="188"/>
      <c r="T164" s="152"/>
      <c r="U164" s="152"/>
      <c r="V164" s="155"/>
      <c r="AC164" t="s">
        <v>1683</v>
      </c>
    </row>
    <row r="165" spans="1:29">
      <c r="A165" s="40"/>
      <c r="B165" s="151" t="s">
        <v>1682</v>
      </c>
      <c r="C165" s="152" t="s">
        <v>2085</v>
      </c>
      <c r="D165" s="118" t="str">
        <f>IF(CONNECTIONS_TABLE[[#This Row],[Device Name]]="","",VLOOKUP(CONNECTIONS_TABLE[[#This Row],[Device Name]],DEVICE_TABLE[#Data],MATCH(D$3,DEVICE_TABLE[#Headers],0),FALSE))</f>
        <v>BLADE CHASSIS</v>
      </c>
      <c r="E16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FGH-C7K02-M1/X6-ECOM (BLADE CHASSIS)</v>
      </c>
      <c r="F165" s="154"/>
      <c r="G165" s="118" t="str">
        <f>IF(CONNECTIONS_TABLE[[#This Row],[Device Name]]="","",VLOOKUP(CONNECTIONS_TABLE[[#This Row],[Device Name]],DEVICE_TABLE[],MATCH(G$3,DEVICE_TABLE[#Headers],0),FALSE))</f>
        <v>Listerhills</v>
      </c>
      <c r="H165" s="153" t="str">
        <f>IF(B165="","",VLOOKUP(B165,DEVICE_TABLE[#Data],MATCH(H$3,DEVICE_TABLE[#Headers],0),FALSE))</f>
        <v>CR1</v>
      </c>
      <c r="I165" s="122" t="s">
        <v>2082</v>
      </c>
      <c r="J165" s="122"/>
      <c r="K165" s="122"/>
      <c r="L165" s="153" t="str">
        <f t="shared" si="2"/>
        <v xml:space="preserve"> </v>
      </c>
      <c r="M165" s="122"/>
      <c r="N165" s="122"/>
      <c r="O165" s="152"/>
      <c r="P165" s="152"/>
      <c r="Q165" s="156" t="str">
        <f>IF(L165="","",IFERROR(VLOOKUP(UPPER($G165)&amp;"/"&amp;$P165,NETWORKS_TABLE[],MATCH(Q$3,NETWORKS_TABLE[#Headers],0),FALSE),""))</f>
        <v/>
      </c>
      <c r="R165" s="156" t="str">
        <f>IF(B165="","",IFERROR(VLOOKUP(UPPER($G165)&amp;"/"&amp;$P165,NETWORKS_TABLE[],MATCH(R$3,NETWORKS_TABLE[#Headers],0),FALSE),""))</f>
        <v/>
      </c>
      <c r="S165" s="188"/>
      <c r="T165" s="152"/>
      <c r="U165" s="152"/>
      <c r="V165" s="155"/>
      <c r="AC165" t="s">
        <v>1683</v>
      </c>
    </row>
    <row r="166" spans="1:29">
      <c r="A166" s="40"/>
      <c r="B166" s="151"/>
      <c r="C166" s="152"/>
      <c r="D166" s="118" t="str">
        <f>IF(CONNECTIONS_TABLE[[#This Row],[Device Name]]="","",VLOOKUP(CONNECTIONS_TABLE[[#This Row],[Device Name]],DEVICE_TABLE[#Data],MATCH(D$3,DEVICE_TABLE[#Headers],0),FALSE))</f>
        <v/>
      </c>
      <c r="E16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66" s="154"/>
      <c r="G166" s="118" t="str">
        <f>IF(CONNECTIONS_TABLE[[#This Row],[Device Name]]="","",VLOOKUP(CONNECTIONS_TABLE[[#This Row],[Device Name]],DEVICE_TABLE[],MATCH(G$3,DEVICE_TABLE[#Headers],0),FALSE))</f>
        <v/>
      </c>
      <c r="H166" s="153" t="str">
        <f>IF(B166="","",VLOOKUP(B166,DEVICE_TABLE[#Data],MATCH(H$3,DEVICE_TABLE[#Headers],0),FALSE))</f>
        <v/>
      </c>
      <c r="I166" s="122"/>
      <c r="J166" s="122"/>
      <c r="K166" s="122"/>
      <c r="L166" s="153" t="str">
        <f t="shared" si="2"/>
        <v xml:space="preserve"> </v>
      </c>
      <c r="M166" s="122"/>
      <c r="N166" s="122"/>
      <c r="O166" s="152"/>
      <c r="P166" s="152"/>
      <c r="Q166" s="156" t="str">
        <f>IF(L166="","",IFERROR(VLOOKUP(UPPER($G166)&amp;"/"&amp;$P166,NETWORKS_TABLE[],MATCH(Q$3,NETWORKS_TABLE[#Headers],0),FALSE),""))</f>
        <v/>
      </c>
      <c r="R166" s="156" t="str">
        <f>IF(B166="","",IFERROR(VLOOKUP(UPPER($G166)&amp;"/"&amp;$P166,NETWORKS_TABLE[],MATCH(R$3,NETWORKS_TABLE[#Headers],0),FALSE),""))</f>
        <v/>
      </c>
      <c r="S166" s="188"/>
      <c r="T166" s="152"/>
      <c r="U166" s="152"/>
      <c r="V166" s="155"/>
      <c r="AC166" t="s">
        <v>78</v>
      </c>
    </row>
    <row r="167" spans="1:29">
      <c r="A167" s="40"/>
      <c r="B167" s="151" t="s">
        <v>1685</v>
      </c>
      <c r="C167" s="152" t="s">
        <v>2072</v>
      </c>
      <c r="D167" s="118" t="str">
        <f>IF(CONNECTIONS_TABLE[[#This Row],[Device Name]]="","",VLOOKUP(CONNECTIONS_TABLE[[#This Row],[Device Name]],DEVICE_TABLE[#Data],MATCH(D$3,DEVICE_TABLE[#Headers],0),FALSE))</f>
        <v>BLADE CHASSIS</v>
      </c>
      <c r="E16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FGH-C7K02-M2/Q1-DATA (BLADE CHASSIS)</v>
      </c>
      <c r="F167" s="154"/>
      <c r="G167" s="118" t="str">
        <f>IF(CONNECTIONS_TABLE[[#This Row],[Device Name]]="","",VLOOKUP(CONNECTIONS_TABLE[[#This Row],[Device Name]],DEVICE_TABLE[],MATCH(G$3,DEVICE_TABLE[#Headers],0),FALSE))</f>
        <v>Listerhills</v>
      </c>
      <c r="H167" s="153" t="str">
        <f>IF(B167="","",VLOOKUP(B167,DEVICE_TABLE[#Data],MATCH(H$3,DEVICE_TABLE[#Headers],0),FALSE))</f>
        <v>CR1</v>
      </c>
      <c r="I167" s="122" t="s">
        <v>2082</v>
      </c>
      <c r="J167" s="122"/>
      <c r="K167" s="122"/>
      <c r="L167" s="153" t="str">
        <f t="shared" si="2"/>
        <v xml:space="preserve"> </v>
      </c>
      <c r="M167" s="122"/>
      <c r="N167" s="122"/>
      <c r="O167" s="152"/>
      <c r="P167" s="152"/>
      <c r="Q167" s="156" t="str">
        <f>IF(L167="","",IFERROR(VLOOKUP(UPPER($G167)&amp;"/"&amp;$P167,NETWORKS_TABLE[],MATCH(Q$3,NETWORKS_TABLE[#Headers],0),FALSE),""))</f>
        <v/>
      </c>
      <c r="R167" s="156" t="str">
        <f>IF(B167="","",IFERROR(VLOOKUP(UPPER($G167)&amp;"/"&amp;$P167,NETWORKS_TABLE[],MATCH(R$3,NETWORKS_TABLE[#Headers],0),FALSE),""))</f>
        <v/>
      </c>
      <c r="S167" s="188"/>
      <c r="T167" s="152"/>
      <c r="U167" s="152"/>
      <c r="V167" s="155"/>
      <c r="AC167" t="s">
        <v>1686</v>
      </c>
    </row>
    <row r="168" spans="1:29">
      <c r="A168" s="40"/>
      <c r="B168" s="151" t="s">
        <v>1685</v>
      </c>
      <c r="C168" s="152" t="s">
        <v>2077</v>
      </c>
      <c r="D168" s="118" t="str">
        <f>IF(CONNECTIONS_TABLE[[#This Row],[Device Name]]="","",VLOOKUP(CONNECTIONS_TABLE[[#This Row],[Device Name]],DEVICE_TABLE[#Data],MATCH(D$3,DEVICE_TABLE[#Headers],0),FALSE))</f>
        <v>BLADE CHASSIS</v>
      </c>
      <c r="E16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FGH-C7K02-M2/X1-DATA (BLADE CHASSIS)</v>
      </c>
      <c r="F168" s="154"/>
      <c r="G168" s="118" t="str">
        <f>IF(CONNECTIONS_TABLE[[#This Row],[Device Name]]="","",VLOOKUP(CONNECTIONS_TABLE[[#This Row],[Device Name]],DEVICE_TABLE[],MATCH(G$3,DEVICE_TABLE[#Headers],0),FALSE))</f>
        <v>Listerhills</v>
      </c>
      <c r="H168" s="153" t="str">
        <f>IF(B168="","",VLOOKUP(B168,DEVICE_TABLE[#Data],MATCH(H$3,DEVICE_TABLE[#Headers],0),FALSE))</f>
        <v>CR1</v>
      </c>
      <c r="I168" s="122" t="s">
        <v>2003</v>
      </c>
      <c r="J168" s="122" t="s">
        <v>1371</v>
      </c>
      <c r="K168" s="122" t="s">
        <v>2087</v>
      </c>
      <c r="L168" s="153" t="str">
        <f t="shared" si="2"/>
        <v>FGHLHN41-1 twe1/0/43</v>
      </c>
      <c r="M168" s="122" t="s">
        <v>1872</v>
      </c>
      <c r="N168" s="122" t="s">
        <v>1988</v>
      </c>
      <c r="O168" s="152">
        <v>43</v>
      </c>
      <c r="P168" s="152" t="s">
        <v>2075</v>
      </c>
      <c r="Q168" s="156" t="str">
        <f>IF(L168="","",IFERROR(VLOOKUP(UPPER($G168)&amp;"/"&amp;$P168,NETWORKS_TABLE[],MATCH(Q$3,NETWORKS_TABLE[#Headers],0),FALSE),""))</f>
        <v/>
      </c>
      <c r="R168" s="156" t="str">
        <f>IF(B168="","",IFERROR(VLOOKUP(UPPER($G168)&amp;"/"&amp;$P168,NETWORKS_TABLE[],MATCH(R$3,NETWORKS_TABLE[#Headers],0),FALSE),""))</f>
        <v/>
      </c>
      <c r="S168" s="188"/>
      <c r="T168" s="152">
        <v>32</v>
      </c>
      <c r="U168" s="152" t="s">
        <v>2076</v>
      </c>
      <c r="V168" s="155"/>
      <c r="AC168" t="s">
        <v>1686</v>
      </c>
    </row>
    <row r="169" spans="1:29">
      <c r="A169" s="40"/>
      <c r="B169" s="151" t="s">
        <v>1685</v>
      </c>
      <c r="C169" s="152" t="s">
        <v>2079</v>
      </c>
      <c r="D169" s="118" t="str">
        <f>IF(CONNECTIONS_TABLE[[#This Row],[Device Name]]="","",VLOOKUP(CONNECTIONS_TABLE[[#This Row],[Device Name]],DEVICE_TABLE[#Data],MATCH(D$3,DEVICE_TABLE[#Headers],0),FALSE))</f>
        <v>BLADE CHASSIS</v>
      </c>
      <c r="E16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FGH-C7K02-M2/X2-DATA (BLADE CHASSIS)</v>
      </c>
      <c r="F169" s="154"/>
      <c r="G169" s="118" t="str">
        <f>IF(CONNECTIONS_TABLE[[#This Row],[Device Name]]="","",VLOOKUP(CONNECTIONS_TABLE[[#This Row],[Device Name]],DEVICE_TABLE[],MATCH(G$3,DEVICE_TABLE[#Headers],0),FALSE))</f>
        <v>Listerhills</v>
      </c>
      <c r="H169" s="153" t="str">
        <f>IF(B169="","",VLOOKUP(B169,DEVICE_TABLE[#Data],MATCH(H$3,DEVICE_TABLE[#Headers],0),FALSE))</f>
        <v>CR1</v>
      </c>
      <c r="I169" s="122" t="s">
        <v>2003</v>
      </c>
      <c r="J169" s="122" t="s">
        <v>1375</v>
      </c>
      <c r="K169" s="122" t="s">
        <v>2088</v>
      </c>
      <c r="L169" s="153" t="str">
        <f t="shared" si="2"/>
        <v>FGHLHN41-2 twe2/0/43</v>
      </c>
      <c r="M169" s="122" t="s">
        <v>1872</v>
      </c>
      <c r="N169" s="122" t="s">
        <v>1988</v>
      </c>
      <c r="O169" s="152">
        <v>43</v>
      </c>
      <c r="P169" s="152" t="s">
        <v>2075</v>
      </c>
      <c r="Q169" s="156" t="str">
        <f>IF(L169="","",IFERROR(VLOOKUP(UPPER($G169)&amp;"/"&amp;$P169,NETWORKS_TABLE[],MATCH(Q$3,NETWORKS_TABLE[#Headers],0),FALSE),""))</f>
        <v/>
      </c>
      <c r="R169" s="156" t="str">
        <f>IF(B169="","",IFERROR(VLOOKUP(UPPER($G169)&amp;"/"&amp;$P169,NETWORKS_TABLE[],MATCH(R$3,NETWORKS_TABLE[#Headers],0),FALSE),""))</f>
        <v/>
      </c>
      <c r="S169" s="188"/>
      <c r="T169" s="152">
        <v>32</v>
      </c>
      <c r="U169" s="152" t="s">
        <v>2076</v>
      </c>
      <c r="V169" s="155"/>
      <c r="AC169" t="s">
        <v>1686</v>
      </c>
    </row>
    <row r="170" spans="1:29">
      <c r="A170" s="40"/>
      <c r="B170" s="151" t="s">
        <v>1685</v>
      </c>
      <c r="C170" s="152" t="s">
        <v>2081</v>
      </c>
      <c r="D170" s="118" t="str">
        <f>IF(CONNECTIONS_TABLE[[#This Row],[Device Name]]="","",VLOOKUP(CONNECTIONS_TABLE[[#This Row],[Device Name]],DEVICE_TABLE[#Data],MATCH(D$3,DEVICE_TABLE[#Headers],0),FALSE))</f>
        <v>BLADE CHASSIS</v>
      </c>
      <c r="E17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FGH-C7K02-M2/X3-PCI (BLADE CHASSIS)</v>
      </c>
      <c r="F170" s="154"/>
      <c r="G170" s="118" t="str">
        <f>IF(CONNECTIONS_TABLE[[#This Row],[Device Name]]="","",VLOOKUP(CONNECTIONS_TABLE[[#This Row],[Device Name]],DEVICE_TABLE[],MATCH(G$3,DEVICE_TABLE[#Headers],0),FALSE))</f>
        <v>Listerhills</v>
      </c>
      <c r="H170" s="153" t="str">
        <f>IF(B170="","",VLOOKUP(B170,DEVICE_TABLE[#Data],MATCH(H$3,DEVICE_TABLE[#Headers],0),FALSE))</f>
        <v>CR1</v>
      </c>
      <c r="I170" s="122" t="s">
        <v>2082</v>
      </c>
      <c r="J170" s="122"/>
      <c r="K170" s="122"/>
      <c r="L170" s="153" t="str">
        <f t="shared" si="2"/>
        <v xml:space="preserve"> </v>
      </c>
      <c r="M170" s="122"/>
      <c r="N170" s="122"/>
      <c r="O170" s="152"/>
      <c r="P170" s="152"/>
      <c r="Q170" s="156" t="str">
        <f>IF(L170="","",IFERROR(VLOOKUP(UPPER($G170)&amp;"/"&amp;$P170,NETWORKS_TABLE[],MATCH(Q$3,NETWORKS_TABLE[#Headers],0),FALSE),""))</f>
        <v/>
      </c>
      <c r="R170" s="156" t="str">
        <f>IF(B170="","",IFERROR(VLOOKUP(UPPER($G170)&amp;"/"&amp;$P170,NETWORKS_TABLE[],MATCH(R$3,NETWORKS_TABLE[#Headers],0),FALSE),""))</f>
        <v/>
      </c>
      <c r="S170" s="188"/>
      <c r="T170" s="152"/>
      <c r="U170" s="152"/>
      <c r="V170" s="155"/>
      <c r="AC170" t="s">
        <v>1686</v>
      </c>
    </row>
    <row r="171" spans="1:29">
      <c r="A171" s="40"/>
      <c r="B171" s="151" t="s">
        <v>1685</v>
      </c>
      <c r="C171" s="152" t="s">
        <v>2083</v>
      </c>
      <c r="D171" s="118" t="str">
        <f>IF(CONNECTIONS_TABLE[[#This Row],[Device Name]]="","",VLOOKUP(CONNECTIONS_TABLE[[#This Row],[Device Name]],DEVICE_TABLE[#Data],MATCH(D$3,DEVICE_TABLE[#Headers],0),FALSE))</f>
        <v>BLADE CHASSIS</v>
      </c>
      <c r="E17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FGH-C7K02-M2/X4-PCI (BLADE CHASSIS)</v>
      </c>
      <c r="F171" s="154"/>
      <c r="G171" s="118" t="str">
        <f>IF(CONNECTIONS_TABLE[[#This Row],[Device Name]]="","",VLOOKUP(CONNECTIONS_TABLE[[#This Row],[Device Name]],DEVICE_TABLE[],MATCH(G$3,DEVICE_TABLE[#Headers],0),FALSE))</f>
        <v>Listerhills</v>
      </c>
      <c r="H171" s="153" t="str">
        <f>IF(B171="","",VLOOKUP(B171,DEVICE_TABLE[#Data],MATCH(H$3,DEVICE_TABLE[#Headers],0),FALSE))</f>
        <v>CR1</v>
      </c>
      <c r="I171" s="122" t="s">
        <v>2082</v>
      </c>
      <c r="J171" s="122"/>
      <c r="K171" s="122"/>
      <c r="L171" s="153" t="str">
        <f t="shared" si="2"/>
        <v xml:space="preserve"> </v>
      </c>
      <c r="M171" s="122"/>
      <c r="N171" s="122"/>
      <c r="O171" s="152"/>
      <c r="P171" s="152"/>
      <c r="Q171" s="156" t="str">
        <f>IF(L171="","",IFERROR(VLOOKUP(UPPER($G171)&amp;"/"&amp;$P171,NETWORKS_TABLE[],MATCH(Q$3,NETWORKS_TABLE[#Headers],0),FALSE),""))</f>
        <v/>
      </c>
      <c r="R171" s="156" t="str">
        <f>IF(B171="","",IFERROR(VLOOKUP(UPPER($G171)&amp;"/"&amp;$P171,NETWORKS_TABLE[],MATCH(R$3,NETWORKS_TABLE[#Headers],0),FALSE),""))</f>
        <v/>
      </c>
      <c r="S171" s="188"/>
      <c r="T171" s="152"/>
      <c r="U171" s="152"/>
      <c r="V171" s="155"/>
      <c r="AC171" t="s">
        <v>1686</v>
      </c>
    </row>
    <row r="172" spans="1:29">
      <c r="A172" s="40"/>
      <c r="B172" s="151" t="s">
        <v>1685</v>
      </c>
      <c r="C172" s="152" t="s">
        <v>2084</v>
      </c>
      <c r="D172" s="118" t="str">
        <f>IF(CONNECTIONS_TABLE[[#This Row],[Device Name]]="","",VLOOKUP(CONNECTIONS_TABLE[[#This Row],[Device Name]],DEVICE_TABLE[#Data],MATCH(D$3,DEVICE_TABLE[#Headers],0),FALSE))</f>
        <v>BLADE CHASSIS</v>
      </c>
      <c r="E17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FGH-C7K02-M2/X5-ECOM (BLADE CHASSIS)</v>
      </c>
      <c r="F172" s="154"/>
      <c r="G172" s="118" t="str">
        <f>IF(CONNECTIONS_TABLE[[#This Row],[Device Name]]="","",VLOOKUP(CONNECTIONS_TABLE[[#This Row],[Device Name]],DEVICE_TABLE[],MATCH(G$3,DEVICE_TABLE[#Headers],0),FALSE))</f>
        <v>Listerhills</v>
      </c>
      <c r="H172" s="153" t="str">
        <f>IF(B172="","",VLOOKUP(B172,DEVICE_TABLE[#Data],MATCH(H$3,DEVICE_TABLE[#Headers],0),FALSE))</f>
        <v>CR1</v>
      </c>
      <c r="I172" s="122" t="s">
        <v>2082</v>
      </c>
      <c r="J172" s="122"/>
      <c r="K172" s="122"/>
      <c r="L172" s="153" t="str">
        <f t="shared" si="2"/>
        <v xml:space="preserve"> </v>
      </c>
      <c r="M172" s="122"/>
      <c r="N172" s="122"/>
      <c r="O172" s="152"/>
      <c r="P172" s="152"/>
      <c r="Q172" s="156" t="str">
        <f>IF(L172="","",IFERROR(VLOOKUP(UPPER($G172)&amp;"/"&amp;$P172,NETWORKS_TABLE[],MATCH(Q$3,NETWORKS_TABLE[#Headers],0),FALSE),""))</f>
        <v/>
      </c>
      <c r="R172" s="156" t="str">
        <f>IF(B172="","",IFERROR(VLOOKUP(UPPER($G172)&amp;"/"&amp;$P172,NETWORKS_TABLE[],MATCH(R$3,NETWORKS_TABLE[#Headers],0),FALSE),""))</f>
        <v/>
      </c>
      <c r="S172" s="188"/>
      <c r="T172" s="152"/>
      <c r="U172" s="152"/>
      <c r="V172" s="155"/>
      <c r="AC172" t="s">
        <v>1686</v>
      </c>
    </row>
    <row r="173" spans="1:29">
      <c r="A173" s="40"/>
      <c r="B173" s="151" t="s">
        <v>1685</v>
      </c>
      <c r="C173" s="152" t="s">
        <v>2085</v>
      </c>
      <c r="D173" s="118" t="str">
        <f>IF(CONNECTIONS_TABLE[[#This Row],[Device Name]]="","",VLOOKUP(CONNECTIONS_TABLE[[#This Row],[Device Name]],DEVICE_TABLE[#Data],MATCH(D$3,DEVICE_TABLE[#Headers],0),FALSE))</f>
        <v>BLADE CHASSIS</v>
      </c>
      <c r="E17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FGH-C7K02-M2/X6-ECOM (BLADE CHASSIS)</v>
      </c>
      <c r="F173" s="154"/>
      <c r="G173" s="118" t="str">
        <f>IF(CONNECTIONS_TABLE[[#This Row],[Device Name]]="","",VLOOKUP(CONNECTIONS_TABLE[[#This Row],[Device Name]],DEVICE_TABLE[],MATCH(G$3,DEVICE_TABLE[#Headers],0),FALSE))</f>
        <v>Listerhills</v>
      </c>
      <c r="H173" s="153" t="str">
        <f>IF(B173="","",VLOOKUP(B173,DEVICE_TABLE[#Data],MATCH(H$3,DEVICE_TABLE[#Headers],0),FALSE))</f>
        <v>CR1</v>
      </c>
      <c r="I173" s="122" t="s">
        <v>2082</v>
      </c>
      <c r="J173" s="122"/>
      <c r="K173" s="122"/>
      <c r="L173" s="153" t="str">
        <f t="shared" si="2"/>
        <v xml:space="preserve"> </v>
      </c>
      <c r="M173" s="122"/>
      <c r="N173" s="122"/>
      <c r="O173" s="152"/>
      <c r="P173" s="152"/>
      <c r="Q173" s="156" t="str">
        <f>IF(L173="","",IFERROR(VLOOKUP(UPPER($G173)&amp;"/"&amp;$P173,NETWORKS_TABLE[],MATCH(Q$3,NETWORKS_TABLE[#Headers],0),FALSE),""))</f>
        <v/>
      </c>
      <c r="R173" s="156" t="str">
        <f>IF(B173="","",IFERROR(VLOOKUP(UPPER($G173)&amp;"/"&amp;$P173,NETWORKS_TABLE[],MATCH(R$3,NETWORKS_TABLE[#Headers],0),FALSE),""))</f>
        <v/>
      </c>
      <c r="S173" s="188"/>
      <c r="T173" s="152"/>
      <c r="U173" s="152"/>
      <c r="V173" s="155"/>
      <c r="AC173" t="s">
        <v>1686</v>
      </c>
    </row>
    <row r="174" spans="1:29">
      <c r="A174" s="40"/>
      <c r="B174" s="151"/>
      <c r="C174" s="152"/>
      <c r="D174" s="118" t="str">
        <f>IF(CONNECTIONS_TABLE[[#This Row],[Device Name]]="","",VLOOKUP(CONNECTIONS_TABLE[[#This Row],[Device Name]],DEVICE_TABLE[#Data],MATCH(D$3,DEVICE_TABLE[#Headers],0),FALSE))</f>
        <v/>
      </c>
      <c r="E17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74" s="154"/>
      <c r="G174" s="118" t="str">
        <f>IF(CONNECTIONS_TABLE[[#This Row],[Device Name]]="","",VLOOKUP(CONNECTIONS_TABLE[[#This Row],[Device Name]],DEVICE_TABLE[],MATCH(G$3,DEVICE_TABLE[#Headers],0),FALSE))</f>
        <v/>
      </c>
      <c r="H174" s="153" t="str">
        <f>IF(B174="","",VLOOKUP(B174,DEVICE_TABLE[#Data],MATCH(H$3,DEVICE_TABLE[#Headers],0),FALSE))</f>
        <v/>
      </c>
      <c r="I174" s="122"/>
      <c r="J174" s="122"/>
      <c r="K174" s="122"/>
      <c r="L174" s="153" t="str">
        <f t="shared" si="2"/>
        <v xml:space="preserve"> </v>
      </c>
      <c r="M174" s="122"/>
      <c r="N174" s="122"/>
      <c r="O174" s="152"/>
      <c r="P174" s="152"/>
      <c r="Q174" s="156" t="str">
        <f>IF(L174="","",IFERROR(VLOOKUP(UPPER($G174)&amp;"/"&amp;$P174,NETWORKS_TABLE[],MATCH(Q$3,NETWORKS_TABLE[#Headers],0),FALSE),""))</f>
        <v/>
      </c>
      <c r="R174" s="156" t="str">
        <f>IF(B174="","",IFERROR(VLOOKUP(UPPER($G174)&amp;"/"&amp;$P174,NETWORKS_TABLE[],MATCH(R$3,NETWORKS_TABLE[#Headers],0),FALSE),""))</f>
        <v/>
      </c>
      <c r="S174" s="188"/>
      <c r="T174" s="152"/>
      <c r="U174" s="152"/>
      <c r="V174" s="155"/>
      <c r="AC174" t="s">
        <v>78</v>
      </c>
    </row>
    <row r="175" spans="1:29">
      <c r="A175" s="40"/>
      <c r="B175" s="151" t="s">
        <v>1714</v>
      </c>
      <c r="C175" s="152">
        <v>7</v>
      </c>
      <c r="D175" s="118" t="str">
        <f>IF(CONNECTIONS_TABLE[[#This Row],[Device Name]]="","",VLOOKUP(CONNECTIONS_TABLE[[#This Row],[Device Name]],DEVICE_TABLE[#Data],MATCH(D$3,DEVICE_TABLE[#Headers],0),FALSE))</f>
        <v>FIREWALL</v>
      </c>
      <c r="E17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FGHFW31/7 (FIREWALL)</v>
      </c>
      <c r="F175" s="154"/>
      <c r="G175" s="118" t="str">
        <f>IF(CONNECTIONS_TABLE[[#This Row],[Device Name]]="","",VLOOKUP(CONNECTIONS_TABLE[[#This Row],[Device Name]],DEVICE_TABLE[],MATCH(G$3,DEVICE_TABLE[#Headers],0),FALSE))</f>
        <v>Listerhills</v>
      </c>
      <c r="H175" s="153" t="str">
        <f>IF(B175="","",VLOOKUP(B175,DEVICE_TABLE[#Data],MATCH(H$3,DEVICE_TABLE[#Headers],0),FALSE))</f>
        <v>CR1</v>
      </c>
      <c r="I175" s="122" t="s">
        <v>1575</v>
      </c>
      <c r="J175" s="122" t="s">
        <v>1073</v>
      </c>
      <c r="K175" s="122" t="s">
        <v>2089</v>
      </c>
      <c r="L175" s="153" t="str">
        <f t="shared" si="2"/>
        <v>FGHLHN141-1 gi1/0/2</v>
      </c>
      <c r="M175" s="122" t="s">
        <v>1991</v>
      </c>
      <c r="N175" s="122" t="s">
        <v>1988</v>
      </c>
      <c r="O175" s="152"/>
      <c r="P175" s="152">
        <v>511</v>
      </c>
      <c r="Q175" s="156" t="str">
        <f>IF(L175="","",IFERROR(VLOOKUP(UPPER($G175)&amp;"/"&amp;$P175,NETWORKS_TABLE[],MATCH(Q$3,NETWORKS_TABLE[#Headers],0),FALSE),""))</f>
        <v>FWSERVER</v>
      </c>
      <c r="R175" s="156" t="str">
        <f>IF(B175="","",IFERROR(VLOOKUP(UPPER($G175)&amp;"/"&amp;$P175,NETWORKS_TABLE[],MATCH(R$3,NETWORKS_TABLE[#Headers],0),FALSE),""))</f>
        <v>0/0</v>
      </c>
      <c r="S175" s="188"/>
      <c r="T175" s="152"/>
      <c r="U175" s="152"/>
      <c r="V175" s="155"/>
    </row>
    <row r="176" spans="1:29">
      <c r="A176" s="40"/>
      <c r="B176" s="151" t="s">
        <v>1719</v>
      </c>
      <c r="C176" s="152">
        <v>7</v>
      </c>
      <c r="D176" s="118" t="str">
        <f>IF(CONNECTIONS_TABLE[[#This Row],[Device Name]]="","",VLOOKUP(CONNECTIONS_TABLE[[#This Row],[Device Name]],DEVICE_TABLE[#Data],MATCH(D$3,DEVICE_TABLE[#Headers],0),FALSE))</f>
        <v>FIREWALL</v>
      </c>
      <c r="E17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FGHFW32/7 (FIREWALL)</v>
      </c>
      <c r="F176" s="154"/>
      <c r="G176" s="118" t="str">
        <f>IF(CONNECTIONS_TABLE[[#This Row],[Device Name]]="","",VLOOKUP(CONNECTIONS_TABLE[[#This Row],[Device Name]],DEVICE_TABLE[],MATCH(G$3,DEVICE_TABLE[#Headers],0),FALSE))</f>
        <v>Listerhills</v>
      </c>
      <c r="H176" s="153" t="str">
        <f>IF(B176="","",VLOOKUP(B176,DEVICE_TABLE[#Data],MATCH(H$3,DEVICE_TABLE[#Headers],0),FALSE))</f>
        <v>CR2</v>
      </c>
      <c r="I176" s="122" t="s">
        <v>1575</v>
      </c>
      <c r="J176" s="122" t="s">
        <v>1089</v>
      </c>
      <c r="K176" s="122" t="s">
        <v>2089</v>
      </c>
      <c r="L176" s="153" t="str">
        <f t="shared" si="2"/>
        <v>FGHLHN142-1 gi1/0/2</v>
      </c>
      <c r="M176" s="122" t="s">
        <v>1991</v>
      </c>
      <c r="N176" s="122" t="s">
        <v>1988</v>
      </c>
      <c r="O176" s="152"/>
      <c r="P176" s="152">
        <v>511</v>
      </c>
      <c r="Q176" s="156" t="str">
        <f>IF(L176="","",IFERROR(VLOOKUP(UPPER($G176)&amp;"/"&amp;$P176,NETWORKS_TABLE[],MATCH(Q$3,NETWORKS_TABLE[#Headers],0),FALSE),""))</f>
        <v>FWSERVER</v>
      </c>
      <c r="R176" s="156" t="str">
        <f>IF(B176="","",IFERROR(VLOOKUP(UPPER($G176)&amp;"/"&amp;$P176,NETWORKS_TABLE[],MATCH(R$3,NETWORKS_TABLE[#Headers],0),FALSE),""))</f>
        <v>0/0</v>
      </c>
      <c r="S176" s="188"/>
      <c r="T176" s="152"/>
      <c r="U176" s="152"/>
      <c r="V176" s="155"/>
    </row>
    <row r="177" spans="1:29">
      <c r="A177" s="40"/>
      <c r="B177" s="151"/>
      <c r="C177" s="152"/>
      <c r="D177" s="118" t="str">
        <f>IF(CONNECTIONS_TABLE[[#This Row],[Device Name]]="","",VLOOKUP(CONNECTIONS_TABLE[[#This Row],[Device Name]],DEVICE_TABLE[#Data],MATCH(D$3,DEVICE_TABLE[#Headers],0),FALSE))</f>
        <v/>
      </c>
      <c r="E17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77" s="154"/>
      <c r="G177" s="118" t="str">
        <f>IF(CONNECTIONS_TABLE[[#This Row],[Device Name]]="","",VLOOKUP(CONNECTIONS_TABLE[[#This Row],[Device Name]],DEVICE_TABLE[],MATCH(G$3,DEVICE_TABLE[#Headers],0),FALSE))</f>
        <v/>
      </c>
      <c r="H177" s="153" t="str">
        <f>IF(B177="","",VLOOKUP(B177,DEVICE_TABLE[#Data],MATCH(H$3,DEVICE_TABLE[#Headers],0),FALSE))</f>
        <v/>
      </c>
      <c r="I177" s="122"/>
      <c r="J177" s="122"/>
      <c r="K177" s="122"/>
      <c r="L177" s="153" t="str">
        <f t="shared" si="2"/>
        <v xml:space="preserve"> </v>
      </c>
      <c r="M177" s="122"/>
      <c r="N177" s="122"/>
      <c r="O177" s="152"/>
      <c r="P177" s="152"/>
      <c r="Q177" s="156" t="str">
        <f>IF(L177="","",IFERROR(VLOOKUP(UPPER($G177)&amp;"/"&amp;$P177,NETWORKS_TABLE[],MATCH(Q$3,NETWORKS_TABLE[#Headers],0),FALSE),""))</f>
        <v/>
      </c>
      <c r="R177" s="156" t="str">
        <f>IF(B177="","",IFERROR(VLOOKUP(UPPER($G177)&amp;"/"&amp;$P177,NETWORKS_TABLE[],MATCH(R$3,NETWORKS_TABLE[#Headers],0),FALSE),""))</f>
        <v/>
      </c>
      <c r="S177" s="188" t="s" cm="1">
        <v>78</v>
      </c>
      <c r="T177" s="152"/>
      <c r="U177" s="152"/>
      <c r="V177" s="155"/>
      <c r="AC177" t="s">
        <v>78</v>
      </c>
    </row>
    <row r="178" spans="1:29">
      <c r="A178" s="40"/>
      <c r="B178" s="151" t="s">
        <v>1721</v>
      </c>
      <c r="C178" s="152">
        <v>1</v>
      </c>
      <c r="D178" s="118" t="str">
        <f>IF(CONNECTIONS_TABLE[[#This Row],[Device Name]]="","",VLOOKUP(CONNECTIONS_TABLE[[#This Row],[Device Name]],DEVICE_TABLE[#Data],MATCH(D$3,DEVICE_TABLE[#Headers],0),FALSE))</f>
        <v>STORAGE</v>
      </c>
      <c r="E17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TIER3NFS01/1 (STORAGE)</v>
      </c>
      <c r="F178" s="154"/>
      <c r="G178" s="118" t="str">
        <f>IF(CONNECTIONS_TABLE[[#This Row],[Device Name]]="","",VLOOKUP(CONNECTIONS_TABLE[[#This Row],[Device Name]],DEVICE_TABLE[],MATCH(G$3,DEVICE_TABLE[#Headers],0),FALSE))</f>
        <v>Listerhills</v>
      </c>
      <c r="H178" s="153" t="str">
        <f>IF(B178="","",VLOOKUP(B178,DEVICE_TABLE[#Data],MATCH(H$3,DEVICE_TABLE[#Headers],0),FALSE))</f>
        <v>CR1</v>
      </c>
      <c r="I178" s="122" t="s">
        <v>2003</v>
      </c>
      <c r="J178" s="122" t="s">
        <v>1371</v>
      </c>
      <c r="K178" s="122" t="s">
        <v>2090</v>
      </c>
      <c r="L178" s="153" t="str">
        <f t="shared" si="2"/>
        <v>FGHLHN41-1 twe1/0/24</v>
      </c>
      <c r="M178" s="122" t="s">
        <v>1872</v>
      </c>
      <c r="N178" s="122" t="s">
        <v>1988</v>
      </c>
      <c r="O178" s="152"/>
      <c r="P178" s="152">
        <v>300</v>
      </c>
      <c r="Q178" s="156" t="str">
        <f>IF(L178="","",IFERROR(VLOOKUP(UPPER($G178)&amp;"/"&amp;$P178,NETWORKS_TABLE[],MATCH(Q$3,NETWORKS_TABLE[#Headers],0),FALSE),""))</f>
        <v>SERVER</v>
      </c>
      <c r="R178" s="156" t="str">
        <f>IF(B178="","",IFERROR(VLOOKUP(UPPER($G178)&amp;"/"&amp;$P178,NETWORKS_TABLE[],MATCH(R$3,NETWORKS_TABLE[#Headers],0),FALSE),""))</f>
        <v>10.224.100.0/24</v>
      </c>
      <c r="S178" s="188" t="s" cm="1">
        <v>1727</v>
      </c>
      <c r="T178" s="152"/>
      <c r="U178" s="152"/>
      <c r="V178" s="155"/>
      <c r="AC178" t="s">
        <v>1726</v>
      </c>
    </row>
    <row r="179" spans="1:29">
      <c r="A179" s="40"/>
      <c r="B179" s="151" t="s">
        <v>1721</v>
      </c>
      <c r="C179" s="152">
        <v>2</v>
      </c>
      <c r="D179" s="118" t="str">
        <f>IF(CONNECTIONS_TABLE[[#This Row],[Device Name]]="","",VLOOKUP(CONNECTIONS_TABLE[[#This Row],[Device Name]],DEVICE_TABLE[#Data],MATCH(D$3,DEVICE_TABLE[#Headers],0),FALSE))</f>
        <v>STORAGE</v>
      </c>
      <c r="E17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TIER3NFS01/2 (STORAGE)</v>
      </c>
      <c r="F179" s="154"/>
      <c r="G179" s="118" t="str">
        <f>IF(CONNECTIONS_TABLE[[#This Row],[Device Name]]="","",VLOOKUP(CONNECTIONS_TABLE[[#This Row],[Device Name]],DEVICE_TABLE[],MATCH(G$3,DEVICE_TABLE[#Headers],0),FALSE))</f>
        <v>Listerhills</v>
      </c>
      <c r="H179" s="153" t="str">
        <f>IF(B179="","",VLOOKUP(B179,DEVICE_TABLE[#Data],MATCH(H$3,DEVICE_TABLE[#Headers],0),FALSE))</f>
        <v>CR1</v>
      </c>
      <c r="I179" s="122" t="s">
        <v>2003</v>
      </c>
      <c r="J179" s="122" t="s">
        <v>1375</v>
      </c>
      <c r="K179" s="122" t="s">
        <v>2091</v>
      </c>
      <c r="L179" s="153" t="str">
        <f t="shared" si="2"/>
        <v>FGHLHN41-2 twe2/0/24</v>
      </c>
      <c r="M179" s="122" t="s">
        <v>1872</v>
      </c>
      <c r="N179" s="122" t="s">
        <v>1988</v>
      </c>
      <c r="O179" s="152"/>
      <c r="P179" s="152">
        <v>300</v>
      </c>
      <c r="Q179" s="156" t="str">
        <f>IF(L179="","",IFERROR(VLOOKUP(UPPER($G179)&amp;"/"&amp;$P179,NETWORKS_TABLE[],MATCH(Q$3,NETWORKS_TABLE[#Headers],0),FALSE),""))</f>
        <v>SERVER</v>
      </c>
      <c r="R179" s="156" t="str">
        <f>IF(B179="","",IFERROR(VLOOKUP(UPPER($G179)&amp;"/"&amp;$P179,NETWORKS_TABLE[],MATCH(R$3,NETWORKS_TABLE[#Headers],0),FALSE),""))</f>
        <v>10.224.100.0/24</v>
      </c>
      <c r="S179" s="188" t="s" cm="1">
        <v>1727</v>
      </c>
      <c r="T179" s="152"/>
      <c r="U179" s="152"/>
      <c r="V179" s="155"/>
      <c r="AC179" t="s">
        <v>1726</v>
      </c>
    </row>
    <row r="180" spans="1:29">
      <c r="A180" s="40"/>
      <c r="B180" s="151"/>
      <c r="C180" s="152"/>
      <c r="D180" s="118" t="str">
        <f>IF(CONNECTIONS_TABLE[[#This Row],[Device Name]]="","",VLOOKUP(CONNECTIONS_TABLE[[#This Row],[Device Name]],DEVICE_TABLE[#Data],MATCH(D$3,DEVICE_TABLE[#Headers],0),FALSE))</f>
        <v/>
      </c>
      <c r="E18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80" s="154"/>
      <c r="G180" s="118" t="str">
        <f>IF(CONNECTIONS_TABLE[[#This Row],[Device Name]]="","",VLOOKUP(CONNECTIONS_TABLE[[#This Row],[Device Name]],DEVICE_TABLE[],MATCH(G$3,DEVICE_TABLE[#Headers],0),FALSE))</f>
        <v/>
      </c>
      <c r="H180" s="153" t="str">
        <f>IF(B180="","",VLOOKUP(B180,DEVICE_TABLE[#Data],MATCH(H$3,DEVICE_TABLE[#Headers],0),FALSE))</f>
        <v/>
      </c>
      <c r="I180" s="122"/>
      <c r="J180" s="122"/>
      <c r="K180" s="122"/>
      <c r="L180" s="153" t="str">
        <f t="shared" si="2"/>
        <v xml:space="preserve"> </v>
      </c>
      <c r="M180" s="122"/>
      <c r="N180" s="122"/>
      <c r="O180" s="152"/>
      <c r="P180" s="152"/>
      <c r="Q180" s="156" t="str">
        <f>IF(L180="","",IFERROR(VLOOKUP(UPPER($G180)&amp;"/"&amp;$P180,NETWORKS_TABLE[],MATCH(Q$3,NETWORKS_TABLE[#Headers],0),FALSE),""))</f>
        <v/>
      </c>
      <c r="R180" s="156" t="str">
        <f>IF(B180="","",IFERROR(VLOOKUP(UPPER($G180)&amp;"/"&amp;$P180,NETWORKS_TABLE[],MATCH(R$3,NETWORKS_TABLE[#Headers],0),FALSE),""))</f>
        <v/>
      </c>
      <c r="S180" s="188" t="s" cm="1">
        <v>78</v>
      </c>
      <c r="T180" s="152"/>
      <c r="U180" s="152"/>
      <c r="V180" s="155"/>
      <c r="AC180" t="s">
        <v>78</v>
      </c>
    </row>
    <row r="181" spans="1:29">
      <c r="A181" s="40"/>
      <c r="B181" s="151" t="s">
        <v>1707</v>
      </c>
      <c r="C181" s="152" t="s">
        <v>2092</v>
      </c>
      <c r="D181" s="118" t="str">
        <f>IF(CONNECTIONS_TABLE[[#This Row],[Device Name]]="","",VLOOKUP(CONNECTIONS_TABLE[[#This Row],[Device Name]],DEVICE_TABLE[#Data],MATCH(D$3,DEVICE_TABLE[#Headers],0),FALSE))</f>
        <v>STORAGE</v>
      </c>
      <c r="E18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TINTRI3/A-ADMIN (STORAGE)</v>
      </c>
      <c r="F181" s="154"/>
      <c r="G181" s="118" t="str">
        <f>IF(CONNECTIONS_TABLE[[#This Row],[Device Name]]="","",VLOOKUP(CONNECTIONS_TABLE[[#This Row],[Device Name]],DEVICE_TABLE[],MATCH(G$3,DEVICE_TABLE[#Headers],0),FALSE))</f>
        <v>Listerhills</v>
      </c>
      <c r="H181" s="153" t="str">
        <f>IF(B181="","",VLOOKUP(B181,DEVICE_TABLE[#Data],MATCH(H$3,DEVICE_TABLE[#Headers],0),FALSE))</f>
        <v>CR1</v>
      </c>
      <c r="I181" s="122" t="s">
        <v>1575</v>
      </c>
      <c r="J181" s="122" t="s">
        <v>1073</v>
      </c>
      <c r="K181" s="122" t="s">
        <v>2093</v>
      </c>
      <c r="L181" s="153" t="str">
        <f t="shared" si="2"/>
        <v>FGHLHN141-1 gi1/0/35</v>
      </c>
      <c r="M181" s="122" t="s">
        <v>1991</v>
      </c>
      <c r="N181" s="122" t="s">
        <v>1988</v>
      </c>
      <c r="O181" s="152"/>
      <c r="P181" s="152">
        <v>220</v>
      </c>
      <c r="Q181" s="156" t="str">
        <f>IF(L181="","",IFERROR(VLOOKUP(UPPER($G181)&amp;"/"&amp;$P181,NETWORKS_TABLE[],MATCH(Q$3,NETWORKS_TABLE[#Headers],0),FALSE),""))</f>
        <v>VIRTUALMGNT</v>
      </c>
      <c r="R181" s="156" t="str">
        <f>IF(B181="","",IFERROR(VLOOKUP(UPPER($G181)&amp;"/"&amp;$P181,NETWORKS_TABLE[],MATCH(R$3,NETWORKS_TABLE[#Headers],0),FALSE),""))</f>
        <v>10.224.20.0/24</v>
      </c>
      <c r="S181" s="188" t="s" cm="1">
        <v>1710</v>
      </c>
      <c r="T181" s="152"/>
      <c r="U181" s="152"/>
      <c r="V181" s="155"/>
      <c r="AC181" t="s">
        <v>1709</v>
      </c>
    </row>
    <row r="182" spans="1:29">
      <c r="A182" s="40"/>
      <c r="B182" s="151" t="s">
        <v>1707</v>
      </c>
      <c r="C182" s="152" t="s">
        <v>2094</v>
      </c>
      <c r="D182" s="118" t="str">
        <f>IF(CONNECTIONS_TABLE[[#This Row],[Device Name]]="","",VLOOKUP(CONNECTIONS_TABLE[[#This Row],[Device Name]],DEVICE_TABLE[#Data],MATCH(D$3,DEVICE_TABLE[#Headers],0),FALSE))</f>
        <v>STORAGE</v>
      </c>
      <c r="E18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TINTRI3/A-ADMIN2 (STORAGE)</v>
      </c>
      <c r="F182" s="154"/>
      <c r="G182" s="118" t="str">
        <f>IF(CONNECTIONS_TABLE[[#This Row],[Device Name]]="","",VLOOKUP(CONNECTIONS_TABLE[[#This Row],[Device Name]],DEVICE_TABLE[],MATCH(G$3,DEVICE_TABLE[#Headers],0),FALSE))</f>
        <v>Listerhills</v>
      </c>
      <c r="H182" s="153" t="str">
        <f>IF(B182="","",VLOOKUP(B182,DEVICE_TABLE[#Data],MATCH(H$3,DEVICE_TABLE[#Headers],0),FALSE))</f>
        <v>CR1</v>
      </c>
      <c r="I182" s="122" t="s">
        <v>1575</v>
      </c>
      <c r="J182" s="122" t="s">
        <v>1083</v>
      </c>
      <c r="K182" s="122" t="s">
        <v>2095</v>
      </c>
      <c r="L182" s="153" t="str">
        <f t="shared" si="2"/>
        <v>FGHLHN141-2 gi2/0/35</v>
      </c>
      <c r="M182" s="122" t="s">
        <v>1991</v>
      </c>
      <c r="N182" s="122" t="s">
        <v>1988</v>
      </c>
      <c r="O182" s="152"/>
      <c r="P182" s="152">
        <v>220</v>
      </c>
      <c r="Q182" s="156" t="str">
        <f>IF(L182="","",IFERROR(VLOOKUP(UPPER($G182)&amp;"/"&amp;$P182,NETWORKS_TABLE[],MATCH(Q$3,NETWORKS_TABLE[#Headers],0),FALSE),""))</f>
        <v>VIRTUALMGNT</v>
      </c>
      <c r="R182" s="156" t="str">
        <f>IF(B182="","",IFERROR(VLOOKUP(UPPER($G182)&amp;"/"&amp;$P182,NETWORKS_TABLE[],MATCH(R$3,NETWORKS_TABLE[#Headers],0),FALSE),""))</f>
        <v>10.224.20.0/24</v>
      </c>
      <c r="S182" s="188" t="s" cm="1">
        <v>1710</v>
      </c>
      <c r="T182" s="152"/>
      <c r="U182" s="152"/>
      <c r="V182" s="155"/>
      <c r="AC182" t="s">
        <v>1709</v>
      </c>
    </row>
    <row r="183" spans="1:29">
      <c r="A183" s="40"/>
      <c r="B183" s="151" t="s">
        <v>1707</v>
      </c>
      <c r="C183" s="152" t="s">
        <v>2054</v>
      </c>
      <c r="D183" s="118" t="str">
        <f>IF(CONNECTIONS_TABLE[[#This Row],[Device Name]]="","",VLOOKUP(CONNECTIONS_TABLE[[#This Row],[Device Name]],DEVICE_TABLE[#Data],MATCH(D$3,DEVICE_TABLE[#Headers],0),FALSE))</f>
        <v>STORAGE</v>
      </c>
      <c r="E18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TINTRI3/A-REPL (STORAGE)</v>
      </c>
      <c r="F183" s="154"/>
      <c r="G183" s="118" t="str">
        <f>IF(CONNECTIONS_TABLE[[#This Row],[Device Name]]="","",VLOOKUP(CONNECTIONS_TABLE[[#This Row],[Device Name]],DEVICE_TABLE[],MATCH(G$3,DEVICE_TABLE[#Headers],0),FALSE))</f>
        <v>Listerhills</v>
      </c>
      <c r="H183" s="153" t="str">
        <f>IF(B183="","",VLOOKUP(B183,DEVICE_TABLE[#Data],MATCH(H$3,DEVICE_TABLE[#Headers],0),FALSE))</f>
        <v>CR1</v>
      </c>
      <c r="I183" s="122" t="s">
        <v>1575</v>
      </c>
      <c r="J183" s="122" t="s">
        <v>1073</v>
      </c>
      <c r="K183" s="122" t="s">
        <v>2096</v>
      </c>
      <c r="L183" s="153" t="str">
        <f t="shared" si="2"/>
        <v>FGHLHN141-1 gi1/0/36</v>
      </c>
      <c r="M183" s="122" t="s">
        <v>1991</v>
      </c>
      <c r="N183" s="122" t="s">
        <v>1988</v>
      </c>
      <c r="O183" s="152"/>
      <c r="P183" s="152">
        <v>300</v>
      </c>
      <c r="Q183" s="156" t="str">
        <f>IF(L183="","",IFERROR(VLOOKUP(UPPER($G183)&amp;"/"&amp;$P183,NETWORKS_TABLE[],MATCH(Q$3,NETWORKS_TABLE[#Headers],0),FALSE),""))</f>
        <v>SERVER</v>
      </c>
      <c r="R183" s="156" t="str">
        <f>IF(B183="","",IFERROR(VLOOKUP(UPPER($G183)&amp;"/"&amp;$P183,NETWORKS_TABLE[],MATCH(R$3,NETWORKS_TABLE[#Headers],0),FALSE),""))</f>
        <v>10.224.100.0/24</v>
      </c>
      <c r="S183" s="188" t="s" cm="1">
        <v>2127</v>
      </c>
      <c r="T183" s="152"/>
      <c r="U183" s="152"/>
      <c r="V183" s="155"/>
      <c r="AC183" t="s">
        <v>1709</v>
      </c>
    </row>
    <row r="184" spans="1:29">
      <c r="A184" s="40"/>
      <c r="B184" s="151" t="s">
        <v>1707</v>
      </c>
      <c r="C184" s="152" t="s">
        <v>2056</v>
      </c>
      <c r="D184" s="118" t="str">
        <f>IF(CONNECTIONS_TABLE[[#This Row],[Device Name]]="","",VLOOKUP(CONNECTIONS_TABLE[[#This Row],[Device Name]],DEVICE_TABLE[#Data],MATCH(D$3,DEVICE_TABLE[#Headers],0),FALSE))</f>
        <v>STORAGE</v>
      </c>
      <c r="E18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TINTRI3/A-REPL2 (STORAGE)</v>
      </c>
      <c r="F184" s="154"/>
      <c r="G184" s="118" t="str">
        <f>IF(CONNECTIONS_TABLE[[#This Row],[Device Name]]="","",VLOOKUP(CONNECTIONS_TABLE[[#This Row],[Device Name]],DEVICE_TABLE[],MATCH(G$3,DEVICE_TABLE[#Headers],0),FALSE))</f>
        <v>Listerhills</v>
      </c>
      <c r="H184" s="153" t="str">
        <f>IF(B184="","",VLOOKUP(B184,DEVICE_TABLE[#Data],MATCH(H$3,DEVICE_TABLE[#Headers],0),FALSE))</f>
        <v>CR1</v>
      </c>
      <c r="I184" s="122" t="s">
        <v>1575</v>
      </c>
      <c r="J184" s="122" t="s">
        <v>1083</v>
      </c>
      <c r="K184" s="122" t="s">
        <v>2097</v>
      </c>
      <c r="L184" s="153" t="str">
        <f t="shared" si="2"/>
        <v>FGHLHN141-2 gi2/0/36</v>
      </c>
      <c r="M184" s="122" t="s">
        <v>1991</v>
      </c>
      <c r="N184" s="122" t="s">
        <v>1988</v>
      </c>
      <c r="O184" s="152"/>
      <c r="P184" s="152">
        <v>300</v>
      </c>
      <c r="Q184" s="156" t="str">
        <f>IF(L184="","",IFERROR(VLOOKUP(UPPER($G184)&amp;"/"&amp;$P184,NETWORKS_TABLE[],MATCH(Q$3,NETWORKS_TABLE[#Headers],0),FALSE),""))</f>
        <v>SERVER</v>
      </c>
      <c r="R184" s="156" t="str">
        <f>IF(B184="","",IFERROR(VLOOKUP(UPPER($G184)&amp;"/"&amp;$P184,NETWORKS_TABLE[],MATCH(R$3,NETWORKS_TABLE[#Headers],0),FALSE),""))</f>
        <v>10.224.100.0/24</v>
      </c>
      <c r="S184" s="188" t="s" cm="1">
        <v>2127</v>
      </c>
      <c r="T184" s="152"/>
      <c r="U184" s="152"/>
      <c r="V184" s="155"/>
      <c r="AC184" t="s">
        <v>1709</v>
      </c>
    </row>
    <row r="185" spans="1:29">
      <c r="A185" s="40"/>
      <c r="B185" s="151" t="s">
        <v>1707</v>
      </c>
      <c r="C185" s="152" t="s">
        <v>2058</v>
      </c>
      <c r="D185" s="118" t="str">
        <f>IF(CONNECTIONS_TABLE[[#This Row],[Device Name]]="","",VLOOKUP(CONNECTIONS_TABLE[[#This Row],[Device Name]],DEVICE_TABLE[#Data],MATCH(D$3,DEVICE_TABLE[#Headers],0),FALSE))</f>
        <v>STORAGE</v>
      </c>
      <c r="E18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TINTRI3/A-DATA (STORAGE)</v>
      </c>
      <c r="F185" s="154"/>
      <c r="G185" s="118" t="str">
        <f>IF(CONNECTIONS_TABLE[[#This Row],[Device Name]]="","",VLOOKUP(CONNECTIONS_TABLE[[#This Row],[Device Name]],DEVICE_TABLE[],MATCH(G$3,DEVICE_TABLE[#Headers],0),FALSE))</f>
        <v>Listerhills</v>
      </c>
      <c r="H185" s="153" t="str">
        <f>IF(B185="","",VLOOKUP(B185,DEVICE_TABLE[#Data],MATCH(H$3,DEVICE_TABLE[#Headers],0),FALSE))</f>
        <v>CR1</v>
      </c>
      <c r="I185" s="122" t="s">
        <v>1575</v>
      </c>
      <c r="J185" s="122" t="s">
        <v>1371</v>
      </c>
      <c r="K185" s="122" t="s">
        <v>1925</v>
      </c>
      <c r="L185" s="153" t="str">
        <f t="shared" si="2"/>
        <v>FGHLHN41-1 twe1/0/22</v>
      </c>
      <c r="M185" s="122" t="s">
        <v>1872</v>
      </c>
      <c r="N185" s="122" t="s">
        <v>1988</v>
      </c>
      <c r="O185" s="152"/>
      <c r="P185" s="152" t="s">
        <v>2075</v>
      </c>
      <c r="Q185" s="156" t="str">
        <f>IF(L185="","",IFERROR(VLOOKUP(UPPER($G185)&amp;"/"&amp;$P185,NETWORKS_TABLE[],MATCH(Q$3,NETWORKS_TABLE[#Headers],0),FALSE),""))</f>
        <v/>
      </c>
      <c r="R185" s="156" t="str">
        <f>IF(B185="","",IFERROR(VLOOKUP(UPPER($G185)&amp;"/"&amp;$P185,NETWORKS_TABLE[],MATCH(R$3,NETWORKS_TABLE[#Headers],0),FALSE),""))</f>
        <v/>
      </c>
      <c r="S185" s="188" t="s" cm="1">
        <v>78</v>
      </c>
      <c r="T185" s="152">
        <v>999</v>
      </c>
      <c r="U185" s="152" t="s">
        <v>2098</v>
      </c>
      <c r="V185" s="155"/>
      <c r="AC185" t="s">
        <v>1709</v>
      </c>
    </row>
    <row r="186" spans="1:29">
      <c r="A186" s="40"/>
      <c r="B186" s="151" t="s">
        <v>1707</v>
      </c>
      <c r="C186" s="152" t="s">
        <v>2099</v>
      </c>
      <c r="D186" s="118" t="str">
        <f>IF(CONNECTIONS_TABLE[[#This Row],[Device Name]]="","",VLOOKUP(CONNECTIONS_TABLE[[#This Row],[Device Name]],DEVICE_TABLE[#Data],MATCH(D$3,DEVICE_TABLE[#Headers],0),FALSE))</f>
        <v>STORAGE</v>
      </c>
      <c r="E18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TINTRI3/A-DATA2 (STORAGE)</v>
      </c>
      <c r="F186" s="154"/>
      <c r="G186" s="118" t="str">
        <f>IF(CONNECTIONS_TABLE[[#This Row],[Device Name]]="","",VLOOKUP(CONNECTIONS_TABLE[[#This Row],[Device Name]],DEVICE_TABLE[],MATCH(G$3,DEVICE_TABLE[#Headers],0),FALSE))</f>
        <v>Listerhills</v>
      </c>
      <c r="H186" s="153" t="str">
        <f>IF(B186="","",VLOOKUP(B186,DEVICE_TABLE[#Data],MATCH(H$3,DEVICE_TABLE[#Headers],0),FALSE))</f>
        <v>CR1</v>
      </c>
      <c r="I186" s="122" t="s">
        <v>1575</v>
      </c>
      <c r="J186" s="122" t="s">
        <v>1375</v>
      </c>
      <c r="K186" s="122" t="s">
        <v>1926</v>
      </c>
      <c r="L186" s="153" t="str">
        <f t="shared" si="2"/>
        <v>FGHLHN41-2 twe2/0/22</v>
      </c>
      <c r="M186" s="122" t="s">
        <v>1872</v>
      </c>
      <c r="N186" s="122" t="s">
        <v>1988</v>
      </c>
      <c r="O186" s="152"/>
      <c r="P186" s="152" t="s">
        <v>2075</v>
      </c>
      <c r="Q186" s="156" t="str">
        <f>IF(L186="","",IFERROR(VLOOKUP(UPPER($G186)&amp;"/"&amp;$P186,NETWORKS_TABLE[],MATCH(Q$3,NETWORKS_TABLE[#Headers],0),FALSE),""))</f>
        <v/>
      </c>
      <c r="R186" s="156" t="str">
        <f>IF(B186="","",IFERROR(VLOOKUP(UPPER($G186)&amp;"/"&amp;$P186,NETWORKS_TABLE[],MATCH(R$3,NETWORKS_TABLE[#Headers],0),FALSE),""))</f>
        <v/>
      </c>
      <c r="S186" s="188" t="s" cm="1">
        <v>78</v>
      </c>
      <c r="T186" s="152">
        <v>999</v>
      </c>
      <c r="U186" s="152" t="s">
        <v>2098</v>
      </c>
      <c r="V186" s="155"/>
      <c r="AC186" t="s">
        <v>1709</v>
      </c>
    </row>
    <row r="187" spans="1:29">
      <c r="A187" s="40"/>
      <c r="B187" s="151" t="s">
        <v>1707</v>
      </c>
      <c r="C187" s="152" t="s">
        <v>2100</v>
      </c>
      <c r="D187" s="118" t="str">
        <f>IF(CONNECTIONS_TABLE[[#This Row],[Device Name]]="","",VLOOKUP(CONNECTIONS_TABLE[[#This Row],[Device Name]],DEVICE_TABLE[#Data],MATCH(D$3,DEVICE_TABLE[#Headers],0),FALSE))</f>
        <v>STORAGE</v>
      </c>
      <c r="E18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TINTRI3/B-ADMIN (STORAGE)</v>
      </c>
      <c r="F187" s="154"/>
      <c r="G187" s="118" t="str">
        <f>IF(CONNECTIONS_TABLE[[#This Row],[Device Name]]="","",VLOOKUP(CONNECTIONS_TABLE[[#This Row],[Device Name]],DEVICE_TABLE[],MATCH(G$3,DEVICE_TABLE[#Headers],0),FALSE))</f>
        <v>Listerhills</v>
      </c>
      <c r="H187" s="153" t="str">
        <f>IF(B187="","",VLOOKUP(B187,DEVICE_TABLE[#Data],MATCH(H$3,DEVICE_TABLE[#Headers],0),FALSE))</f>
        <v>CR1</v>
      </c>
      <c r="I187" s="122" t="s">
        <v>1575</v>
      </c>
      <c r="J187" s="122" t="s">
        <v>1073</v>
      </c>
      <c r="K187" s="122" t="s">
        <v>2101</v>
      </c>
      <c r="L187" s="153" t="str">
        <f t="shared" si="2"/>
        <v>FGHLHN141-1 gi1/0/37</v>
      </c>
      <c r="M187" s="122" t="s">
        <v>1991</v>
      </c>
      <c r="N187" s="122" t="s">
        <v>1988</v>
      </c>
      <c r="O187" s="152"/>
      <c r="P187" s="152">
        <v>220</v>
      </c>
      <c r="Q187" s="156" t="str">
        <f>IF(L187="","",IFERROR(VLOOKUP(UPPER($G187)&amp;"/"&amp;$P187,NETWORKS_TABLE[],MATCH(Q$3,NETWORKS_TABLE[#Headers],0),FALSE),""))</f>
        <v>VIRTUALMGNT</v>
      </c>
      <c r="R187" s="156" t="str">
        <f>IF(B187="","",IFERROR(VLOOKUP(UPPER($G187)&amp;"/"&amp;$P187,NETWORKS_TABLE[],MATCH(R$3,NETWORKS_TABLE[#Headers],0),FALSE),""))</f>
        <v>10.224.20.0/24</v>
      </c>
      <c r="S187" s="188" t="s" cm="1">
        <v>1710</v>
      </c>
      <c r="T187" s="152"/>
      <c r="U187" s="152"/>
      <c r="V187" s="155"/>
      <c r="AC187" t="s">
        <v>1709</v>
      </c>
    </row>
    <row r="188" spans="1:29">
      <c r="A188" s="40"/>
      <c r="B188" s="151" t="s">
        <v>1707</v>
      </c>
      <c r="C188" s="152" t="s">
        <v>2102</v>
      </c>
      <c r="D188" s="118" t="str">
        <f>IF(CONNECTIONS_TABLE[[#This Row],[Device Name]]="","",VLOOKUP(CONNECTIONS_TABLE[[#This Row],[Device Name]],DEVICE_TABLE[#Data],MATCH(D$3,DEVICE_TABLE[#Headers],0),FALSE))</f>
        <v>STORAGE</v>
      </c>
      <c r="E18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TINTRI3/B-ADMIN2 (STORAGE)</v>
      </c>
      <c r="F188" s="154"/>
      <c r="G188" s="118" t="str">
        <f>IF(CONNECTIONS_TABLE[[#This Row],[Device Name]]="","",VLOOKUP(CONNECTIONS_TABLE[[#This Row],[Device Name]],DEVICE_TABLE[],MATCH(G$3,DEVICE_TABLE[#Headers],0),FALSE))</f>
        <v>Listerhills</v>
      </c>
      <c r="H188" s="153" t="str">
        <f>IF(B188="","",VLOOKUP(B188,DEVICE_TABLE[#Data],MATCH(H$3,DEVICE_TABLE[#Headers],0),FALSE))</f>
        <v>CR1</v>
      </c>
      <c r="I188" s="122" t="s">
        <v>1575</v>
      </c>
      <c r="J188" s="122" t="s">
        <v>1083</v>
      </c>
      <c r="K188" s="122" t="s">
        <v>2103</v>
      </c>
      <c r="L188" s="153" t="str">
        <f t="shared" si="2"/>
        <v>FGHLHN141-2 gi2/0/37</v>
      </c>
      <c r="M188" s="122" t="s">
        <v>1991</v>
      </c>
      <c r="N188" s="122" t="s">
        <v>1988</v>
      </c>
      <c r="O188" s="152"/>
      <c r="P188" s="152">
        <v>220</v>
      </c>
      <c r="Q188" s="156" t="str">
        <f>IF(L188="","",IFERROR(VLOOKUP(UPPER($G188)&amp;"/"&amp;$P188,NETWORKS_TABLE[],MATCH(Q$3,NETWORKS_TABLE[#Headers],0),FALSE),""))</f>
        <v>VIRTUALMGNT</v>
      </c>
      <c r="R188" s="156" t="str">
        <f>IF(B188="","",IFERROR(VLOOKUP(UPPER($G188)&amp;"/"&amp;$P188,NETWORKS_TABLE[],MATCH(R$3,NETWORKS_TABLE[#Headers],0),FALSE),""))</f>
        <v>10.224.20.0/24</v>
      </c>
      <c r="S188" s="188" t="s" cm="1">
        <v>1710</v>
      </c>
      <c r="T188" s="152"/>
      <c r="U188" s="152"/>
      <c r="V188" s="155"/>
      <c r="AC188" t="s">
        <v>1709</v>
      </c>
    </row>
    <row r="189" spans="1:29">
      <c r="A189" s="40"/>
      <c r="B189" s="151" t="s">
        <v>1707</v>
      </c>
      <c r="C189" s="152" t="s">
        <v>2063</v>
      </c>
      <c r="D189" s="118" t="str">
        <f>IF(CONNECTIONS_TABLE[[#This Row],[Device Name]]="","",VLOOKUP(CONNECTIONS_TABLE[[#This Row],[Device Name]],DEVICE_TABLE[#Data],MATCH(D$3,DEVICE_TABLE[#Headers],0),FALSE))</f>
        <v>STORAGE</v>
      </c>
      <c r="E18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TINTRI3/B-REPL (STORAGE)</v>
      </c>
      <c r="F189" s="154"/>
      <c r="G189" s="118" t="str">
        <f>IF(CONNECTIONS_TABLE[[#This Row],[Device Name]]="","",VLOOKUP(CONNECTIONS_TABLE[[#This Row],[Device Name]],DEVICE_TABLE[],MATCH(G$3,DEVICE_TABLE[#Headers],0),FALSE))</f>
        <v>Listerhills</v>
      </c>
      <c r="H189" s="153" t="str">
        <f>IF(B189="","",VLOOKUP(B189,DEVICE_TABLE[#Data],MATCH(H$3,DEVICE_TABLE[#Headers],0),FALSE))</f>
        <v>CR1</v>
      </c>
      <c r="I189" s="122" t="s">
        <v>1575</v>
      </c>
      <c r="J189" s="122" t="s">
        <v>1073</v>
      </c>
      <c r="K189" s="122" t="s">
        <v>2104</v>
      </c>
      <c r="L189" s="153" t="str">
        <f t="shared" si="2"/>
        <v>FGHLHN141-1 gi1/0/38</v>
      </c>
      <c r="M189" s="122" t="s">
        <v>1991</v>
      </c>
      <c r="N189" s="122" t="s">
        <v>1988</v>
      </c>
      <c r="O189" s="152"/>
      <c r="P189" s="152">
        <v>300</v>
      </c>
      <c r="Q189" s="156" t="str">
        <f>IF(L189="","",IFERROR(VLOOKUP(UPPER($G189)&amp;"/"&amp;$P189,NETWORKS_TABLE[],MATCH(Q$3,NETWORKS_TABLE[#Headers],0),FALSE),""))</f>
        <v>SERVER</v>
      </c>
      <c r="R189" s="156" t="str">
        <f>IF(B189="","",IFERROR(VLOOKUP(UPPER($G189)&amp;"/"&amp;$P189,NETWORKS_TABLE[],MATCH(R$3,NETWORKS_TABLE[#Headers],0),FALSE),""))</f>
        <v>10.224.100.0/24</v>
      </c>
      <c r="S189" s="188" t="s" cm="1">
        <v>2127</v>
      </c>
      <c r="T189" s="152"/>
      <c r="U189" s="152"/>
      <c r="V189" s="155"/>
      <c r="AC189" t="s">
        <v>1709</v>
      </c>
    </row>
    <row r="190" spans="1:29">
      <c r="A190" s="40"/>
      <c r="B190" s="151" t="s">
        <v>1707</v>
      </c>
      <c r="C190" s="152" t="s">
        <v>2065</v>
      </c>
      <c r="D190" s="118" t="str">
        <f>IF(CONNECTIONS_TABLE[[#This Row],[Device Name]]="","",VLOOKUP(CONNECTIONS_TABLE[[#This Row],[Device Name]],DEVICE_TABLE[#Data],MATCH(D$3,DEVICE_TABLE[#Headers],0),FALSE))</f>
        <v>STORAGE</v>
      </c>
      <c r="E19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TINTRI3/B-REPL2 (STORAGE)</v>
      </c>
      <c r="F190" s="154"/>
      <c r="G190" s="118" t="str">
        <f>IF(CONNECTIONS_TABLE[[#This Row],[Device Name]]="","",VLOOKUP(CONNECTIONS_TABLE[[#This Row],[Device Name]],DEVICE_TABLE[],MATCH(G$3,DEVICE_TABLE[#Headers],0),FALSE))</f>
        <v>Listerhills</v>
      </c>
      <c r="H190" s="153" t="str">
        <f>IF(B190="","",VLOOKUP(B190,DEVICE_TABLE[#Data],MATCH(H$3,DEVICE_TABLE[#Headers],0),FALSE))</f>
        <v>CR1</v>
      </c>
      <c r="I190" s="122" t="s">
        <v>1575</v>
      </c>
      <c r="J190" s="122" t="s">
        <v>1083</v>
      </c>
      <c r="K190" s="122" t="s">
        <v>2105</v>
      </c>
      <c r="L190" s="153" t="str">
        <f t="shared" si="2"/>
        <v>FGHLHN141-2 gi2/0/38</v>
      </c>
      <c r="M190" s="122" t="s">
        <v>1991</v>
      </c>
      <c r="N190" s="122" t="s">
        <v>1988</v>
      </c>
      <c r="O190" s="152"/>
      <c r="P190" s="152">
        <v>300</v>
      </c>
      <c r="Q190" s="156" t="str">
        <f>IF(L190="","",IFERROR(VLOOKUP(UPPER($G190)&amp;"/"&amp;$P190,NETWORKS_TABLE[],MATCH(Q$3,NETWORKS_TABLE[#Headers],0),FALSE),""))</f>
        <v>SERVER</v>
      </c>
      <c r="R190" s="156" t="str">
        <f>IF(B190="","",IFERROR(VLOOKUP(UPPER($G190)&amp;"/"&amp;$P190,NETWORKS_TABLE[],MATCH(R$3,NETWORKS_TABLE[#Headers],0),FALSE),""))</f>
        <v>10.224.100.0/24</v>
      </c>
      <c r="S190" s="188" t="s" cm="1">
        <v>2127</v>
      </c>
      <c r="T190" s="152"/>
      <c r="U190" s="152"/>
      <c r="V190" s="155"/>
      <c r="AC190" t="s">
        <v>1709</v>
      </c>
    </row>
    <row r="191" spans="1:29">
      <c r="A191" s="40"/>
      <c r="B191" s="151" t="s">
        <v>1707</v>
      </c>
      <c r="C191" s="152" t="s">
        <v>2067</v>
      </c>
      <c r="D191" s="118" t="str">
        <f>IF(CONNECTIONS_TABLE[[#This Row],[Device Name]]="","",VLOOKUP(CONNECTIONS_TABLE[[#This Row],[Device Name]],DEVICE_TABLE[#Data],MATCH(D$3,DEVICE_TABLE[#Headers],0),FALSE))</f>
        <v>STORAGE</v>
      </c>
      <c r="E19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TINTRI3/B-DATA (STORAGE)</v>
      </c>
      <c r="F191" s="154"/>
      <c r="G191" s="118" t="str">
        <f>IF(CONNECTIONS_TABLE[[#This Row],[Device Name]]="","",VLOOKUP(CONNECTIONS_TABLE[[#This Row],[Device Name]],DEVICE_TABLE[],MATCH(G$3,DEVICE_TABLE[#Headers],0),FALSE))</f>
        <v>Listerhills</v>
      </c>
      <c r="H191" s="153" t="str">
        <f>IF(B191="","",VLOOKUP(B191,DEVICE_TABLE[#Data],MATCH(H$3,DEVICE_TABLE[#Headers],0),FALSE))</f>
        <v>CR1</v>
      </c>
      <c r="I191" s="122" t="s">
        <v>1575</v>
      </c>
      <c r="J191" s="122" t="s">
        <v>1371</v>
      </c>
      <c r="K191" s="122" t="s">
        <v>1927</v>
      </c>
      <c r="L191" s="153" t="str">
        <f t="shared" si="2"/>
        <v>FGHLHN41-1 twe1/0/23</v>
      </c>
      <c r="M191" s="122" t="s">
        <v>1872</v>
      </c>
      <c r="N191" s="122" t="s">
        <v>1988</v>
      </c>
      <c r="O191" s="152"/>
      <c r="P191" s="152" t="s">
        <v>2075</v>
      </c>
      <c r="Q191" s="156" t="str">
        <f>IF(L191="","",IFERROR(VLOOKUP(UPPER($G191)&amp;"/"&amp;$P191,NETWORKS_TABLE[],MATCH(Q$3,NETWORKS_TABLE[#Headers],0),FALSE),""))</f>
        <v/>
      </c>
      <c r="R191" s="156" t="str">
        <f>IF(B191="","",IFERROR(VLOOKUP(UPPER($G191)&amp;"/"&amp;$P191,NETWORKS_TABLE[],MATCH(R$3,NETWORKS_TABLE[#Headers],0),FALSE),""))</f>
        <v/>
      </c>
      <c r="S191" s="188" t="s" cm="1">
        <v>78</v>
      </c>
      <c r="T191" s="152">
        <v>999</v>
      </c>
      <c r="U191" s="152" t="s">
        <v>2098</v>
      </c>
      <c r="V191" s="155"/>
      <c r="AC191" t="s">
        <v>1709</v>
      </c>
    </row>
    <row r="192" spans="1:29">
      <c r="A192" s="40"/>
      <c r="B192" s="151" t="s">
        <v>1707</v>
      </c>
      <c r="C192" s="152" t="s">
        <v>2106</v>
      </c>
      <c r="D192" s="118" t="str">
        <f>IF(CONNECTIONS_TABLE[[#This Row],[Device Name]]="","",VLOOKUP(CONNECTIONS_TABLE[[#This Row],[Device Name]],DEVICE_TABLE[#Data],MATCH(D$3,DEVICE_TABLE[#Headers],0),FALSE))</f>
        <v>STORAGE</v>
      </c>
      <c r="E19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TINTRI3/B-DATA2 (STORAGE)</v>
      </c>
      <c r="F192" s="154"/>
      <c r="G192" s="118" t="str">
        <f>IF(CONNECTIONS_TABLE[[#This Row],[Device Name]]="","",VLOOKUP(CONNECTIONS_TABLE[[#This Row],[Device Name]],DEVICE_TABLE[],MATCH(G$3,DEVICE_TABLE[#Headers],0),FALSE))</f>
        <v>Listerhills</v>
      </c>
      <c r="H192" s="153" t="str">
        <f>IF(B192="","",VLOOKUP(B192,DEVICE_TABLE[#Data],MATCH(H$3,DEVICE_TABLE[#Headers],0),FALSE))</f>
        <v>CR1</v>
      </c>
      <c r="I192" s="122" t="s">
        <v>1575</v>
      </c>
      <c r="J192" s="122" t="s">
        <v>1375</v>
      </c>
      <c r="K192" s="122" t="s">
        <v>1928</v>
      </c>
      <c r="L192" s="153" t="str">
        <f t="shared" si="2"/>
        <v>FGHLHN41-2 twe2/0/23</v>
      </c>
      <c r="M192" s="122" t="s">
        <v>1872</v>
      </c>
      <c r="N192" s="122" t="s">
        <v>1988</v>
      </c>
      <c r="O192" s="152"/>
      <c r="P192" s="152" t="s">
        <v>2075</v>
      </c>
      <c r="Q192" s="156" t="str">
        <f>IF(L192="","",IFERROR(VLOOKUP(UPPER($G192)&amp;"/"&amp;$P192,NETWORKS_TABLE[],MATCH(Q$3,NETWORKS_TABLE[#Headers],0),FALSE),""))</f>
        <v/>
      </c>
      <c r="R192" s="156" t="str">
        <f>IF(B192="","",IFERROR(VLOOKUP(UPPER($G192)&amp;"/"&amp;$P192,NETWORKS_TABLE[],MATCH(R$3,NETWORKS_TABLE[#Headers],0),FALSE),""))</f>
        <v/>
      </c>
      <c r="S192" s="188" t="s" cm="1">
        <v>78</v>
      </c>
      <c r="T192" s="152">
        <v>999</v>
      </c>
      <c r="U192" s="152" t="s">
        <v>2098</v>
      </c>
      <c r="V192" s="155"/>
      <c r="AC192" t="s">
        <v>1709</v>
      </c>
    </row>
    <row r="193" spans="1:29">
      <c r="A193" s="40"/>
      <c r="B193" s="151"/>
      <c r="C193" s="152"/>
      <c r="D193" s="118" t="str">
        <f>IF(CONNECTIONS_TABLE[[#This Row],[Device Name]]="","",VLOOKUP(CONNECTIONS_TABLE[[#This Row],[Device Name]],DEVICE_TABLE[#Data],MATCH(D$3,DEVICE_TABLE[#Headers],0),FALSE))</f>
        <v/>
      </c>
      <c r="E19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193" s="154"/>
      <c r="G193" s="118" t="str">
        <f>IF(CONNECTIONS_TABLE[[#This Row],[Device Name]]="","",VLOOKUP(CONNECTIONS_TABLE[[#This Row],[Device Name]],DEVICE_TABLE[],MATCH(G$3,DEVICE_TABLE[#Headers],0),FALSE))</f>
        <v/>
      </c>
      <c r="H193" s="153" t="str">
        <f>IF(B193="","",VLOOKUP(B193,DEVICE_TABLE[#Data],MATCH(H$3,DEVICE_TABLE[#Headers],0),FALSE))</f>
        <v/>
      </c>
      <c r="I193" s="122"/>
      <c r="J193" s="122"/>
      <c r="K193" s="122"/>
      <c r="L193" s="153" t="str">
        <f t="shared" si="2"/>
        <v xml:space="preserve"> </v>
      </c>
      <c r="M193" s="122"/>
      <c r="N193" s="122"/>
      <c r="O193" s="152"/>
      <c r="P193" s="152"/>
      <c r="Q193" s="156" t="str">
        <f>IF(L193="","",IFERROR(VLOOKUP(UPPER($G193)&amp;"/"&amp;$P193,NETWORKS_TABLE[],MATCH(Q$3,NETWORKS_TABLE[#Headers],0),FALSE),""))</f>
        <v/>
      </c>
      <c r="R193" s="156" t="str">
        <f>IF(B193="","",IFERROR(VLOOKUP(UPPER($G193)&amp;"/"&amp;$P193,NETWORKS_TABLE[],MATCH(R$3,NETWORKS_TABLE[#Headers],0),FALSE),""))</f>
        <v/>
      </c>
      <c r="S193" s="188" t="s" cm="1">
        <v>78</v>
      </c>
      <c r="T193" s="152"/>
      <c r="U193" s="152"/>
      <c r="V193" s="155"/>
      <c r="AC193" t="s">
        <v>78</v>
      </c>
    </row>
    <row r="194" spans="1:29">
      <c r="A194" s="40"/>
      <c r="B194" s="151" t="s">
        <v>1711</v>
      </c>
      <c r="C194" s="152" t="s">
        <v>2092</v>
      </c>
      <c r="D194" s="118" t="str">
        <f>IF(CONNECTIONS_TABLE[[#This Row],[Device Name]]="","",VLOOKUP(CONNECTIONS_TABLE[[#This Row],[Device Name]],DEVICE_TABLE[#Data],MATCH(D$3,DEVICE_TABLE[#Headers],0),FALSE))</f>
        <v>STORAGE</v>
      </c>
      <c r="E19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TINTRI4/A-ADMIN (STORAGE)</v>
      </c>
      <c r="F194" s="154"/>
      <c r="G194" s="118" t="str">
        <f>IF(CONNECTIONS_TABLE[[#This Row],[Device Name]]="","",VLOOKUP(CONNECTIONS_TABLE[[#This Row],[Device Name]],DEVICE_TABLE[],MATCH(G$3,DEVICE_TABLE[#Headers],0),FALSE))</f>
        <v>Listerhills</v>
      </c>
      <c r="H194" s="153" t="str">
        <f>IF(B194="","",VLOOKUP(B194,DEVICE_TABLE[#Data],MATCH(H$3,DEVICE_TABLE[#Headers],0),FALSE))</f>
        <v>CR2</v>
      </c>
      <c r="I194" s="122" t="s">
        <v>1575</v>
      </c>
      <c r="J194" s="122" t="s">
        <v>1089</v>
      </c>
      <c r="K194" s="122" t="s">
        <v>2093</v>
      </c>
      <c r="L194" s="153" t="str">
        <f t="shared" si="2"/>
        <v>FGHLHN142-1 gi1/0/35</v>
      </c>
      <c r="M194" s="122" t="s">
        <v>1991</v>
      </c>
      <c r="N194" s="122" t="s">
        <v>1988</v>
      </c>
      <c r="O194" s="152"/>
      <c r="P194" s="152">
        <v>220</v>
      </c>
      <c r="Q194" s="156" t="str">
        <f>IF(L194="","",IFERROR(VLOOKUP(UPPER($G194)&amp;"/"&amp;$P194,NETWORKS_TABLE[],MATCH(Q$3,NETWORKS_TABLE[#Headers],0),FALSE),""))</f>
        <v>VIRTUALMGNT</v>
      </c>
      <c r="R194" s="156" t="str">
        <f>IF(B194="","",IFERROR(VLOOKUP(UPPER($G194)&amp;"/"&amp;$P194,NETWORKS_TABLE[],MATCH(R$3,NETWORKS_TABLE[#Headers],0),FALSE),""))</f>
        <v>10.224.20.0/24</v>
      </c>
      <c r="S194" s="188" t="s" cm="1">
        <v>1713</v>
      </c>
      <c r="T194" s="152"/>
      <c r="U194" s="152"/>
      <c r="V194" s="155"/>
      <c r="AC194" t="s">
        <v>1712</v>
      </c>
    </row>
    <row r="195" spans="1:29">
      <c r="A195" s="40"/>
      <c r="B195" s="151" t="s">
        <v>1711</v>
      </c>
      <c r="C195" s="152" t="s">
        <v>2094</v>
      </c>
      <c r="D195" s="118" t="str">
        <f>IF(CONNECTIONS_TABLE[[#This Row],[Device Name]]="","",VLOOKUP(CONNECTIONS_TABLE[[#This Row],[Device Name]],DEVICE_TABLE[#Data],MATCH(D$3,DEVICE_TABLE[#Headers],0),FALSE))</f>
        <v>STORAGE</v>
      </c>
      <c r="E19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TINTRI4/A-ADMIN2 (STORAGE)</v>
      </c>
      <c r="F195" s="154"/>
      <c r="G195" s="118" t="str">
        <f>IF(CONNECTIONS_TABLE[[#This Row],[Device Name]]="","",VLOOKUP(CONNECTIONS_TABLE[[#This Row],[Device Name]],DEVICE_TABLE[],MATCH(G$3,DEVICE_TABLE[#Headers],0),FALSE))</f>
        <v>Listerhills</v>
      </c>
      <c r="H195" s="153" t="str">
        <f>IF(B195="","",VLOOKUP(B195,DEVICE_TABLE[#Data],MATCH(H$3,DEVICE_TABLE[#Headers],0),FALSE))</f>
        <v>CR2</v>
      </c>
      <c r="I195" s="122" t="s">
        <v>1575</v>
      </c>
      <c r="J195" s="122" t="s">
        <v>1095</v>
      </c>
      <c r="K195" s="122" t="s">
        <v>2095</v>
      </c>
      <c r="L195" s="153" t="str">
        <f t="shared" si="2"/>
        <v>FGHLHN142-2 gi2/0/35</v>
      </c>
      <c r="M195" s="122" t="s">
        <v>1991</v>
      </c>
      <c r="N195" s="122" t="s">
        <v>1988</v>
      </c>
      <c r="O195" s="152"/>
      <c r="P195" s="152">
        <v>220</v>
      </c>
      <c r="Q195" s="156" t="str">
        <f>IF(L195="","",IFERROR(VLOOKUP(UPPER($G195)&amp;"/"&amp;$P195,NETWORKS_TABLE[],MATCH(Q$3,NETWORKS_TABLE[#Headers],0),FALSE),""))</f>
        <v>VIRTUALMGNT</v>
      </c>
      <c r="R195" s="156" t="str">
        <f>IF(B195="","",IFERROR(VLOOKUP(UPPER($G195)&amp;"/"&amp;$P195,NETWORKS_TABLE[],MATCH(R$3,NETWORKS_TABLE[#Headers],0),FALSE),""))</f>
        <v>10.224.20.0/24</v>
      </c>
      <c r="S195" s="188" t="s" cm="1">
        <v>1713</v>
      </c>
      <c r="T195" s="152"/>
      <c r="U195" s="152"/>
      <c r="V195" s="155"/>
      <c r="AC195" t="s">
        <v>1712</v>
      </c>
    </row>
    <row r="196" spans="1:29">
      <c r="A196" s="40"/>
      <c r="B196" s="151" t="s">
        <v>1711</v>
      </c>
      <c r="C196" s="152" t="s">
        <v>2054</v>
      </c>
      <c r="D196" s="118" t="str">
        <f>IF(CONNECTIONS_TABLE[[#This Row],[Device Name]]="","",VLOOKUP(CONNECTIONS_TABLE[[#This Row],[Device Name]],DEVICE_TABLE[#Data],MATCH(D$3,DEVICE_TABLE[#Headers],0),FALSE))</f>
        <v>STORAGE</v>
      </c>
      <c r="E19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TINTRI4/A-REPL (STORAGE)</v>
      </c>
      <c r="F196" s="154"/>
      <c r="G196" s="118" t="str">
        <f>IF(CONNECTIONS_TABLE[[#This Row],[Device Name]]="","",VLOOKUP(CONNECTIONS_TABLE[[#This Row],[Device Name]],DEVICE_TABLE[],MATCH(G$3,DEVICE_TABLE[#Headers],0),FALSE))</f>
        <v>Listerhills</v>
      </c>
      <c r="H196" s="153" t="str">
        <f>IF(B196="","",VLOOKUP(B196,DEVICE_TABLE[#Data],MATCH(H$3,DEVICE_TABLE[#Headers],0),FALSE))</f>
        <v>CR2</v>
      </c>
      <c r="I196" s="122" t="s">
        <v>1575</v>
      </c>
      <c r="J196" s="122" t="s">
        <v>1089</v>
      </c>
      <c r="K196" s="122" t="s">
        <v>2096</v>
      </c>
      <c r="L196" s="153" t="str">
        <f t="shared" si="2"/>
        <v>FGHLHN142-1 gi1/0/36</v>
      </c>
      <c r="M196" s="122" t="s">
        <v>1991</v>
      </c>
      <c r="N196" s="122" t="s">
        <v>1988</v>
      </c>
      <c r="O196" s="152"/>
      <c r="P196" s="152">
        <v>300</v>
      </c>
      <c r="Q196" s="156" t="str">
        <f>IF(L196="","",IFERROR(VLOOKUP(UPPER($G196)&amp;"/"&amp;$P196,NETWORKS_TABLE[],MATCH(Q$3,NETWORKS_TABLE[#Headers],0),FALSE),""))</f>
        <v>SERVER</v>
      </c>
      <c r="R196" s="156" t="str">
        <f>IF(B196="","",IFERROR(VLOOKUP(UPPER($G196)&amp;"/"&amp;$P196,NETWORKS_TABLE[],MATCH(R$3,NETWORKS_TABLE[#Headers],0),FALSE),""))</f>
        <v>10.224.100.0/24</v>
      </c>
      <c r="S196" s="188" t="s" cm="1">
        <v>2128</v>
      </c>
      <c r="T196" s="152"/>
      <c r="U196" s="152"/>
      <c r="V196" s="155"/>
      <c r="AC196" t="s">
        <v>1712</v>
      </c>
    </row>
    <row r="197" spans="1:29">
      <c r="A197" s="40"/>
      <c r="B197" s="151" t="s">
        <v>1711</v>
      </c>
      <c r="C197" s="152" t="s">
        <v>2056</v>
      </c>
      <c r="D197" s="118" t="str">
        <f>IF(CONNECTIONS_TABLE[[#This Row],[Device Name]]="","",VLOOKUP(CONNECTIONS_TABLE[[#This Row],[Device Name]],DEVICE_TABLE[#Data],MATCH(D$3,DEVICE_TABLE[#Headers],0),FALSE))</f>
        <v>STORAGE</v>
      </c>
      <c r="E19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TINTRI4/A-REPL2 (STORAGE)</v>
      </c>
      <c r="F197" s="154"/>
      <c r="G197" s="118" t="str">
        <f>IF(CONNECTIONS_TABLE[[#This Row],[Device Name]]="","",VLOOKUP(CONNECTIONS_TABLE[[#This Row],[Device Name]],DEVICE_TABLE[],MATCH(G$3,DEVICE_TABLE[#Headers],0),FALSE))</f>
        <v>Listerhills</v>
      </c>
      <c r="H197" s="153" t="str">
        <f>IF(B197="","",VLOOKUP(B197,DEVICE_TABLE[#Data],MATCH(H$3,DEVICE_TABLE[#Headers],0),FALSE))</f>
        <v>CR2</v>
      </c>
      <c r="I197" s="122" t="s">
        <v>1575</v>
      </c>
      <c r="J197" s="122" t="s">
        <v>1095</v>
      </c>
      <c r="K197" s="122" t="s">
        <v>2097</v>
      </c>
      <c r="L197" s="153" t="str">
        <f t="shared" ref="L197:L228" si="3">J197&amp;" "&amp;K197</f>
        <v>FGHLHN142-2 gi2/0/36</v>
      </c>
      <c r="M197" s="122" t="s">
        <v>1991</v>
      </c>
      <c r="N197" s="122" t="s">
        <v>1988</v>
      </c>
      <c r="O197" s="152"/>
      <c r="P197" s="152">
        <v>300</v>
      </c>
      <c r="Q197" s="156" t="str">
        <f>IF(L197="","",IFERROR(VLOOKUP(UPPER($G197)&amp;"/"&amp;$P197,NETWORKS_TABLE[],MATCH(Q$3,NETWORKS_TABLE[#Headers],0),FALSE),""))</f>
        <v>SERVER</v>
      </c>
      <c r="R197" s="156" t="str">
        <f>IF(B197="","",IFERROR(VLOOKUP(UPPER($G197)&amp;"/"&amp;$P197,NETWORKS_TABLE[],MATCH(R$3,NETWORKS_TABLE[#Headers],0),FALSE),""))</f>
        <v>10.224.100.0/24</v>
      </c>
      <c r="S197" s="188" t="s" cm="1">
        <v>2128</v>
      </c>
      <c r="T197" s="152"/>
      <c r="U197" s="152"/>
      <c r="V197" s="155"/>
      <c r="AC197" t="s">
        <v>1712</v>
      </c>
    </row>
    <row r="198" spans="1:29">
      <c r="A198" s="40"/>
      <c r="B198" s="151" t="s">
        <v>1711</v>
      </c>
      <c r="C198" s="152" t="s">
        <v>2058</v>
      </c>
      <c r="D198" s="118" t="str">
        <f>IF(CONNECTIONS_TABLE[[#This Row],[Device Name]]="","",VLOOKUP(CONNECTIONS_TABLE[[#This Row],[Device Name]],DEVICE_TABLE[#Data],MATCH(D$3,DEVICE_TABLE[#Headers],0),FALSE))</f>
        <v>STORAGE</v>
      </c>
      <c r="E19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TINTRI4/A-DATA (STORAGE)</v>
      </c>
      <c r="F198" s="154"/>
      <c r="G198" s="118" t="str">
        <f>IF(CONNECTIONS_TABLE[[#This Row],[Device Name]]="","",VLOOKUP(CONNECTIONS_TABLE[[#This Row],[Device Name]],DEVICE_TABLE[],MATCH(G$3,DEVICE_TABLE[#Headers],0),FALSE))</f>
        <v>Listerhills</v>
      </c>
      <c r="H198" s="153" t="str">
        <f>IF(B198="","",VLOOKUP(B198,DEVICE_TABLE[#Data],MATCH(H$3,DEVICE_TABLE[#Headers],0),FALSE))</f>
        <v>CR2</v>
      </c>
      <c r="I198" s="122" t="s">
        <v>1575</v>
      </c>
      <c r="J198" s="122" t="s">
        <v>1379</v>
      </c>
      <c r="K198" s="122" t="s">
        <v>1925</v>
      </c>
      <c r="L198" s="153" t="str">
        <f t="shared" si="3"/>
        <v>FGHLHN42-1 twe1/0/22</v>
      </c>
      <c r="M198" s="122" t="s">
        <v>1872</v>
      </c>
      <c r="N198" s="122" t="s">
        <v>1988</v>
      </c>
      <c r="O198" s="152"/>
      <c r="P198" s="152" t="s">
        <v>2075</v>
      </c>
      <c r="Q198" s="156" t="str">
        <f>IF(L198="","",IFERROR(VLOOKUP(UPPER($G198)&amp;"/"&amp;$P198,NETWORKS_TABLE[],MATCH(Q$3,NETWORKS_TABLE[#Headers],0),FALSE),""))</f>
        <v/>
      </c>
      <c r="R198" s="156" t="str">
        <f>IF(B198="","",IFERROR(VLOOKUP(UPPER($G198)&amp;"/"&amp;$P198,NETWORKS_TABLE[],MATCH(R$3,NETWORKS_TABLE[#Headers],0),FALSE),""))</f>
        <v/>
      </c>
      <c r="S198" s="188" t="s" cm="1">
        <v>78</v>
      </c>
      <c r="T198" s="152">
        <v>999</v>
      </c>
      <c r="U198" s="152" t="s">
        <v>2098</v>
      </c>
      <c r="V198" s="155"/>
      <c r="AC198" t="s">
        <v>1712</v>
      </c>
    </row>
    <row r="199" spans="1:29">
      <c r="A199" s="40"/>
      <c r="B199" s="151" t="s">
        <v>1711</v>
      </c>
      <c r="C199" s="152" t="s">
        <v>2099</v>
      </c>
      <c r="D199" s="118" t="str">
        <f>IF(CONNECTIONS_TABLE[[#This Row],[Device Name]]="","",VLOOKUP(CONNECTIONS_TABLE[[#This Row],[Device Name]],DEVICE_TABLE[#Data],MATCH(D$3,DEVICE_TABLE[#Headers],0),FALSE))</f>
        <v>STORAGE</v>
      </c>
      <c r="E19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TINTRI4/A-DATA2 (STORAGE)</v>
      </c>
      <c r="F199" s="154"/>
      <c r="G199" s="118" t="str">
        <f>IF(CONNECTIONS_TABLE[[#This Row],[Device Name]]="","",VLOOKUP(CONNECTIONS_TABLE[[#This Row],[Device Name]],DEVICE_TABLE[],MATCH(G$3,DEVICE_TABLE[#Headers],0),FALSE))</f>
        <v>Listerhills</v>
      </c>
      <c r="H199" s="153" t="str">
        <f>IF(B199="","",VLOOKUP(B199,DEVICE_TABLE[#Data],MATCH(H$3,DEVICE_TABLE[#Headers],0),FALSE))</f>
        <v>CR2</v>
      </c>
      <c r="I199" s="122" t="s">
        <v>1575</v>
      </c>
      <c r="J199" s="122" t="s">
        <v>1383</v>
      </c>
      <c r="K199" s="122" t="s">
        <v>1926</v>
      </c>
      <c r="L199" s="153" t="str">
        <f t="shared" si="3"/>
        <v>FGHLHN42-2 twe2/0/22</v>
      </c>
      <c r="M199" s="122" t="s">
        <v>1872</v>
      </c>
      <c r="N199" s="122" t="s">
        <v>1988</v>
      </c>
      <c r="O199" s="152"/>
      <c r="P199" s="152" t="s">
        <v>2075</v>
      </c>
      <c r="Q199" s="156" t="str">
        <f>IF(L199="","",IFERROR(VLOOKUP(UPPER($G199)&amp;"/"&amp;$P199,NETWORKS_TABLE[],MATCH(Q$3,NETWORKS_TABLE[#Headers],0),FALSE),""))</f>
        <v/>
      </c>
      <c r="R199" s="156" t="str">
        <f>IF(B199="","",IFERROR(VLOOKUP(UPPER($G199)&amp;"/"&amp;$P199,NETWORKS_TABLE[],MATCH(R$3,NETWORKS_TABLE[#Headers],0),FALSE),""))</f>
        <v/>
      </c>
      <c r="S199" s="188" t="s" cm="1">
        <v>78</v>
      </c>
      <c r="T199" s="152">
        <v>999</v>
      </c>
      <c r="U199" s="152" t="s">
        <v>2098</v>
      </c>
      <c r="V199" s="155"/>
      <c r="AC199" t="s">
        <v>1712</v>
      </c>
    </row>
    <row r="200" spans="1:29">
      <c r="A200" s="40"/>
      <c r="B200" s="151" t="s">
        <v>1711</v>
      </c>
      <c r="C200" s="152" t="s">
        <v>2100</v>
      </c>
      <c r="D200" s="118" t="str">
        <f>IF(CONNECTIONS_TABLE[[#This Row],[Device Name]]="","",VLOOKUP(CONNECTIONS_TABLE[[#This Row],[Device Name]],DEVICE_TABLE[#Data],MATCH(D$3,DEVICE_TABLE[#Headers],0),FALSE))</f>
        <v>STORAGE</v>
      </c>
      <c r="E20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TINTRI4/B-ADMIN (STORAGE)</v>
      </c>
      <c r="F200" s="154"/>
      <c r="G200" s="118" t="str">
        <f>IF(CONNECTIONS_TABLE[[#This Row],[Device Name]]="","",VLOOKUP(CONNECTIONS_TABLE[[#This Row],[Device Name]],DEVICE_TABLE[],MATCH(G$3,DEVICE_TABLE[#Headers],0),FALSE))</f>
        <v>Listerhills</v>
      </c>
      <c r="H200" s="153" t="str">
        <f>IF(B200="","",VLOOKUP(B200,DEVICE_TABLE[#Data],MATCH(H$3,DEVICE_TABLE[#Headers],0),FALSE))</f>
        <v>CR2</v>
      </c>
      <c r="I200" s="122" t="s">
        <v>1575</v>
      </c>
      <c r="J200" s="122" t="s">
        <v>1089</v>
      </c>
      <c r="K200" s="122" t="s">
        <v>2101</v>
      </c>
      <c r="L200" s="153" t="str">
        <f t="shared" si="3"/>
        <v>FGHLHN142-1 gi1/0/37</v>
      </c>
      <c r="M200" s="122" t="s">
        <v>1991</v>
      </c>
      <c r="N200" s="122" t="s">
        <v>1988</v>
      </c>
      <c r="O200" s="152"/>
      <c r="P200" s="152">
        <v>220</v>
      </c>
      <c r="Q200" s="156" t="str">
        <f>IF(L200="","",IFERROR(VLOOKUP(UPPER($G200)&amp;"/"&amp;$P200,NETWORKS_TABLE[],MATCH(Q$3,NETWORKS_TABLE[#Headers],0),FALSE),""))</f>
        <v>VIRTUALMGNT</v>
      </c>
      <c r="R200" s="156" t="str">
        <f>IF(B200="","",IFERROR(VLOOKUP(UPPER($G200)&amp;"/"&amp;$P200,NETWORKS_TABLE[],MATCH(R$3,NETWORKS_TABLE[#Headers],0),FALSE),""))</f>
        <v>10.224.20.0/24</v>
      </c>
      <c r="S200" s="188" t="s" cm="1">
        <v>1713</v>
      </c>
      <c r="T200" s="152"/>
      <c r="U200" s="152"/>
      <c r="V200" s="155"/>
      <c r="AC200" t="s">
        <v>1712</v>
      </c>
    </row>
    <row r="201" spans="1:29">
      <c r="A201" s="40"/>
      <c r="B201" s="151" t="s">
        <v>1711</v>
      </c>
      <c r="C201" s="152" t="s">
        <v>2102</v>
      </c>
      <c r="D201" s="118" t="str">
        <f>IF(CONNECTIONS_TABLE[[#This Row],[Device Name]]="","",VLOOKUP(CONNECTIONS_TABLE[[#This Row],[Device Name]],DEVICE_TABLE[#Data],MATCH(D$3,DEVICE_TABLE[#Headers],0),FALSE))</f>
        <v>STORAGE</v>
      </c>
      <c r="E20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TINTRI4/B-ADMIN2 (STORAGE)</v>
      </c>
      <c r="F201" s="154"/>
      <c r="G201" s="118" t="str">
        <f>IF(CONNECTIONS_TABLE[[#This Row],[Device Name]]="","",VLOOKUP(CONNECTIONS_TABLE[[#This Row],[Device Name]],DEVICE_TABLE[],MATCH(G$3,DEVICE_TABLE[#Headers],0),FALSE))</f>
        <v>Listerhills</v>
      </c>
      <c r="H201" s="153" t="str">
        <f>IF(B201="","",VLOOKUP(B201,DEVICE_TABLE[#Data],MATCH(H$3,DEVICE_TABLE[#Headers],0),FALSE))</f>
        <v>CR2</v>
      </c>
      <c r="I201" s="122" t="s">
        <v>1575</v>
      </c>
      <c r="J201" s="122" t="s">
        <v>1095</v>
      </c>
      <c r="K201" s="122" t="s">
        <v>2103</v>
      </c>
      <c r="L201" s="153" t="str">
        <f t="shared" si="3"/>
        <v>FGHLHN142-2 gi2/0/37</v>
      </c>
      <c r="M201" s="122" t="s">
        <v>1991</v>
      </c>
      <c r="N201" s="122" t="s">
        <v>1988</v>
      </c>
      <c r="O201" s="152"/>
      <c r="P201" s="152">
        <v>220</v>
      </c>
      <c r="Q201" s="156" t="str">
        <f>IF(L201="","",IFERROR(VLOOKUP(UPPER($G201)&amp;"/"&amp;$P201,NETWORKS_TABLE[],MATCH(Q$3,NETWORKS_TABLE[#Headers],0),FALSE),""))</f>
        <v>VIRTUALMGNT</v>
      </c>
      <c r="R201" s="156" t="str">
        <f>IF(B201="","",IFERROR(VLOOKUP(UPPER($G201)&amp;"/"&amp;$P201,NETWORKS_TABLE[],MATCH(R$3,NETWORKS_TABLE[#Headers],0),FALSE),""))</f>
        <v>10.224.20.0/24</v>
      </c>
      <c r="S201" s="188" t="s" cm="1">
        <v>1713</v>
      </c>
      <c r="T201" s="152"/>
      <c r="U201" s="152"/>
      <c r="V201" s="155"/>
      <c r="AC201" t="s">
        <v>1712</v>
      </c>
    </row>
    <row r="202" spans="1:29">
      <c r="A202" s="40"/>
      <c r="B202" s="151" t="s">
        <v>1711</v>
      </c>
      <c r="C202" s="152" t="s">
        <v>2063</v>
      </c>
      <c r="D202" s="118" t="str">
        <f>IF(CONNECTIONS_TABLE[[#This Row],[Device Name]]="","",VLOOKUP(CONNECTIONS_TABLE[[#This Row],[Device Name]],DEVICE_TABLE[#Data],MATCH(D$3,DEVICE_TABLE[#Headers],0),FALSE))</f>
        <v>STORAGE</v>
      </c>
      <c r="E20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TINTRI4/B-REPL (STORAGE)</v>
      </c>
      <c r="F202" s="154"/>
      <c r="G202" s="118" t="str">
        <f>IF(CONNECTIONS_TABLE[[#This Row],[Device Name]]="","",VLOOKUP(CONNECTIONS_TABLE[[#This Row],[Device Name]],DEVICE_TABLE[],MATCH(G$3,DEVICE_TABLE[#Headers],0),FALSE))</f>
        <v>Listerhills</v>
      </c>
      <c r="H202" s="153" t="str">
        <f>IF(B202="","",VLOOKUP(B202,DEVICE_TABLE[#Data],MATCH(H$3,DEVICE_TABLE[#Headers],0),FALSE))</f>
        <v>CR2</v>
      </c>
      <c r="I202" s="122" t="s">
        <v>1575</v>
      </c>
      <c r="J202" s="122" t="s">
        <v>1089</v>
      </c>
      <c r="K202" s="122" t="s">
        <v>2104</v>
      </c>
      <c r="L202" s="153" t="str">
        <f t="shared" si="3"/>
        <v>FGHLHN142-1 gi1/0/38</v>
      </c>
      <c r="M202" s="122" t="s">
        <v>1991</v>
      </c>
      <c r="N202" s="122" t="s">
        <v>1988</v>
      </c>
      <c r="O202" s="152"/>
      <c r="P202" s="152">
        <v>300</v>
      </c>
      <c r="Q202" s="156" t="str">
        <f>IF(L202="","",IFERROR(VLOOKUP(UPPER($G202)&amp;"/"&amp;$P202,NETWORKS_TABLE[],MATCH(Q$3,NETWORKS_TABLE[#Headers],0),FALSE),""))</f>
        <v>SERVER</v>
      </c>
      <c r="R202" s="156" t="str">
        <f>IF(B202="","",IFERROR(VLOOKUP(UPPER($G202)&amp;"/"&amp;$P202,NETWORKS_TABLE[],MATCH(R$3,NETWORKS_TABLE[#Headers],0),FALSE),""))</f>
        <v>10.224.100.0/24</v>
      </c>
      <c r="S202" s="188" t="s" cm="1">
        <v>2128</v>
      </c>
      <c r="T202" s="152"/>
      <c r="U202" s="152"/>
      <c r="V202" s="155"/>
      <c r="AC202" t="s">
        <v>1712</v>
      </c>
    </row>
    <row r="203" spans="1:29">
      <c r="A203" s="40"/>
      <c r="B203" s="151" t="s">
        <v>1711</v>
      </c>
      <c r="C203" s="152" t="s">
        <v>2065</v>
      </c>
      <c r="D203" s="118" t="str">
        <f>IF(CONNECTIONS_TABLE[[#This Row],[Device Name]]="","",VLOOKUP(CONNECTIONS_TABLE[[#This Row],[Device Name]],DEVICE_TABLE[#Data],MATCH(D$3,DEVICE_TABLE[#Headers],0),FALSE))</f>
        <v>STORAGE</v>
      </c>
      <c r="E20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TINTRI4/B-REPL2 (STORAGE)</v>
      </c>
      <c r="F203" s="154"/>
      <c r="G203" s="118" t="str">
        <f>IF(CONNECTIONS_TABLE[[#This Row],[Device Name]]="","",VLOOKUP(CONNECTIONS_TABLE[[#This Row],[Device Name]],DEVICE_TABLE[],MATCH(G$3,DEVICE_TABLE[#Headers],0),FALSE))</f>
        <v>Listerhills</v>
      </c>
      <c r="H203" s="153" t="str">
        <f>IF(B203="","",VLOOKUP(B203,DEVICE_TABLE[#Data],MATCH(H$3,DEVICE_TABLE[#Headers],0),FALSE))</f>
        <v>CR2</v>
      </c>
      <c r="I203" s="122" t="s">
        <v>1575</v>
      </c>
      <c r="J203" s="122" t="s">
        <v>1095</v>
      </c>
      <c r="K203" s="122" t="s">
        <v>2105</v>
      </c>
      <c r="L203" s="153" t="str">
        <f t="shared" si="3"/>
        <v>FGHLHN142-2 gi2/0/38</v>
      </c>
      <c r="M203" s="122" t="s">
        <v>1991</v>
      </c>
      <c r="N203" s="122" t="s">
        <v>1988</v>
      </c>
      <c r="O203" s="152"/>
      <c r="P203" s="152">
        <v>300</v>
      </c>
      <c r="Q203" s="156" t="str">
        <f>IF(L203="","",IFERROR(VLOOKUP(UPPER($G203)&amp;"/"&amp;$P203,NETWORKS_TABLE[],MATCH(Q$3,NETWORKS_TABLE[#Headers],0),FALSE),""))</f>
        <v>SERVER</v>
      </c>
      <c r="R203" s="156" t="str">
        <f>IF(B203="","",IFERROR(VLOOKUP(UPPER($G203)&amp;"/"&amp;$P203,NETWORKS_TABLE[],MATCH(R$3,NETWORKS_TABLE[#Headers],0),FALSE),""))</f>
        <v>10.224.100.0/24</v>
      </c>
      <c r="S203" s="188" t="s" cm="1">
        <v>2128</v>
      </c>
      <c r="T203" s="152"/>
      <c r="U203" s="152"/>
      <c r="V203" s="155"/>
      <c r="AC203" t="s">
        <v>1712</v>
      </c>
    </row>
    <row r="204" spans="1:29">
      <c r="A204" s="40"/>
      <c r="B204" s="151" t="s">
        <v>1711</v>
      </c>
      <c r="C204" s="152" t="s">
        <v>2067</v>
      </c>
      <c r="D204" s="118" t="str">
        <f>IF(CONNECTIONS_TABLE[[#This Row],[Device Name]]="","",VLOOKUP(CONNECTIONS_TABLE[[#This Row],[Device Name]],DEVICE_TABLE[#Data],MATCH(D$3,DEVICE_TABLE[#Headers],0),FALSE))</f>
        <v>STORAGE</v>
      </c>
      <c r="E20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TINTRI4/B-DATA (STORAGE)</v>
      </c>
      <c r="F204" s="154"/>
      <c r="G204" s="118" t="str">
        <f>IF(CONNECTIONS_TABLE[[#This Row],[Device Name]]="","",VLOOKUP(CONNECTIONS_TABLE[[#This Row],[Device Name]],DEVICE_TABLE[],MATCH(G$3,DEVICE_TABLE[#Headers],0),FALSE))</f>
        <v>Listerhills</v>
      </c>
      <c r="H204" s="153" t="str">
        <f>IF(B204="","",VLOOKUP(B204,DEVICE_TABLE[#Data],MATCH(H$3,DEVICE_TABLE[#Headers],0),FALSE))</f>
        <v>CR2</v>
      </c>
      <c r="I204" s="122" t="s">
        <v>1575</v>
      </c>
      <c r="J204" s="122" t="s">
        <v>1379</v>
      </c>
      <c r="K204" s="122" t="s">
        <v>1927</v>
      </c>
      <c r="L204" s="153" t="str">
        <f t="shared" si="3"/>
        <v>FGHLHN42-1 twe1/0/23</v>
      </c>
      <c r="M204" s="122" t="s">
        <v>1872</v>
      </c>
      <c r="N204" s="122" t="s">
        <v>1988</v>
      </c>
      <c r="O204" s="152"/>
      <c r="P204" s="152" t="s">
        <v>2075</v>
      </c>
      <c r="Q204" s="156" t="str">
        <f>IF(L204="","",IFERROR(VLOOKUP(UPPER($G204)&amp;"/"&amp;$P204,NETWORKS_TABLE[],MATCH(Q$3,NETWORKS_TABLE[#Headers],0),FALSE),""))</f>
        <v/>
      </c>
      <c r="R204" s="156" t="str">
        <f>IF(B204="","",IFERROR(VLOOKUP(UPPER($G204)&amp;"/"&amp;$P204,NETWORKS_TABLE[],MATCH(R$3,NETWORKS_TABLE[#Headers],0),FALSE),""))</f>
        <v/>
      </c>
      <c r="S204" s="188" t="s" cm="1">
        <v>78</v>
      </c>
      <c r="T204" s="152">
        <v>999</v>
      </c>
      <c r="U204" s="152" t="s">
        <v>2098</v>
      </c>
      <c r="V204" s="155"/>
      <c r="AC204" t="s">
        <v>1712</v>
      </c>
    </row>
    <row r="205" spans="1:29">
      <c r="A205" s="40"/>
      <c r="B205" s="151" t="s">
        <v>1711</v>
      </c>
      <c r="C205" s="152" t="s">
        <v>2106</v>
      </c>
      <c r="D205" s="118" t="str">
        <f>IF(CONNECTIONS_TABLE[[#This Row],[Device Name]]="","",VLOOKUP(CONNECTIONS_TABLE[[#This Row],[Device Name]],DEVICE_TABLE[#Data],MATCH(D$3,DEVICE_TABLE[#Headers],0),FALSE))</f>
        <v>STORAGE</v>
      </c>
      <c r="E20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TINTRI4/B-DATA2 (STORAGE)</v>
      </c>
      <c r="F205" s="154"/>
      <c r="G205" s="118" t="str">
        <f>IF(CONNECTIONS_TABLE[[#This Row],[Device Name]]="","",VLOOKUP(CONNECTIONS_TABLE[[#This Row],[Device Name]],DEVICE_TABLE[],MATCH(G$3,DEVICE_TABLE[#Headers],0),FALSE))</f>
        <v>Listerhills</v>
      </c>
      <c r="H205" s="153" t="str">
        <f>IF(B205="","",VLOOKUP(B205,DEVICE_TABLE[#Data],MATCH(H$3,DEVICE_TABLE[#Headers],0),FALSE))</f>
        <v>CR2</v>
      </c>
      <c r="I205" s="122" t="s">
        <v>1575</v>
      </c>
      <c r="J205" s="122" t="s">
        <v>1383</v>
      </c>
      <c r="K205" s="122" t="s">
        <v>1928</v>
      </c>
      <c r="L205" s="153" t="str">
        <f t="shared" si="3"/>
        <v>FGHLHN42-2 twe2/0/23</v>
      </c>
      <c r="M205" s="122" t="s">
        <v>1872</v>
      </c>
      <c r="N205" s="122" t="s">
        <v>1988</v>
      </c>
      <c r="O205" s="152"/>
      <c r="P205" s="152" t="s">
        <v>2075</v>
      </c>
      <c r="Q205" s="156" t="str">
        <f>IF(L205="","",IFERROR(VLOOKUP(UPPER($G205)&amp;"/"&amp;$P205,NETWORKS_TABLE[],MATCH(Q$3,NETWORKS_TABLE[#Headers],0),FALSE),""))</f>
        <v/>
      </c>
      <c r="R205" s="156" t="str">
        <f>IF(B205="","",IFERROR(VLOOKUP(UPPER($G205)&amp;"/"&amp;$P205,NETWORKS_TABLE[],MATCH(R$3,NETWORKS_TABLE[#Headers],0),FALSE),""))</f>
        <v/>
      </c>
      <c r="S205" s="188" t="s" cm="1">
        <v>78</v>
      </c>
      <c r="T205" s="152">
        <v>999</v>
      </c>
      <c r="U205" s="152" t="s">
        <v>2098</v>
      </c>
      <c r="V205" s="155"/>
      <c r="AC205" t="s">
        <v>1712</v>
      </c>
    </row>
    <row r="206" spans="1:29">
      <c r="A206" s="40"/>
      <c r="B206" s="151"/>
      <c r="C206" s="152"/>
      <c r="D206" s="118" t="str">
        <f>IF(CONNECTIONS_TABLE[[#This Row],[Device Name]]="","",VLOOKUP(CONNECTIONS_TABLE[[#This Row],[Device Name]],DEVICE_TABLE[#Data],MATCH(D$3,DEVICE_TABLE[#Headers],0),FALSE))</f>
        <v/>
      </c>
      <c r="E20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06" s="154"/>
      <c r="G206" s="118" t="str">
        <f>IF(CONNECTIONS_TABLE[[#This Row],[Device Name]]="","",VLOOKUP(CONNECTIONS_TABLE[[#This Row],[Device Name]],DEVICE_TABLE[],MATCH(G$3,DEVICE_TABLE[#Headers],0),FALSE))</f>
        <v/>
      </c>
      <c r="H206" s="153" t="str">
        <f>IF(B206="","",VLOOKUP(B206,DEVICE_TABLE[#Data],MATCH(H$3,DEVICE_TABLE[#Headers],0),FALSE))</f>
        <v/>
      </c>
      <c r="I206" s="122"/>
      <c r="J206" s="122"/>
      <c r="K206" s="122"/>
      <c r="L206" s="153" t="str">
        <f t="shared" si="3"/>
        <v xml:space="preserve"> </v>
      </c>
      <c r="M206" s="122"/>
      <c r="N206" s="122"/>
      <c r="O206" s="152"/>
      <c r="P206" s="152"/>
      <c r="Q206" s="156" t="str">
        <f>IF(L206="","",IFERROR(VLOOKUP(UPPER($G206)&amp;"/"&amp;$P206,NETWORKS_TABLE[],MATCH(Q$3,NETWORKS_TABLE[#Headers],0),FALSE),""))</f>
        <v/>
      </c>
      <c r="R206" s="156" t="str">
        <f>IF(B206="","",IFERROR(VLOOKUP(UPPER($G206)&amp;"/"&amp;$P206,NETWORKS_TABLE[],MATCH(R$3,NETWORKS_TABLE[#Headers],0),FALSE),""))</f>
        <v/>
      </c>
      <c r="S206" s="188" t="s" cm="1">
        <v>78</v>
      </c>
      <c r="T206" s="152"/>
      <c r="U206" s="152"/>
      <c r="V206" s="155"/>
      <c r="AC206" t="s">
        <v>78</v>
      </c>
    </row>
    <row r="207" spans="1:29">
      <c r="A207" s="40"/>
      <c r="B207" s="151" t="s">
        <v>1729</v>
      </c>
      <c r="C207" s="152">
        <v>17</v>
      </c>
      <c r="D207" s="118" t="str">
        <f>IF(CONNECTIONS_TABLE[[#This Row],[Device Name]]="","",VLOOKUP(CONNECTIONS_TABLE[[#This Row],[Device Name]],DEVICE_TABLE[#Data],MATCH(D$3,DEVICE_TABLE[#Headers],0),FALSE))</f>
        <v>PCI</v>
      </c>
      <c r="E20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EcomSW09a/17 (PCI)</v>
      </c>
      <c r="F207" s="154"/>
      <c r="G207" s="118" t="str">
        <f>IF(CONNECTIONS_TABLE[[#This Row],[Device Name]]="","",VLOOKUP(CONNECTIONS_TABLE[[#This Row],[Device Name]],DEVICE_TABLE[],MATCH(G$3,DEVICE_TABLE[#Headers],0),FALSE))</f>
        <v>Listerhills</v>
      </c>
      <c r="H207" s="153" t="str">
        <f>IF(B207="","",VLOOKUP(B207,DEVICE_TABLE[#Data],MATCH(H$3,DEVICE_TABLE[#Headers],0),FALSE))</f>
        <v>CR1</v>
      </c>
      <c r="I207" s="122" t="s">
        <v>2082</v>
      </c>
      <c r="J207" s="122"/>
      <c r="K207" s="122"/>
      <c r="L207" s="153" t="str">
        <f t="shared" si="3"/>
        <v xml:space="preserve"> </v>
      </c>
      <c r="M207" s="122"/>
      <c r="N207" s="122"/>
      <c r="O207" s="152"/>
      <c r="P207" s="152">
        <v>2000</v>
      </c>
      <c r="Q207" s="156" t="str">
        <f>IF(L207="","",IFERROR(VLOOKUP(UPPER($G207)&amp;"/"&amp;$P207,NETWORKS_TABLE[],MATCH(Q$3,NETWORKS_TABLE[#Headers],0),FALSE),""))</f>
        <v>PCI</v>
      </c>
      <c r="R207" s="156" t="str">
        <f>IF(B207="","",IFERROR(VLOOKUP(UPPER($G207)&amp;"/"&amp;$P207,NETWORKS_TABLE[],MATCH(R$3,NETWORKS_TABLE[#Headers],0),FALSE),""))</f>
        <v>10.224.11.0/24</v>
      </c>
      <c r="S207" s="188" t="s" cm="1">
        <v>1733</v>
      </c>
      <c r="T207" s="152"/>
      <c r="U207" s="152"/>
      <c r="V207" s="155"/>
      <c r="AC207" t="s">
        <v>1732</v>
      </c>
    </row>
    <row r="208" spans="1:29">
      <c r="A208" s="40"/>
      <c r="B208" s="151" t="s">
        <v>1735</v>
      </c>
      <c r="C208" s="152">
        <v>1</v>
      </c>
      <c r="D208" s="118" t="str">
        <f>IF(CONNECTIONS_TABLE[[#This Row],[Device Name]]="","",VLOOKUP(CONNECTIONS_TABLE[[#This Row],[Device Name]],DEVICE_TABLE[#Data],MATCH(D$3,DEVICE_TABLE[#Headers],0),FALSE))</f>
        <v>eCommerce</v>
      </c>
      <c r="E20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EcomSw02a/1 (eCommerce)</v>
      </c>
      <c r="F208" s="154"/>
      <c r="G208" s="118" t="str">
        <f>IF(CONNECTIONS_TABLE[[#This Row],[Device Name]]="","",VLOOKUP(CONNECTIONS_TABLE[[#This Row],[Device Name]],DEVICE_TABLE[],MATCH(G$3,DEVICE_TABLE[#Headers],0),FALSE))</f>
        <v>Listerhills</v>
      </c>
      <c r="H208" s="153" t="str">
        <f>IF(B208="","",VLOOKUP(B208,DEVICE_TABLE[#Data],MATCH(H$3,DEVICE_TABLE[#Headers],0),FALSE))</f>
        <v>CR1</v>
      </c>
      <c r="I208" s="122" t="s">
        <v>2003</v>
      </c>
      <c r="J208" s="122" t="s">
        <v>982</v>
      </c>
      <c r="K208" s="122" t="s">
        <v>2107</v>
      </c>
      <c r="L208" s="153" t="str">
        <f t="shared" si="3"/>
        <v>FGHLHN171 gi1/0/44</v>
      </c>
      <c r="M208" s="122" t="s">
        <v>1991</v>
      </c>
      <c r="N208" s="122" t="s">
        <v>1988</v>
      </c>
      <c r="O208" s="152"/>
      <c r="P208" s="152" t="s">
        <v>2075</v>
      </c>
      <c r="Q208" s="156" t="str">
        <f>IF(L208="","",IFERROR(VLOOKUP(UPPER($G208)&amp;"/"&amp;$P208,NETWORKS_TABLE[],MATCH(Q$3,NETWORKS_TABLE[#Headers],0),FALSE),""))</f>
        <v/>
      </c>
      <c r="R208" s="156" t="str">
        <f>IF(B208="","",IFERROR(VLOOKUP(UPPER($G208)&amp;"/"&amp;$P208,NETWORKS_TABLE[],MATCH(R$3,NETWORKS_TABLE[#Headers],0),FALSE),""))</f>
        <v/>
      </c>
      <c r="S208" s="188" t="s" cm="1">
        <v>78</v>
      </c>
      <c r="T208" s="152">
        <v>4093</v>
      </c>
      <c r="U208" s="152" t="s">
        <v>2108</v>
      </c>
      <c r="V208" s="155"/>
      <c r="AC208" t="s">
        <v>1732</v>
      </c>
    </row>
    <row r="209" spans="1:29">
      <c r="A209" s="40"/>
      <c r="B209" s="151"/>
      <c r="C209" s="152"/>
      <c r="D209" s="118" t="str">
        <f>IF(CONNECTIONS_TABLE[[#This Row],[Device Name]]="","",VLOOKUP(CONNECTIONS_TABLE[[#This Row],[Device Name]],DEVICE_TABLE[#Data],MATCH(D$3,DEVICE_TABLE[#Headers],0),FALSE))</f>
        <v/>
      </c>
      <c r="E20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09" s="154"/>
      <c r="G209" s="118" t="str">
        <f>IF(CONNECTIONS_TABLE[[#This Row],[Device Name]]="","",VLOOKUP(CONNECTIONS_TABLE[[#This Row],[Device Name]],DEVICE_TABLE[],MATCH(G$3,DEVICE_TABLE[#Headers],0),FALSE))</f>
        <v/>
      </c>
      <c r="H209" s="153" t="str">
        <f>IF(B209="","",VLOOKUP(B209,DEVICE_TABLE[#Data],MATCH(H$3,DEVICE_TABLE[#Headers],0),FALSE))</f>
        <v/>
      </c>
      <c r="I209" s="122"/>
      <c r="J209" s="122"/>
      <c r="K209" s="122"/>
      <c r="L209" s="153" t="str">
        <f t="shared" si="3"/>
        <v xml:space="preserve"> </v>
      </c>
      <c r="M209" s="122"/>
      <c r="N209" s="122"/>
      <c r="O209" s="152"/>
      <c r="P209" s="152"/>
      <c r="Q209" s="156" t="str">
        <f>IF(L209="","",IFERROR(VLOOKUP(UPPER($G209)&amp;"/"&amp;$P209,NETWORKS_TABLE[],MATCH(Q$3,NETWORKS_TABLE[#Headers],0),FALSE),""))</f>
        <v/>
      </c>
      <c r="R209" s="156" t="str">
        <f>IF(B209="","",IFERROR(VLOOKUP(UPPER($G209)&amp;"/"&amp;$P209,NETWORKS_TABLE[],MATCH(R$3,NETWORKS_TABLE[#Headers],0),FALSE),""))</f>
        <v/>
      </c>
      <c r="S209" s="188" t="s" cm="1">
        <v>78</v>
      </c>
      <c r="T209" s="152"/>
      <c r="U209" s="152"/>
      <c r="V209" s="155"/>
      <c r="AC209" t="s">
        <v>78</v>
      </c>
    </row>
    <row r="210" spans="1:29">
      <c r="A210" s="40"/>
      <c r="B210" s="151" t="s">
        <v>1739</v>
      </c>
      <c r="C210" s="152" t="s">
        <v>2018</v>
      </c>
      <c r="D210" s="118" t="str">
        <f>IF(CONNECTIONS_TABLE[[#This Row],[Device Name]]="","",VLOOKUP(CONNECTIONS_TABLE[[#This Row],[Device Name]],DEVICE_TABLE[#Data],MATCH(D$3,DEVICE_TABLE[#Headers],0),FALSE))</f>
        <v>Physical Server</v>
      </c>
      <c r="E21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OTTOUK161/MGNT (Physical Server)</v>
      </c>
      <c r="F210" s="154"/>
      <c r="G210" s="118" t="str">
        <f>IF(CONNECTIONS_TABLE[[#This Row],[Device Name]]="","",VLOOKUP(CONNECTIONS_TABLE[[#This Row],[Device Name]],DEVICE_TABLE[],MATCH(G$3,DEVICE_TABLE[#Headers],0),FALSE))</f>
        <v>Listerhills</v>
      </c>
      <c r="H210" s="153" t="str">
        <f>IF(B210="","",VLOOKUP(B210,DEVICE_TABLE[#Data],MATCH(H$3,DEVICE_TABLE[#Headers],0),FALSE))</f>
        <v>CR1</v>
      </c>
      <c r="I210" s="122" t="s">
        <v>1575</v>
      </c>
      <c r="J210" s="122" t="s">
        <v>1073</v>
      </c>
      <c r="K210" s="122" t="s">
        <v>2109</v>
      </c>
      <c r="L210" s="153" t="str">
        <f t="shared" si="3"/>
        <v>FGHLHN141-1 gi1/0/3</v>
      </c>
      <c r="M210" s="122" t="s">
        <v>1991</v>
      </c>
      <c r="N210" s="122" t="s">
        <v>1988</v>
      </c>
      <c r="O210" s="152"/>
      <c r="P210" s="152">
        <v>300</v>
      </c>
      <c r="Q210" s="156" t="str">
        <f>IF(L210="","",IFERROR(VLOOKUP(UPPER($G210)&amp;"/"&amp;$P210,NETWORKS_TABLE[],MATCH(Q$3,NETWORKS_TABLE[#Headers],0),FALSE),""))</f>
        <v>SERVER</v>
      </c>
      <c r="R210" s="156" t="str">
        <f>IF(B210="","",IFERROR(VLOOKUP(UPPER($G210)&amp;"/"&amp;$P210,NETWORKS_TABLE[],MATCH(R$3,NETWORKS_TABLE[#Headers],0),FALSE),""))</f>
        <v>10.224.100.0/24</v>
      </c>
      <c r="S210" s="188" t="s" cm="1">
        <v>1745</v>
      </c>
      <c r="T210" s="152"/>
      <c r="U210" s="152"/>
      <c r="V210" s="155"/>
      <c r="AC210" t="s">
        <v>1744</v>
      </c>
    </row>
    <row r="211" spans="1:29">
      <c r="A211" s="40"/>
      <c r="B211" s="151" t="s">
        <v>1739</v>
      </c>
      <c r="C211" s="152" t="s">
        <v>2110</v>
      </c>
      <c r="D211" s="118" t="str">
        <f>IF(CONNECTIONS_TABLE[[#This Row],[Device Name]]="","",VLOOKUP(CONNECTIONS_TABLE[[#This Row],[Device Name]],DEVICE_TABLE[#Data],MATCH(D$3,DEVICE_TABLE[#Headers],0),FALSE))</f>
        <v>Physical Server</v>
      </c>
      <c r="E21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OTTOUK161/Backup (Physical Server)</v>
      </c>
      <c r="F211" s="154"/>
      <c r="G211" s="118" t="str">
        <f>IF(CONNECTIONS_TABLE[[#This Row],[Device Name]]="","",VLOOKUP(CONNECTIONS_TABLE[[#This Row],[Device Name]],DEVICE_TABLE[],MATCH(G$3,DEVICE_TABLE[#Headers],0),FALSE))</f>
        <v>Listerhills</v>
      </c>
      <c r="H211" s="153" t="str">
        <f>IF(B211="","",VLOOKUP(B211,DEVICE_TABLE[#Data],MATCH(H$3,DEVICE_TABLE[#Headers],0),FALSE))</f>
        <v>CR1</v>
      </c>
      <c r="I211" s="122" t="s">
        <v>1575</v>
      </c>
      <c r="J211" s="122" t="s">
        <v>1073</v>
      </c>
      <c r="K211" s="122" t="s">
        <v>2111</v>
      </c>
      <c r="L211" s="153" t="str">
        <f t="shared" si="3"/>
        <v>FGHLHN141-1 gi1/0/4</v>
      </c>
      <c r="M211" s="122" t="s">
        <v>1991</v>
      </c>
      <c r="N211" s="122" t="s">
        <v>1988</v>
      </c>
      <c r="O211" s="152"/>
      <c r="P211" s="152">
        <v>4</v>
      </c>
      <c r="Q211" s="156" t="str">
        <f>IF(L211="","",IFERROR(VLOOKUP(UPPER($G211)&amp;"/"&amp;$P211,NETWORKS_TABLE[],MATCH(Q$3,NETWORKS_TABLE[#Headers],0),FALSE),""))</f>
        <v>BACKUP</v>
      </c>
      <c r="R211" s="156" t="str">
        <f>IF(B211="","",IFERROR(VLOOKUP(UPPER($G211)&amp;"/"&amp;$P211,NETWORKS_TABLE[],MATCH(R$3,NETWORKS_TABLE[#Headers],0),FALSE),""))</f>
        <v>0/0</v>
      </c>
      <c r="S211" s="188"/>
      <c r="T211" s="152"/>
      <c r="U211" s="152"/>
      <c r="V211" s="155"/>
      <c r="AC211" t="s">
        <v>1744</v>
      </c>
    </row>
    <row r="212" spans="1:29">
      <c r="A212" s="40"/>
      <c r="B212" s="151" t="s">
        <v>1746</v>
      </c>
      <c r="C212" s="152" t="s">
        <v>2018</v>
      </c>
      <c r="D212" s="118" t="str">
        <f>IF(CONNECTIONS_TABLE[[#This Row],[Device Name]]="","",VLOOKUP(CONNECTIONS_TABLE[[#This Row],[Device Name]],DEVICE_TABLE[#Data],MATCH(D$3,DEVICE_TABLE[#Headers],0),FALSE))</f>
        <v>Physical Server</v>
      </c>
      <c r="E21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OTTOUK145/MGNT (Physical Server)</v>
      </c>
      <c r="F212" s="154"/>
      <c r="G212" s="118" t="str">
        <f>IF(CONNECTIONS_TABLE[[#This Row],[Device Name]]="","",VLOOKUP(CONNECTIONS_TABLE[[#This Row],[Device Name]],DEVICE_TABLE[],MATCH(G$3,DEVICE_TABLE[#Headers],0),FALSE))</f>
        <v>Listerhills</v>
      </c>
      <c r="H212" s="153" t="str">
        <f>IF(B212="","",VLOOKUP(B212,DEVICE_TABLE[#Data],MATCH(H$3,DEVICE_TABLE[#Headers],0),FALSE))</f>
        <v>CR1</v>
      </c>
      <c r="I212" s="122" t="s">
        <v>1575</v>
      </c>
      <c r="J212" s="122" t="s">
        <v>1083</v>
      </c>
      <c r="K212" s="122" t="s">
        <v>2112</v>
      </c>
      <c r="L212" s="153" t="str">
        <f t="shared" si="3"/>
        <v>FGHLHN141-2 gi2/0/3</v>
      </c>
      <c r="M212" s="122" t="s">
        <v>1991</v>
      </c>
      <c r="N212" s="122" t="s">
        <v>1988</v>
      </c>
      <c r="O212" s="152"/>
      <c r="P212" s="152">
        <v>300</v>
      </c>
      <c r="Q212" s="156" t="str">
        <f>IF(L212="","",IFERROR(VLOOKUP(UPPER($G212)&amp;"/"&amp;$P212,NETWORKS_TABLE[],MATCH(Q$3,NETWORKS_TABLE[#Headers],0),FALSE),""))</f>
        <v>SERVER</v>
      </c>
      <c r="R212" s="156" t="str">
        <f>IF(B212="","",IFERROR(VLOOKUP(UPPER($G212)&amp;"/"&amp;$P212,NETWORKS_TABLE[],MATCH(R$3,NETWORKS_TABLE[#Headers],0),FALSE),""))</f>
        <v>10.224.100.0/24</v>
      </c>
      <c r="S212" s="188" t="s" cm="1">
        <v>1749</v>
      </c>
      <c r="T212" s="152"/>
      <c r="U212" s="152"/>
      <c r="V212" s="155"/>
      <c r="AC212" t="s">
        <v>1748</v>
      </c>
    </row>
    <row r="213" spans="1:29">
      <c r="A213" s="40"/>
      <c r="B213" s="151" t="s">
        <v>1746</v>
      </c>
      <c r="C213" s="152" t="s">
        <v>2110</v>
      </c>
      <c r="D213" s="118" t="str">
        <f>IF(CONNECTIONS_TABLE[[#This Row],[Device Name]]="","",VLOOKUP(CONNECTIONS_TABLE[[#This Row],[Device Name]],DEVICE_TABLE[#Data],MATCH(D$3,DEVICE_TABLE[#Headers],0),FALSE))</f>
        <v>Physical Server</v>
      </c>
      <c r="E21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OTTOUK145/Backup (Physical Server)</v>
      </c>
      <c r="F213" s="154"/>
      <c r="G213" s="118" t="str">
        <f>IF(CONNECTIONS_TABLE[[#This Row],[Device Name]]="","",VLOOKUP(CONNECTIONS_TABLE[[#This Row],[Device Name]],DEVICE_TABLE[],MATCH(G$3,DEVICE_TABLE[#Headers],0),FALSE))</f>
        <v>Listerhills</v>
      </c>
      <c r="H213" s="153" t="str">
        <f>IF(B213="","",VLOOKUP(B213,DEVICE_TABLE[#Data],MATCH(H$3,DEVICE_TABLE[#Headers],0),FALSE))</f>
        <v>CR1</v>
      </c>
      <c r="I213" s="122" t="s">
        <v>1575</v>
      </c>
      <c r="J213" s="122" t="s">
        <v>1083</v>
      </c>
      <c r="K213" s="122" t="s">
        <v>2113</v>
      </c>
      <c r="L213" s="153" t="str">
        <f t="shared" si="3"/>
        <v>FGHLHN141-2 gi2/0/4</v>
      </c>
      <c r="M213" s="122" t="s">
        <v>1991</v>
      </c>
      <c r="N213" s="122" t="s">
        <v>1988</v>
      </c>
      <c r="O213" s="152"/>
      <c r="P213" s="152">
        <v>4</v>
      </c>
      <c r="Q213" s="156" t="str">
        <f>IF(L213="","",IFERROR(VLOOKUP(UPPER($G213)&amp;"/"&amp;$P213,NETWORKS_TABLE[],MATCH(Q$3,NETWORKS_TABLE[#Headers],0),FALSE),""))</f>
        <v>BACKUP</v>
      </c>
      <c r="R213" s="156" t="str">
        <f>IF(B213="","",IFERROR(VLOOKUP(UPPER($G213)&amp;"/"&amp;$P213,NETWORKS_TABLE[],MATCH(R$3,NETWORKS_TABLE[#Headers],0),FALSE),""))</f>
        <v>0/0</v>
      </c>
      <c r="S213" s="188"/>
      <c r="T213" s="152"/>
      <c r="U213" s="152"/>
      <c r="V213" s="155"/>
      <c r="AC213" t="s">
        <v>1748</v>
      </c>
    </row>
    <row r="214" spans="1:29">
      <c r="A214" s="40"/>
      <c r="B214" s="151"/>
      <c r="C214" s="152"/>
      <c r="D214" s="118" t="str">
        <f>IF(CONNECTIONS_TABLE[[#This Row],[Device Name]]="","",VLOOKUP(CONNECTIONS_TABLE[[#This Row],[Device Name]],DEVICE_TABLE[#Data],MATCH(D$3,DEVICE_TABLE[#Headers],0),FALSE))</f>
        <v/>
      </c>
      <c r="E21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14" s="154"/>
      <c r="G214" s="118" t="str">
        <f>IF(CONNECTIONS_TABLE[[#This Row],[Device Name]]="","",VLOOKUP(CONNECTIONS_TABLE[[#This Row],[Device Name]],DEVICE_TABLE[],MATCH(G$3,DEVICE_TABLE[#Headers],0),FALSE))</f>
        <v/>
      </c>
      <c r="H214" s="153" t="str">
        <f>IF(B214="","",VLOOKUP(B214,DEVICE_TABLE[#Data],MATCH(H$3,DEVICE_TABLE[#Headers],0),FALSE))</f>
        <v/>
      </c>
      <c r="I214" s="122"/>
      <c r="J214" s="122"/>
      <c r="K214" s="122"/>
      <c r="L214" s="153" t="str">
        <f t="shared" si="3"/>
        <v xml:space="preserve"> </v>
      </c>
      <c r="M214" s="122"/>
      <c r="N214" s="122"/>
      <c r="O214" s="152"/>
      <c r="P214" s="152"/>
      <c r="Q214" s="156" t="str">
        <f>IF(L214="","",IFERROR(VLOOKUP(UPPER($G214)&amp;"/"&amp;$P214,NETWORKS_TABLE[],MATCH(Q$3,NETWORKS_TABLE[#Headers],0),FALSE),""))</f>
        <v/>
      </c>
      <c r="R214" s="156" t="str">
        <f>IF(B214="","",IFERROR(VLOOKUP(UPPER($G214)&amp;"/"&amp;$P214,NETWORKS_TABLE[],MATCH(R$3,NETWORKS_TABLE[#Headers],0),FALSE),""))</f>
        <v/>
      </c>
      <c r="S214" s="188" t="s" cm="1">
        <v>78</v>
      </c>
      <c r="T214" s="152"/>
      <c r="U214" s="152"/>
      <c r="V214" s="155"/>
      <c r="AC214" t="s">
        <v>78</v>
      </c>
    </row>
    <row r="215" spans="1:29">
      <c r="A215" s="40"/>
      <c r="B215" s="151" t="s">
        <v>2771</v>
      </c>
      <c r="C215" s="152" t="s">
        <v>2772</v>
      </c>
      <c r="D215" s="118" t="str">
        <f>IF(CONNECTIONS_TABLE[[#This Row],[Device Name]]="","",VLOOKUP(CONNECTIONS_TABLE[[#This Row],[Device Name]],DEVICE_TABLE[#Data],MATCH(D$3,DEVICE_TABLE[#Headers],0),FALSE))</f>
        <v>TAPE LIBRARY</v>
      </c>
      <c r="E21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Z114MFTL/01 (TAPE LIBRARY)</v>
      </c>
      <c r="F215" s="154"/>
      <c r="G215" s="118" t="str">
        <f>IF(CONNECTIONS_TABLE[[#This Row],[Device Name]]="","",VLOOKUP(CONNECTIONS_TABLE[[#This Row],[Device Name]],DEVICE_TABLE[],MATCH(G$3,DEVICE_TABLE[#Headers],0),FALSE))</f>
        <v>Listerhills</v>
      </c>
      <c r="H215" s="153" t="str">
        <f>IF(B215="","",VLOOKUP(B215,DEVICE_TABLE[#Data],MATCH(H$3,DEVICE_TABLE[#Headers],0),FALSE))</f>
        <v>CR1</v>
      </c>
      <c r="I215" s="122" t="s">
        <v>1575</v>
      </c>
      <c r="J215" s="122" t="s">
        <v>1073</v>
      </c>
      <c r="K215" s="122" t="s">
        <v>2774</v>
      </c>
      <c r="L215" s="153" t="str">
        <f t="shared" si="3"/>
        <v>FGHLHN141-1 gi1/0/5</v>
      </c>
      <c r="M215" s="122" t="s">
        <v>1991</v>
      </c>
      <c r="N215" s="122" t="s">
        <v>1988</v>
      </c>
      <c r="O215" s="152"/>
      <c r="P215" s="152">
        <v>220</v>
      </c>
      <c r="Q215" s="156" t="str">
        <f>IF(L215="","",IFERROR(VLOOKUP(UPPER($G215)&amp;"/"&amp;$P215,NETWORKS_TABLE[],MATCH(Q$3,NETWORKS_TABLE[#Headers],0),FALSE),""))</f>
        <v>VIRTUALMGNT</v>
      </c>
      <c r="R215" s="156" t="str">
        <f>IF(B215="","",IFERROR(VLOOKUP(UPPER($G215)&amp;"/"&amp;$P215,NETWORKS_TABLE[],MATCH(R$3,NETWORKS_TABLE[#Headers],0),FALSE),""))</f>
        <v>10.224.20.0/24</v>
      </c>
      <c r="S215" s="188" t="s" cm="1">
        <v>2776</v>
      </c>
      <c r="T215" s="152"/>
      <c r="U215" s="152"/>
      <c r="V215" s="155"/>
      <c r="AC215" t="s">
        <v>2775</v>
      </c>
    </row>
    <row r="216" spans="1:29">
      <c r="A216" s="40"/>
      <c r="B216" s="151" t="s">
        <v>2771</v>
      </c>
      <c r="C216" s="152" t="s">
        <v>2777</v>
      </c>
      <c r="D216" s="118" t="str">
        <f>IF(CONNECTIONS_TABLE[[#This Row],[Device Name]]="","",VLOOKUP(CONNECTIONS_TABLE[[#This Row],[Device Name]],DEVICE_TABLE[#Data],MATCH(D$3,DEVICE_TABLE[#Headers],0),FALSE))</f>
        <v>TAPE LIBRARY</v>
      </c>
      <c r="E21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Z114MFTL/02 (TAPE LIBRARY)</v>
      </c>
      <c r="F216" s="154"/>
      <c r="G216" s="118" t="str">
        <f>IF(CONNECTIONS_TABLE[[#This Row],[Device Name]]="","",VLOOKUP(CONNECTIONS_TABLE[[#This Row],[Device Name]],DEVICE_TABLE[],MATCH(G$3,DEVICE_TABLE[#Headers],0),FALSE))</f>
        <v>Listerhills</v>
      </c>
      <c r="H216" s="153" t="str">
        <f>IF(B216="","",VLOOKUP(B216,DEVICE_TABLE[#Data],MATCH(H$3,DEVICE_TABLE[#Headers],0),FALSE))</f>
        <v>CR1</v>
      </c>
      <c r="I216" s="122" t="s">
        <v>1575</v>
      </c>
      <c r="J216" s="122" t="s">
        <v>1073</v>
      </c>
      <c r="K216" s="122" t="s">
        <v>2778</v>
      </c>
      <c r="L216" s="153" t="str">
        <f t="shared" si="3"/>
        <v>FGHLHN141-1 gi1/0/6</v>
      </c>
      <c r="M216" s="122" t="s">
        <v>1991</v>
      </c>
      <c r="N216" s="122" t="s">
        <v>1988</v>
      </c>
      <c r="O216" s="152"/>
      <c r="P216" s="152">
        <v>220</v>
      </c>
      <c r="Q216" s="156" t="str">
        <f>IF(L216="","",IFERROR(VLOOKUP(UPPER($G216)&amp;"/"&amp;$P216,NETWORKS_TABLE[],MATCH(Q$3,NETWORKS_TABLE[#Headers],0),FALSE),""))</f>
        <v>VIRTUALMGNT</v>
      </c>
      <c r="R216" s="156" t="str">
        <f>IF(B216="","",IFERROR(VLOOKUP(UPPER($G216)&amp;"/"&amp;$P216,NETWORKS_TABLE[],MATCH(R$3,NETWORKS_TABLE[#Headers],0),FALSE),""))</f>
        <v>10.224.20.0/24</v>
      </c>
      <c r="S216" s="188" t="s" cm="1">
        <v>2779</v>
      </c>
      <c r="T216" s="152"/>
      <c r="U216" s="152"/>
      <c r="V216" s="155"/>
      <c r="AC216">
        <v>52</v>
      </c>
    </row>
    <row r="217" spans="1:29">
      <c r="A217" s="40"/>
      <c r="B217" s="151" t="s">
        <v>2771</v>
      </c>
      <c r="C217" s="152" t="s">
        <v>2780</v>
      </c>
      <c r="D217" s="118" t="str">
        <f>IF(CONNECTIONS_TABLE[[#This Row],[Device Name]]="","",VLOOKUP(CONNECTIONS_TABLE[[#This Row],[Device Name]],DEVICE_TABLE[#Data],MATCH(D$3,DEVICE_TABLE[#Headers],0),FALSE))</f>
        <v>TAPE LIBRARY</v>
      </c>
      <c r="E21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Z114MFTL/03 (TAPE LIBRARY)</v>
      </c>
      <c r="F217" s="154"/>
      <c r="G217" s="118" t="str">
        <f>IF(CONNECTIONS_TABLE[[#This Row],[Device Name]]="","",VLOOKUP(CONNECTIONS_TABLE[[#This Row],[Device Name]],DEVICE_TABLE[],MATCH(G$3,DEVICE_TABLE[#Headers],0),FALSE))</f>
        <v>Listerhills</v>
      </c>
      <c r="H217" s="153" t="str">
        <f>IF(B217="","",VLOOKUP(B217,DEVICE_TABLE[#Data],MATCH(H$3,DEVICE_TABLE[#Headers],0),FALSE))</f>
        <v>CR1</v>
      </c>
      <c r="I217" s="122" t="s">
        <v>1575</v>
      </c>
      <c r="J217" s="122" t="s">
        <v>1083</v>
      </c>
      <c r="K217" s="122" t="s">
        <v>2781</v>
      </c>
      <c r="L217" s="153" t="str">
        <f t="shared" si="3"/>
        <v>FGHLHN141-2 gi2/0/5</v>
      </c>
      <c r="M217" s="122" t="s">
        <v>1991</v>
      </c>
      <c r="N217" s="122" t="s">
        <v>1988</v>
      </c>
      <c r="O217" s="152"/>
      <c r="P217" s="152">
        <v>220</v>
      </c>
      <c r="Q217" s="156" t="str">
        <f>IF(L217="","",IFERROR(VLOOKUP(UPPER($G217)&amp;"/"&amp;$P217,NETWORKS_TABLE[],MATCH(Q$3,NETWORKS_TABLE[#Headers],0),FALSE),""))</f>
        <v>VIRTUALMGNT</v>
      </c>
      <c r="R217" s="156" t="str">
        <f>IF(B217="","",IFERROR(VLOOKUP(UPPER($G217)&amp;"/"&amp;$P217,NETWORKS_TABLE[],MATCH(R$3,NETWORKS_TABLE[#Headers],0),FALSE),""))</f>
        <v>10.224.20.0/24</v>
      </c>
      <c r="S217" s="188" t="s" cm="1">
        <v>2782</v>
      </c>
      <c r="T217" s="152"/>
      <c r="U217" s="152"/>
      <c r="V217" s="155"/>
      <c r="AC217">
        <v>53</v>
      </c>
    </row>
    <row r="218" spans="1:29">
      <c r="A218" s="40"/>
      <c r="B218" s="151"/>
      <c r="C218" s="152"/>
      <c r="D218" s="118" t="str">
        <f>IF(CONNECTIONS_TABLE[[#This Row],[Device Name]]="","",VLOOKUP(CONNECTIONS_TABLE[[#This Row],[Device Name]],DEVICE_TABLE[#Data],MATCH(D$3,DEVICE_TABLE[#Headers],0),FALSE))</f>
        <v/>
      </c>
      <c r="E21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18" s="154"/>
      <c r="G218" s="118" t="str">
        <f>IF(CONNECTIONS_TABLE[[#This Row],[Device Name]]="","",VLOOKUP(CONNECTIONS_TABLE[[#This Row],[Device Name]],DEVICE_TABLE[],MATCH(G$3,DEVICE_TABLE[#Headers],0),FALSE))</f>
        <v/>
      </c>
      <c r="H218" s="153" t="str">
        <f>IF(B218="","",VLOOKUP(B218,DEVICE_TABLE[#Data],MATCH(H$3,DEVICE_TABLE[#Headers],0),FALSE))</f>
        <v/>
      </c>
      <c r="I218" s="122"/>
      <c r="J218" s="122"/>
      <c r="K218" s="122"/>
      <c r="L218" s="153" t="str">
        <f t="shared" si="3"/>
        <v xml:space="preserve"> </v>
      </c>
      <c r="M218" s="122"/>
      <c r="N218" s="122"/>
      <c r="O218" s="152"/>
      <c r="P218" s="152"/>
      <c r="Q218" s="156" t="str">
        <f>IF(L218="","",IFERROR(VLOOKUP(UPPER($G218)&amp;"/"&amp;$P218,NETWORKS_TABLE[],MATCH(Q$3,NETWORKS_TABLE[#Headers],0),FALSE),""))</f>
        <v/>
      </c>
      <c r="R218" s="156" t="str">
        <f>IF(B218="","",IFERROR(VLOOKUP(UPPER($G218)&amp;"/"&amp;$P218,NETWORKS_TABLE[],MATCH(R$3,NETWORKS_TABLE[#Headers],0),FALSE),""))</f>
        <v/>
      </c>
      <c r="S218" s="188" t="s" cm="1">
        <v>78</v>
      </c>
      <c r="T218" s="152"/>
      <c r="U218" s="152"/>
      <c r="V218" s="155"/>
      <c r="AC218" t="s">
        <v>78</v>
      </c>
    </row>
    <row r="219" spans="1:29">
      <c r="A219" s="40"/>
      <c r="B219" s="129" t="s">
        <v>1339</v>
      </c>
      <c r="C219" s="152"/>
      <c r="D219" s="118" t="str">
        <f>IF(CONNECTIONS_TABLE[[#This Row],[Device Name]]="","",VLOOKUP(CONNECTIONS_TABLE[[#This Row],[Device Name]],DEVICE_TABLE[#Data],MATCH(D$3,DEVICE_TABLE[#Headers],0),FALSE))</f>
        <v>DNAC</v>
      </c>
      <c r="E21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FGHLHN221 (DNAC)</v>
      </c>
      <c r="F219" s="154"/>
      <c r="G219" s="118" t="str">
        <f>IF(CONNECTIONS_TABLE[[#This Row],[Device Name]]="","",VLOOKUP(CONNECTIONS_TABLE[[#This Row],[Device Name]],DEVICE_TABLE[],MATCH(G$3,DEVICE_TABLE[#Headers],0),FALSE))</f>
        <v>Listerhills</v>
      </c>
      <c r="H219" s="153" t="str">
        <f>IF(B219="","",VLOOKUP(B219,DEVICE_TABLE[#Data],MATCH(H$3,DEVICE_TABLE[#Headers],0),FALSE))</f>
        <v>CR1</v>
      </c>
      <c r="I219" s="122"/>
      <c r="J219" s="122"/>
      <c r="K219" s="122"/>
      <c r="L219" s="153" t="str">
        <f t="shared" si="3"/>
        <v xml:space="preserve"> </v>
      </c>
      <c r="M219" s="122"/>
      <c r="N219" s="122"/>
      <c r="O219" s="152"/>
      <c r="P219" s="152"/>
      <c r="Q219" s="156" t="str">
        <f>IF(L219="","",IFERROR(VLOOKUP(UPPER($G219)&amp;"/"&amp;$P219,NETWORKS_TABLE[],MATCH(Q$3,NETWORKS_TABLE[#Headers],0),FALSE),""))</f>
        <v/>
      </c>
      <c r="R219" s="156" t="str">
        <f>IF(B219="","",IFERROR(VLOOKUP(UPPER($G219)&amp;"/"&amp;$P219,NETWORKS_TABLE[],MATCH(R$3,NETWORKS_TABLE[#Headers],0),FALSE),""))</f>
        <v/>
      </c>
      <c r="S219" s="188"/>
      <c r="T219" s="152"/>
      <c r="U219" s="152"/>
      <c r="V219" s="155"/>
      <c r="AC219" t="s">
        <v>78</v>
      </c>
    </row>
    <row r="220" spans="1:29">
      <c r="A220" s="40"/>
      <c r="B220" s="151"/>
      <c r="C220" s="152"/>
      <c r="D220" s="118" t="str">
        <f>IF(CONNECTIONS_TABLE[[#This Row],[Device Name]]="","",VLOOKUP(CONNECTIONS_TABLE[[#This Row],[Device Name]],DEVICE_TABLE[#Data],MATCH(D$3,DEVICE_TABLE[#Headers],0),FALSE))</f>
        <v/>
      </c>
      <c r="E22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20" s="154"/>
      <c r="G220" s="118" t="str">
        <f>IF(CONNECTIONS_TABLE[[#This Row],[Device Name]]="","",VLOOKUP(CONNECTIONS_TABLE[[#This Row],[Device Name]],DEVICE_TABLE[],MATCH(G$3,DEVICE_TABLE[#Headers],0),FALSE))</f>
        <v/>
      </c>
      <c r="H220" s="153" t="str">
        <f>IF(B220="","",VLOOKUP(B220,DEVICE_TABLE[#Data],MATCH(H$3,DEVICE_TABLE[#Headers],0),FALSE))</f>
        <v/>
      </c>
      <c r="I220" s="122"/>
      <c r="J220" s="122"/>
      <c r="K220" s="122"/>
      <c r="L220" s="153" t="str">
        <f t="shared" si="3"/>
        <v xml:space="preserve"> </v>
      </c>
      <c r="M220" s="122"/>
      <c r="N220" s="122"/>
      <c r="O220" s="152"/>
      <c r="P220" s="152"/>
      <c r="Q220" s="156" t="str">
        <f>IF(L220="","",IFERROR(VLOOKUP(UPPER($G220)&amp;"/"&amp;$P220,NETWORKS_TABLE[],MATCH(Q$3,NETWORKS_TABLE[#Headers],0),FALSE),""))</f>
        <v/>
      </c>
      <c r="R220" s="156" t="str">
        <f>IF(B220="","",IFERROR(VLOOKUP(UPPER($G220)&amp;"/"&amp;$P220,NETWORKS_TABLE[],MATCH(R$3,NETWORKS_TABLE[#Headers],0),FALSE),""))</f>
        <v/>
      </c>
      <c r="S220" s="188" t="s" cm="1">
        <v>78</v>
      </c>
      <c r="T220" s="152"/>
      <c r="U220" s="152"/>
      <c r="V220" s="155"/>
      <c r="AC220" t="s">
        <v>78</v>
      </c>
    </row>
    <row r="221" spans="1:29">
      <c r="A221" s="40"/>
      <c r="B221" s="151"/>
      <c r="C221" s="152"/>
      <c r="D221" s="118" t="str">
        <f>IF(CONNECTIONS_TABLE[[#This Row],[Device Name]]="","",VLOOKUP(CONNECTIONS_TABLE[[#This Row],[Device Name]],DEVICE_TABLE[#Data],MATCH(D$3,DEVICE_TABLE[#Headers],0),FALSE))</f>
        <v/>
      </c>
      <c r="E22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21" s="154"/>
      <c r="G221" s="118" t="str">
        <f>IF(CONNECTIONS_TABLE[[#This Row],[Device Name]]="","",VLOOKUP(CONNECTIONS_TABLE[[#This Row],[Device Name]],DEVICE_TABLE[],MATCH(G$3,DEVICE_TABLE[#Headers],0),FALSE))</f>
        <v/>
      </c>
      <c r="H221" s="153" t="str">
        <f>IF(B221="","",VLOOKUP(B221,DEVICE_TABLE[#Data],MATCH(H$3,DEVICE_TABLE[#Headers],0),FALSE))</f>
        <v/>
      </c>
      <c r="I221" s="122"/>
      <c r="J221" s="122"/>
      <c r="K221" s="122"/>
      <c r="L221" s="153" t="str">
        <f t="shared" si="3"/>
        <v xml:space="preserve"> </v>
      </c>
      <c r="M221" s="122"/>
      <c r="N221" s="122"/>
      <c r="O221" s="152"/>
      <c r="P221" s="152"/>
      <c r="Q221" s="156" t="str">
        <f>IF(L221="","",IFERROR(VLOOKUP(UPPER($G221)&amp;"/"&amp;$P221,NETWORKS_TABLE[],MATCH(Q$3,NETWORKS_TABLE[#Headers],0),FALSE),""))</f>
        <v/>
      </c>
      <c r="R221" s="156" t="str">
        <f>IF(B221="","",IFERROR(VLOOKUP(UPPER($G221)&amp;"/"&amp;$P221,NETWORKS_TABLE[],MATCH(R$3,NETWORKS_TABLE[#Headers],0),FALSE),""))</f>
        <v/>
      </c>
      <c r="S221" s="188" t="s" cm="1">
        <v>78</v>
      </c>
      <c r="T221" s="152"/>
      <c r="U221" s="152"/>
      <c r="V221" s="155"/>
      <c r="AC221" t="s">
        <v>78</v>
      </c>
    </row>
    <row r="222" spans="1:29">
      <c r="A222" s="40"/>
      <c r="B222" s="151" t="s">
        <v>2875</v>
      </c>
      <c r="C222" s="152" t="s">
        <v>2002</v>
      </c>
      <c r="D222" s="118" t="str">
        <f>IF(CONNECTIONS_TABLE[[#This Row],[Device Name]]="","",VLOOKUP(CONNECTIONS_TABLE[[#This Row],[Device Name]],DEVICE_TABLE[#Data],MATCH(D$3,DEVICE_TABLE[#Headers],0),FALSE))</f>
        <v>VDI</v>
      </c>
      <c r="E22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FGHView15/IDRAC (VDI)</v>
      </c>
      <c r="F222" s="154"/>
      <c r="G222" s="118" t="str">
        <f>IF(CONNECTIONS_TABLE[[#This Row],[Device Name]]="","",VLOOKUP(CONNECTIONS_TABLE[[#This Row],[Device Name]],DEVICE_TABLE[],MATCH(G$3,DEVICE_TABLE[#Headers],0),FALSE))</f>
        <v>Listerhills</v>
      </c>
      <c r="H222" s="153" t="str">
        <f>IF(B222="","",VLOOKUP(B222,DEVICE_TABLE[#Data],MATCH(H$3,DEVICE_TABLE[#Headers],0),FALSE))</f>
        <v>CR1</v>
      </c>
      <c r="I222" s="122" t="s">
        <v>2082</v>
      </c>
      <c r="J222" s="122" t="s">
        <v>1073</v>
      </c>
      <c r="K222" s="122" t="s">
        <v>2877</v>
      </c>
      <c r="L222" s="153" t="str">
        <f t="shared" si="3"/>
        <v>FGHLHN141-1 gi1/0/18</v>
      </c>
      <c r="M222" s="122" t="s">
        <v>1991</v>
      </c>
      <c r="N222" s="122" t="s">
        <v>1988</v>
      </c>
      <c r="O222" s="152"/>
      <c r="P222" s="152">
        <v>400</v>
      </c>
      <c r="Q222" s="156" t="str">
        <f>IF(L222="","",IFERROR(VLOOKUP(UPPER($G222)&amp;"/"&amp;$P222,NETWORKS_TABLE[],MATCH(Q$3,NETWORKS_TABLE[#Headers],0),FALSE),""))</f>
        <v>VDIMGNT</v>
      </c>
      <c r="R222" s="156" t="str">
        <f>IF(B222="","",IFERROR(VLOOKUP(UPPER($G222)&amp;"/"&amp;$P222,NETWORKS_TABLE[],MATCH(R$3,NETWORKS_TABLE[#Headers],0),FALSE),""))</f>
        <v>10.224.200.0/24</v>
      </c>
      <c r="S222" s="188" t="s" cm="1">
        <v>78</v>
      </c>
      <c r="T222" s="152"/>
      <c r="U222" s="152"/>
      <c r="V222" s="155"/>
    </row>
    <row r="223" spans="1:29">
      <c r="A223" s="40"/>
      <c r="B223" s="151" t="s">
        <v>2875</v>
      </c>
      <c r="C223" s="152" t="s">
        <v>155</v>
      </c>
      <c r="D223" s="118" t="str">
        <f>IF(CONNECTIONS_TABLE[[#This Row],[Device Name]]="","",VLOOKUP(CONNECTIONS_TABLE[[#This Row],[Device Name]],DEVICE_TABLE[#Data],MATCH(D$3,DEVICE_TABLE[#Headers],0),FALSE))</f>
        <v>VDI</v>
      </c>
      <c r="E22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FGHView15/ISCSI (VDI)</v>
      </c>
      <c r="F223" s="154"/>
      <c r="G223" s="118" t="str">
        <f>IF(CONNECTIONS_TABLE[[#This Row],[Device Name]]="","",VLOOKUP(CONNECTIONS_TABLE[[#This Row],[Device Name]],DEVICE_TABLE[],MATCH(G$3,DEVICE_TABLE[#Headers],0),FALSE))</f>
        <v>Listerhills</v>
      </c>
      <c r="H223" s="153" t="str">
        <f>IF(B223="","",VLOOKUP(B223,DEVICE_TABLE[#Data],MATCH(H$3,DEVICE_TABLE[#Headers],0),FALSE))</f>
        <v>CR1</v>
      </c>
      <c r="I223" s="122" t="s">
        <v>2082</v>
      </c>
      <c r="J223" s="122" t="s">
        <v>1083</v>
      </c>
      <c r="K223" s="122" t="s">
        <v>2878</v>
      </c>
      <c r="L223" s="153" t="str">
        <f t="shared" si="3"/>
        <v>FGHLHN141-2 gi2/0/18</v>
      </c>
      <c r="M223" s="122" t="s">
        <v>1991</v>
      </c>
      <c r="N223" s="122" t="s">
        <v>1988</v>
      </c>
      <c r="O223" s="152"/>
      <c r="P223" s="152">
        <v>230</v>
      </c>
      <c r="Q223" s="156" t="str">
        <f>IF(L223="","",IFERROR(VLOOKUP(UPPER($G223)&amp;"/"&amp;$P223,NETWORKS_TABLE[],MATCH(Q$3,NETWORKS_TABLE[#Headers],0),FALSE),""))</f>
        <v>HPISCSI</v>
      </c>
      <c r="R223" s="156" t="str">
        <f>IF(B223="","",IFERROR(VLOOKUP(UPPER($G223)&amp;"/"&amp;$P223,NETWORKS_TABLE[],MATCH(R$3,NETWORKS_TABLE[#Headers],0),FALSE),""))</f>
        <v>10.224.30.0/24</v>
      </c>
      <c r="S223" s="188" t="s" cm="1">
        <v>78</v>
      </c>
      <c r="T223" s="152"/>
      <c r="U223" s="152"/>
      <c r="V223" s="155"/>
    </row>
    <row r="224" spans="1:29">
      <c r="A224" s="40"/>
      <c r="B224" s="151" t="s">
        <v>2875</v>
      </c>
      <c r="C224" s="152" t="s">
        <v>2018</v>
      </c>
      <c r="D224" s="118" t="str">
        <f>IF(CONNECTIONS_TABLE[[#This Row],[Device Name]]="","",VLOOKUP(CONNECTIONS_TABLE[[#This Row],[Device Name]],DEVICE_TABLE[#Data],MATCH(D$3,DEVICE_TABLE[#Headers],0),FALSE))</f>
        <v>VDI</v>
      </c>
      <c r="E22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FGHView15/MGNT (VDI)</v>
      </c>
      <c r="F224" s="154"/>
      <c r="G224" s="118" t="str">
        <f>IF(CONNECTIONS_TABLE[[#This Row],[Device Name]]="","",VLOOKUP(CONNECTIONS_TABLE[[#This Row],[Device Name]],DEVICE_TABLE[],MATCH(G$3,DEVICE_TABLE[#Headers],0),FALSE))</f>
        <v>Listerhills</v>
      </c>
      <c r="H224" s="153" t="str">
        <f>IF(B224="","",VLOOKUP(B224,DEVICE_TABLE[#Data],MATCH(H$3,DEVICE_TABLE[#Headers],0),FALSE))</f>
        <v>CR1</v>
      </c>
      <c r="I224" s="122" t="s">
        <v>2082</v>
      </c>
      <c r="J224" s="122" t="s">
        <v>1073</v>
      </c>
      <c r="K224" s="122" t="s">
        <v>2879</v>
      </c>
      <c r="L224" s="153" t="str">
        <f t="shared" si="3"/>
        <v>FGHLHN141-1 gi1/0/28</v>
      </c>
      <c r="M224" s="122" t="s">
        <v>1991</v>
      </c>
      <c r="N224" s="122" t="s">
        <v>1988</v>
      </c>
      <c r="O224" s="152"/>
      <c r="P224" s="152">
        <v>400</v>
      </c>
      <c r="Q224" s="156" t="str">
        <f>IF(L224="","",IFERROR(VLOOKUP(UPPER($G224)&amp;"/"&amp;$P224,NETWORKS_TABLE[],MATCH(Q$3,NETWORKS_TABLE[#Headers],0),FALSE),""))</f>
        <v>VDIMGNT</v>
      </c>
      <c r="R224" s="156" t="str">
        <f>IF(B224="","",IFERROR(VLOOKUP(UPPER($G224)&amp;"/"&amp;$P224,NETWORKS_TABLE[],MATCH(R$3,NETWORKS_TABLE[#Headers],0),FALSE),""))</f>
        <v>10.224.200.0/24</v>
      </c>
      <c r="S224" s="188" t="s" cm="1">
        <v>78</v>
      </c>
      <c r="T224" s="152"/>
      <c r="U224" s="152"/>
      <c r="V224" s="155"/>
    </row>
    <row r="225" spans="1:22">
      <c r="A225" s="40"/>
      <c r="B225" s="151" t="s">
        <v>2875</v>
      </c>
      <c r="C225" s="152" t="s">
        <v>2018</v>
      </c>
      <c r="D225" s="118" t="str">
        <f>IF(CONNECTIONS_TABLE[[#This Row],[Device Name]]="","",VLOOKUP(CONNECTIONS_TABLE[[#This Row],[Device Name]],DEVICE_TABLE[#Data],MATCH(D$3,DEVICE_TABLE[#Headers],0),FALSE))</f>
        <v>VDI</v>
      </c>
      <c r="E22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FGHView15/MGNT (VDI)</v>
      </c>
      <c r="F225" s="154"/>
      <c r="G225" s="118" t="str">
        <f>IF(CONNECTIONS_TABLE[[#This Row],[Device Name]]="","",VLOOKUP(CONNECTIONS_TABLE[[#This Row],[Device Name]],DEVICE_TABLE[],MATCH(G$3,DEVICE_TABLE[#Headers],0),FALSE))</f>
        <v>Listerhills</v>
      </c>
      <c r="H225" s="153" t="str">
        <f>IF(B225="","",VLOOKUP(B225,DEVICE_TABLE[#Data],MATCH(H$3,DEVICE_TABLE[#Headers],0),FALSE))</f>
        <v>CR1</v>
      </c>
      <c r="I225" s="122" t="s">
        <v>2082</v>
      </c>
      <c r="J225" s="122" t="s">
        <v>1083</v>
      </c>
      <c r="K225" s="122" t="s">
        <v>2880</v>
      </c>
      <c r="L225" s="153" t="str">
        <f t="shared" si="3"/>
        <v>FGHLHN141-2 gi2/0/28</v>
      </c>
      <c r="M225" s="122" t="s">
        <v>1991</v>
      </c>
      <c r="N225" s="122" t="s">
        <v>1988</v>
      </c>
      <c r="O225" s="152"/>
      <c r="P225" s="152">
        <v>400</v>
      </c>
      <c r="Q225" s="156" t="str">
        <f>IF(L225="","",IFERROR(VLOOKUP(UPPER($G225)&amp;"/"&amp;$P225,NETWORKS_TABLE[],MATCH(Q$3,NETWORKS_TABLE[#Headers],0),FALSE),""))</f>
        <v>VDIMGNT</v>
      </c>
      <c r="R225" s="156" t="str">
        <f>IF(B225="","",IFERROR(VLOOKUP(UPPER($G225)&amp;"/"&amp;$P225,NETWORKS_TABLE[],MATCH(R$3,NETWORKS_TABLE[#Headers],0),FALSE),""))</f>
        <v>10.224.200.0/24</v>
      </c>
      <c r="S225" s="188" t="s" cm="1">
        <v>78</v>
      </c>
      <c r="T225" s="152"/>
      <c r="U225" s="152"/>
      <c r="V225" s="155"/>
    </row>
    <row r="226" spans="1:22">
      <c r="A226" s="40"/>
      <c r="B226" s="151" t="s">
        <v>2875</v>
      </c>
      <c r="C226" s="152" t="s">
        <v>2034</v>
      </c>
      <c r="D226" s="118" t="str">
        <f>IF(CONNECTIONS_TABLE[[#This Row],[Device Name]]="","",VLOOKUP(CONNECTIONS_TABLE[[#This Row],[Device Name]],DEVICE_TABLE[#Data],MATCH(D$3,DEVICE_TABLE[#Headers],0),FALSE))</f>
        <v>VDI</v>
      </c>
      <c r="E22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FGHView15/DATA (VDI)</v>
      </c>
      <c r="F226" s="154"/>
      <c r="G226" s="118" t="str">
        <f>IF(CONNECTIONS_TABLE[[#This Row],[Device Name]]="","",VLOOKUP(CONNECTIONS_TABLE[[#This Row],[Device Name]],DEVICE_TABLE[],MATCH(G$3,DEVICE_TABLE[#Headers],0),FALSE))</f>
        <v>Listerhills</v>
      </c>
      <c r="H226" s="153" t="str">
        <f>IF(B226="","",VLOOKUP(B226,DEVICE_TABLE[#Data],MATCH(H$3,DEVICE_TABLE[#Headers],0),FALSE))</f>
        <v>CR1</v>
      </c>
      <c r="I226" s="122" t="s">
        <v>2082</v>
      </c>
      <c r="J226" s="122" t="s">
        <v>1371</v>
      </c>
      <c r="K226" s="122" t="s">
        <v>1914</v>
      </c>
      <c r="L226" s="153" t="str">
        <f t="shared" si="3"/>
        <v>FGHLHN41-1 twe1/0/18</v>
      </c>
      <c r="M226" s="122" t="s">
        <v>1872</v>
      </c>
      <c r="N226" s="122" t="s">
        <v>1988</v>
      </c>
      <c r="O226" s="152"/>
      <c r="P226" s="152">
        <v>415</v>
      </c>
      <c r="Q226" s="156" t="str">
        <f>IF(L226="","",IFERROR(VLOOKUP(UPPER($G226)&amp;"/"&amp;$P226,NETWORKS_TABLE[],MATCH(Q$3,NETWORKS_TABLE[#Headers],0),FALSE),""))</f>
        <v>FGHVIEW15</v>
      </c>
      <c r="R226" s="156" t="str">
        <f>IF(B226="","",IFERROR(VLOOKUP(UPPER($G226)&amp;"/"&amp;$P226,NETWORKS_TABLE[],MATCH(R$3,NETWORKS_TABLE[#Headers],0),FALSE),""))</f>
        <v>10.224.215.0/24</v>
      </c>
      <c r="S226" s="188" t="s" cm="1">
        <v>78</v>
      </c>
      <c r="T226" s="152"/>
      <c r="U226" s="152"/>
      <c r="V226" s="155"/>
    </row>
    <row r="227" spans="1:22">
      <c r="A227" s="40"/>
      <c r="B227" s="151" t="s">
        <v>2875</v>
      </c>
      <c r="C227" s="152" t="s">
        <v>2042</v>
      </c>
      <c r="D227" s="118" t="str">
        <f>IF(CONNECTIONS_TABLE[[#This Row],[Device Name]]="","",VLOOKUP(CONNECTIONS_TABLE[[#This Row],[Device Name]],DEVICE_TABLE[#Data],MATCH(D$3,DEVICE_TABLE[#Headers],0),FALSE))</f>
        <v>VDI</v>
      </c>
      <c r="E22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FGHView15/DATA2 (VDI)</v>
      </c>
      <c r="F227" s="154"/>
      <c r="G227" s="118" t="str">
        <f>IF(CONNECTIONS_TABLE[[#This Row],[Device Name]]="","",VLOOKUP(CONNECTIONS_TABLE[[#This Row],[Device Name]],DEVICE_TABLE[],MATCH(G$3,DEVICE_TABLE[#Headers],0),FALSE))</f>
        <v>Listerhills</v>
      </c>
      <c r="H227" s="153" t="str">
        <f>IF(B227="","",VLOOKUP(B227,DEVICE_TABLE[#Data],MATCH(H$3,DEVICE_TABLE[#Headers],0),FALSE))</f>
        <v>CR1</v>
      </c>
      <c r="I227" s="122" t="s">
        <v>2082</v>
      </c>
      <c r="J227" s="122" t="s">
        <v>1375</v>
      </c>
      <c r="K227" s="122" t="s">
        <v>1915</v>
      </c>
      <c r="L227" s="153" t="str">
        <f t="shared" si="3"/>
        <v>FGHLHN41-2 twe2/0/18</v>
      </c>
      <c r="M227" s="122" t="s">
        <v>1872</v>
      </c>
      <c r="N227" s="122" t="s">
        <v>1988</v>
      </c>
      <c r="O227" s="152"/>
      <c r="P227" s="152">
        <v>415</v>
      </c>
      <c r="Q227" s="156" t="str">
        <f>IF(L227="","",IFERROR(VLOOKUP(UPPER($G227)&amp;"/"&amp;$P227,NETWORKS_TABLE[],MATCH(Q$3,NETWORKS_TABLE[#Headers],0),FALSE),""))</f>
        <v>FGHVIEW15</v>
      </c>
      <c r="R227" s="156" t="str">
        <f>IF(B227="","",IFERROR(VLOOKUP(UPPER($G227)&amp;"/"&amp;$P227,NETWORKS_TABLE[],MATCH(R$3,NETWORKS_TABLE[#Headers],0),FALSE),""))</f>
        <v>10.224.215.0/24</v>
      </c>
      <c r="S227" s="188" t="s" cm="1">
        <v>78</v>
      </c>
      <c r="T227" s="152"/>
      <c r="U227" s="152"/>
      <c r="V227" s="155"/>
    </row>
    <row r="228" spans="1:22">
      <c r="A228" s="40"/>
      <c r="B228" s="151"/>
      <c r="C228" s="152"/>
      <c r="D228" s="118" t="str">
        <f>IF(CONNECTIONS_TABLE[[#This Row],[Device Name]]="","",VLOOKUP(CONNECTIONS_TABLE[[#This Row],[Device Name]],DEVICE_TABLE[#Data],MATCH(D$3,DEVICE_TABLE[#Headers],0),FALSE))</f>
        <v/>
      </c>
      <c r="E22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28" s="154"/>
      <c r="G228" s="118" t="str">
        <f>IF(CONNECTIONS_TABLE[[#This Row],[Device Name]]="","",VLOOKUP(CONNECTIONS_TABLE[[#This Row],[Device Name]],DEVICE_TABLE[],MATCH(G$3,DEVICE_TABLE[#Headers],0),FALSE))</f>
        <v/>
      </c>
      <c r="H228" s="153" t="str">
        <f>IF(B228="","",VLOOKUP(B228,DEVICE_TABLE[#Data],MATCH(H$3,DEVICE_TABLE[#Headers],0),FALSE))</f>
        <v/>
      </c>
      <c r="I228" s="122"/>
      <c r="J228" s="122"/>
      <c r="K228" s="122"/>
      <c r="L228" s="153" t="str">
        <f t="shared" si="3"/>
        <v xml:space="preserve"> </v>
      </c>
      <c r="M228" s="122"/>
      <c r="N228" s="122"/>
      <c r="O228" s="152"/>
      <c r="P228" s="152"/>
      <c r="Q228" s="156" t="str">
        <f>IF(L228="","",IFERROR(VLOOKUP(UPPER($G228)&amp;"/"&amp;$P228,NETWORKS_TABLE[],MATCH(Q$3,NETWORKS_TABLE[#Headers],0),FALSE),""))</f>
        <v/>
      </c>
      <c r="R228" s="156" t="str">
        <f>IF(B228="","",IFERROR(VLOOKUP(UPPER($G228)&amp;"/"&amp;$P228,NETWORKS_TABLE[],MATCH(R$3,NETWORKS_TABLE[#Headers],0),FALSE),""))</f>
        <v/>
      </c>
      <c r="S228" s="188" t="s" cm="1">
        <v>78</v>
      </c>
      <c r="T228" s="152"/>
      <c r="U228" s="152"/>
      <c r="V228" s="155"/>
    </row>
    <row r="229" spans="1:22">
      <c r="A229" s="40"/>
      <c r="B229" s="151" t="s">
        <v>2882</v>
      </c>
      <c r="C229" s="152" t="s">
        <v>2883</v>
      </c>
      <c r="D229" s="183" t="s">
        <v>1741</v>
      </c>
      <c r="E22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PRTG/Data (Physical Server)</v>
      </c>
      <c r="F229" s="154"/>
      <c r="G229" s="183" t="s">
        <v>57</v>
      </c>
      <c r="H229" s="153" t="str">
        <f>IF(B229="","",VLOOKUP(B229,DEVICE_TABLE[#Data],MATCH(H$3,DEVICE_TABLE[#Headers],0),FALSE))</f>
        <v>CR1</v>
      </c>
      <c r="I229" s="122" t="s">
        <v>2082</v>
      </c>
      <c r="J229" s="122" t="s">
        <v>1379</v>
      </c>
      <c r="K229" s="122" t="s">
        <v>1885</v>
      </c>
      <c r="L229" s="153" t="s">
        <v>2884</v>
      </c>
      <c r="M229" s="122" t="s">
        <v>1872</v>
      </c>
      <c r="N229" s="122" t="s">
        <v>1988</v>
      </c>
      <c r="O229" s="152"/>
      <c r="P229" s="152">
        <v>32</v>
      </c>
      <c r="Q229" s="156" t="str">
        <f>IF(L229="","",IFERROR(VLOOKUP(UPPER($G229)&amp;"/"&amp;$P229,NETWORKS_TABLE[],MATCH(Q$3,NETWORKS_TABLE[#Headers],0),FALSE),""))</f>
        <v>LEGACYSERVER32</v>
      </c>
      <c r="R229" s="156" t="str">
        <f>IF(B229="","",IFERROR(VLOOKUP(UPPER($G229)&amp;"/"&amp;$P229,NETWORKS_TABLE[],MATCH(R$3,NETWORKS_TABLE[#Headers],0),FALSE),""))</f>
        <v>172.16.32.0/22</v>
      </c>
      <c r="S229" s="204" t="s">
        <v>2885</v>
      </c>
      <c r="T229" s="152"/>
      <c r="U229" s="152"/>
      <c r="V229" s="155"/>
    </row>
    <row r="230" spans="1:22">
      <c r="A230" s="40"/>
      <c r="B230" s="151" t="s">
        <v>2901</v>
      </c>
      <c r="C230" s="152" t="s">
        <v>2883</v>
      </c>
      <c r="D230" s="183" t="s">
        <v>1741</v>
      </c>
      <c r="E23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Voice Gateway 02/Data (Physical Server)</v>
      </c>
      <c r="F230" s="154"/>
      <c r="G230" s="183" t="s">
        <v>57</v>
      </c>
      <c r="H230" s="153" t="str">
        <f>IF(B230="","",VLOOKUP(B230,DEVICE_TABLE[#Data],MATCH(H$3,DEVICE_TABLE[#Headers],0),FALSE))</f>
        <v>CR1</v>
      </c>
      <c r="I230" s="122" t="s">
        <v>1575</v>
      </c>
      <c r="J230" s="122" t="s">
        <v>1073</v>
      </c>
      <c r="K230" s="122" t="s">
        <v>2899</v>
      </c>
      <c r="L230" s="153" t="s">
        <v>2900</v>
      </c>
      <c r="M230" s="122" t="s">
        <v>1991</v>
      </c>
      <c r="N230" s="122" t="s">
        <v>1988</v>
      </c>
      <c r="O230" s="152"/>
      <c r="P230" s="152">
        <v>201</v>
      </c>
      <c r="Q230" s="156" t="str">
        <f>IF(L230="","",IFERROR(VLOOKUP(UPPER($G230)&amp;"/"&amp;$P230,NETWORKS_TABLE[],MATCH(Q$3,NETWORKS_TABLE[#Headers],0),FALSE),""))</f>
        <v>VOICE201</v>
      </c>
      <c r="R230" s="156" t="str">
        <f>IF(B230="","",IFERROR(VLOOKUP(UPPER($G230)&amp;"/"&amp;$P230,NETWORKS_TABLE[],MATCH(R$3,NETWORKS_TABLE[#Headers],0),FALSE),""))</f>
        <v>10.224.1.0/25</v>
      </c>
      <c r="S230" s="204"/>
      <c r="T230" s="152">
        <v>999</v>
      </c>
      <c r="U230" s="152"/>
      <c r="V230" s="155"/>
    </row>
    <row r="231" spans="1:22">
      <c r="A231" s="40"/>
      <c r="B231" s="151" t="s">
        <v>2902</v>
      </c>
      <c r="C231" s="152" t="s">
        <v>2883</v>
      </c>
      <c r="D231" s="183" t="s">
        <v>1741</v>
      </c>
      <c r="E23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Voice Gateway 01/Data (Physical Server)</v>
      </c>
      <c r="F231" s="154"/>
      <c r="G231" s="183" t="s">
        <v>57</v>
      </c>
      <c r="H231" s="153" t="str">
        <f>IF(B231="","",VLOOKUP(B231,DEVICE_TABLE[#Data],MATCH(H$3,DEVICE_TABLE[#Headers],0),FALSE))</f>
        <v>CR1</v>
      </c>
      <c r="I231" s="122" t="s">
        <v>1575</v>
      </c>
      <c r="J231" s="122" t="s">
        <v>1083</v>
      </c>
      <c r="K231" s="122" t="s">
        <v>2905</v>
      </c>
      <c r="L231" s="153" t="s">
        <v>2906</v>
      </c>
      <c r="M231" s="122" t="s">
        <v>1991</v>
      </c>
      <c r="N231" s="122" t="s">
        <v>1988</v>
      </c>
      <c r="O231" s="152"/>
      <c r="P231" s="152">
        <v>201</v>
      </c>
      <c r="Q231" s="156" t="str">
        <f>IF(L231="","",IFERROR(VLOOKUP(UPPER($G231)&amp;"/"&amp;$P231,NETWORKS_TABLE[],MATCH(Q$3,NETWORKS_TABLE[#Headers],0),FALSE),""))</f>
        <v>VOICE201</v>
      </c>
      <c r="R231" s="156" t="str">
        <f>IF(B231="","",IFERROR(VLOOKUP(UPPER($G231)&amp;"/"&amp;$P231,NETWORKS_TABLE[],MATCH(R$3,NETWORKS_TABLE[#Headers],0),FALSE),""))</f>
        <v>10.224.1.0/25</v>
      </c>
      <c r="S231" s="188" t="s" cm="1">
        <v>78</v>
      </c>
      <c r="T231" s="152"/>
      <c r="U231" s="152"/>
      <c r="V231" s="155"/>
    </row>
    <row r="232" spans="1:22">
      <c r="A232" s="40"/>
      <c r="B232" s="209" t="s">
        <v>2908</v>
      </c>
      <c r="C232" s="152" t="s">
        <v>2018</v>
      </c>
      <c r="D232" s="183" t="s">
        <v>1741</v>
      </c>
      <c r="E23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mgmt/MGNT (Physical Server)</v>
      </c>
      <c r="F232" s="154"/>
      <c r="G232" s="183" t="s">
        <v>57</v>
      </c>
      <c r="H232" s="153" t="str">
        <f>IF(B232="","",VLOOKUP(B232,DEVICE_TABLE[#Data],MATCH(H$3,DEVICE_TABLE[#Headers],0),FALSE))</f>
        <v>CR1</v>
      </c>
      <c r="I232" s="122" t="s">
        <v>1575</v>
      </c>
      <c r="J232" s="122" t="s">
        <v>1073</v>
      </c>
      <c r="K232" s="122" t="s">
        <v>2904</v>
      </c>
      <c r="L232" s="153" t="s">
        <v>2911</v>
      </c>
      <c r="M232" s="122" t="s">
        <v>1991</v>
      </c>
      <c r="N232" s="122" t="s">
        <v>1988</v>
      </c>
      <c r="O232" s="152"/>
      <c r="P232" s="152">
        <v>220</v>
      </c>
      <c r="Q232" s="156" t="str">
        <f>IF(L232="","",IFERROR(VLOOKUP(UPPER($G232)&amp;"/"&amp;$P232,NETWORKS_TABLE[],MATCH(Q$3,NETWORKS_TABLE[#Headers],0),FALSE),""))</f>
        <v>VIRTUALMGNT</v>
      </c>
      <c r="R232" s="156" t="str">
        <f>IF(B232="","",IFERROR(VLOOKUP(UPPER($G232)&amp;"/"&amp;$P232,NETWORKS_TABLE[],MATCH(R$3,NETWORKS_TABLE[#Headers],0),FALSE),""))</f>
        <v>10.224.20.0/24</v>
      </c>
      <c r="S232" s="188" t="s" cm="1">
        <v>78</v>
      </c>
      <c r="T232" s="152"/>
      <c r="U232" s="152"/>
      <c r="V232" s="155"/>
    </row>
    <row r="233" spans="1:22">
      <c r="A233" s="40"/>
      <c r="B233" s="209" t="s">
        <v>2908</v>
      </c>
      <c r="C233" s="152" t="s">
        <v>2026</v>
      </c>
      <c r="D233" s="183" t="s">
        <v>1741</v>
      </c>
      <c r="E23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mgmt/MGNT2 (Physical Server)</v>
      </c>
      <c r="F233" s="154"/>
      <c r="G233" s="183" t="s">
        <v>57</v>
      </c>
      <c r="H233" s="153" t="str">
        <f>IF(B233="","",VLOOKUP(B233,DEVICE_TABLE[#Data],MATCH(H$3,DEVICE_TABLE[#Headers],0),FALSE))</f>
        <v>CR1</v>
      </c>
      <c r="I233" s="122" t="s">
        <v>1575</v>
      </c>
      <c r="J233" s="122" t="s">
        <v>1083</v>
      </c>
      <c r="K233" s="122" t="s">
        <v>2912</v>
      </c>
      <c r="L233" s="153" t="s">
        <v>2913</v>
      </c>
      <c r="M233" s="122" t="s">
        <v>1991</v>
      </c>
      <c r="N233" s="122" t="s">
        <v>1988</v>
      </c>
      <c r="O233" s="152"/>
      <c r="P233" s="152">
        <v>220</v>
      </c>
      <c r="Q233" s="156" t="str">
        <f>IF(L233="","",IFERROR(VLOOKUP(UPPER($G233)&amp;"/"&amp;$P233,NETWORKS_TABLE[],MATCH(Q$3,NETWORKS_TABLE[#Headers],0),FALSE),""))</f>
        <v>VIRTUALMGNT</v>
      </c>
      <c r="R233" s="156" t="str">
        <f>IF(B233="","",IFERROR(VLOOKUP(UPPER($G233)&amp;"/"&amp;$P233,NETWORKS_TABLE[],MATCH(R$3,NETWORKS_TABLE[#Headers],0),FALSE),""))</f>
        <v>10.224.20.0/24</v>
      </c>
      <c r="S233" s="188" t="s" cm="1">
        <v>78</v>
      </c>
      <c r="T233" s="152"/>
      <c r="U233" s="152"/>
      <c r="V233" s="155"/>
    </row>
    <row r="234" spans="1:22">
      <c r="A234" s="40"/>
      <c r="B234" s="209" t="s">
        <v>2909</v>
      </c>
      <c r="C234" s="152" t="s">
        <v>2883</v>
      </c>
      <c r="D234" s="118" t="str">
        <f>IF(CONNECTIONS_TABLE[[#This Row],[Device Name]]="","",VLOOKUP(CONNECTIONS_TABLE[[#This Row],[Device Name]],DEVICE_TABLE[#Data],MATCH(D$3,DEVICE_TABLE[#Headers],0),FALSE))</f>
        <v>Physical Server</v>
      </c>
      <c r="E23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data/Data (Physical Server)</v>
      </c>
      <c r="F234" s="154"/>
      <c r="G234" s="118" t="str">
        <f>IF(CONNECTIONS_TABLE[[#This Row],[Device Name]]="","",VLOOKUP(CONNECTIONS_TABLE[[#This Row],[Device Name]],DEVICE_TABLE[],MATCH(G$3,DEVICE_TABLE[#Headers],0),FALSE))</f>
        <v>Listerhills</v>
      </c>
      <c r="H234" s="153" t="str">
        <f>IF(B234="","",VLOOKUP(B234,DEVICE_TABLE[#Data],MATCH(H$3,DEVICE_TABLE[#Headers],0),FALSE))</f>
        <v>CR1</v>
      </c>
      <c r="I234" s="122" t="s">
        <v>1575</v>
      </c>
      <c r="J234" s="122" t="s">
        <v>1073</v>
      </c>
      <c r="K234" s="122" t="s">
        <v>2914</v>
      </c>
      <c r="L234" s="153" t="s">
        <v>2915</v>
      </c>
      <c r="M234" s="122" t="s">
        <v>1991</v>
      </c>
      <c r="N234" s="122" t="s">
        <v>1988</v>
      </c>
      <c r="O234" s="152"/>
      <c r="P234" s="152">
        <v>201</v>
      </c>
      <c r="Q234" s="156" t="str">
        <f>IF(L234="","",IFERROR(VLOOKUP(UPPER($G234)&amp;"/"&amp;$P234,NETWORKS_TABLE[],MATCH(Q$3,NETWORKS_TABLE[#Headers],0),FALSE),""))</f>
        <v>VOICE201</v>
      </c>
      <c r="R234" s="156" t="str">
        <f>IF(B234="","",IFERROR(VLOOKUP(UPPER($G234)&amp;"/"&amp;$P234,NETWORKS_TABLE[],MATCH(R$3,NETWORKS_TABLE[#Headers],0),FALSE),""))</f>
        <v>10.224.1.0/25</v>
      </c>
      <c r="S234" s="188" t="s" cm="1">
        <v>78</v>
      </c>
      <c r="T234" s="152"/>
      <c r="U234" s="152"/>
      <c r="V234" s="155"/>
    </row>
    <row r="235" spans="1:22">
      <c r="A235" s="40"/>
      <c r="B235" s="209" t="s">
        <v>2909</v>
      </c>
      <c r="C235" s="152" t="s">
        <v>2923</v>
      </c>
      <c r="D235" s="118" t="str">
        <f>IF(CONNECTIONS_TABLE[[#This Row],[Device Name]]="","",VLOOKUP(CONNECTIONS_TABLE[[#This Row],[Device Name]],DEVICE_TABLE[#Data],MATCH(D$3,DEVICE_TABLE[#Headers],0),FALSE))</f>
        <v>Physical Server</v>
      </c>
      <c r="E23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data/Data2 (Physical Server)</v>
      </c>
      <c r="F235" s="154"/>
      <c r="G235" s="118" t="str">
        <f>IF(CONNECTIONS_TABLE[[#This Row],[Device Name]]="","",VLOOKUP(CONNECTIONS_TABLE[[#This Row],[Device Name]],DEVICE_TABLE[],MATCH(G$3,DEVICE_TABLE[#Headers],0),FALSE))</f>
        <v>Listerhills</v>
      </c>
      <c r="H235" s="153" t="str">
        <f>IF(B235="","",VLOOKUP(B235,DEVICE_TABLE[#Data],MATCH(H$3,DEVICE_TABLE[#Headers],0),FALSE))</f>
        <v>CR1</v>
      </c>
      <c r="I235" s="122" t="s">
        <v>1575</v>
      </c>
      <c r="J235" s="122" t="s">
        <v>1083</v>
      </c>
      <c r="K235" s="122" t="s">
        <v>2916</v>
      </c>
      <c r="L235" s="153" t="s">
        <v>2919</v>
      </c>
      <c r="M235" s="122" t="s">
        <v>1991</v>
      </c>
      <c r="N235" s="122" t="s">
        <v>1988</v>
      </c>
      <c r="O235" s="152"/>
      <c r="P235" s="152">
        <v>201</v>
      </c>
      <c r="Q235" s="156" t="str">
        <f>IF(L235="","",IFERROR(VLOOKUP(UPPER($G235)&amp;"/"&amp;$P235,NETWORKS_TABLE[],MATCH(Q$3,NETWORKS_TABLE[#Headers],0),FALSE),""))</f>
        <v>VOICE201</v>
      </c>
      <c r="R235" s="156" t="str">
        <f>IF(B235="","",IFERROR(VLOOKUP(UPPER($G235)&amp;"/"&amp;$P235,NETWORKS_TABLE[],MATCH(R$3,NETWORKS_TABLE[#Headers],0),FALSE),""))</f>
        <v>10.224.1.0/25</v>
      </c>
      <c r="S235" s="188" t="s" cm="1">
        <v>78</v>
      </c>
      <c r="T235" s="152"/>
      <c r="U235" s="152"/>
      <c r="V235" s="155"/>
    </row>
    <row r="236" spans="1:22">
      <c r="A236" s="40"/>
      <c r="B236" s="209" t="s">
        <v>2909</v>
      </c>
      <c r="C236" s="152" t="s">
        <v>2924</v>
      </c>
      <c r="D236" s="118" t="str">
        <f>IF(CONNECTIONS_TABLE[[#This Row],[Device Name]]="","",VLOOKUP(CONNECTIONS_TABLE[[#This Row],[Device Name]],DEVICE_TABLE[#Data],MATCH(D$3,DEVICE_TABLE[#Headers],0),FALSE))</f>
        <v>Physical Server</v>
      </c>
      <c r="E23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data/Data3 (Physical Server)</v>
      </c>
      <c r="F236" s="154"/>
      <c r="G236" s="118" t="str">
        <f>IF(CONNECTIONS_TABLE[[#This Row],[Device Name]]="","",VLOOKUP(CONNECTIONS_TABLE[[#This Row],[Device Name]],DEVICE_TABLE[],MATCH(G$3,DEVICE_TABLE[#Headers],0),FALSE))</f>
        <v>Listerhills</v>
      </c>
      <c r="H236" s="153" t="str">
        <f>IF(B236="","",VLOOKUP(B236,DEVICE_TABLE[#Data],MATCH(H$3,DEVICE_TABLE[#Headers],0),FALSE))</f>
        <v>CR1</v>
      </c>
      <c r="I236" s="122" t="s">
        <v>1575</v>
      </c>
      <c r="J236" s="122" t="s">
        <v>1073</v>
      </c>
      <c r="K236" s="122" t="s">
        <v>2917</v>
      </c>
      <c r="L236" s="153" t="s">
        <v>2920</v>
      </c>
      <c r="M236" s="122" t="s">
        <v>1991</v>
      </c>
      <c r="N236" s="122" t="s">
        <v>1988</v>
      </c>
      <c r="O236" s="152"/>
      <c r="P236" s="152">
        <v>201</v>
      </c>
      <c r="Q236" s="156" t="str">
        <f>IF(L236="","",IFERROR(VLOOKUP(UPPER($G236)&amp;"/"&amp;$P236,NETWORKS_TABLE[],MATCH(Q$3,NETWORKS_TABLE[#Headers],0),FALSE),""))</f>
        <v>VOICE201</v>
      </c>
      <c r="R236" s="156" t="str">
        <f>IF(B236="","",IFERROR(VLOOKUP(UPPER($G236)&amp;"/"&amp;$P236,NETWORKS_TABLE[],MATCH(R$3,NETWORKS_TABLE[#Headers],0),FALSE),""))</f>
        <v>10.224.1.0/25</v>
      </c>
      <c r="S236" s="188" t="s" cm="1">
        <v>78</v>
      </c>
      <c r="T236" s="152"/>
      <c r="U236" s="152"/>
      <c r="V236" s="155"/>
    </row>
    <row r="237" spans="1:22">
      <c r="A237" s="40"/>
      <c r="B237" s="209" t="s">
        <v>2909</v>
      </c>
      <c r="C237" s="152" t="s">
        <v>2925</v>
      </c>
      <c r="D237" s="118" t="str">
        <f>IF(CONNECTIONS_TABLE[[#This Row],[Device Name]]="","",VLOOKUP(CONNECTIONS_TABLE[[#This Row],[Device Name]],DEVICE_TABLE[#Data],MATCH(D$3,DEVICE_TABLE[#Headers],0),FALSE))</f>
        <v>Physical Server</v>
      </c>
      <c r="E23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data/Data4 (Physical Server)</v>
      </c>
      <c r="F237" s="154"/>
      <c r="G237" s="118" t="str">
        <f>IF(CONNECTIONS_TABLE[[#This Row],[Device Name]]="","",VLOOKUP(CONNECTIONS_TABLE[[#This Row],[Device Name]],DEVICE_TABLE[],MATCH(G$3,DEVICE_TABLE[#Headers],0),FALSE))</f>
        <v>Listerhills</v>
      </c>
      <c r="H237" s="153" t="str">
        <f>IF(B237="","",VLOOKUP(B237,DEVICE_TABLE[#Data],MATCH(H$3,DEVICE_TABLE[#Headers],0),FALSE))</f>
        <v>CR1</v>
      </c>
      <c r="I237" s="122" t="s">
        <v>1575</v>
      </c>
      <c r="J237" s="122" t="s">
        <v>1083</v>
      </c>
      <c r="K237" s="122" t="s">
        <v>2918</v>
      </c>
      <c r="L237" s="153" t="s">
        <v>2921</v>
      </c>
      <c r="M237" s="122" t="s">
        <v>1991</v>
      </c>
      <c r="N237" s="122" t="s">
        <v>1988</v>
      </c>
      <c r="O237" s="152"/>
      <c r="P237" s="152">
        <v>201</v>
      </c>
      <c r="Q237" s="156" t="str">
        <f>IF(L237="","",IFERROR(VLOOKUP(UPPER($G237)&amp;"/"&amp;$P237,NETWORKS_TABLE[],MATCH(Q$3,NETWORKS_TABLE[#Headers],0),FALSE),""))</f>
        <v>VOICE201</v>
      </c>
      <c r="R237" s="156" t="str">
        <f>IF(B237="","",IFERROR(VLOOKUP(UPPER($G237)&amp;"/"&amp;$P237,NETWORKS_TABLE[],MATCH(R$3,NETWORKS_TABLE[#Headers],0),FALSE),""))</f>
        <v>10.224.1.0/25</v>
      </c>
      <c r="S237" s="188" t="s" cm="1">
        <v>78</v>
      </c>
      <c r="T237" s="152"/>
      <c r="U237" s="152"/>
      <c r="V237" s="155"/>
    </row>
    <row r="238" spans="1:22">
      <c r="A238" s="40"/>
      <c r="B238" s="209" t="s">
        <v>2926</v>
      </c>
      <c r="C238" s="152" t="s">
        <v>2018</v>
      </c>
      <c r="D238" s="118" t="str">
        <f>IF(CONNECTIONS_TABLE[[#This Row],[Device Name]]="","",VLOOKUP(CONNECTIONS_TABLE[[#This Row],[Device Name]],DEVICE_TABLE[#Data],MATCH(D$3,DEVICE_TABLE[#Headers],0),FALSE))</f>
        <v>Physical Server</v>
      </c>
      <c r="E23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mgmt/MGNT (Physical Server)</v>
      </c>
      <c r="F238" s="154"/>
      <c r="G238" s="118" t="str">
        <f>IF(CONNECTIONS_TABLE[[#This Row],[Device Name]]="","",VLOOKUP(CONNECTIONS_TABLE[[#This Row],[Device Name]],DEVICE_TABLE[],MATCH(G$3,DEVICE_TABLE[#Headers],0),FALSE))</f>
        <v>Listerhills</v>
      </c>
      <c r="H238" s="153" t="str">
        <f>IF(B238="","",VLOOKUP(B238,DEVICE_TABLE[#Data],MATCH(H$3,DEVICE_TABLE[#Headers],0),FALSE))</f>
        <v>CR2</v>
      </c>
      <c r="I238" s="122" t="s">
        <v>1575</v>
      </c>
      <c r="J238" s="122" t="s">
        <v>1089</v>
      </c>
      <c r="K238" s="122" t="s">
        <v>2904</v>
      </c>
      <c r="L238" s="153" t="s">
        <v>2931</v>
      </c>
      <c r="M238" s="122" t="s">
        <v>1991</v>
      </c>
      <c r="N238" s="122" t="s">
        <v>1988</v>
      </c>
      <c r="O238" s="152"/>
      <c r="P238" s="152">
        <v>220</v>
      </c>
      <c r="Q238" s="156" t="str">
        <f>IF(L238="","",IFERROR(VLOOKUP(UPPER($G238)&amp;"/"&amp;$P238,NETWORKS_TABLE[],MATCH(Q$3,NETWORKS_TABLE[#Headers],0),FALSE),""))</f>
        <v>VIRTUALMGNT</v>
      </c>
      <c r="R238" s="156" t="str">
        <f>IF(B238="","",IFERROR(VLOOKUP(UPPER($G238)&amp;"/"&amp;$P238,NETWORKS_TABLE[],MATCH(R$3,NETWORKS_TABLE[#Headers],0),FALSE),""))</f>
        <v>10.224.20.0/24</v>
      </c>
      <c r="S238" s="188" t="s" cm="1">
        <v>78</v>
      </c>
      <c r="T238" s="152"/>
      <c r="U238" s="152"/>
      <c r="V238" s="155"/>
    </row>
    <row r="239" spans="1:22">
      <c r="A239" s="40"/>
      <c r="B239" s="209" t="s">
        <v>2926</v>
      </c>
      <c r="C239" s="152" t="s">
        <v>2026</v>
      </c>
      <c r="D239" s="118" t="str">
        <f>IF(CONNECTIONS_TABLE[[#This Row],[Device Name]]="","",VLOOKUP(CONNECTIONS_TABLE[[#This Row],[Device Name]],DEVICE_TABLE[#Data],MATCH(D$3,DEVICE_TABLE[#Headers],0),FALSE))</f>
        <v>Physical Server</v>
      </c>
      <c r="E23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mgmt/MGNT2 (Physical Server)</v>
      </c>
      <c r="F239" s="154"/>
      <c r="G239" s="118" t="str">
        <f>IF(CONNECTIONS_TABLE[[#This Row],[Device Name]]="","",VLOOKUP(CONNECTIONS_TABLE[[#This Row],[Device Name]],DEVICE_TABLE[],MATCH(G$3,DEVICE_TABLE[#Headers],0),FALSE))</f>
        <v>Listerhills</v>
      </c>
      <c r="H239" s="153" t="str">
        <f>IF(B239="","",VLOOKUP(B239,DEVICE_TABLE[#Data],MATCH(H$3,DEVICE_TABLE[#Headers],0),FALSE))</f>
        <v>CR2</v>
      </c>
      <c r="I239" s="122" t="s">
        <v>1575</v>
      </c>
      <c r="J239" s="122" t="s">
        <v>1095</v>
      </c>
      <c r="K239" s="122" t="s">
        <v>2912</v>
      </c>
      <c r="L239" s="153" t="s">
        <v>2932</v>
      </c>
      <c r="M239" s="122" t="s">
        <v>1991</v>
      </c>
      <c r="N239" s="122" t="s">
        <v>1988</v>
      </c>
      <c r="O239" s="152"/>
      <c r="P239" s="152">
        <v>220</v>
      </c>
      <c r="Q239" s="156" t="str">
        <f>IF(L239="","",IFERROR(VLOOKUP(UPPER($G239)&amp;"/"&amp;$P239,NETWORKS_TABLE[],MATCH(Q$3,NETWORKS_TABLE[#Headers],0),FALSE),""))</f>
        <v>VIRTUALMGNT</v>
      </c>
      <c r="R239" s="156" t="str">
        <f>IF(B239="","",IFERROR(VLOOKUP(UPPER($G239)&amp;"/"&amp;$P239,NETWORKS_TABLE[],MATCH(R$3,NETWORKS_TABLE[#Headers],0),FALSE),""))</f>
        <v>10.224.20.0/24</v>
      </c>
      <c r="S239" s="188" t="s" cm="1">
        <v>78</v>
      </c>
      <c r="T239" s="152"/>
      <c r="U239" s="152"/>
      <c r="V239" s="155"/>
    </row>
    <row r="240" spans="1:22">
      <c r="A240" s="40"/>
      <c r="B240" s="209" t="s">
        <v>2927</v>
      </c>
      <c r="C240" s="152" t="s">
        <v>2922</v>
      </c>
      <c r="D240" s="118" t="str">
        <f>IF(CONNECTIONS_TABLE[[#This Row],[Device Name]]="","",VLOOKUP(CONNECTIONS_TABLE[[#This Row],[Device Name]],DEVICE_TABLE[#Data],MATCH(D$3,DEVICE_TABLE[#Headers],0),FALSE))</f>
        <v>Physical Server</v>
      </c>
      <c r="E24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data/data (Physical Server)</v>
      </c>
      <c r="F240" s="154"/>
      <c r="G240" s="118" t="str">
        <f>IF(CONNECTIONS_TABLE[[#This Row],[Device Name]]="","",VLOOKUP(CONNECTIONS_TABLE[[#This Row],[Device Name]],DEVICE_TABLE[],MATCH(G$3,DEVICE_TABLE[#Headers],0),FALSE))</f>
        <v>Listerhills</v>
      </c>
      <c r="H240" s="153" t="str">
        <f>IF(B240="","",VLOOKUP(B240,DEVICE_TABLE[#Data],MATCH(H$3,DEVICE_TABLE[#Headers],0),FALSE))</f>
        <v>CR2</v>
      </c>
      <c r="I240" s="122" t="s">
        <v>1575</v>
      </c>
      <c r="J240" s="122" t="s">
        <v>1089</v>
      </c>
      <c r="K240" s="122" t="s">
        <v>2914</v>
      </c>
      <c r="L240" s="153" t="s">
        <v>2933</v>
      </c>
      <c r="M240" s="122" t="s">
        <v>1991</v>
      </c>
      <c r="N240" s="122" t="s">
        <v>1988</v>
      </c>
      <c r="O240" s="152"/>
      <c r="P240" s="152">
        <v>201</v>
      </c>
      <c r="Q240" s="156" t="str">
        <f>IF(L240="","",IFERROR(VLOOKUP(UPPER($G240)&amp;"/"&amp;$P240,NETWORKS_TABLE[],MATCH(Q$3,NETWORKS_TABLE[#Headers],0),FALSE),""))</f>
        <v>VOICE201</v>
      </c>
      <c r="R240" s="156" t="str">
        <f>IF(B240="","",IFERROR(VLOOKUP(UPPER($G240)&amp;"/"&amp;$P240,NETWORKS_TABLE[],MATCH(R$3,NETWORKS_TABLE[#Headers],0),FALSE),""))</f>
        <v>10.224.1.0/25</v>
      </c>
      <c r="S240" s="188" t="s" cm="1">
        <v>78</v>
      </c>
      <c r="T240" s="152"/>
      <c r="U240" s="152"/>
      <c r="V240" s="155"/>
    </row>
    <row r="241" spans="1:22">
      <c r="A241" s="40"/>
      <c r="B241" s="209" t="s">
        <v>2927</v>
      </c>
      <c r="C241" s="152" t="s">
        <v>2928</v>
      </c>
      <c r="D241" s="118" t="str">
        <f>IF(CONNECTIONS_TABLE[[#This Row],[Device Name]]="","",VLOOKUP(CONNECTIONS_TABLE[[#This Row],[Device Name]],DEVICE_TABLE[#Data],MATCH(D$3,DEVICE_TABLE[#Headers],0),FALSE))</f>
        <v>Physical Server</v>
      </c>
      <c r="E24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data/data2 (Physical Server)</v>
      </c>
      <c r="F241" s="154"/>
      <c r="G241" s="118" t="str">
        <f>IF(CONNECTIONS_TABLE[[#This Row],[Device Name]]="","",VLOOKUP(CONNECTIONS_TABLE[[#This Row],[Device Name]],DEVICE_TABLE[],MATCH(G$3,DEVICE_TABLE[#Headers],0),FALSE))</f>
        <v>Listerhills</v>
      </c>
      <c r="H241" s="153" t="str">
        <f>IF(B241="","",VLOOKUP(B241,DEVICE_TABLE[#Data],MATCH(H$3,DEVICE_TABLE[#Headers],0),FALSE))</f>
        <v>CR2</v>
      </c>
      <c r="I241" s="122" t="s">
        <v>1575</v>
      </c>
      <c r="J241" s="122" t="s">
        <v>1095</v>
      </c>
      <c r="K241" s="122" t="s">
        <v>2916</v>
      </c>
      <c r="L241" s="153" t="s">
        <v>2934</v>
      </c>
      <c r="M241" s="122" t="s">
        <v>1991</v>
      </c>
      <c r="N241" s="122" t="s">
        <v>1988</v>
      </c>
      <c r="O241" s="152"/>
      <c r="P241" s="152">
        <v>201</v>
      </c>
      <c r="Q241" s="156" t="str">
        <f>IF(L241="","",IFERROR(VLOOKUP(UPPER($G241)&amp;"/"&amp;$P241,NETWORKS_TABLE[],MATCH(Q$3,NETWORKS_TABLE[#Headers],0),FALSE),""))</f>
        <v>VOICE201</v>
      </c>
      <c r="R241" s="156" t="str">
        <f>IF(B241="","",IFERROR(VLOOKUP(UPPER($G241)&amp;"/"&amp;$P241,NETWORKS_TABLE[],MATCH(R$3,NETWORKS_TABLE[#Headers],0),FALSE),""))</f>
        <v>10.224.1.0/25</v>
      </c>
      <c r="S241" s="188" t="s" cm="1">
        <v>78</v>
      </c>
      <c r="T241" s="152"/>
      <c r="U241" s="152"/>
      <c r="V241" s="155"/>
    </row>
    <row r="242" spans="1:22">
      <c r="A242" s="40"/>
      <c r="B242" s="209" t="s">
        <v>2927</v>
      </c>
      <c r="C242" s="152" t="s">
        <v>2929</v>
      </c>
      <c r="D242" s="118" t="str">
        <f>IF(CONNECTIONS_TABLE[[#This Row],[Device Name]]="","",VLOOKUP(CONNECTIONS_TABLE[[#This Row],[Device Name]],DEVICE_TABLE[#Data],MATCH(D$3,DEVICE_TABLE[#Headers],0),FALSE))</f>
        <v>Physical Server</v>
      </c>
      <c r="E24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data/data3 (Physical Server)</v>
      </c>
      <c r="F242" s="154"/>
      <c r="G242" s="118" t="str">
        <f>IF(CONNECTIONS_TABLE[[#This Row],[Device Name]]="","",VLOOKUP(CONNECTIONS_TABLE[[#This Row],[Device Name]],DEVICE_TABLE[],MATCH(G$3,DEVICE_TABLE[#Headers],0),FALSE))</f>
        <v>Listerhills</v>
      </c>
      <c r="H242" s="153" t="str">
        <f>IF(B242="","",VLOOKUP(B242,DEVICE_TABLE[#Data],MATCH(H$3,DEVICE_TABLE[#Headers],0),FALSE))</f>
        <v>CR2</v>
      </c>
      <c r="I242" s="122" t="s">
        <v>1575</v>
      </c>
      <c r="J242" s="122" t="s">
        <v>1089</v>
      </c>
      <c r="K242" s="122" t="s">
        <v>2917</v>
      </c>
      <c r="L242" s="153" t="s">
        <v>2935</v>
      </c>
      <c r="M242" s="122" t="s">
        <v>1991</v>
      </c>
      <c r="N242" s="122" t="s">
        <v>1988</v>
      </c>
      <c r="O242" s="152"/>
      <c r="P242" s="152">
        <v>201</v>
      </c>
      <c r="Q242" s="156" t="str">
        <f>IF(L242="","",IFERROR(VLOOKUP(UPPER($G242)&amp;"/"&amp;$P242,NETWORKS_TABLE[],MATCH(Q$3,NETWORKS_TABLE[#Headers],0),FALSE),""))</f>
        <v>VOICE201</v>
      </c>
      <c r="R242" s="156" t="str">
        <f>IF(B242="","",IFERROR(VLOOKUP(UPPER($G242)&amp;"/"&amp;$P242,NETWORKS_TABLE[],MATCH(R$3,NETWORKS_TABLE[#Headers],0),FALSE),""))</f>
        <v>10.224.1.0/25</v>
      </c>
      <c r="S242" s="188" t="s" cm="1">
        <v>78</v>
      </c>
      <c r="T242" s="152"/>
      <c r="U242" s="152"/>
      <c r="V242" s="155"/>
    </row>
    <row r="243" spans="1:22">
      <c r="A243" s="40"/>
      <c r="B243" s="209" t="s">
        <v>2927</v>
      </c>
      <c r="C243" s="152" t="s">
        <v>2930</v>
      </c>
      <c r="D243" s="118" t="str">
        <f>IF(CONNECTIONS_TABLE[[#This Row],[Device Name]]="","",VLOOKUP(CONNECTIONS_TABLE[[#This Row],[Device Name]],DEVICE_TABLE[#Data],MATCH(D$3,DEVICE_TABLE[#Headers],0),FALSE))</f>
        <v>Physical Server</v>
      </c>
      <c r="E24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UCESXI02 data/data4 (Physical Server)</v>
      </c>
      <c r="F243" s="154"/>
      <c r="G243" s="118" t="str">
        <f>IF(CONNECTIONS_TABLE[[#This Row],[Device Name]]="","",VLOOKUP(CONNECTIONS_TABLE[[#This Row],[Device Name]],DEVICE_TABLE[],MATCH(G$3,DEVICE_TABLE[#Headers],0),FALSE))</f>
        <v>Listerhills</v>
      </c>
      <c r="H243" s="153" t="str">
        <f>IF(B243="","",VLOOKUP(B243,DEVICE_TABLE[#Data],MATCH(H$3,DEVICE_TABLE[#Headers],0),FALSE))</f>
        <v>CR2</v>
      </c>
      <c r="I243" s="122" t="s">
        <v>1575</v>
      </c>
      <c r="J243" s="122" t="s">
        <v>1095</v>
      </c>
      <c r="K243" s="122" t="s">
        <v>2918</v>
      </c>
      <c r="L243" s="153" t="s">
        <v>2936</v>
      </c>
      <c r="M243" s="122" t="s">
        <v>1991</v>
      </c>
      <c r="N243" s="122" t="s">
        <v>1988</v>
      </c>
      <c r="O243" s="152"/>
      <c r="P243" s="152">
        <v>201</v>
      </c>
      <c r="Q243" s="156" t="str">
        <f>IF(L243="","",IFERROR(VLOOKUP(UPPER($G243)&amp;"/"&amp;$P243,NETWORKS_TABLE[],MATCH(Q$3,NETWORKS_TABLE[#Headers],0),FALSE),""))</f>
        <v>VOICE201</v>
      </c>
      <c r="R243" s="156" t="str">
        <f>IF(B243="","",IFERROR(VLOOKUP(UPPER($G243)&amp;"/"&amp;$P243,NETWORKS_TABLE[],MATCH(R$3,NETWORKS_TABLE[#Headers],0),FALSE),""))</f>
        <v>10.224.1.0/25</v>
      </c>
      <c r="S243" s="188" t="s" cm="1">
        <v>78</v>
      </c>
      <c r="T243" s="152"/>
      <c r="U243" s="152"/>
      <c r="V243" s="155"/>
    </row>
    <row r="244" spans="1:22">
      <c r="A244" s="40"/>
      <c r="B244" s="151" t="s">
        <v>2938</v>
      </c>
      <c r="C244" s="152" t="s">
        <v>1992</v>
      </c>
      <c r="D244" s="118" t="str">
        <f>IF(CONNECTIONS_TABLE[[#This Row],[Device Name]]="","",VLOOKUP(CONNECTIONS_TABLE[[#This Row],[Device Name]],DEVICE_TABLE[#Data],MATCH(D$3,DEVICE_TABLE[#Headers],0),FALSE))</f>
        <v>Physical Server</v>
      </c>
      <c r="E24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Cisco UC220-01 CIMC/CIMC (Physical Server)</v>
      </c>
      <c r="F244" s="154"/>
      <c r="G244" s="118" t="str">
        <f>IF(CONNECTIONS_TABLE[[#This Row],[Device Name]]="","",VLOOKUP(CONNECTIONS_TABLE[[#This Row],[Device Name]],DEVICE_TABLE[],MATCH(G$3,DEVICE_TABLE[#Headers],0),FALSE))</f>
        <v>Listerhills</v>
      </c>
      <c r="H244" s="153" t="str">
        <f>IF(B244="","",VLOOKUP(B244,DEVICE_TABLE[#Data],MATCH(H$3,DEVICE_TABLE[#Headers],0),FALSE))</f>
        <v>CR1</v>
      </c>
      <c r="I244" s="122" t="s">
        <v>1575</v>
      </c>
      <c r="J244" s="122" t="s">
        <v>1073</v>
      </c>
      <c r="K244" s="122" t="s">
        <v>2940</v>
      </c>
      <c r="L244" s="153" t="s">
        <v>2941</v>
      </c>
      <c r="M244" s="122" t="s">
        <v>1991</v>
      </c>
      <c r="N244" s="122" t="s">
        <v>1988</v>
      </c>
      <c r="O244" s="152"/>
      <c r="P244" s="152"/>
      <c r="Q244" s="156" t="str">
        <f>IF(L244="","",IFERROR(VLOOKUP(UPPER($G244)&amp;"/"&amp;$P244,NETWORKS_TABLE[],MATCH(Q$3,NETWORKS_TABLE[#Headers],0),FALSE),""))</f>
        <v/>
      </c>
      <c r="R244" s="156" t="str">
        <f>IF(B244="","",IFERROR(VLOOKUP(UPPER($G244)&amp;"/"&amp;$P244,NETWORKS_TABLE[],MATCH(R$3,NETWORKS_TABLE[#Headers],0),FALSE),""))</f>
        <v/>
      </c>
      <c r="S244" s="188" t="s" cm="1">
        <v>78</v>
      </c>
      <c r="T244" s="152"/>
      <c r="U244" s="152"/>
      <c r="V244" s="155"/>
    </row>
    <row r="245" spans="1:22">
      <c r="A245" s="40"/>
      <c r="B245" s="151"/>
      <c r="C245" s="152"/>
      <c r="D245" s="118" t="str">
        <f>IF(CONNECTIONS_TABLE[[#This Row],[Device Name]]="","",VLOOKUP(CONNECTIONS_TABLE[[#This Row],[Device Name]],DEVICE_TABLE[#Data],MATCH(D$3,DEVICE_TABLE[#Headers],0),FALSE))</f>
        <v/>
      </c>
      <c r="E24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245" s="154"/>
      <c r="G245" s="118" t="str">
        <f>IF(CONNECTIONS_TABLE[[#This Row],[Device Name]]="","",VLOOKUP(CONNECTIONS_TABLE[[#This Row],[Device Name]],DEVICE_TABLE[],MATCH(G$3,DEVICE_TABLE[#Headers],0),FALSE))</f>
        <v/>
      </c>
      <c r="H245" s="153" t="str">
        <f>IF(B245="","",VLOOKUP(B245,DEVICE_TABLE[#Data],MATCH(H$3,DEVICE_TABLE[#Headers],0),FALSE))</f>
        <v/>
      </c>
      <c r="I245" s="122"/>
      <c r="J245" s="122"/>
      <c r="K245" s="122"/>
      <c r="L245" s="153"/>
      <c r="M245" s="122"/>
      <c r="N245" s="122"/>
      <c r="O245" s="152"/>
      <c r="P245" s="152"/>
      <c r="Q245" s="156" t="str">
        <f>IF(L245="","",IFERROR(VLOOKUP(UPPER($G245)&amp;"/"&amp;$P245,NETWORKS_TABLE[],MATCH(Q$3,NETWORKS_TABLE[#Headers],0),FALSE),""))</f>
        <v/>
      </c>
      <c r="R245" s="156" t="str">
        <f>IF(B245="","",IFERROR(VLOOKUP(UPPER($G245)&amp;"/"&amp;$P245,NETWORKS_TABLE[],MATCH(R$3,NETWORKS_TABLE[#Headers],0),FALSE),""))</f>
        <v/>
      </c>
      <c r="S245" s="188" t="s" cm="1">
        <v>78</v>
      </c>
      <c r="T245" s="152"/>
      <c r="U245" s="152"/>
      <c r="V245" s="155"/>
    </row>
    <row r="246" spans="1:22">
      <c r="A246" s="40"/>
      <c r="B246" s="151" t="s">
        <v>2942</v>
      </c>
      <c r="C246" s="152" t="s">
        <v>2947</v>
      </c>
      <c r="D246" s="118" t="s">
        <v>1741</v>
      </c>
      <c r="E24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FGH268/Connection 1 (Physical Server)</v>
      </c>
      <c r="F246" s="154"/>
      <c r="G246" s="118" t="s">
        <v>57</v>
      </c>
      <c r="H246" s="153" t="e">
        <f>IF(B246="","",VLOOKUP(B246,DEVICE_TABLE[#Data],MATCH(H$3,DEVICE_TABLE[#Headers],0),FALSE))</f>
        <v>#N/A</v>
      </c>
      <c r="I246" s="122" t="s">
        <v>1575</v>
      </c>
      <c r="J246" s="122" t="s">
        <v>2887</v>
      </c>
      <c r="K246" s="122" t="s">
        <v>2948</v>
      </c>
      <c r="L246" s="153" t="s">
        <v>2949</v>
      </c>
      <c r="M246" s="122" t="s">
        <v>1991</v>
      </c>
      <c r="N246" s="122" t="s">
        <v>1988</v>
      </c>
      <c r="O246" s="152"/>
      <c r="P246" s="152">
        <v>8</v>
      </c>
      <c r="Q246" s="156" t="str">
        <f>IF(L246="","",IFERROR(VLOOKUP(UPPER($G246)&amp;"/"&amp;$P246,NETWORKS_TABLE[],MATCH(Q$3,NETWORKS_TABLE[#Headers],0),FALSE),""))</f>
        <v>LEGACY08</v>
      </c>
      <c r="R246" s="156" t="str">
        <f>IF(B246="","",IFERROR(VLOOKUP(UPPER($G246)&amp;"/"&amp;$P246,NETWORKS_TABLE[],MATCH(R$3,NETWORKS_TABLE[#Headers],0),FALSE),""))</f>
        <v>172.16.8.0/22</v>
      </c>
      <c r="S246" s="188" t="s" cm="1">
        <v>78</v>
      </c>
      <c r="T246" s="152"/>
      <c r="U246" s="152"/>
      <c r="V246" s="155"/>
    </row>
    <row r="247" spans="1:22">
      <c r="A247" s="40"/>
      <c r="B247" s="151" t="s">
        <v>2942</v>
      </c>
      <c r="C247" s="152" t="s">
        <v>2950</v>
      </c>
      <c r="D247" s="118" t="s">
        <v>1741</v>
      </c>
      <c r="E24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FGH268/Connection 2 (Physical Server)</v>
      </c>
      <c r="F247" s="154"/>
      <c r="G247" s="118" t="s">
        <v>57</v>
      </c>
      <c r="H247" s="153" t="e">
        <f>IF(B247="","",VLOOKUP(B247,DEVICE_TABLE[#Data],MATCH(H$3,DEVICE_TABLE[#Headers],0),FALSE))</f>
        <v>#N/A</v>
      </c>
      <c r="I247" s="122" t="s">
        <v>1575</v>
      </c>
      <c r="J247" s="122" t="s">
        <v>2887</v>
      </c>
      <c r="K247" s="122" t="s">
        <v>2089</v>
      </c>
      <c r="L247" s="153" t="s">
        <v>2951</v>
      </c>
      <c r="M247" s="122" t="s">
        <v>1991</v>
      </c>
      <c r="N247" s="122" t="s">
        <v>1988</v>
      </c>
      <c r="O247" s="152"/>
      <c r="P247" s="152">
        <v>8</v>
      </c>
      <c r="Q247" s="156" t="str">
        <f>IF(L247="","",IFERROR(VLOOKUP(UPPER($G247)&amp;"/"&amp;$P247,NETWORKS_TABLE[],MATCH(Q$3,NETWORKS_TABLE[#Headers],0),FALSE),""))</f>
        <v>LEGACY08</v>
      </c>
      <c r="R247" s="156" t="str">
        <f>IF(B247="","",IFERROR(VLOOKUP(UPPER($G247)&amp;"/"&amp;$P247,NETWORKS_TABLE[],MATCH(R$3,NETWORKS_TABLE[#Headers],0),FALSE),""))</f>
        <v>172.16.8.0/22</v>
      </c>
      <c r="S247" s="188" t="s" cm="1">
        <v>78</v>
      </c>
      <c r="T247" s="152"/>
      <c r="U247" s="152"/>
      <c r="V247" s="155"/>
    </row>
    <row r="248" spans="1:22">
      <c r="A248" s="40"/>
      <c r="B248" s="151" t="s">
        <v>2719</v>
      </c>
      <c r="C248" s="152" t="s">
        <v>2952</v>
      </c>
      <c r="D248" s="118" t="s">
        <v>1741</v>
      </c>
      <c r="E24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Mainframe OSA/OSA (Physical Server)</v>
      </c>
      <c r="F248" s="154"/>
      <c r="G248" s="118" t="s">
        <v>57</v>
      </c>
      <c r="H248" s="153" t="str">
        <f>IF(B248="","",VLOOKUP(B248,DEVICE_TABLE[#Data],MATCH(H$3,DEVICE_TABLE[#Headers],0),FALSE))</f>
        <v>CR1</v>
      </c>
      <c r="I248" s="122" t="s">
        <v>1575</v>
      </c>
      <c r="J248" s="122" t="s">
        <v>2887</v>
      </c>
      <c r="K248" s="122" t="s">
        <v>2109</v>
      </c>
      <c r="L248" s="153" t="s">
        <v>2953</v>
      </c>
      <c r="M248" s="122" t="s">
        <v>1991</v>
      </c>
      <c r="N248" s="122" t="s">
        <v>1988</v>
      </c>
      <c r="O248" s="152"/>
      <c r="P248" s="152">
        <v>300</v>
      </c>
      <c r="Q248" s="156" t="str">
        <f>IF(L248="","",IFERROR(VLOOKUP(UPPER($G248)&amp;"/"&amp;$P248,NETWORKS_TABLE[],MATCH(Q$3,NETWORKS_TABLE[#Headers],0),FALSE),""))</f>
        <v>SERVER</v>
      </c>
      <c r="R248" s="156" t="str">
        <f>IF(B248="","",IFERROR(VLOOKUP(UPPER($G248)&amp;"/"&amp;$P248,NETWORKS_TABLE[],MATCH(R$3,NETWORKS_TABLE[#Headers],0),FALSE),""))</f>
        <v>10.224.100.0/24</v>
      </c>
      <c r="S248" s="188" t="s" cm="1">
        <v>78</v>
      </c>
      <c r="T248" s="152"/>
      <c r="U248" s="152"/>
      <c r="V248" s="155"/>
    </row>
    <row r="249" spans="1:22">
      <c r="A249" s="40"/>
      <c r="B249" s="151" t="s">
        <v>1688</v>
      </c>
      <c r="C249" s="152" t="s">
        <v>2068</v>
      </c>
      <c r="D249" s="118" t="s">
        <v>1741</v>
      </c>
      <c r="E24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FGHNFS05/ILO (Physical Server)</v>
      </c>
      <c r="F249" s="154"/>
      <c r="G249" s="118" t="s">
        <v>57</v>
      </c>
      <c r="H249" s="153" t="str">
        <f>IF(B249="","",VLOOKUP(B249,DEVICE_TABLE[#Data],MATCH(H$3,DEVICE_TABLE[#Headers],0),FALSE))</f>
        <v>CR1</v>
      </c>
      <c r="I249" s="122" t="s">
        <v>1575</v>
      </c>
      <c r="J249" s="122" t="s">
        <v>2887</v>
      </c>
      <c r="K249" s="122" t="s">
        <v>2111</v>
      </c>
      <c r="L249" s="153" t="s">
        <v>2954</v>
      </c>
      <c r="M249" s="122" t="s">
        <v>1991</v>
      </c>
      <c r="N249" s="122" t="s">
        <v>1988</v>
      </c>
      <c r="O249" s="152"/>
      <c r="P249" s="152">
        <v>220</v>
      </c>
      <c r="Q249" s="156" t="str">
        <f>IF(L248="","",IFERROR(VLOOKUP(UPPER($G248)&amp;"/"&amp;$P249,NETWORKS_TABLE[],MATCH(Q$3,NETWORKS_TABLE[#Headers],0),FALSE),""))</f>
        <v>VIRTUALMGNT</v>
      </c>
      <c r="R249" s="156" t="str">
        <f>IF(B248="","",IFERROR(VLOOKUP(UPPER($G248)&amp;"/"&amp;$P249,NETWORKS_TABLE[],MATCH(R$3,NETWORKS_TABLE[#Headers],0),FALSE),""))</f>
        <v>10.224.20.0/24</v>
      </c>
      <c r="S249" s="188" t="s" cm="1">
        <v>78</v>
      </c>
      <c r="T249" s="152"/>
      <c r="U249" s="152"/>
      <c r="V249" s="155"/>
    </row>
    <row r="250" spans="1:22">
      <c r="A250" s="40"/>
      <c r="B250" s="151" t="s">
        <v>2955</v>
      </c>
      <c r="C250" s="152" t="s">
        <v>2922</v>
      </c>
      <c r="D250" s="118" t="s">
        <v>1741</v>
      </c>
      <c r="E25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Hermes Hub/data (Physical Server)</v>
      </c>
      <c r="F250" s="154"/>
      <c r="G250" s="118" t="s">
        <v>57</v>
      </c>
      <c r="H250" s="153" t="str">
        <f>IF(B250="","",VLOOKUP(B250,DEVICE_TABLE[#Data],MATCH(H$3,DEVICE_TABLE[#Headers],0),FALSE))</f>
        <v>CR1</v>
      </c>
      <c r="I250" s="122" t="s">
        <v>1575</v>
      </c>
      <c r="J250" s="122" t="s">
        <v>2887</v>
      </c>
      <c r="K250" s="122" t="s">
        <v>2774</v>
      </c>
      <c r="L250" s="153" t="s">
        <v>2956</v>
      </c>
      <c r="M250" s="122" t="s">
        <v>1991</v>
      </c>
      <c r="N250" s="122" t="s">
        <v>1988</v>
      </c>
      <c r="O250" s="152"/>
      <c r="P250" s="152">
        <v>92</v>
      </c>
      <c r="Q250" s="156" t="str">
        <f>IF(L249="","",IFERROR(VLOOKUP(UPPER($G249)&amp;"/"&amp;$P250,NETWORKS_TABLE[],MATCH(Q$3,NETWORKS_TABLE[#Headers],0),FALSE),""))</f>
        <v>HERMES</v>
      </c>
      <c r="R250" s="156" t="str">
        <f>IF(B249="","",IFERROR(VLOOKUP(UPPER($G249)&amp;"/"&amp;$P250,NETWORKS_TABLE[],MATCH(R$3,NETWORKS_TABLE[#Headers],0),FALSE),""))</f>
        <v>172.16.92.0/22</v>
      </c>
      <c r="S250" s="188" t="s" cm="1">
        <v>78</v>
      </c>
      <c r="T250" s="152"/>
      <c r="U250" s="152"/>
      <c r="V250" s="155"/>
    </row>
    <row r="251" spans="1:22">
      <c r="A251" s="40"/>
      <c r="B251" s="151" t="s">
        <v>2957</v>
      </c>
      <c r="C251" s="152" t="s">
        <v>2922</v>
      </c>
      <c r="D251" s="118" t="s">
        <v>1741</v>
      </c>
      <c r="E25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Panh3435/data (Physical Server)</v>
      </c>
      <c r="F251" s="154"/>
      <c r="G251" s="118" t="s">
        <v>57</v>
      </c>
      <c r="H251" s="153" t="str">
        <f>IF(B251="","",VLOOKUP(B251,DEVICE_TABLE[#Data],MATCH(H$3,DEVICE_TABLE[#Headers],0),FALSE))</f>
        <v>CR1</v>
      </c>
      <c r="I251" s="122" t="s">
        <v>1575</v>
      </c>
      <c r="J251" s="122" t="s">
        <v>2887</v>
      </c>
      <c r="K251" s="122" t="s">
        <v>2778</v>
      </c>
      <c r="L251" s="153" t="s">
        <v>2958</v>
      </c>
      <c r="M251" s="122" t="s">
        <v>1991</v>
      </c>
      <c r="N251" s="122" t="s">
        <v>1988</v>
      </c>
      <c r="O251" s="152"/>
      <c r="P251" s="152">
        <v>8</v>
      </c>
      <c r="Q251" s="156" t="str">
        <f>IF(L249="","",IFERROR(VLOOKUP(UPPER($G249)&amp;"/"&amp;$P251,NETWORKS_TABLE[],MATCH(Q$3,NETWORKS_TABLE[#Headers],0),FALSE),""))</f>
        <v>LEGACY08</v>
      </c>
      <c r="R251" s="156" t="str">
        <f>IF(B249="","",IFERROR(VLOOKUP(UPPER($G249)&amp;"/"&amp;$P251,NETWORKS_TABLE[],MATCH(R$3,NETWORKS_TABLE[#Headers],0),FALSE),""))</f>
        <v>172.16.8.0/22</v>
      </c>
      <c r="S251" s="188" t="s" cm="1">
        <v>78</v>
      </c>
      <c r="T251" s="152"/>
      <c r="U251" s="152"/>
      <c r="V251" s="155"/>
    </row>
    <row r="252" spans="1:22">
      <c r="A252" s="40"/>
      <c r="B252" s="151" t="s">
        <v>2959</v>
      </c>
      <c r="C252" s="152" t="s">
        <v>2922</v>
      </c>
      <c r="D252" s="118" t="s">
        <v>1741</v>
      </c>
      <c r="E25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FGH-SAS MDL02/data (Physical Server)</v>
      </c>
      <c r="F252" s="154"/>
      <c r="G252" s="118" t="s">
        <v>57</v>
      </c>
      <c r="H252" s="153" t="str">
        <f>IF(B252="","",VLOOKUP(B252,DEVICE_TABLE[#Data],MATCH(H$3,DEVICE_TABLE[#Headers],0),FALSE))</f>
        <v>CR1</v>
      </c>
      <c r="I252" s="122" t="s">
        <v>1575</v>
      </c>
      <c r="J252" s="122" t="s">
        <v>2887</v>
      </c>
      <c r="K252" s="122" t="s">
        <v>2960</v>
      </c>
      <c r="L252" s="153" t="s">
        <v>2961</v>
      </c>
      <c r="M252" s="122" t="s">
        <v>1991</v>
      </c>
      <c r="N252" s="122" t="s">
        <v>1988</v>
      </c>
      <c r="O252" s="152"/>
      <c r="P252" s="152">
        <v>230</v>
      </c>
      <c r="Q252" s="156" t="str">
        <f>IF(L250="","",IFERROR(VLOOKUP(UPPER($G250)&amp;"/"&amp;$P252,NETWORKS_TABLE[],MATCH(Q$3,NETWORKS_TABLE[#Headers],0),FALSE),""))</f>
        <v>HPISCSI</v>
      </c>
      <c r="R252" s="156" t="str">
        <f>IF(B250="","",IFERROR(VLOOKUP(UPPER($G250)&amp;"/"&amp;$P252,NETWORKS_TABLE[],MATCH(R$3,NETWORKS_TABLE[#Headers],0),FALSE),""))</f>
        <v>10.224.30.0/24</v>
      </c>
      <c r="S252" s="188" t="s" cm="1">
        <v>78</v>
      </c>
      <c r="T252" s="152"/>
      <c r="U252" s="152"/>
      <c r="V252" s="155"/>
    </row>
    <row r="253" spans="1:22">
      <c r="A253" s="40"/>
      <c r="B253" s="151" t="s">
        <v>2962</v>
      </c>
      <c r="C253" s="152" t="s">
        <v>2922</v>
      </c>
      <c r="D253" s="118" t="s">
        <v>1741</v>
      </c>
      <c r="E25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Ecom Testing Port/data (Physical Server)</v>
      </c>
      <c r="F253" s="154"/>
      <c r="G253" s="118" t="s">
        <v>57</v>
      </c>
      <c r="H253" s="153" t="str">
        <f>IF(B253="","",VLOOKUP(B253,DEVICE_TABLE[#Data],MATCH(H$3,DEVICE_TABLE[#Headers],0),FALSE))</f>
        <v>CR1</v>
      </c>
      <c r="I253" s="122" t="s">
        <v>1575</v>
      </c>
      <c r="J253" s="122" t="s">
        <v>2887</v>
      </c>
      <c r="K253" s="122" t="s">
        <v>2963</v>
      </c>
      <c r="L253" s="153" t="s">
        <v>2964</v>
      </c>
      <c r="M253" s="122" t="s">
        <v>1991</v>
      </c>
      <c r="N253" s="122" t="s">
        <v>1988</v>
      </c>
      <c r="O253" s="152"/>
      <c r="P253" s="152">
        <v>32</v>
      </c>
      <c r="Q253" s="156" t="str">
        <f>IF(L250="","",IFERROR(VLOOKUP(UPPER($G250)&amp;"/"&amp;$P253,NETWORKS_TABLE[],MATCH(Q$3,NETWORKS_TABLE[#Headers],0),FALSE),""))</f>
        <v>LEGACYSERVER32</v>
      </c>
      <c r="R253" s="156" t="str">
        <f>IF(B250="","",IFERROR(VLOOKUP(UPPER($G250)&amp;"/"&amp;$P253,NETWORKS_TABLE[],MATCH(R$3,NETWORKS_TABLE[#Headers],0),FALSE),""))</f>
        <v>172.16.32.0/22</v>
      </c>
      <c r="S253" s="188" t="s" cm="1">
        <v>78</v>
      </c>
      <c r="T253" s="152"/>
      <c r="U253" s="152"/>
      <c r="V253" s="155"/>
    </row>
    <row r="254" spans="1:22">
      <c r="A254" s="40"/>
      <c r="B254" s="151" t="s">
        <v>2965</v>
      </c>
      <c r="C254" s="152" t="s">
        <v>2966</v>
      </c>
      <c r="D254" s="118" t="s">
        <v>1741</v>
      </c>
      <c r="E25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StorageTek/LMU (Physical Server)</v>
      </c>
      <c r="F254" s="154"/>
      <c r="G254" s="118" t="s">
        <v>57</v>
      </c>
      <c r="H254" s="153" t="str">
        <f>IF(B254="","",VLOOKUP(B254,DEVICE_TABLE[#Data],MATCH(H$3,DEVICE_TABLE[#Headers],0),FALSE))</f>
        <v>CR1</v>
      </c>
      <c r="I254" s="122" t="s">
        <v>1575</v>
      </c>
      <c r="J254" s="122" t="s">
        <v>2887</v>
      </c>
      <c r="K254" s="122" t="s">
        <v>2967</v>
      </c>
      <c r="L254" s="153" t="s">
        <v>2968</v>
      </c>
      <c r="M254" s="122" t="s">
        <v>1991</v>
      </c>
      <c r="N254" s="122" t="s">
        <v>1988</v>
      </c>
      <c r="O254" s="152"/>
      <c r="P254" s="152">
        <v>32</v>
      </c>
      <c r="Q254" s="156" t="str">
        <f>IF(L254="","",IFERROR(VLOOKUP(UPPER($G254)&amp;"/"&amp;$P254,NETWORKS_TABLE[],MATCH(Q$3,NETWORKS_TABLE[#Headers],0),FALSE),""))</f>
        <v>LEGACYSERVER32</v>
      </c>
      <c r="R254" s="156" t="str">
        <f>IF(B254="","",IFERROR(VLOOKUP(UPPER($G254)&amp;"/"&amp;$P254,NETWORKS_TABLE[],MATCH(R$3,NETWORKS_TABLE[#Headers],0),FALSE),""))</f>
        <v>172.16.32.0/22</v>
      </c>
      <c r="S254" s="188" t="s" cm="1">
        <v>78</v>
      </c>
      <c r="T254" s="152"/>
      <c r="U254" s="152"/>
      <c r="V254" s="155"/>
    </row>
    <row r="255" spans="1:22">
      <c r="A255" s="40"/>
      <c r="B255" s="151" t="s">
        <v>2975</v>
      </c>
      <c r="C255" s="152" t="s">
        <v>2976</v>
      </c>
      <c r="D255" s="118" t="s">
        <v>1741</v>
      </c>
      <c r="E25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Del 3000i DC1/Data 1 (Physical Server)</v>
      </c>
      <c r="F255" s="154"/>
      <c r="G255" s="118" t="s">
        <v>57</v>
      </c>
      <c r="H255" s="153" t="e">
        <f>IF(B255="","",VLOOKUP(B255,DEVICE_TABLE[#Data],MATCH(H$3,DEVICE_TABLE[#Headers],0),FALSE))</f>
        <v>#N/A</v>
      </c>
      <c r="I255" s="122" t="s">
        <v>1575</v>
      </c>
      <c r="J255" s="122" t="s">
        <v>1073</v>
      </c>
      <c r="K255" s="122" t="s">
        <v>2960</v>
      </c>
      <c r="L255" s="153" t="s">
        <v>2969</v>
      </c>
      <c r="M255" s="122" t="s">
        <v>1991</v>
      </c>
      <c r="N255" s="122" t="s">
        <v>1988</v>
      </c>
      <c r="O255" s="152"/>
      <c r="P255" s="152">
        <v>230</v>
      </c>
      <c r="Q255" s="156" t="str">
        <f>IF(L251="","",IFERROR(VLOOKUP(UPPER($G251)&amp;"/"&amp;$P255,NETWORKS_TABLE[],MATCH(Q$3,NETWORKS_TABLE[#Headers],0),FALSE),""))</f>
        <v>HPISCSI</v>
      </c>
      <c r="R255" s="156" t="str">
        <f>IF(B251="","",IFERROR(VLOOKUP(UPPER($G251)&amp;"/"&amp;$P255,NETWORKS_TABLE[],MATCH(R$3,NETWORKS_TABLE[#Headers],0),FALSE),""))</f>
        <v>10.224.30.0/24</v>
      </c>
      <c r="S255" s="188" t="s" cm="1">
        <v>78</v>
      </c>
      <c r="T255" s="152"/>
      <c r="U255" s="152"/>
      <c r="V255" s="155"/>
    </row>
    <row r="256" spans="1:22">
      <c r="A256" s="40"/>
      <c r="B256" s="151" t="s">
        <v>2975</v>
      </c>
      <c r="C256" s="152" t="s">
        <v>2977</v>
      </c>
      <c r="D256" s="118" t="s">
        <v>1741</v>
      </c>
      <c r="E25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Del 3000i DC1/Data 2 (Physical Server)</v>
      </c>
      <c r="F256" s="154"/>
      <c r="G256" s="118" t="s">
        <v>57</v>
      </c>
      <c r="H256" s="153" t="e">
        <f>IF(B256="","",VLOOKUP(B256,DEVICE_TABLE[#Data],MATCH(H$3,DEVICE_TABLE[#Headers],0),FALSE))</f>
        <v>#N/A</v>
      </c>
      <c r="I256" s="122" t="s">
        <v>1575</v>
      </c>
      <c r="J256" s="122" t="s">
        <v>1083</v>
      </c>
      <c r="K256" s="122" t="s">
        <v>2982</v>
      </c>
      <c r="L256" s="153" t="s">
        <v>2983</v>
      </c>
      <c r="M256" s="122" t="s">
        <v>1991</v>
      </c>
      <c r="N256" s="122" t="s">
        <v>1988</v>
      </c>
      <c r="O256" s="152"/>
      <c r="P256" s="152">
        <v>230</v>
      </c>
      <c r="Q256" s="156" t="str">
        <f>IF(L257="","",IFERROR(VLOOKUP(UPPER($G257)&amp;"/"&amp;$P256,NETWORKS_TABLE[],MATCH(Q$3,NETWORKS_TABLE[#Headers],0),FALSE),""))</f>
        <v>HPISCSI</v>
      </c>
      <c r="R256" s="156" t="str">
        <f>IF(B257="","",IFERROR(VLOOKUP(UPPER($G257)&amp;"/"&amp;$P256,NETWORKS_TABLE[],MATCH(R$3,NETWORKS_TABLE[#Headers],0),FALSE),""))</f>
        <v>10.224.30.0/24</v>
      </c>
      <c r="S256" s="188" t="s" cm="1">
        <v>78</v>
      </c>
      <c r="T256" s="152"/>
      <c r="U256" s="152"/>
      <c r="V256" s="155"/>
    </row>
    <row r="257" spans="1:22">
      <c r="A257" s="40"/>
      <c r="B257" s="151" t="s">
        <v>1721</v>
      </c>
      <c r="C257" s="152" t="s">
        <v>2970</v>
      </c>
      <c r="D257" s="153" t="s">
        <v>1741</v>
      </c>
      <c r="E257" s="153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TIER3NFS01/data 1 (Physical Server)</v>
      </c>
      <c r="F257" s="154"/>
      <c r="G257" s="153" t="s">
        <v>57</v>
      </c>
      <c r="H257" s="153" t="str">
        <f>IF(B257="","",VLOOKUP(B257,DEVICE_TABLE[#Data],MATCH(H$3,DEVICE_TABLE[#Headers],0),FALSE))</f>
        <v>CR1</v>
      </c>
      <c r="I257" s="122" t="s">
        <v>1575</v>
      </c>
      <c r="J257" s="122" t="s">
        <v>1073</v>
      </c>
      <c r="K257" s="122" t="s">
        <v>2963</v>
      </c>
      <c r="L257" s="153" t="s">
        <v>2971</v>
      </c>
      <c r="M257" s="122" t="s">
        <v>1991</v>
      </c>
      <c r="N257" s="122" t="s">
        <v>1988</v>
      </c>
      <c r="O257" s="152"/>
      <c r="P257" s="152">
        <v>300</v>
      </c>
      <c r="Q257" s="156" t="str">
        <f>IF(L252="","",IFERROR(VLOOKUP(UPPER($G252)&amp;"/"&amp;$P257,NETWORKS_TABLE[],MATCH(Q$3,NETWORKS_TABLE[#Headers],0),FALSE),""))</f>
        <v>SERVER</v>
      </c>
      <c r="R257" s="156" t="str">
        <f>IF(B252="","",IFERROR(VLOOKUP(UPPER($G252)&amp;"/"&amp;$P257,NETWORKS_TABLE[],MATCH(R$3,NETWORKS_TABLE[#Headers],0),FALSE),""))</f>
        <v>10.224.100.0/24</v>
      </c>
      <c r="S257" s="188" t="s" cm="1">
        <v>78</v>
      </c>
      <c r="T257" s="152"/>
      <c r="U257" s="152"/>
      <c r="V257" s="155"/>
    </row>
    <row r="258" spans="1:22">
      <c r="A258" s="40"/>
      <c r="B258" s="151" t="s">
        <v>1721</v>
      </c>
      <c r="C258" s="152" t="s">
        <v>2972</v>
      </c>
      <c r="D258" s="118" t="s">
        <v>1741</v>
      </c>
      <c r="E25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TIER3NFS01/data 2 (Physical Server)</v>
      </c>
      <c r="F258" s="154"/>
      <c r="G258" s="118" t="s">
        <v>57</v>
      </c>
      <c r="H258" s="153" t="str">
        <f>IF(B258="","",VLOOKUP(B258,DEVICE_TABLE[#Data],MATCH(H$3,DEVICE_TABLE[#Headers],0),FALSE))</f>
        <v>CR1</v>
      </c>
      <c r="I258" s="122" t="s">
        <v>1575</v>
      </c>
      <c r="J258" s="122" t="s">
        <v>1083</v>
      </c>
      <c r="K258" s="122" t="s">
        <v>2973</v>
      </c>
      <c r="L258" s="153" t="s">
        <v>2974</v>
      </c>
      <c r="M258" s="122" t="s">
        <v>1991</v>
      </c>
      <c r="N258" s="122" t="s">
        <v>1988</v>
      </c>
      <c r="O258" s="152"/>
      <c r="P258" s="152">
        <v>300</v>
      </c>
      <c r="Q258" s="156" t="str">
        <f>IF(L253="","",IFERROR(VLOOKUP(UPPER($G253)&amp;"/"&amp;$P258,NETWORKS_TABLE[],MATCH(Q$3,NETWORKS_TABLE[#Headers],0),FALSE),""))</f>
        <v>SERVER</v>
      </c>
      <c r="R258" s="156" t="str">
        <f>IF(B253="","",IFERROR(VLOOKUP(UPPER($G253)&amp;"/"&amp;$P258,NETWORKS_TABLE[],MATCH(R$3,NETWORKS_TABLE[#Headers],0),FALSE),""))</f>
        <v>10.224.100.0/24</v>
      </c>
      <c r="S258" s="188" t="s" cm="1">
        <v>78</v>
      </c>
      <c r="T258" s="152"/>
      <c r="U258" s="152"/>
      <c r="V258" s="155"/>
    </row>
    <row r="259" spans="1:22">
      <c r="A259" s="40"/>
      <c r="B259" s="151" t="s">
        <v>2882</v>
      </c>
      <c r="C259" s="152" t="s">
        <v>2883</v>
      </c>
      <c r="D259" s="118" t="s">
        <v>1741</v>
      </c>
      <c r="E25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PRTG/Data (Physical Server)</v>
      </c>
      <c r="F259" s="154"/>
      <c r="G259" s="118" t="s">
        <v>57</v>
      </c>
      <c r="H259" s="153" t="str">
        <f>IF(B259="","",VLOOKUP(B259,DEVICE_TABLE[#Data],MATCH(H$3,DEVICE_TABLE[#Headers],0),FALSE))</f>
        <v>CR1</v>
      </c>
      <c r="I259" s="122" t="s">
        <v>1575</v>
      </c>
      <c r="J259" s="122" t="s">
        <v>1073</v>
      </c>
      <c r="K259" s="122" t="s">
        <v>2967</v>
      </c>
      <c r="L259" s="153" t="s">
        <v>2978</v>
      </c>
      <c r="M259" s="122" t="s">
        <v>1991</v>
      </c>
      <c r="N259" s="122" t="s">
        <v>1988</v>
      </c>
      <c r="O259" s="152"/>
      <c r="P259" s="152">
        <v>32</v>
      </c>
      <c r="Q259" s="156" t="str">
        <f>IF(L259="","",IFERROR(VLOOKUP(UPPER($G259)&amp;"/"&amp;$P259,NETWORKS_TABLE[],MATCH(Q$3,NETWORKS_TABLE[#Headers],0),FALSE),""))</f>
        <v>LEGACYSERVER32</v>
      </c>
      <c r="R259" s="156" t="str">
        <f>IF(B259="","",IFERROR(VLOOKUP(UPPER($G259)&amp;"/"&amp;$P259,NETWORKS_TABLE[],MATCH(R$3,NETWORKS_TABLE[#Headers],0),FALSE),""))</f>
        <v>172.16.32.0/22</v>
      </c>
      <c r="S259" s="188" t="s" cm="1">
        <v>78</v>
      </c>
      <c r="T259" s="152"/>
      <c r="U259" s="152"/>
      <c r="V259" s="155"/>
    </row>
    <row r="260" spans="1:22">
      <c r="A260" s="40"/>
      <c r="B260" s="151" t="s">
        <v>3013</v>
      </c>
      <c r="C260" s="152" t="s">
        <v>3014</v>
      </c>
      <c r="D260" s="153" t="s">
        <v>1741</v>
      </c>
      <c r="E26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SAS01 /Mgmt (Physical Server)</v>
      </c>
      <c r="F260" s="154"/>
      <c r="G260" s="153" t="s">
        <v>57</v>
      </c>
      <c r="H260" s="153" t="e">
        <f>IF(B260="","",VLOOKUP(B260,DEVICE_TABLE[#Data],MATCH(H$3,DEVICE_TABLE[#Headers],0),FALSE))</f>
        <v>#N/A</v>
      </c>
      <c r="I260" s="122" t="s">
        <v>1575</v>
      </c>
      <c r="J260" s="122" t="s">
        <v>1048</v>
      </c>
      <c r="K260" s="122" t="s">
        <v>2948</v>
      </c>
      <c r="L260" s="153" t="str">
        <f>CONNECTIONS_TABLE[[#This Row],[Switch]]&amp;" "&amp;CONNECTIONS_TABLE[[#This Row],[Switch Port]]</f>
        <v>FGHLHN32 gi1/0/1</v>
      </c>
      <c r="M260" s="122" t="s">
        <v>1991</v>
      </c>
      <c r="N260" s="122" t="s">
        <v>1988</v>
      </c>
      <c r="O260" s="152"/>
      <c r="P260" s="152">
        <v>220</v>
      </c>
      <c r="Q260" s="156" t="str">
        <f>IF(L260="","",IFERROR(VLOOKUP(UPPER($G260)&amp;"/"&amp;$P260,NETWORKS_TABLE[],MATCH(Q$3,NETWORKS_TABLE[#Headers],0),FALSE),""))</f>
        <v>VIRTUALMGNT</v>
      </c>
      <c r="R260" s="156" t="str">
        <f>IF(B260="","",IFERROR(VLOOKUP(UPPER($G260)&amp;"/"&amp;$P260,NETWORKS_TABLE[],MATCH(R$3,NETWORKS_TABLE[#Headers],0),FALSE),""))</f>
        <v>10.224.20.0/24</v>
      </c>
      <c r="S260" s="188" t="s">
        <v>3002</v>
      </c>
      <c r="T260" s="152"/>
      <c r="U260" s="152"/>
      <c r="V260" s="155"/>
    </row>
    <row r="261" spans="1:22">
      <c r="A261" s="40"/>
      <c r="B261" s="151" t="s">
        <v>3013</v>
      </c>
      <c r="C261" s="152" t="s">
        <v>2970</v>
      </c>
      <c r="D261" s="153" t="s">
        <v>1741</v>
      </c>
      <c r="E26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SAS01 /data 1 (Physical Server)</v>
      </c>
      <c r="F261" s="154"/>
      <c r="G261" s="153" t="s">
        <v>57</v>
      </c>
      <c r="H261" s="153" t="e">
        <f>IF(B261="","",VLOOKUP(B261,DEVICE_TABLE[#Data],MATCH(H$3,DEVICE_TABLE[#Headers],0),FALSE))</f>
        <v>#N/A</v>
      </c>
      <c r="I261" s="122" t="s">
        <v>1575</v>
      </c>
      <c r="J261" s="122" t="s">
        <v>1048</v>
      </c>
      <c r="K261" s="122" t="s">
        <v>2089</v>
      </c>
      <c r="L261" s="153" t="str">
        <f>CONNECTIONS_TABLE[[#This Row],[Switch]]&amp;" "&amp;CONNECTIONS_TABLE[[#This Row],[Switch Port]]</f>
        <v>FGHLHN32 gi1/0/2</v>
      </c>
      <c r="M261" s="122" t="s">
        <v>1991</v>
      </c>
      <c r="N261" s="122" t="s">
        <v>1988</v>
      </c>
      <c r="O261" s="152"/>
      <c r="P261" s="152">
        <v>230</v>
      </c>
      <c r="Q261" s="156" t="str">
        <f>IF(L261="","",IFERROR(VLOOKUP(UPPER($G261)&amp;"/"&amp;$P261,NETWORKS_TABLE[],MATCH(Q$3,NETWORKS_TABLE[#Headers],0),FALSE),""))</f>
        <v>HPISCSI</v>
      </c>
      <c r="R261" s="156" t="str">
        <f>IF(B261="","",IFERROR(VLOOKUP(UPPER($G261)&amp;"/"&amp;$P261,NETWORKS_TABLE[],MATCH(R$3,NETWORKS_TABLE[#Headers],0),FALSE),""))</f>
        <v>10.224.30.0/24</v>
      </c>
      <c r="S261" s="188" t="s">
        <v>3015</v>
      </c>
      <c r="T261" s="152"/>
      <c r="U261" s="152"/>
      <c r="V261" s="155"/>
    </row>
    <row r="262" spans="1:22">
      <c r="A262" s="40"/>
      <c r="B262" s="151" t="s">
        <v>3013</v>
      </c>
      <c r="C262" s="152" t="s">
        <v>2972</v>
      </c>
      <c r="D262" s="153" t="s">
        <v>1741</v>
      </c>
      <c r="E26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SAS01 /data 2 (Physical Server)</v>
      </c>
      <c r="F262" s="154"/>
      <c r="G262" s="153" t="s">
        <v>57</v>
      </c>
      <c r="H262" s="153" t="e">
        <f>IF(B262="","",VLOOKUP(B262,DEVICE_TABLE[#Data],MATCH(H$3,DEVICE_TABLE[#Headers],0),FALSE))</f>
        <v>#N/A</v>
      </c>
      <c r="I262" s="122" t="s">
        <v>1575</v>
      </c>
      <c r="J262" s="122" t="s">
        <v>1048</v>
      </c>
      <c r="K262" s="122" t="s">
        <v>2109</v>
      </c>
      <c r="L262" s="153" t="str">
        <f>CONNECTIONS_TABLE[[#This Row],[Switch]]&amp;" "&amp;CONNECTIONS_TABLE[[#This Row],[Switch Port]]</f>
        <v>FGHLHN32 gi1/0/3</v>
      </c>
      <c r="M262" s="122" t="s">
        <v>1991</v>
      </c>
      <c r="N262" s="122" t="s">
        <v>1988</v>
      </c>
      <c r="O262" s="152"/>
      <c r="P262" s="152">
        <v>230</v>
      </c>
      <c r="Q262" s="156" t="str">
        <f>IF(L262="","",IFERROR(VLOOKUP(UPPER($G262)&amp;"/"&amp;$P262,NETWORKS_TABLE[],MATCH(Q$3,NETWORKS_TABLE[#Headers],0),FALSE),""))</f>
        <v>HPISCSI</v>
      </c>
      <c r="R262" s="156" t="str">
        <f>IF(B262="","",IFERROR(VLOOKUP(UPPER($G262)&amp;"/"&amp;$P262,NETWORKS_TABLE[],MATCH(R$3,NETWORKS_TABLE[#Headers],0),FALSE),""))</f>
        <v>10.224.30.0/24</v>
      </c>
      <c r="S262" s="188" t="s">
        <v>3015</v>
      </c>
      <c r="T262" s="152"/>
      <c r="U262" s="152"/>
      <c r="V262" s="155"/>
    </row>
    <row r="263" spans="1:22">
      <c r="A263" s="40"/>
      <c r="B263" s="151" t="s">
        <v>2990</v>
      </c>
      <c r="C263" s="152" t="s">
        <v>3014</v>
      </c>
      <c r="D263" s="153" t="s">
        <v>1741</v>
      </c>
      <c r="E26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SAS02/Mgmt (Physical Server)</v>
      </c>
      <c r="F263" s="154"/>
      <c r="G263" s="153" t="s">
        <v>57</v>
      </c>
      <c r="H263" s="153" t="str">
        <f>IF(B263="","",VLOOKUP(B263,DEVICE_TABLE[#Data],MATCH(H$3,DEVICE_TABLE[#Headers],0),FALSE))</f>
        <v>CR1</v>
      </c>
      <c r="I263" s="122" t="s">
        <v>1575</v>
      </c>
      <c r="J263" s="122" t="s">
        <v>2887</v>
      </c>
      <c r="K263" s="122" t="s">
        <v>3017</v>
      </c>
      <c r="L263" s="153" t="str">
        <f>CONNECTIONS_TABLE[[#This Row],[Switch]]&amp;" "&amp;CONNECTIONS_TABLE[[#This Row],[Switch Port]]</f>
        <v>FGHLHN143 gi1/0/45</v>
      </c>
      <c r="M263" s="122" t="s">
        <v>1991</v>
      </c>
      <c r="N263" s="122" t="s">
        <v>1988</v>
      </c>
      <c r="O263" s="152"/>
      <c r="P263" s="152">
        <v>220</v>
      </c>
      <c r="Q263" s="156" t="str">
        <f>IF(L263="","",IFERROR(VLOOKUP(UPPER($G263)&amp;"/"&amp;$P263,NETWORKS_TABLE[],MATCH(Q$3,NETWORKS_TABLE[#Headers],0),FALSE),""))</f>
        <v>VIRTUALMGNT</v>
      </c>
      <c r="R263" s="156" t="str">
        <f>IF(B263="","",IFERROR(VLOOKUP(UPPER($G263)&amp;"/"&amp;$P263,NETWORKS_TABLE[],MATCH(R$3,NETWORKS_TABLE[#Headers],0),FALSE),""))</f>
        <v>10.224.20.0/24</v>
      </c>
      <c r="S263" s="188" t="s">
        <v>3002</v>
      </c>
      <c r="T263" s="152"/>
      <c r="U263" s="152"/>
      <c r="V263" s="155"/>
    </row>
    <row r="264" spans="1:22">
      <c r="A264" s="40"/>
      <c r="B264" s="151" t="s">
        <v>2990</v>
      </c>
      <c r="C264" s="152" t="s">
        <v>2970</v>
      </c>
      <c r="D264" s="153" t="s">
        <v>1741</v>
      </c>
      <c r="E26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SAS02/data 1 (Physical Server)</v>
      </c>
      <c r="F264" s="154"/>
      <c r="G264" s="153" t="s">
        <v>57</v>
      </c>
      <c r="H264" s="153" t="str">
        <f>IF(B264="","",VLOOKUP(B264,DEVICE_TABLE[#Data],MATCH(H$3,DEVICE_TABLE[#Headers],0),FALSE))</f>
        <v>CR1</v>
      </c>
      <c r="I264" s="122" t="s">
        <v>1575</v>
      </c>
      <c r="J264" s="122" t="s">
        <v>2887</v>
      </c>
      <c r="K264" s="122" t="s">
        <v>3018</v>
      </c>
      <c r="L264" s="153" t="str">
        <f>CONNECTIONS_TABLE[[#This Row],[Switch]]&amp;" "&amp;CONNECTIONS_TABLE[[#This Row],[Switch Port]]</f>
        <v>FGHLHN143 gi1/0/46</v>
      </c>
      <c r="M264" s="122" t="s">
        <v>1991</v>
      </c>
      <c r="N264" s="122" t="s">
        <v>1988</v>
      </c>
      <c r="O264" s="152"/>
      <c r="P264" s="152">
        <v>230</v>
      </c>
      <c r="Q264" s="156" t="str">
        <f>IF(L264="","",IFERROR(VLOOKUP(UPPER($G264)&amp;"/"&amp;$P264,NETWORKS_TABLE[],MATCH(Q$3,NETWORKS_TABLE[#Headers],0),FALSE),""))</f>
        <v>HPISCSI</v>
      </c>
      <c r="R264" s="156" t="str">
        <f>IF(B264="","",IFERROR(VLOOKUP(UPPER($G264)&amp;"/"&amp;$P264,NETWORKS_TABLE[],MATCH(R$3,NETWORKS_TABLE[#Headers],0),FALSE),""))</f>
        <v>10.224.30.0/24</v>
      </c>
      <c r="S264" s="188" t="s">
        <v>3015</v>
      </c>
      <c r="T264" s="152"/>
      <c r="U264" s="152"/>
      <c r="V264" s="155"/>
    </row>
    <row r="265" spans="1:22">
      <c r="A265" s="40"/>
      <c r="B265" s="151" t="s">
        <v>2990</v>
      </c>
      <c r="C265" s="152" t="s">
        <v>2972</v>
      </c>
      <c r="D265" s="153" t="s">
        <v>1741</v>
      </c>
      <c r="E26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SAS02/data 2 (Physical Server)</v>
      </c>
      <c r="F265" s="154"/>
      <c r="G265" s="153" t="s">
        <v>57</v>
      </c>
      <c r="H265" s="153" t="str">
        <f>IF(B265="","",VLOOKUP(B265,DEVICE_TABLE[#Data],MATCH(H$3,DEVICE_TABLE[#Headers],0),FALSE))</f>
        <v>CR1</v>
      </c>
      <c r="I265" s="122" t="s">
        <v>1575</v>
      </c>
      <c r="J265" s="122" t="s">
        <v>2887</v>
      </c>
      <c r="K265" s="122" t="s">
        <v>3019</v>
      </c>
      <c r="L265" s="153" t="str">
        <f>CONNECTIONS_TABLE[[#This Row],[Switch]]&amp;" "&amp;CONNECTIONS_TABLE[[#This Row],[Switch Port]]</f>
        <v>FGHLHN143 gi1/0/47</v>
      </c>
      <c r="M265" s="122" t="s">
        <v>1991</v>
      </c>
      <c r="N265" s="122" t="s">
        <v>1988</v>
      </c>
      <c r="O265" s="152"/>
      <c r="P265" s="152">
        <v>230</v>
      </c>
      <c r="Q265" s="156" t="str">
        <f>IF(L265="","",IFERROR(VLOOKUP(UPPER($G265)&amp;"/"&amp;$P265,NETWORKS_TABLE[],MATCH(Q$3,NETWORKS_TABLE[#Headers],0),FALSE),""))</f>
        <v>HPISCSI</v>
      </c>
      <c r="R265" s="156" t="str">
        <f>IF(B265="","",IFERROR(VLOOKUP(UPPER($G265)&amp;"/"&amp;$P265,NETWORKS_TABLE[],MATCH(R$3,NETWORKS_TABLE[#Headers],0),FALSE),""))</f>
        <v>10.224.30.0/24</v>
      </c>
      <c r="S265" s="188" t="s">
        <v>3015</v>
      </c>
      <c r="T265" s="152"/>
      <c r="U265" s="152"/>
      <c r="V265" s="155"/>
    </row>
    <row r="266" spans="1:22">
      <c r="A266" s="40"/>
      <c r="B266" s="151" t="s">
        <v>2991</v>
      </c>
      <c r="C266" s="152" t="s">
        <v>3014</v>
      </c>
      <c r="D266" s="153" t="s">
        <v>1741</v>
      </c>
      <c r="E26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SAS03/Mgmt (Physical Server)</v>
      </c>
      <c r="F266" s="154"/>
      <c r="G266" s="153" t="s">
        <v>57</v>
      </c>
      <c r="H266" s="153" t="str">
        <f>IF(B266="","",VLOOKUP(B266,DEVICE_TABLE[#Data],MATCH(H$3,DEVICE_TABLE[#Headers],0),FALSE))</f>
        <v>CR2</v>
      </c>
      <c r="I266" s="122" t="s">
        <v>1575</v>
      </c>
      <c r="J266" s="122" t="s">
        <v>1048</v>
      </c>
      <c r="K266" s="122" t="s">
        <v>2111</v>
      </c>
      <c r="L266" s="153" t="str">
        <f>CONNECTIONS_TABLE[[#This Row],[Switch]]&amp;" "&amp;CONNECTIONS_TABLE[[#This Row],[Switch Port]]</f>
        <v>FGHLHN32 gi1/0/4</v>
      </c>
      <c r="M266" s="122" t="s">
        <v>1991</v>
      </c>
      <c r="N266" s="122" t="s">
        <v>1988</v>
      </c>
      <c r="O266" s="152"/>
      <c r="P266" s="152">
        <v>220</v>
      </c>
      <c r="Q266" s="156" t="str">
        <f>IF(L266="","",IFERROR(VLOOKUP(UPPER($G266)&amp;"/"&amp;$P266,NETWORKS_TABLE[],MATCH(Q$3,NETWORKS_TABLE[#Headers],0),FALSE),""))</f>
        <v>VIRTUALMGNT</v>
      </c>
      <c r="R266" s="156" t="str">
        <f>IF(B266="","",IFERROR(VLOOKUP(UPPER($G266)&amp;"/"&amp;$P266,NETWORKS_TABLE[],MATCH(R$3,NETWORKS_TABLE[#Headers],0),FALSE),""))</f>
        <v>10.224.20.0/24</v>
      </c>
      <c r="S266" s="188" t="s">
        <v>3002</v>
      </c>
      <c r="T266" s="152"/>
      <c r="U266" s="152"/>
      <c r="V266" s="155"/>
    </row>
    <row r="267" spans="1:22">
      <c r="A267" s="40"/>
      <c r="B267" s="151" t="s">
        <v>2991</v>
      </c>
      <c r="C267" s="152" t="s">
        <v>2970</v>
      </c>
      <c r="D267" s="153" t="s">
        <v>1741</v>
      </c>
      <c r="E26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SAS03/data 1 (Physical Server)</v>
      </c>
      <c r="F267" s="154"/>
      <c r="G267" s="153" t="s">
        <v>57</v>
      </c>
      <c r="H267" s="153" t="str">
        <f>IF(B267="","",VLOOKUP(B267,DEVICE_TABLE[#Data],MATCH(H$3,DEVICE_TABLE[#Headers],0),FALSE))</f>
        <v>CR2</v>
      </c>
      <c r="I267" s="122" t="s">
        <v>1575</v>
      </c>
      <c r="J267" s="122" t="s">
        <v>1048</v>
      </c>
      <c r="K267" s="122" t="s">
        <v>2774</v>
      </c>
      <c r="L267" s="153" t="str">
        <f>CONNECTIONS_TABLE[[#This Row],[Switch]]&amp;" "&amp;CONNECTIONS_TABLE[[#This Row],[Switch Port]]</f>
        <v>FGHLHN32 gi1/0/5</v>
      </c>
      <c r="M267" s="122" t="s">
        <v>1991</v>
      </c>
      <c r="N267" s="122" t="s">
        <v>1988</v>
      </c>
      <c r="O267" s="152"/>
      <c r="P267" s="152">
        <v>230</v>
      </c>
      <c r="Q267" s="156" t="str">
        <f>IF(L267="","",IFERROR(VLOOKUP(UPPER($G267)&amp;"/"&amp;$P267,NETWORKS_TABLE[],MATCH(Q$3,NETWORKS_TABLE[#Headers],0),FALSE),""))</f>
        <v>HPISCSI</v>
      </c>
      <c r="R267" s="156" t="str">
        <f>IF(B267="","",IFERROR(VLOOKUP(UPPER($G267)&amp;"/"&amp;$P267,NETWORKS_TABLE[],MATCH(R$3,NETWORKS_TABLE[#Headers],0),FALSE),""))</f>
        <v>10.224.30.0/24</v>
      </c>
      <c r="S267" s="188" t="s">
        <v>3015</v>
      </c>
      <c r="T267" s="152"/>
      <c r="U267" s="152"/>
      <c r="V267" s="155"/>
    </row>
    <row r="268" spans="1:22">
      <c r="A268" s="40"/>
      <c r="B268" s="151" t="s">
        <v>2991</v>
      </c>
      <c r="C268" s="152" t="s">
        <v>2972</v>
      </c>
      <c r="D268" s="153" t="s">
        <v>1741</v>
      </c>
      <c r="E26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SAS03/data 2 (Physical Server)</v>
      </c>
      <c r="F268" s="154"/>
      <c r="G268" s="153" t="s">
        <v>57</v>
      </c>
      <c r="H268" s="153" t="str">
        <f>IF(B268="","",VLOOKUP(B268,DEVICE_TABLE[#Data],MATCH(H$3,DEVICE_TABLE[#Headers],0),FALSE))</f>
        <v>CR2</v>
      </c>
      <c r="I268" s="122" t="s">
        <v>1575</v>
      </c>
      <c r="J268" s="122" t="s">
        <v>1048</v>
      </c>
      <c r="K268" s="122" t="s">
        <v>2778</v>
      </c>
      <c r="L268" s="153" t="str">
        <f>CONNECTIONS_TABLE[[#This Row],[Switch]]&amp;" "&amp;CONNECTIONS_TABLE[[#This Row],[Switch Port]]</f>
        <v>FGHLHN32 gi1/0/6</v>
      </c>
      <c r="M268" s="122" t="s">
        <v>1991</v>
      </c>
      <c r="N268" s="122" t="s">
        <v>1988</v>
      </c>
      <c r="O268" s="152"/>
      <c r="P268" s="152">
        <v>230</v>
      </c>
      <c r="Q268" s="156" t="str">
        <f>IF(L268="","",IFERROR(VLOOKUP(UPPER($G268)&amp;"/"&amp;$P268,NETWORKS_TABLE[],MATCH(Q$3,NETWORKS_TABLE[#Headers],0),FALSE),""))</f>
        <v>HPISCSI</v>
      </c>
      <c r="R268" s="156" t="str">
        <f>IF(B268="","",IFERROR(VLOOKUP(UPPER($G268)&amp;"/"&amp;$P268,NETWORKS_TABLE[],MATCH(R$3,NETWORKS_TABLE[#Headers],0),FALSE),""))</f>
        <v>10.224.30.0/24</v>
      </c>
      <c r="S268" s="188" t="s">
        <v>3015</v>
      </c>
      <c r="T268" s="152"/>
      <c r="U268" s="152"/>
      <c r="V268" s="155"/>
    </row>
    <row r="269" spans="1:22">
      <c r="A269" s="40"/>
      <c r="B269" s="151" t="s">
        <v>2992</v>
      </c>
      <c r="C269" s="152" t="s">
        <v>3014</v>
      </c>
      <c r="D269" s="153" t="s">
        <v>1741</v>
      </c>
      <c r="E26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SAS04/Mgmt (Physical Server)</v>
      </c>
      <c r="F269" s="154"/>
      <c r="G269" s="153" t="s">
        <v>57</v>
      </c>
      <c r="H269" s="153" t="str">
        <f>IF(B269="","",VLOOKUP(B269,DEVICE_TABLE[#Data],MATCH(H$3,DEVICE_TABLE[#Headers],0),FALSE))</f>
        <v>CR1</v>
      </c>
      <c r="I269" s="122" t="s">
        <v>1575</v>
      </c>
      <c r="J269" s="122" t="s">
        <v>2887</v>
      </c>
      <c r="K269" s="122" t="s">
        <v>2060</v>
      </c>
      <c r="L269" s="153" t="str">
        <f>CONNECTIONS_TABLE[[#This Row],[Switch]]&amp;" "&amp;CONNECTIONS_TABLE[[#This Row],[Switch Port]]</f>
        <v>FGHLHN143 gi1/0/33</v>
      </c>
      <c r="M269" s="122" t="s">
        <v>1991</v>
      </c>
      <c r="N269" s="122" t="s">
        <v>1988</v>
      </c>
      <c r="O269" s="152"/>
      <c r="P269" s="152">
        <v>220</v>
      </c>
      <c r="Q269" s="156" t="str">
        <f>IF(L269="","",IFERROR(VLOOKUP(UPPER($G269)&amp;"/"&amp;$P269,NETWORKS_TABLE[],MATCH(Q$3,NETWORKS_TABLE[#Headers],0),FALSE),""))</f>
        <v>VIRTUALMGNT</v>
      </c>
      <c r="R269" s="156" t="str">
        <f>IF(B269="","",IFERROR(VLOOKUP(UPPER($G269)&amp;"/"&amp;$P269,NETWORKS_TABLE[],MATCH(R$3,NETWORKS_TABLE[#Headers],0),FALSE),""))</f>
        <v>10.224.20.0/24</v>
      </c>
      <c r="S269" s="188" t="s">
        <v>3002</v>
      </c>
      <c r="T269" s="152"/>
      <c r="U269" s="152"/>
      <c r="V269" s="155"/>
    </row>
    <row r="270" spans="1:22">
      <c r="A270" s="40"/>
      <c r="B270" s="151" t="s">
        <v>2992</v>
      </c>
      <c r="C270" s="152" t="s">
        <v>2970</v>
      </c>
      <c r="D270" s="153" t="s">
        <v>1741</v>
      </c>
      <c r="E27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SAS04/data 1 (Physical Server)</v>
      </c>
      <c r="F270" s="154"/>
      <c r="G270" s="153" t="s">
        <v>57</v>
      </c>
      <c r="H270" s="153" t="str">
        <f>IF(B270="","",VLOOKUP(B270,DEVICE_TABLE[#Data],MATCH(H$3,DEVICE_TABLE[#Headers],0),FALSE))</f>
        <v>CR1</v>
      </c>
      <c r="I270" s="122" t="s">
        <v>1575</v>
      </c>
      <c r="J270" s="122" t="s">
        <v>2887</v>
      </c>
      <c r="K270" s="122" t="s">
        <v>2064</v>
      </c>
      <c r="L270" s="153" t="str">
        <f>CONNECTIONS_TABLE[[#This Row],[Switch]]&amp;" "&amp;CONNECTIONS_TABLE[[#This Row],[Switch Port]]</f>
        <v>FGHLHN143 gi1/0/34</v>
      </c>
      <c r="M270" s="122" t="s">
        <v>1991</v>
      </c>
      <c r="N270" s="122" t="s">
        <v>1988</v>
      </c>
      <c r="O270" s="152"/>
      <c r="P270" s="152">
        <v>230</v>
      </c>
      <c r="Q270" s="156" t="str">
        <f>IF(L270="","",IFERROR(VLOOKUP(UPPER($G270)&amp;"/"&amp;$P270,NETWORKS_TABLE[],MATCH(Q$3,NETWORKS_TABLE[#Headers],0),FALSE),""))</f>
        <v>HPISCSI</v>
      </c>
      <c r="R270" s="156" t="str">
        <f>IF(B270="","",IFERROR(VLOOKUP(UPPER($G270)&amp;"/"&amp;$P270,NETWORKS_TABLE[],MATCH(R$3,NETWORKS_TABLE[#Headers],0),FALSE),""))</f>
        <v>10.224.30.0/24</v>
      </c>
      <c r="S270" s="188" t="s">
        <v>3015</v>
      </c>
      <c r="T270" s="152"/>
      <c r="U270" s="152"/>
      <c r="V270" s="155"/>
    </row>
    <row r="271" spans="1:22">
      <c r="A271" s="40"/>
      <c r="B271" s="151" t="s">
        <v>2992</v>
      </c>
      <c r="C271" s="152" t="s">
        <v>2972</v>
      </c>
      <c r="D271" s="153" t="s">
        <v>1741</v>
      </c>
      <c r="E27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SAS04/data 2 (Physical Server)</v>
      </c>
      <c r="F271" s="154"/>
      <c r="G271" s="153" t="s">
        <v>57</v>
      </c>
      <c r="H271" s="153" t="str">
        <f>IF(B271="","",VLOOKUP(B271,DEVICE_TABLE[#Data],MATCH(H$3,DEVICE_TABLE[#Headers],0),FALSE))</f>
        <v>CR1</v>
      </c>
      <c r="I271" s="122" t="s">
        <v>1575</v>
      </c>
      <c r="J271" s="122" t="s">
        <v>2887</v>
      </c>
      <c r="K271" s="122" t="s">
        <v>2093</v>
      </c>
      <c r="L271" s="153" t="str">
        <f>CONNECTIONS_TABLE[[#This Row],[Switch]]&amp;" "&amp;CONNECTIONS_TABLE[[#This Row],[Switch Port]]</f>
        <v>FGHLHN143 gi1/0/35</v>
      </c>
      <c r="M271" s="122" t="s">
        <v>1991</v>
      </c>
      <c r="N271" s="122" t="s">
        <v>1988</v>
      </c>
      <c r="O271" s="152"/>
      <c r="P271" s="152">
        <v>230</v>
      </c>
      <c r="Q271" s="156" t="str">
        <f>IF(L271="","",IFERROR(VLOOKUP(UPPER($G271)&amp;"/"&amp;$P271,NETWORKS_TABLE[],MATCH(Q$3,NETWORKS_TABLE[#Headers],0),FALSE),""))</f>
        <v>HPISCSI</v>
      </c>
      <c r="R271" s="156" t="str">
        <f>IF(B271="","",IFERROR(VLOOKUP(UPPER($G271)&amp;"/"&amp;$P271,NETWORKS_TABLE[],MATCH(R$3,NETWORKS_TABLE[#Headers],0),FALSE),""))</f>
        <v>10.224.30.0/24</v>
      </c>
      <c r="S271" s="188" t="s">
        <v>3015</v>
      </c>
      <c r="T271" s="152"/>
      <c r="U271" s="152"/>
      <c r="V271" s="155"/>
    </row>
    <row r="272" spans="1:22">
      <c r="A272" s="40"/>
      <c r="B272" s="151" t="s">
        <v>2993</v>
      </c>
      <c r="C272" s="152" t="s">
        <v>3014</v>
      </c>
      <c r="D272" s="153" t="s">
        <v>1741</v>
      </c>
      <c r="E27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SAS05/Mgmt (Physical Server)</v>
      </c>
      <c r="F272" s="154"/>
      <c r="G272" s="153" t="s">
        <v>57</v>
      </c>
      <c r="H272" s="153" t="str">
        <f>IF(B272="","",VLOOKUP(B272,DEVICE_TABLE[#Data],MATCH(H$3,DEVICE_TABLE[#Headers],0),FALSE))</f>
        <v>CR2</v>
      </c>
      <c r="I272" s="122" t="s">
        <v>1575</v>
      </c>
      <c r="J272" s="122" t="s">
        <v>1048</v>
      </c>
      <c r="K272" s="122" t="s">
        <v>2960</v>
      </c>
      <c r="L272" s="153" t="str">
        <f>CONNECTIONS_TABLE[[#This Row],[Switch]]&amp;" "&amp;CONNECTIONS_TABLE[[#This Row],[Switch Port]]</f>
        <v>FGHLHN32 gi1/0/7</v>
      </c>
      <c r="M272" s="122" t="s">
        <v>1991</v>
      </c>
      <c r="N272" s="122" t="s">
        <v>1988</v>
      </c>
      <c r="O272" s="152"/>
      <c r="P272" s="152">
        <v>220</v>
      </c>
      <c r="Q272" s="156" t="str">
        <f>IF(L272="","",IFERROR(VLOOKUP(UPPER($G272)&amp;"/"&amp;$P272,NETWORKS_TABLE[],MATCH(Q$3,NETWORKS_TABLE[#Headers],0),FALSE),""))</f>
        <v>VIRTUALMGNT</v>
      </c>
      <c r="R272" s="156" t="str">
        <f>IF(B272="","",IFERROR(VLOOKUP(UPPER($G272)&amp;"/"&amp;$P272,NETWORKS_TABLE[],MATCH(R$3,NETWORKS_TABLE[#Headers],0),FALSE),""))</f>
        <v>10.224.20.0/24</v>
      </c>
      <c r="S272" s="188" t="s">
        <v>3002</v>
      </c>
      <c r="T272" s="152"/>
      <c r="U272" s="152"/>
      <c r="V272" s="155"/>
    </row>
    <row r="273" spans="1:22">
      <c r="A273" s="40"/>
      <c r="B273" s="151" t="s">
        <v>2993</v>
      </c>
      <c r="C273" s="152" t="s">
        <v>2970</v>
      </c>
      <c r="D273" s="153" t="s">
        <v>1741</v>
      </c>
      <c r="E27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SAS05/data 1 (Physical Server)</v>
      </c>
      <c r="F273" s="154"/>
      <c r="G273" s="153" t="s">
        <v>57</v>
      </c>
      <c r="H273" s="153" t="str">
        <f>IF(B273="","",VLOOKUP(B273,DEVICE_TABLE[#Data],MATCH(H$3,DEVICE_TABLE[#Headers],0),FALSE))</f>
        <v>CR2</v>
      </c>
      <c r="I273" s="122" t="s">
        <v>1575</v>
      </c>
      <c r="J273" s="122" t="s">
        <v>1048</v>
      </c>
      <c r="K273" s="122" t="s">
        <v>2963</v>
      </c>
      <c r="L273" s="153" t="str">
        <f>CONNECTIONS_TABLE[[#This Row],[Switch]]&amp;" "&amp;CONNECTIONS_TABLE[[#This Row],[Switch Port]]</f>
        <v>FGHLHN32 gi1/0/8</v>
      </c>
      <c r="M273" s="122" t="s">
        <v>1991</v>
      </c>
      <c r="N273" s="122" t="s">
        <v>1988</v>
      </c>
      <c r="O273" s="152"/>
      <c r="P273" s="152">
        <v>230</v>
      </c>
      <c r="Q273" s="156" t="str">
        <f>IF(L273="","",IFERROR(VLOOKUP(UPPER($G273)&amp;"/"&amp;$P273,NETWORKS_TABLE[],MATCH(Q$3,NETWORKS_TABLE[#Headers],0),FALSE),""))</f>
        <v>HPISCSI</v>
      </c>
      <c r="R273" s="156" t="str">
        <f>IF(B273="","",IFERROR(VLOOKUP(UPPER($G273)&amp;"/"&amp;$P273,NETWORKS_TABLE[],MATCH(R$3,NETWORKS_TABLE[#Headers],0),FALSE),""))</f>
        <v>10.224.30.0/24</v>
      </c>
      <c r="S273" s="188" t="s">
        <v>3015</v>
      </c>
      <c r="T273" s="152"/>
      <c r="U273" s="152"/>
      <c r="V273" s="155"/>
    </row>
    <row r="274" spans="1:22">
      <c r="A274" s="40"/>
      <c r="B274" s="151" t="s">
        <v>2993</v>
      </c>
      <c r="C274" s="152" t="s">
        <v>2972</v>
      </c>
      <c r="D274" s="153" t="s">
        <v>1741</v>
      </c>
      <c r="E27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SAS05/data 2 (Physical Server)</v>
      </c>
      <c r="F274" s="154"/>
      <c r="G274" s="153" t="s">
        <v>57</v>
      </c>
      <c r="H274" s="153" t="str">
        <f>IF(B274="","",VLOOKUP(B274,DEVICE_TABLE[#Data],MATCH(H$3,DEVICE_TABLE[#Headers],0),FALSE))</f>
        <v>CR2</v>
      </c>
      <c r="I274" s="122" t="s">
        <v>1575</v>
      </c>
      <c r="J274" s="122" t="s">
        <v>1048</v>
      </c>
      <c r="K274" s="122" t="s">
        <v>2967</v>
      </c>
      <c r="L274" s="153" t="str">
        <f>CONNECTIONS_TABLE[[#This Row],[Switch]]&amp;" "&amp;CONNECTIONS_TABLE[[#This Row],[Switch Port]]</f>
        <v>FGHLHN32 gi1/0/9</v>
      </c>
      <c r="M274" s="122" t="s">
        <v>1991</v>
      </c>
      <c r="N274" s="122" t="s">
        <v>1988</v>
      </c>
      <c r="O274" s="152"/>
      <c r="P274" s="152">
        <v>230</v>
      </c>
      <c r="Q274" s="156" t="str">
        <f>IF(L274="","",IFERROR(VLOOKUP(UPPER($G274)&amp;"/"&amp;$P274,NETWORKS_TABLE[],MATCH(Q$3,NETWORKS_TABLE[#Headers],0),FALSE),""))</f>
        <v>HPISCSI</v>
      </c>
      <c r="R274" s="156" t="str">
        <f>IF(B274="","",IFERROR(VLOOKUP(UPPER($G274)&amp;"/"&amp;$P274,NETWORKS_TABLE[],MATCH(R$3,NETWORKS_TABLE[#Headers],0),FALSE),""))</f>
        <v>10.224.30.0/24</v>
      </c>
      <c r="S274" s="188" t="s">
        <v>3015</v>
      </c>
      <c r="T274" s="152"/>
      <c r="U274" s="152"/>
      <c r="V274" s="155"/>
    </row>
    <row r="275" spans="1:22">
      <c r="A275" s="40"/>
      <c r="B275" s="151" t="s">
        <v>2994</v>
      </c>
      <c r="C275" s="152" t="s">
        <v>3014</v>
      </c>
      <c r="D275" s="153" t="s">
        <v>1741</v>
      </c>
      <c r="E27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SAS06/Mgmt (Physical Server)</v>
      </c>
      <c r="F275" s="154"/>
      <c r="G275" s="153" t="s">
        <v>57</v>
      </c>
      <c r="H275" s="153" t="str">
        <f>IF(B275="","",VLOOKUP(B275,DEVICE_TABLE[#Data],MATCH(H$3,DEVICE_TABLE[#Headers],0),FALSE))</f>
        <v>CR1</v>
      </c>
      <c r="I275" s="122" t="s">
        <v>1575</v>
      </c>
      <c r="J275" s="122" t="s">
        <v>2887</v>
      </c>
      <c r="K275" s="122" t="s">
        <v>2096</v>
      </c>
      <c r="L275" s="153" t="str">
        <f>CONNECTIONS_TABLE[[#This Row],[Switch]]&amp;" "&amp;CONNECTIONS_TABLE[[#This Row],[Switch Port]]</f>
        <v>FGHLHN143 gi1/0/36</v>
      </c>
      <c r="M275" s="122" t="s">
        <v>1991</v>
      </c>
      <c r="N275" s="122" t="s">
        <v>1988</v>
      </c>
      <c r="O275" s="152"/>
      <c r="P275" s="152">
        <v>220</v>
      </c>
      <c r="Q275" s="156" t="str">
        <f>IF(L275="","",IFERROR(VLOOKUP(UPPER($G275)&amp;"/"&amp;$P275,NETWORKS_TABLE[],MATCH(Q$3,NETWORKS_TABLE[#Headers],0),FALSE),""))</f>
        <v>VIRTUALMGNT</v>
      </c>
      <c r="R275" s="156" t="str">
        <f>IF(B275="","",IFERROR(VLOOKUP(UPPER($G275)&amp;"/"&amp;$P275,NETWORKS_TABLE[],MATCH(R$3,NETWORKS_TABLE[#Headers],0),FALSE),""))</f>
        <v>10.224.20.0/24</v>
      </c>
      <c r="S275" s="188" t="s">
        <v>3002</v>
      </c>
      <c r="T275" s="152"/>
      <c r="U275" s="152"/>
      <c r="V275" s="155"/>
    </row>
    <row r="276" spans="1:22">
      <c r="A276" s="40"/>
      <c r="B276" s="151" t="s">
        <v>2994</v>
      </c>
      <c r="C276" s="152" t="s">
        <v>2970</v>
      </c>
      <c r="D276" s="153" t="s">
        <v>1741</v>
      </c>
      <c r="E27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SAS06/data 1 (Physical Server)</v>
      </c>
      <c r="F276" s="154"/>
      <c r="G276" s="153" t="s">
        <v>57</v>
      </c>
      <c r="H276" s="153" t="str">
        <f>IF(B276="","",VLOOKUP(B276,DEVICE_TABLE[#Data],MATCH(H$3,DEVICE_TABLE[#Headers],0),FALSE))</f>
        <v>CR1</v>
      </c>
      <c r="I276" s="122" t="s">
        <v>1575</v>
      </c>
      <c r="J276" s="122" t="s">
        <v>2887</v>
      </c>
      <c r="K276" s="122" t="s">
        <v>2101</v>
      </c>
      <c r="L276" s="153" t="str">
        <f>CONNECTIONS_TABLE[[#This Row],[Switch]]&amp;" "&amp;CONNECTIONS_TABLE[[#This Row],[Switch Port]]</f>
        <v>FGHLHN143 gi1/0/37</v>
      </c>
      <c r="M276" s="122" t="s">
        <v>1991</v>
      </c>
      <c r="N276" s="122" t="s">
        <v>1988</v>
      </c>
      <c r="O276" s="152"/>
      <c r="P276" s="152">
        <v>230</v>
      </c>
      <c r="Q276" s="156" t="str">
        <f>IF(L276="","",IFERROR(VLOOKUP(UPPER($G276)&amp;"/"&amp;$P276,NETWORKS_TABLE[],MATCH(Q$3,NETWORKS_TABLE[#Headers],0),FALSE),""))</f>
        <v>HPISCSI</v>
      </c>
      <c r="R276" s="156" t="str">
        <f>IF(B276="","",IFERROR(VLOOKUP(UPPER($G276)&amp;"/"&amp;$P276,NETWORKS_TABLE[],MATCH(R$3,NETWORKS_TABLE[#Headers],0),FALSE),""))</f>
        <v>10.224.30.0/24</v>
      </c>
      <c r="S276" s="188" t="s">
        <v>3015</v>
      </c>
      <c r="T276" s="152"/>
      <c r="U276" s="152"/>
      <c r="V276" s="155"/>
    </row>
    <row r="277" spans="1:22">
      <c r="A277" s="40"/>
      <c r="B277" s="151" t="s">
        <v>2994</v>
      </c>
      <c r="C277" s="152" t="s">
        <v>2972</v>
      </c>
      <c r="D277" s="153" t="s">
        <v>1741</v>
      </c>
      <c r="E27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SAS06/data 2 (Physical Server)</v>
      </c>
      <c r="F277" s="154"/>
      <c r="G277" s="153" t="s">
        <v>57</v>
      </c>
      <c r="H277" s="153" t="str">
        <f>IF(B277="","",VLOOKUP(B277,DEVICE_TABLE[#Data],MATCH(H$3,DEVICE_TABLE[#Headers],0),FALSE))</f>
        <v>CR1</v>
      </c>
      <c r="I277" s="122" t="s">
        <v>1575</v>
      </c>
      <c r="J277" s="122" t="s">
        <v>2887</v>
      </c>
      <c r="K277" s="122" t="s">
        <v>2104</v>
      </c>
      <c r="L277" s="153" t="str">
        <f>CONNECTIONS_TABLE[[#This Row],[Switch]]&amp;" "&amp;CONNECTIONS_TABLE[[#This Row],[Switch Port]]</f>
        <v>FGHLHN143 gi1/0/38</v>
      </c>
      <c r="M277" s="122" t="s">
        <v>1991</v>
      </c>
      <c r="N277" s="122" t="s">
        <v>1988</v>
      </c>
      <c r="O277" s="152"/>
      <c r="P277" s="152">
        <v>230</v>
      </c>
      <c r="Q277" s="156" t="str">
        <f>IF(L277="","",IFERROR(VLOOKUP(UPPER($G277)&amp;"/"&amp;$P277,NETWORKS_TABLE[],MATCH(Q$3,NETWORKS_TABLE[#Headers],0),FALSE),""))</f>
        <v>HPISCSI</v>
      </c>
      <c r="R277" s="156" t="str">
        <f>IF(B277="","",IFERROR(VLOOKUP(UPPER($G277)&amp;"/"&amp;$P277,NETWORKS_TABLE[],MATCH(R$3,NETWORKS_TABLE[#Headers],0),FALSE),""))</f>
        <v>10.224.30.0/24</v>
      </c>
      <c r="S277" s="188" t="s">
        <v>3015</v>
      </c>
      <c r="T277" s="152"/>
      <c r="U277" s="152"/>
      <c r="V277" s="155"/>
    </row>
    <row r="278" spans="1:22">
      <c r="A278" s="40"/>
      <c r="B278" s="151" t="s">
        <v>2995</v>
      </c>
      <c r="C278" s="152" t="s">
        <v>3014</v>
      </c>
      <c r="D278" s="153" t="s">
        <v>1741</v>
      </c>
      <c r="E27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SAS07/Mgmt (Physical Server)</v>
      </c>
      <c r="F278" s="154"/>
      <c r="G278" s="153" t="s">
        <v>57</v>
      </c>
      <c r="H278" s="153" t="str">
        <f>IF(B278="","",VLOOKUP(B278,DEVICE_TABLE[#Data],MATCH(H$3,DEVICE_TABLE[#Headers],0),FALSE))</f>
        <v>CR2</v>
      </c>
      <c r="I278" s="122" t="s">
        <v>1575</v>
      </c>
      <c r="J278" s="122" t="s">
        <v>1048</v>
      </c>
      <c r="K278" s="122" t="s">
        <v>3016</v>
      </c>
      <c r="L278" s="153" t="str">
        <f>CONNECTIONS_TABLE[[#This Row],[Switch]]&amp;" "&amp;CONNECTIONS_TABLE[[#This Row],[Switch Port]]</f>
        <v>FGHLHN32 gi1/0/10</v>
      </c>
      <c r="M278" s="122" t="s">
        <v>1991</v>
      </c>
      <c r="N278" s="122" t="s">
        <v>1988</v>
      </c>
      <c r="O278" s="152"/>
      <c r="P278" s="152">
        <v>220</v>
      </c>
      <c r="Q278" s="156" t="str">
        <f>IF(L278="","",IFERROR(VLOOKUP(UPPER($G278)&amp;"/"&amp;$P278,NETWORKS_TABLE[],MATCH(Q$3,NETWORKS_TABLE[#Headers],0),FALSE),""))</f>
        <v>VIRTUALMGNT</v>
      </c>
      <c r="R278" s="156" t="str">
        <f>IF(B278="","",IFERROR(VLOOKUP(UPPER($G278)&amp;"/"&amp;$P278,NETWORKS_TABLE[],MATCH(R$3,NETWORKS_TABLE[#Headers],0),FALSE),""))</f>
        <v>10.224.20.0/24</v>
      </c>
      <c r="S278" s="188" t="s">
        <v>3002</v>
      </c>
      <c r="T278" s="152"/>
      <c r="U278" s="152"/>
      <c r="V278" s="155"/>
    </row>
    <row r="279" spans="1:22">
      <c r="A279" s="40"/>
      <c r="B279" s="151" t="s">
        <v>2995</v>
      </c>
      <c r="C279" s="152" t="s">
        <v>2970</v>
      </c>
      <c r="D279" s="153" t="s">
        <v>1741</v>
      </c>
      <c r="E27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SAS07/data 1 (Physical Server)</v>
      </c>
      <c r="F279" s="154"/>
      <c r="G279" s="153" t="s">
        <v>57</v>
      </c>
      <c r="H279" s="153" t="str">
        <f>IF(B279="","",VLOOKUP(B279,DEVICE_TABLE[#Data],MATCH(H$3,DEVICE_TABLE[#Headers],0),FALSE))</f>
        <v>CR2</v>
      </c>
      <c r="I279" s="122" t="s">
        <v>1575</v>
      </c>
      <c r="J279" s="122" t="s">
        <v>1048</v>
      </c>
      <c r="K279" s="122" t="s">
        <v>2004</v>
      </c>
      <c r="L279" s="153" t="str">
        <f>CONNECTIONS_TABLE[[#This Row],[Switch]]&amp;" "&amp;CONNECTIONS_TABLE[[#This Row],[Switch Port]]</f>
        <v>FGHLHN32 gi1/0/11</v>
      </c>
      <c r="M279" s="122" t="s">
        <v>1991</v>
      </c>
      <c r="N279" s="122" t="s">
        <v>1988</v>
      </c>
      <c r="O279" s="152"/>
      <c r="P279" s="152">
        <v>230</v>
      </c>
      <c r="Q279" s="156" t="str">
        <f>IF(L279="","",IFERROR(VLOOKUP(UPPER($G279)&amp;"/"&amp;$P279,NETWORKS_TABLE[],MATCH(Q$3,NETWORKS_TABLE[#Headers],0),FALSE),""))</f>
        <v>HPISCSI</v>
      </c>
      <c r="R279" s="156" t="str">
        <f>IF(B279="","",IFERROR(VLOOKUP(UPPER($G279)&amp;"/"&amp;$P279,NETWORKS_TABLE[],MATCH(R$3,NETWORKS_TABLE[#Headers],0),FALSE),""))</f>
        <v>10.224.30.0/24</v>
      </c>
      <c r="S279" s="188" t="s">
        <v>3015</v>
      </c>
      <c r="T279" s="152"/>
      <c r="U279" s="152"/>
      <c r="V279" s="155"/>
    </row>
    <row r="280" spans="1:22">
      <c r="A280" s="40"/>
      <c r="B280" s="151" t="s">
        <v>2995</v>
      </c>
      <c r="C280" s="152" t="s">
        <v>2972</v>
      </c>
      <c r="D280" s="153" t="s">
        <v>1741</v>
      </c>
      <c r="E28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SAS07/data 2 (Physical Server)</v>
      </c>
      <c r="F280" s="154"/>
      <c r="G280" s="153" t="s">
        <v>57</v>
      </c>
      <c r="H280" s="153" t="str">
        <f>IF(B280="","",VLOOKUP(B280,DEVICE_TABLE[#Data],MATCH(H$3,DEVICE_TABLE[#Headers],0),FALSE))</f>
        <v>CR2</v>
      </c>
      <c r="I280" s="122" t="s">
        <v>1575</v>
      </c>
      <c r="J280" s="122" t="s">
        <v>1048</v>
      </c>
      <c r="K280" s="122" t="s">
        <v>2005</v>
      </c>
      <c r="L280" s="153" t="str">
        <f>CONNECTIONS_TABLE[[#This Row],[Switch]]&amp;" "&amp;CONNECTIONS_TABLE[[#This Row],[Switch Port]]</f>
        <v>FGHLHN32 gi1/0/12</v>
      </c>
      <c r="M280" s="122" t="s">
        <v>1991</v>
      </c>
      <c r="N280" s="122" t="s">
        <v>1988</v>
      </c>
      <c r="O280" s="152"/>
      <c r="P280" s="152">
        <v>230</v>
      </c>
      <c r="Q280" s="156" t="str">
        <f>IF(L280="","",IFERROR(VLOOKUP(UPPER($G280)&amp;"/"&amp;$P280,NETWORKS_TABLE[],MATCH(Q$3,NETWORKS_TABLE[#Headers],0),FALSE),""))</f>
        <v>HPISCSI</v>
      </c>
      <c r="R280" s="156" t="str">
        <f>IF(B280="","",IFERROR(VLOOKUP(UPPER($G280)&amp;"/"&amp;$P280,NETWORKS_TABLE[],MATCH(R$3,NETWORKS_TABLE[#Headers],0),FALSE),""))</f>
        <v>10.224.30.0/24</v>
      </c>
      <c r="S280" s="188" t="s">
        <v>3015</v>
      </c>
      <c r="T280" s="152"/>
      <c r="U280" s="152"/>
      <c r="V280" s="155"/>
    </row>
    <row r="281" spans="1:22">
      <c r="A281" s="40"/>
      <c r="B281" s="151" t="s">
        <v>2996</v>
      </c>
      <c r="C281" s="152" t="s">
        <v>3014</v>
      </c>
      <c r="D281" s="153" t="s">
        <v>1741</v>
      </c>
      <c r="E28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SAS09/Mgmt (Physical Server)</v>
      </c>
      <c r="F281" s="154"/>
      <c r="G281" s="153" t="s">
        <v>57</v>
      </c>
      <c r="H281" s="153" t="str">
        <f>IF(B281="","",VLOOKUP(B281,DEVICE_TABLE[#Data],MATCH(H$3,DEVICE_TABLE[#Headers],0),FALSE))</f>
        <v>CR2</v>
      </c>
      <c r="I281" s="122" t="s">
        <v>1575</v>
      </c>
      <c r="J281" s="122" t="s">
        <v>1048</v>
      </c>
      <c r="K281" s="122" t="s">
        <v>2006</v>
      </c>
      <c r="L281" s="153" t="str">
        <f>CONNECTIONS_TABLE[[#This Row],[Switch]]&amp;" "&amp;CONNECTIONS_TABLE[[#This Row],[Switch Port]]</f>
        <v>FGHLHN32 gi1/0/13</v>
      </c>
      <c r="M281" s="122" t="s">
        <v>1991</v>
      </c>
      <c r="N281" s="122" t="s">
        <v>1988</v>
      </c>
      <c r="O281" s="152"/>
      <c r="P281" s="152">
        <v>220</v>
      </c>
      <c r="Q281" s="156" t="str">
        <f>IF(L281="","",IFERROR(VLOOKUP(UPPER($G281)&amp;"/"&amp;$P281,NETWORKS_TABLE[],MATCH(Q$3,NETWORKS_TABLE[#Headers],0),FALSE),""))</f>
        <v>VIRTUALMGNT</v>
      </c>
      <c r="R281" s="156" t="str">
        <f>IF(B281="","",IFERROR(VLOOKUP(UPPER($G281)&amp;"/"&amp;$P281,NETWORKS_TABLE[],MATCH(R$3,NETWORKS_TABLE[#Headers],0),FALSE),""))</f>
        <v>10.224.20.0/24</v>
      </c>
      <c r="S281" s="188" t="s">
        <v>3002</v>
      </c>
      <c r="T281" s="152"/>
      <c r="U281" s="152"/>
      <c r="V281" s="155"/>
    </row>
    <row r="282" spans="1:22">
      <c r="A282" s="40"/>
      <c r="B282" s="151" t="s">
        <v>2996</v>
      </c>
      <c r="C282" s="152" t="s">
        <v>2970</v>
      </c>
      <c r="D282" s="153" t="s">
        <v>1741</v>
      </c>
      <c r="E28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SAS09/data 1 (Physical Server)</v>
      </c>
      <c r="F282" s="154"/>
      <c r="G282" s="153" t="s">
        <v>57</v>
      </c>
      <c r="H282" s="153" t="str">
        <f>IF(B282="","",VLOOKUP(B282,DEVICE_TABLE[#Data],MATCH(H$3,DEVICE_TABLE[#Headers],0),FALSE))</f>
        <v>CR2</v>
      </c>
      <c r="I282" s="122" t="s">
        <v>1575</v>
      </c>
      <c r="J282" s="122" t="s">
        <v>1048</v>
      </c>
      <c r="K282" s="122" t="s">
        <v>2007</v>
      </c>
      <c r="L282" s="153" t="str">
        <f>CONNECTIONS_TABLE[[#This Row],[Switch]]&amp;" "&amp;CONNECTIONS_TABLE[[#This Row],[Switch Port]]</f>
        <v>FGHLHN32 gi1/0/14</v>
      </c>
      <c r="M282" s="122" t="s">
        <v>1991</v>
      </c>
      <c r="N282" s="122" t="s">
        <v>1988</v>
      </c>
      <c r="O282" s="152"/>
      <c r="P282" s="152">
        <v>230</v>
      </c>
      <c r="Q282" s="156" t="str">
        <f>IF(L282="","",IFERROR(VLOOKUP(UPPER($G282)&amp;"/"&amp;$P282,NETWORKS_TABLE[],MATCH(Q$3,NETWORKS_TABLE[#Headers],0),FALSE),""))</f>
        <v>HPISCSI</v>
      </c>
      <c r="R282" s="156" t="str">
        <f>IF(B282="","",IFERROR(VLOOKUP(UPPER($G282)&amp;"/"&amp;$P282,NETWORKS_TABLE[],MATCH(R$3,NETWORKS_TABLE[#Headers],0),FALSE),""))</f>
        <v>10.224.30.0/24</v>
      </c>
      <c r="S282" s="188" t="s">
        <v>3015</v>
      </c>
      <c r="T282" s="152"/>
      <c r="U282" s="152"/>
      <c r="V282" s="155"/>
    </row>
    <row r="283" spans="1:22">
      <c r="A283" s="40"/>
      <c r="B283" s="151" t="s">
        <v>2996</v>
      </c>
      <c r="C283" s="152" t="s">
        <v>2972</v>
      </c>
      <c r="D283" s="153" t="s">
        <v>1741</v>
      </c>
      <c r="E28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SAS09/data 2 (Physical Server)</v>
      </c>
      <c r="F283" s="154"/>
      <c r="G283" s="153" t="s">
        <v>57</v>
      </c>
      <c r="H283" s="153" t="str">
        <f>IF(B283="","",VLOOKUP(B283,DEVICE_TABLE[#Data],MATCH(H$3,DEVICE_TABLE[#Headers],0),FALSE))</f>
        <v>CR2</v>
      </c>
      <c r="I283" s="122" t="s">
        <v>1575</v>
      </c>
      <c r="J283" s="122" t="s">
        <v>1048</v>
      </c>
      <c r="K283" s="122" t="s">
        <v>2008</v>
      </c>
      <c r="L283" s="153" t="str">
        <f>CONNECTIONS_TABLE[[#This Row],[Switch]]&amp;" "&amp;CONNECTIONS_TABLE[[#This Row],[Switch Port]]</f>
        <v>FGHLHN32 gi1/0/15</v>
      </c>
      <c r="M283" s="122" t="s">
        <v>1991</v>
      </c>
      <c r="N283" s="122" t="s">
        <v>1988</v>
      </c>
      <c r="O283" s="152"/>
      <c r="P283" s="152">
        <v>230</v>
      </c>
      <c r="Q283" s="156" t="str">
        <f>IF(L283="","",IFERROR(VLOOKUP(UPPER($G283)&amp;"/"&amp;$P283,NETWORKS_TABLE[],MATCH(Q$3,NETWORKS_TABLE[#Headers],0),FALSE),""))</f>
        <v>HPISCSI</v>
      </c>
      <c r="R283" s="156" t="str">
        <f>IF(B283="","",IFERROR(VLOOKUP(UPPER($G283)&amp;"/"&amp;$P283,NETWORKS_TABLE[],MATCH(R$3,NETWORKS_TABLE[#Headers],0),FALSE),""))</f>
        <v>10.224.30.0/24</v>
      </c>
      <c r="S283" s="188" t="s">
        <v>3015</v>
      </c>
      <c r="T283" s="152"/>
      <c r="U283" s="152"/>
      <c r="V283" s="155"/>
    </row>
    <row r="284" spans="1:22">
      <c r="A284" s="40"/>
      <c r="B284" s="151" t="s">
        <v>2997</v>
      </c>
      <c r="C284" s="152" t="s">
        <v>3014</v>
      </c>
      <c r="D284" s="153" t="s">
        <v>1741</v>
      </c>
      <c r="E28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SAS10/Mgmt (Physical Server)</v>
      </c>
      <c r="F284" s="154"/>
      <c r="G284" s="153" t="s">
        <v>57</v>
      </c>
      <c r="H284" s="153" t="str">
        <f>IF(B284="","",VLOOKUP(B284,DEVICE_TABLE[#Data],MATCH(H$3,DEVICE_TABLE[#Headers],0),FALSE))</f>
        <v>CR1</v>
      </c>
      <c r="I284" s="122" t="s">
        <v>1575</v>
      </c>
      <c r="J284" s="122" t="s">
        <v>2887</v>
      </c>
      <c r="K284" s="122" t="s">
        <v>2899</v>
      </c>
      <c r="L284" s="153" t="str">
        <f>CONNECTIONS_TABLE[[#This Row],[Switch]]&amp;" "&amp;CONNECTIONS_TABLE[[#This Row],[Switch Port]]</f>
        <v>FGHLHN143 gi1/0/39</v>
      </c>
      <c r="M284" s="122" t="s">
        <v>1991</v>
      </c>
      <c r="N284" s="122" t="s">
        <v>1988</v>
      </c>
      <c r="O284" s="152"/>
      <c r="P284" s="152">
        <v>220</v>
      </c>
      <c r="Q284" s="156" t="str">
        <f>IF(L284="","",IFERROR(VLOOKUP(UPPER($G284)&amp;"/"&amp;$P284,NETWORKS_TABLE[],MATCH(Q$3,NETWORKS_TABLE[#Headers],0),FALSE),""))</f>
        <v>VIRTUALMGNT</v>
      </c>
      <c r="R284" s="156" t="str">
        <f>IF(B284="","",IFERROR(VLOOKUP(UPPER($G284)&amp;"/"&amp;$P284,NETWORKS_TABLE[],MATCH(R$3,NETWORKS_TABLE[#Headers],0),FALSE),""))</f>
        <v>10.224.20.0/24</v>
      </c>
      <c r="S284" s="188" t="s">
        <v>3002</v>
      </c>
      <c r="T284" s="152"/>
      <c r="U284" s="152"/>
      <c r="V284" s="155"/>
    </row>
    <row r="285" spans="1:22">
      <c r="A285" s="40"/>
      <c r="B285" s="151" t="s">
        <v>2997</v>
      </c>
      <c r="C285" s="152" t="s">
        <v>2970</v>
      </c>
      <c r="D285" s="153" t="s">
        <v>1741</v>
      </c>
      <c r="E28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SAS10/data 1 (Physical Server)</v>
      </c>
      <c r="F285" s="154"/>
      <c r="G285" s="153" t="s">
        <v>57</v>
      </c>
      <c r="H285" s="153" t="str">
        <f>IF(B285="","",VLOOKUP(B285,DEVICE_TABLE[#Data],MATCH(H$3,DEVICE_TABLE[#Headers],0),FALSE))</f>
        <v>CR1</v>
      </c>
      <c r="I285" s="122" t="s">
        <v>1575</v>
      </c>
      <c r="J285" s="122" t="s">
        <v>2887</v>
      </c>
      <c r="K285" s="122" t="s">
        <v>2904</v>
      </c>
      <c r="L285" s="153" t="str">
        <f>CONNECTIONS_TABLE[[#This Row],[Switch]]&amp;" "&amp;CONNECTIONS_TABLE[[#This Row],[Switch Port]]</f>
        <v>FGHLHN143 gi1/0/40</v>
      </c>
      <c r="M285" s="122" t="s">
        <v>1991</v>
      </c>
      <c r="N285" s="122" t="s">
        <v>1988</v>
      </c>
      <c r="O285" s="152"/>
      <c r="P285" s="152">
        <v>230</v>
      </c>
      <c r="Q285" s="156" t="str">
        <f>IF(L285="","",IFERROR(VLOOKUP(UPPER($G285)&amp;"/"&amp;$P285,NETWORKS_TABLE[],MATCH(Q$3,NETWORKS_TABLE[#Headers],0),FALSE),""))</f>
        <v>HPISCSI</v>
      </c>
      <c r="R285" s="156" t="str">
        <f>IF(B285="","",IFERROR(VLOOKUP(UPPER($G285)&amp;"/"&amp;$P285,NETWORKS_TABLE[],MATCH(R$3,NETWORKS_TABLE[#Headers],0),FALSE),""))</f>
        <v>10.224.30.0/24</v>
      </c>
      <c r="S285" s="188" t="s">
        <v>3015</v>
      </c>
      <c r="T285" s="152"/>
      <c r="U285" s="152"/>
      <c r="V285" s="155"/>
    </row>
    <row r="286" spans="1:22">
      <c r="A286" s="40"/>
      <c r="B286" s="151" t="s">
        <v>2997</v>
      </c>
      <c r="C286" s="152" t="s">
        <v>2972</v>
      </c>
      <c r="D286" s="153" t="s">
        <v>1741</v>
      </c>
      <c r="E28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SAS10/data 2 (Physical Server)</v>
      </c>
      <c r="F286" s="154"/>
      <c r="G286" s="153" t="s">
        <v>57</v>
      </c>
      <c r="H286" s="153" t="str">
        <f>IF(B286="","",VLOOKUP(B286,DEVICE_TABLE[#Data],MATCH(H$3,DEVICE_TABLE[#Headers],0),FALSE))</f>
        <v>CR1</v>
      </c>
      <c r="I286" s="122" t="s">
        <v>1575</v>
      </c>
      <c r="J286" s="122" t="s">
        <v>2887</v>
      </c>
      <c r="K286" s="122" t="s">
        <v>2914</v>
      </c>
      <c r="L286" s="153" t="str">
        <f>CONNECTIONS_TABLE[[#This Row],[Switch]]&amp;" "&amp;CONNECTIONS_TABLE[[#This Row],[Switch Port]]</f>
        <v>FGHLHN143 gi1/0/41</v>
      </c>
      <c r="M286" s="122" t="s">
        <v>1991</v>
      </c>
      <c r="N286" s="122" t="s">
        <v>1988</v>
      </c>
      <c r="O286" s="152"/>
      <c r="P286" s="152">
        <v>230</v>
      </c>
      <c r="Q286" s="156" t="str">
        <f>IF(L286="","",IFERROR(VLOOKUP(UPPER($G286)&amp;"/"&amp;$P286,NETWORKS_TABLE[],MATCH(Q$3,NETWORKS_TABLE[#Headers],0),FALSE),""))</f>
        <v>HPISCSI</v>
      </c>
      <c r="R286" s="156" t="str">
        <f>IF(B286="","",IFERROR(VLOOKUP(UPPER($G286)&amp;"/"&amp;$P286,NETWORKS_TABLE[],MATCH(R$3,NETWORKS_TABLE[#Headers],0),FALSE),""))</f>
        <v>10.224.30.0/24</v>
      </c>
      <c r="S286" s="188" t="s">
        <v>3015</v>
      </c>
      <c r="T286" s="152"/>
      <c r="U286" s="152"/>
      <c r="V286" s="155"/>
    </row>
    <row r="287" spans="1:22">
      <c r="A287" s="40"/>
      <c r="B287" s="151" t="s">
        <v>2998</v>
      </c>
      <c r="C287" s="152" t="s">
        <v>3014</v>
      </c>
      <c r="D287" s="153" t="s">
        <v>1741</v>
      </c>
      <c r="E28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SAS11/Mgmt (Physical Server)</v>
      </c>
      <c r="F287" s="154"/>
      <c r="G287" s="153" t="s">
        <v>57</v>
      </c>
      <c r="H287" s="153" t="str">
        <f>IF(B287="","",VLOOKUP(B287,DEVICE_TABLE[#Data],MATCH(H$3,DEVICE_TABLE[#Headers],0),FALSE))</f>
        <v>CR2</v>
      </c>
      <c r="I287" s="122" t="s">
        <v>1575</v>
      </c>
      <c r="J287" s="122" t="s">
        <v>1048</v>
      </c>
      <c r="K287" s="122" t="s">
        <v>2009</v>
      </c>
      <c r="L287" s="153" t="str">
        <f>CONNECTIONS_TABLE[[#This Row],[Switch]]&amp;" "&amp;CONNECTIONS_TABLE[[#This Row],[Switch Port]]</f>
        <v>FGHLHN32 gi1/0/16</v>
      </c>
      <c r="M287" s="122" t="s">
        <v>1991</v>
      </c>
      <c r="N287" s="122" t="s">
        <v>1988</v>
      </c>
      <c r="O287" s="152"/>
      <c r="P287" s="152">
        <v>220</v>
      </c>
      <c r="Q287" s="156" t="str">
        <f>IF(L287="","",IFERROR(VLOOKUP(UPPER($G287)&amp;"/"&amp;$P287,NETWORKS_TABLE[],MATCH(Q$3,NETWORKS_TABLE[#Headers],0),FALSE),""))</f>
        <v>VIRTUALMGNT</v>
      </c>
      <c r="R287" s="156" t="str">
        <f>IF(B287="","",IFERROR(VLOOKUP(UPPER($G287)&amp;"/"&amp;$P287,NETWORKS_TABLE[],MATCH(R$3,NETWORKS_TABLE[#Headers],0),FALSE),""))</f>
        <v>10.224.20.0/24</v>
      </c>
      <c r="S287" s="188" t="s">
        <v>3002</v>
      </c>
      <c r="T287" s="152"/>
      <c r="U287" s="152"/>
      <c r="V287" s="155"/>
    </row>
    <row r="288" spans="1:22">
      <c r="A288" s="40"/>
      <c r="B288" s="151" t="s">
        <v>2998</v>
      </c>
      <c r="C288" s="152" t="s">
        <v>2970</v>
      </c>
      <c r="D288" s="153" t="s">
        <v>1741</v>
      </c>
      <c r="E28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SAS11/data 1 (Physical Server)</v>
      </c>
      <c r="F288" s="154"/>
      <c r="G288" s="153" t="s">
        <v>57</v>
      </c>
      <c r="H288" s="153" t="str">
        <f>IF(B288="","",VLOOKUP(B288,DEVICE_TABLE[#Data],MATCH(H$3,DEVICE_TABLE[#Headers],0),FALSE))</f>
        <v>CR2</v>
      </c>
      <c r="I288" s="122" t="s">
        <v>1575</v>
      </c>
      <c r="J288" s="122" t="s">
        <v>1048</v>
      </c>
      <c r="K288" s="122" t="s">
        <v>2010</v>
      </c>
      <c r="L288" s="153" t="str">
        <f>CONNECTIONS_TABLE[[#This Row],[Switch]]&amp;" "&amp;CONNECTIONS_TABLE[[#This Row],[Switch Port]]</f>
        <v>FGHLHN32 gi1/0/17</v>
      </c>
      <c r="M288" s="122" t="s">
        <v>1991</v>
      </c>
      <c r="N288" s="122" t="s">
        <v>1988</v>
      </c>
      <c r="O288" s="152"/>
      <c r="P288" s="152">
        <v>230</v>
      </c>
      <c r="Q288" s="156" t="str">
        <f>IF(L288="","",IFERROR(VLOOKUP(UPPER($G288)&amp;"/"&amp;$P288,NETWORKS_TABLE[],MATCH(Q$3,NETWORKS_TABLE[#Headers],0),FALSE),""))</f>
        <v>HPISCSI</v>
      </c>
      <c r="R288" s="156" t="str">
        <f>IF(B288="","",IFERROR(VLOOKUP(UPPER($G288)&amp;"/"&amp;$P288,NETWORKS_TABLE[],MATCH(R$3,NETWORKS_TABLE[#Headers],0),FALSE),""))</f>
        <v>10.224.30.0/24</v>
      </c>
      <c r="S288" s="188" t="s">
        <v>3015</v>
      </c>
      <c r="T288" s="152"/>
      <c r="U288" s="152"/>
      <c r="V288" s="155"/>
    </row>
    <row r="289" spans="1:22">
      <c r="A289" s="40"/>
      <c r="B289" s="151" t="s">
        <v>2998</v>
      </c>
      <c r="C289" s="152" t="s">
        <v>2972</v>
      </c>
      <c r="D289" s="153" t="s">
        <v>1741</v>
      </c>
      <c r="E28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SAS11/data 2 (Physical Server)</v>
      </c>
      <c r="F289" s="154"/>
      <c r="G289" s="153" t="s">
        <v>57</v>
      </c>
      <c r="H289" s="153" t="str">
        <f>IF(B289="","",VLOOKUP(B289,DEVICE_TABLE[#Data],MATCH(H$3,DEVICE_TABLE[#Headers],0),FALSE))</f>
        <v>CR2</v>
      </c>
      <c r="I289" s="122" t="s">
        <v>1575</v>
      </c>
      <c r="J289" s="122" t="s">
        <v>1048</v>
      </c>
      <c r="K289" s="122" t="s">
        <v>2877</v>
      </c>
      <c r="L289" s="153" t="str">
        <f>CONNECTIONS_TABLE[[#This Row],[Switch]]&amp;" "&amp;CONNECTIONS_TABLE[[#This Row],[Switch Port]]</f>
        <v>FGHLHN32 gi1/0/18</v>
      </c>
      <c r="M289" s="122" t="s">
        <v>1991</v>
      </c>
      <c r="N289" s="122" t="s">
        <v>1988</v>
      </c>
      <c r="O289" s="152"/>
      <c r="P289" s="152">
        <v>230</v>
      </c>
      <c r="Q289" s="156" t="str">
        <f>IF(L289="","",IFERROR(VLOOKUP(UPPER($G289)&amp;"/"&amp;$P289,NETWORKS_TABLE[],MATCH(Q$3,NETWORKS_TABLE[#Headers],0),FALSE),""))</f>
        <v>HPISCSI</v>
      </c>
      <c r="R289" s="156" t="str">
        <f>IF(B289="","",IFERROR(VLOOKUP(UPPER($G289)&amp;"/"&amp;$P289,NETWORKS_TABLE[],MATCH(R$3,NETWORKS_TABLE[#Headers],0),FALSE),""))</f>
        <v>10.224.30.0/24</v>
      </c>
      <c r="S289" s="188" t="s">
        <v>3015</v>
      </c>
      <c r="T289" s="152"/>
      <c r="U289" s="152"/>
      <c r="V289" s="155"/>
    </row>
    <row r="290" spans="1:22">
      <c r="A290" s="40"/>
      <c r="B290" s="151" t="s">
        <v>2999</v>
      </c>
      <c r="C290" s="152" t="s">
        <v>3014</v>
      </c>
      <c r="D290" s="153" t="s">
        <v>1741</v>
      </c>
      <c r="E29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SAS12/Mgmt (Physical Server)</v>
      </c>
      <c r="F290" s="154"/>
      <c r="G290" s="153" t="s">
        <v>57</v>
      </c>
      <c r="H290" s="153" t="str">
        <f>IF(B290="","",VLOOKUP(B290,DEVICE_TABLE[#Data],MATCH(H$3,DEVICE_TABLE[#Headers],0),FALSE))</f>
        <v>CR1</v>
      </c>
      <c r="I290" s="122" t="s">
        <v>1575</v>
      </c>
      <c r="J290" s="122" t="s">
        <v>2887</v>
      </c>
      <c r="K290" s="122" t="s">
        <v>2917</v>
      </c>
      <c r="L290" s="153" t="str">
        <f>CONNECTIONS_TABLE[[#This Row],[Switch]]&amp;" "&amp;CONNECTIONS_TABLE[[#This Row],[Switch Port]]</f>
        <v>FGHLHN143 gi1/0/42</v>
      </c>
      <c r="M290" s="122" t="s">
        <v>1991</v>
      </c>
      <c r="N290" s="122" t="s">
        <v>1988</v>
      </c>
      <c r="O290" s="152"/>
      <c r="P290" s="152">
        <v>220</v>
      </c>
      <c r="Q290" s="156" t="str">
        <f>IF(L290="","",IFERROR(VLOOKUP(UPPER($G290)&amp;"/"&amp;$P290,NETWORKS_TABLE[],MATCH(Q$3,NETWORKS_TABLE[#Headers],0),FALSE),""))</f>
        <v>VIRTUALMGNT</v>
      </c>
      <c r="R290" s="156" t="str">
        <f>IF(B290="","",IFERROR(VLOOKUP(UPPER($G290)&amp;"/"&amp;$P290,NETWORKS_TABLE[],MATCH(R$3,NETWORKS_TABLE[#Headers],0),FALSE),""))</f>
        <v>10.224.20.0/24</v>
      </c>
      <c r="S290" s="188" t="s">
        <v>3002</v>
      </c>
      <c r="T290" s="152"/>
      <c r="U290" s="152"/>
      <c r="V290" s="155"/>
    </row>
    <row r="291" spans="1:22">
      <c r="A291" s="40"/>
      <c r="B291" s="151" t="s">
        <v>2999</v>
      </c>
      <c r="C291" s="152" t="s">
        <v>2970</v>
      </c>
      <c r="D291" s="153" t="s">
        <v>1741</v>
      </c>
      <c r="E29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SAS12/data 1 (Physical Server)</v>
      </c>
      <c r="F291" s="154"/>
      <c r="G291" s="153" t="s">
        <v>57</v>
      </c>
      <c r="H291" s="153" t="str">
        <f>IF(B291="","",VLOOKUP(B291,DEVICE_TABLE[#Data],MATCH(H$3,DEVICE_TABLE[#Headers],0),FALSE))</f>
        <v>CR1</v>
      </c>
      <c r="I291" s="122" t="s">
        <v>1575</v>
      </c>
      <c r="J291" s="122" t="s">
        <v>2887</v>
      </c>
      <c r="K291" s="122" t="s">
        <v>2940</v>
      </c>
      <c r="L291" s="153" t="str">
        <f>CONNECTIONS_TABLE[[#This Row],[Switch]]&amp;" "&amp;CONNECTIONS_TABLE[[#This Row],[Switch Port]]</f>
        <v>FGHLHN143 gi1/0/43</v>
      </c>
      <c r="M291" s="122" t="s">
        <v>1991</v>
      </c>
      <c r="N291" s="122" t="s">
        <v>1988</v>
      </c>
      <c r="O291" s="152"/>
      <c r="P291" s="152">
        <v>230</v>
      </c>
      <c r="Q291" s="156" t="str">
        <f>IF(L291="","",IFERROR(VLOOKUP(UPPER($G291)&amp;"/"&amp;$P291,NETWORKS_TABLE[],MATCH(Q$3,NETWORKS_TABLE[#Headers],0),FALSE),""))</f>
        <v>HPISCSI</v>
      </c>
      <c r="R291" s="156" t="str">
        <f>IF(B291="","",IFERROR(VLOOKUP(UPPER($G291)&amp;"/"&amp;$P291,NETWORKS_TABLE[],MATCH(R$3,NETWORKS_TABLE[#Headers],0),FALSE),""))</f>
        <v>10.224.30.0/24</v>
      </c>
      <c r="S291" s="188" t="s">
        <v>3015</v>
      </c>
      <c r="T291" s="152"/>
      <c r="U291" s="152"/>
      <c r="V291" s="155"/>
    </row>
    <row r="292" spans="1:22">
      <c r="A292" s="40"/>
      <c r="B292" s="151" t="s">
        <v>2999</v>
      </c>
      <c r="C292" s="152" t="s">
        <v>2972</v>
      </c>
      <c r="D292" s="153" t="s">
        <v>1741</v>
      </c>
      <c r="E29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SAS12/data 2 (Physical Server)</v>
      </c>
      <c r="F292" s="154"/>
      <c r="G292" s="153" t="s">
        <v>57</v>
      </c>
      <c r="H292" s="153" t="str">
        <f>IF(B292="","",VLOOKUP(B292,DEVICE_TABLE[#Data],MATCH(H$3,DEVICE_TABLE[#Headers],0),FALSE))</f>
        <v>CR1</v>
      </c>
      <c r="I292" s="122" t="s">
        <v>1575</v>
      </c>
      <c r="J292" s="122" t="s">
        <v>2887</v>
      </c>
      <c r="K292" s="122" t="s">
        <v>2107</v>
      </c>
      <c r="L292" s="153" t="str">
        <f>CONNECTIONS_TABLE[[#This Row],[Switch]]&amp;" "&amp;CONNECTIONS_TABLE[[#This Row],[Switch Port]]</f>
        <v>FGHLHN143 gi1/0/44</v>
      </c>
      <c r="M292" s="122" t="s">
        <v>1991</v>
      </c>
      <c r="N292" s="122" t="s">
        <v>1988</v>
      </c>
      <c r="O292" s="152"/>
      <c r="P292" s="152">
        <v>230</v>
      </c>
      <c r="Q292" s="156" t="str">
        <f>IF(L292="","",IFERROR(VLOOKUP(UPPER($G292)&amp;"/"&amp;$P292,NETWORKS_TABLE[],MATCH(Q$3,NETWORKS_TABLE[#Headers],0),FALSE),""))</f>
        <v>HPISCSI</v>
      </c>
      <c r="R292" s="156" t="str">
        <f>IF(B292="","",IFERROR(VLOOKUP(UPPER($G292)&amp;"/"&amp;$P292,NETWORKS_TABLE[],MATCH(R$3,NETWORKS_TABLE[#Headers],0),FALSE),""))</f>
        <v>10.224.30.0/24</v>
      </c>
      <c r="S292" s="188" t="s">
        <v>3015</v>
      </c>
      <c r="T292" s="152"/>
      <c r="U292" s="152"/>
      <c r="V292" s="155"/>
    </row>
    <row r="293" spans="1:22">
      <c r="A293" s="40"/>
      <c r="B293" s="151" t="s">
        <v>3020</v>
      </c>
      <c r="C293" s="152" t="s">
        <v>2922</v>
      </c>
      <c r="D293" s="153" t="s">
        <v>1741</v>
      </c>
      <c r="E29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RSCLA001/data (Physical Server)</v>
      </c>
      <c r="F293" s="154"/>
      <c r="G293" s="153" t="s">
        <v>57</v>
      </c>
      <c r="H293" s="153" t="str">
        <f>IF(B293="","",VLOOKUP(B293,DEVICE_TABLE[#Data],MATCH(H$3,DEVICE_TABLE[#Headers],0),FALSE))</f>
        <v>CR1</v>
      </c>
      <c r="I293" s="122" t="s">
        <v>1575</v>
      </c>
      <c r="J293" s="122" t="s">
        <v>2887</v>
      </c>
      <c r="K293" s="122" t="s">
        <v>2025</v>
      </c>
      <c r="L293" s="153" t="str">
        <f>CONNECTIONS_TABLE[[#This Row],[Switch]]&amp;" "&amp;CONNECTIONS_TABLE[[#This Row],[Switch Port]]</f>
        <v>FGHLHN143 gi1/0/27</v>
      </c>
      <c r="M293" s="122" t="s">
        <v>1991</v>
      </c>
      <c r="N293" s="122" t="s">
        <v>3026</v>
      </c>
      <c r="O293" s="152"/>
      <c r="P293" s="152">
        <v>32</v>
      </c>
      <c r="Q293" s="156" t="str">
        <f>IF(L293="","",IFERROR(VLOOKUP(UPPER($G293)&amp;"/"&amp;$P293,NETWORKS_TABLE[],MATCH(Q$3,NETWORKS_TABLE[#Headers],0),FALSE),""))</f>
        <v>LEGACYSERVER32</v>
      </c>
      <c r="R293" s="156" t="str">
        <f>IF(B293="","",IFERROR(VLOOKUP(UPPER($G293)&amp;"/"&amp;$P293,NETWORKS_TABLE[],MATCH(R$3,NETWORKS_TABLE[#Headers],0),FALSE),""))</f>
        <v>172.16.32.0/22</v>
      </c>
      <c r="S293" s="188" t="s">
        <v>3021</v>
      </c>
      <c r="T293" s="152"/>
      <c r="U293" s="152"/>
      <c r="V293" s="155"/>
    </row>
    <row r="294" spans="1:22">
      <c r="A294" s="40"/>
      <c r="B294" s="151" t="s">
        <v>3020</v>
      </c>
      <c r="C294" s="152" t="s">
        <v>2110</v>
      </c>
      <c r="D294" s="153" t="s">
        <v>1741</v>
      </c>
      <c r="E29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RSCLA001/Backup (Physical Server)</v>
      </c>
      <c r="F294" s="154"/>
      <c r="G294" s="153" t="s">
        <v>57</v>
      </c>
      <c r="H294" s="153" t="str">
        <f>IF(B294="","",VLOOKUP(B294,DEVICE_TABLE[#Data],MATCH(H$3,DEVICE_TABLE[#Headers],0),FALSE))</f>
        <v>CR1</v>
      </c>
      <c r="I294" s="122" t="s">
        <v>1575</v>
      </c>
      <c r="J294" s="122" t="s">
        <v>2887</v>
      </c>
      <c r="K294" s="122" t="s">
        <v>3027</v>
      </c>
      <c r="L294" s="153" t="str">
        <f>CONNECTIONS_TABLE[[#This Row],[Switch]]&amp;" "&amp;CONNECTIONS_TABLE[[#This Row],[Switch Port]]</f>
        <v>FGHLHN143 gi1/0/20</v>
      </c>
      <c r="M294" s="122" t="s">
        <v>1991</v>
      </c>
      <c r="N294" s="122" t="s">
        <v>3028</v>
      </c>
      <c r="O294" s="152"/>
      <c r="P294" s="152">
        <v>4</v>
      </c>
      <c r="Q294" s="156" t="str">
        <f>IF(L294="","",IFERROR(VLOOKUP(UPPER($G294)&amp;"/"&amp;$P294,NETWORKS_TABLE[],MATCH(Q$3,NETWORKS_TABLE[#Headers],0),FALSE),""))</f>
        <v>BACKUP</v>
      </c>
      <c r="R294" s="156" t="str">
        <f>IF(B294="","",IFERROR(VLOOKUP(UPPER($G294)&amp;"/"&amp;$P294,NETWORKS_TABLE[],MATCH(R$3,NETWORKS_TABLE[#Headers],0),FALSE),""))</f>
        <v>0/0</v>
      </c>
      <c r="S294" s="188"/>
      <c r="T294" s="152"/>
      <c r="U294" s="152"/>
      <c r="V294" s="155"/>
    </row>
    <row r="295" spans="1:22">
      <c r="A295" s="40"/>
      <c r="B295" s="151" t="s">
        <v>3022</v>
      </c>
      <c r="C295" s="152" t="s">
        <v>2922</v>
      </c>
      <c r="D295" s="153" t="s">
        <v>1741</v>
      </c>
      <c r="E29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Alpha 2/data (Physical Server)</v>
      </c>
      <c r="F295" s="154"/>
      <c r="G295" s="153" t="s">
        <v>57</v>
      </c>
      <c r="H295" s="153" t="str">
        <f>IF(B295="","",VLOOKUP(B295,DEVICE_TABLE[#Data],MATCH(H$3,DEVICE_TABLE[#Headers],0),FALSE))</f>
        <v>CR1</v>
      </c>
      <c r="I295" s="122" t="s">
        <v>1575</v>
      </c>
      <c r="J295" s="122" t="s">
        <v>1083</v>
      </c>
      <c r="K295" s="122" t="s">
        <v>3052</v>
      </c>
      <c r="L295" s="153" t="str">
        <f>CONNECTIONS_TABLE[[#This Row],[Switch]]&amp;" "&amp;CONNECTIONS_TABLE[[#This Row],[Switch Port]]</f>
        <v>FGHLHN141-2 gi2/0/48</v>
      </c>
      <c r="M295" s="122" t="s">
        <v>1991</v>
      </c>
      <c r="N295" s="122" t="s">
        <v>1988</v>
      </c>
      <c r="O295" s="152"/>
      <c r="P295" s="152">
        <v>8</v>
      </c>
      <c r="Q295" s="156" t="str">
        <f>IF(L295="","",IFERROR(VLOOKUP(UPPER($G295)&amp;"/"&amp;$P295,NETWORKS_TABLE[],MATCH(Q$3,NETWORKS_TABLE[#Headers],0),FALSE),""))</f>
        <v>LEGACY08</v>
      </c>
      <c r="R295" s="156" t="str">
        <f>IF(B295="","",IFERROR(VLOOKUP(UPPER($G295)&amp;"/"&amp;$P295,NETWORKS_TABLE[],MATCH(R$3,NETWORKS_TABLE[#Headers],0),FALSE),""))</f>
        <v>172.16.8.0/22</v>
      </c>
      <c r="S295" s="188" t="s">
        <v>3023</v>
      </c>
      <c r="T295" s="152"/>
      <c r="U295" s="152"/>
      <c r="V295" s="155"/>
    </row>
    <row r="296" spans="1:22">
      <c r="A296" s="40"/>
      <c r="B296" s="151" t="s">
        <v>3024</v>
      </c>
      <c r="C296" s="152" t="s">
        <v>2922</v>
      </c>
      <c r="D296" s="153" t="s">
        <v>1741</v>
      </c>
      <c r="E29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FGHFWAdmin/data (Physical Server)</v>
      </c>
      <c r="F296" s="154"/>
      <c r="G296" s="153" t="s">
        <v>57</v>
      </c>
      <c r="H296" s="153" t="str">
        <f>IF(B296="","",VLOOKUP(B296,DEVICE_TABLE[#Data],MATCH(H$3,DEVICE_TABLE[#Headers],0),FALSE))</f>
        <v>CR1</v>
      </c>
      <c r="I296" s="122" t="s">
        <v>1575</v>
      </c>
      <c r="J296" s="122" t="s">
        <v>2887</v>
      </c>
      <c r="K296" s="122" t="s">
        <v>2020</v>
      </c>
      <c r="L296" s="153" t="str">
        <f>CONNECTIONS_TABLE[[#This Row],[Switch]]&amp;" "&amp;CONNECTIONS_TABLE[[#This Row],[Switch Port]]</f>
        <v>FGHLHN143 gi1/0/22</v>
      </c>
      <c r="M296" s="122" t="s">
        <v>1991</v>
      </c>
      <c r="N296" s="122" t="s">
        <v>1988</v>
      </c>
      <c r="O296" s="152"/>
      <c r="P296" s="152">
        <v>32</v>
      </c>
      <c r="Q296" s="156" t="str">
        <f>IF(L296="","",IFERROR(VLOOKUP(UPPER($G296)&amp;"/"&amp;$P296,NETWORKS_TABLE[],MATCH(Q$3,NETWORKS_TABLE[#Headers],0),FALSE),""))</f>
        <v>LEGACYSERVER32</v>
      </c>
      <c r="R296" s="156" t="str">
        <f>IF(B296="","",IFERROR(VLOOKUP(UPPER($G296)&amp;"/"&amp;$P296,NETWORKS_TABLE[],MATCH(R$3,NETWORKS_TABLE[#Headers],0),FALSE),""))</f>
        <v>172.16.32.0/22</v>
      </c>
      <c r="S296" s="188" t="s">
        <v>3025</v>
      </c>
      <c r="T296" s="152"/>
      <c r="U296" s="152"/>
      <c r="V296" s="155"/>
    </row>
    <row r="297" spans="1:22">
      <c r="A297" s="40"/>
      <c r="B297" s="151" t="s">
        <v>3048</v>
      </c>
      <c r="C297" s="152" t="s">
        <v>2922</v>
      </c>
      <c r="D297" s="153" t="s">
        <v>1741</v>
      </c>
      <c r="E29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FGHFW11/data (Physical Server)</v>
      </c>
      <c r="F297" s="154"/>
      <c r="G297" s="153" t="s">
        <v>57</v>
      </c>
      <c r="H297" s="153" t="str">
        <f>IF(B297="","",VLOOKUP(B297,DEVICE_TABLE[#Data],MATCH(H$3,DEVICE_TABLE[#Headers],0),FALSE))</f>
        <v>CR1</v>
      </c>
      <c r="I297" s="122" t="s">
        <v>1575</v>
      </c>
      <c r="J297" s="122" t="s">
        <v>1073</v>
      </c>
      <c r="K297" s="122" t="s">
        <v>3016</v>
      </c>
      <c r="L297" s="153" t="str">
        <f>CONNECTIONS_TABLE[[#This Row],[Switch]]&amp;" "&amp;CONNECTIONS_TABLE[[#This Row],[Switch Port]]</f>
        <v>FGHLHN141-1 gi1/0/10</v>
      </c>
      <c r="M297" s="122" t="s">
        <v>1991</v>
      </c>
      <c r="N297" s="122" t="s">
        <v>1988</v>
      </c>
      <c r="O297" s="152"/>
      <c r="P297" s="152">
        <v>92</v>
      </c>
      <c r="Q297" s="156" t="str">
        <f>IF(L297="","",IFERROR(VLOOKUP(UPPER($G297)&amp;"/"&amp;$P297,NETWORKS_TABLE[],MATCH(Q$3,NETWORKS_TABLE[#Headers],0),FALSE),""))</f>
        <v>HERMES</v>
      </c>
      <c r="R297" s="156" t="str">
        <f>IF(B297="","",IFERROR(VLOOKUP(UPPER($G297)&amp;"/"&amp;$P297,NETWORKS_TABLE[],MATCH(R$3,NETWORKS_TABLE[#Headers],0),FALSE),""))</f>
        <v>172.16.92.0/22</v>
      </c>
      <c r="S297" s="188"/>
      <c r="T297" s="152"/>
      <c r="U297" s="152"/>
      <c r="V297" s="155"/>
    </row>
    <row r="298" spans="1:22">
      <c r="A298" s="40"/>
      <c r="B298" s="151" t="s">
        <v>1714</v>
      </c>
      <c r="C298" s="152" t="s">
        <v>2922</v>
      </c>
      <c r="D298" s="153" t="s">
        <v>1741</v>
      </c>
      <c r="E29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FGHFW31/data (Physical Server)</v>
      </c>
      <c r="F298" s="154"/>
      <c r="G298" s="153" t="s">
        <v>57</v>
      </c>
      <c r="H298" s="153" t="str">
        <f>IF(B298="","",VLOOKUP(B298,DEVICE_TABLE[#Data],MATCH(H$3,DEVICE_TABLE[#Headers],0),FALSE))</f>
        <v>CR1</v>
      </c>
      <c r="I298" s="122" t="s">
        <v>1575</v>
      </c>
      <c r="J298" s="122" t="s">
        <v>1073</v>
      </c>
      <c r="K298" s="122" t="s">
        <v>3018</v>
      </c>
      <c r="L298" s="153" t="str">
        <f>CONNECTIONS_TABLE[[#This Row],[Switch]]&amp;" "&amp;CONNECTIONS_TABLE[[#This Row],[Switch Port]]</f>
        <v>FGHLHN141-1 gi1/0/46</v>
      </c>
      <c r="M298" s="122" t="s">
        <v>1991</v>
      </c>
      <c r="N298" s="122" t="s">
        <v>1988</v>
      </c>
      <c r="O298" s="152"/>
      <c r="P298" s="152">
        <v>32</v>
      </c>
      <c r="Q298" s="156" t="str">
        <f>IF(L298="","",IFERROR(VLOOKUP(UPPER($G298)&amp;"/"&amp;$P298,NETWORKS_TABLE[],MATCH(Q$3,NETWORKS_TABLE[#Headers],0),FALSE),""))</f>
        <v>LEGACYSERVER32</v>
      </c>
      <c r="R298" s="156" t="str">
        <f>IF(B298="","",IFERROR(VLOOKUP(UPPER($G298)&amp;"/"&amp;$P298,NETWORKS_TABLE[],MATCH(R$3,NETWORKS_TABLE[#Headers],0),FALSE),""))</f>
        <v>172.16.32.0/22</v>
      </c>
      <c r="S298" s="188"/>
      <c r="T298" s="152"/>
      <c r="U298" s="152"/>
      <c r="V298" s="155"/>
    </row>
    <row r="299" spans="1:22">
      <c r="A299" s="40"/>
      <c r="B299" s="151" t="s">
        <v>3049</v>
      </c>
      <c r="C299" s="152" t="s">
        <v>2922</v>
      </c>
      <c r="D299" s="153" t="s">
        <v>1741</v>
      </c>
      <c r="E29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FGHFW21/data (Physical Server)</v>
      </c>
      <c r="F299" s="154"/>
      <c r="G299" s="153" t="s">
        <v>57</v>
      </c>
      <c r="H299" s="153" t="str">
        <f>IF(B299="","",VLOOKUP(B299,DEVICE_TABLE[#Data],MATCH(H$3,DEVICE_TABLE[#Headers],0),FALSE))</f>
        <v>CR1</v>
      </c>
      <c r="I299" s="122" t="s">
        <v>1575</v>
      </c>
      <c r="J299" s="122" t="s">
        <v>1073</v>
      </c>
      <c r="K299" s="122" t="s">
        <v>3019</v>
      </c>
      <c r="L299" s="153" t="str">
        <f>CONNECTIONS_TABLE[[#This Row],[Switch]]&amp;" "&amp;CONNECTIONS_TABLE[[#This Row],[Switch Port]]</f>
        <v>FGHLHN141-1 gi1/0/47</v>
      </c>
      <c r="M299" s="122" t="s">
        <v>1991</v>
      </c>
      <c r="N299" s="122" t="s">
        <v>1988</v>
      </c>
      <c r="O299" s="152"/>
      <c r="P299" s="152">
        <v>32</v>
      </c>
      <c r="Q299" s="156" t="str">
        <f>IF(L299="","",IFERROR(VLOOKUP(UPPER($G299)&amp;"/"&amp;$P299,NETWORKS_TABLE[],MATCH(Q$3,NETWORKS_TABLE[#Headers],0),FALSE),""))</f>
        <v>LEGACYSERVER32</v>
      </c>
      <c r="R299" s="156" t="str">
        <f>IF(B299="","",IFERROR(VLOOKUP(UPPER($G299)&amp;"/"&amp;$P299,NETWORKS_TABLE[],MATCH(R$3,NETWORKS_TABLE[#Headers],0),FALSE),""))</f>
        <v>172.16.32.0/22</v>
      </c>
      <c r="S299" s="188"/>
      <c r="T299" s="152"/>
      <c r="U299" s="152"/>
      <c r="V299" s="155"/>
    </row>
    <row r="300" spans="1:22">
      <c r="A300" s="40"/>
      <c r="B300" s="151" t="s">
        <v>3048</v>
      </c>
      <c r="C300" s="152" t="s">
        <v>2922</v>
      </c>
      <c r="D300" s="153" t="s">
        <v>1741</v>
      </c>
      <c r="E30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FGHFW11/data (Physical Server)</v>
      </c>
      <c r="F300" s="154"/>
      <c r="G300" s="153" t="s">
        <v>57</v>
      </c>
      <c r="H300" s="153" t="str">
        <f>IF(B300="","",VLOOKUP(B300,DEVICE_TABLE[#Data],MATCH(H$3,DEVICE_TABLE[#Headers],0),FALSE))</f>
        <v>CR1</v>
      </c>
      <c r="I300" s="122" t="s">
        <v>1575</v>
      </c>
      <c r="J300" s="122" t="s">
        <v>1073</v>
      </c>
      <c r="K300" s="122" t="s">
        <v>3053</v>
      </c>
      <c r="L300" s="153" t="str">
        <f>CONNECTIONS_TABLE[[#This Row],[Switch]]&amp;" "&amp;CONNECTIONS_TABLE[[#This Row],[Switch Port]]</f>
        <v>FGHLHN141-1 gi1/0/48</v>
      </c>
      <c r="M300" s="122" t="s">
        <v>1991</v>
      </c>
      <c r="N300" s="122" t="s">
        <v>1988</v>
      </c>
      <c r="O300" s="152"/>
      <c r="P300" s="152">
        <v>32</v>
      </c>
      <c r="Q300" s="156" t="str">
        <f>IF(L300="","",IFERROR(VLOOKUP(UPPER($G300)&amp;"/"&amp;$P300,NETWORKS_TABLE[],MATCH(Q$3,NETWORKS_TABLE[#Headers],0),FALSE),""))</f>
        <v>LEGACYSERVER32</v>
      </c>
      <c r="R300" s="156" t="str">
        <f>IF(B300="","",IFERROR(VLOOKUP(UPPER($G300)&amp;"/"&amp;$P300,NETWORKS_TABLE[],MATCH(R$3,NETWORKS_TABLE[#Headers],0),FALSE),""))</f>
        <v>172.16.32.0/22</v>
      </c>
      <c r="S300" s="188"/>
      <c r="T300" s="152"/>
      <c r="U300" s="152"/>
      <c r="V300" s="155"/>
    </row>
    <row r="301" spans="1:22">
      <c r="A301" s="40"/>
      <c r="B301" s="151" t="s">
        <v>3050</v>
      </c>
      <c r="C301" s="152" t="s">
        <v>2922</v>
      </c>
      <c r="D301" s="153" t="s">
        <v>1741</v>
      </c>
      <c r="E30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Dec Chassis/data (Physical Server)</v>
      </c>
      <c r="F301" s="154"/>
      <c r="G301" s="153" t="s">
        <v>57</v>
      </c>
      <c r="H301" s="153" t="str">
        <f>IF(B301="","",VLOOKUP(B301,DEVICE_TABLE[#Data],MATCH(H$3,DEVICE_TABLE[#Headers],0),FALSE))</f>
        <v>CR2</v>
      </c>
      <c r="I301" s="122" t="s">
        <v>1575</v>
      </c>
      <c r="J301" s="122" t="s">
        <v>1083</v>
      </c>
      <c r="K301" s="122" t="s">
        <v>3054</v>
      </c>
      <c r="L301" s="153" t="str">
        <f>CONNECTIONS_TABLE[[#This Row],[Switch]]&amp;" "&amp;CONNECTIONS_TABLE[[#This Row],[Switch Port]]</f>
        <v>FGHLHN141-2 gi2/0/47</v>
      </c>
      <c r="M301" s="122" t="s">
        <v>1991</v>
      </c>
      <c r="N301" s="122" t="s">
        <v>3055</v>
      </c>
      <c r="O301" s="152"/>
      <c r="P301" s="152">
        <v>8</v>
      </c>
      <c r="Q301" s="156" t="str">
        <f>IF(L301="","",IFERROR(VLOOKUP(UPPER($G301)&amp;"/"&amp;$P301,NETWORKS_TABLE[],MATCH(Q$3,NETWORKS_TABLE[#Headers],0),FALSE),""))</f>
        <v>LEGACY08</v>
      </c>
      <c r="R301" s="156" t="str">
        <f>IF(B301="","",IFERROR(VLOOKUP(UPPER($G301)&amp;"/"&amp;$P301,NETWORKS_TABLE[],MATCH(R$3,NETWORKS_TABLE[#Headers],0),FALSE),""))</f>
        <v>172.16.8.0/22</v>
      </c>
      <c r="S301" s="188"/>
      <c r="T301" s="152"/>
      <c r="U301" s="152"/>
      <c r="V301" s="155"/>
    </row>
    <row r="302" spans="1:22">
      <c r="A302" s="40"/>
      <c r="B302" s="151" t="s">
        <v>3038</v>
      </c>
      <c r="C302" s="152" t="s">
        <v>2922</v>
      </c>
      <c r="D302" s="153" t="s">
        <v>1741</v>
      </c>
      <c r="E30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DC1 OBA/data (Physical Server)</v>
      </c>
      <c r="F302" s="154"/>
      <c r="G302" s="153" t="s">
        <v>57</v>
      </c>
      <c r="H302" s="153" t="str">
        <f>IF(B302="","",VLOOKUP(B302,DEVICE_TABLE[#Data],MATCH(H$3,DEVICE_TABLE[#Headers],0),FALSE))</f>
        <v>CR2</v>
      </c>
      <c r="I302" s="122" t="s">
        <v>1575</v>
      </c>
      <c r="J302" s="122" t="s">
        <v>2887</v>
      </c>
      <c r="K302" s="122" t="s">
        <v>2007</v>
      </c>
      <c r="L302" s="153" t="str">
        <f>CONNECTIONS_TABLE[[#This Row],[Switch]]&amp;" "&amp;CONNECTIONS_TABLE[[#This Row],[Switch Port]]</f>
        <v>FGHLHN143 gi1/0/14</v>
      </c>
      <c r="M302" s="122" t="s">
        <v>1991</v>
      </c>
      <c r="N302" s="122" t="s">
        <v>1988</v>
      </c>
      <c r="O302" s="152"/>
      <c r="P302" s="152">
        <v>220</v>
      </c>
      <c r="Q302" s="156" t="str">
        <f>IF(L302="","",IFERROR(VLOOKUP(UPPER($G302)&amp;"/"&amp;$P302,NETWORKS_TABLE[],MATCH(Q$3,NETWORKS_TABLE[#Headers],0),FALSE),""))</f>
        <v>VIRTUALMGNT</v>
      </c>
      <c r="R302" s="156" t="str">
        <f>IF(B302="","",IFERROR(VLOOKUP(UPPER($G302)&amp;"/"&amp;$P302,NETWORKS_TABLE[],MATCH(R$3,NETWORKS_TABLE[#Headers],0),FALSE),""))</f>
        <v>10.224.20.0/24</v>
      </c>
      <c r="S302" s="188"/>
      <c r="T302" s="152"/>
      <c r="U302" s="152"/>
      <c r="V302" s="155"/>
    </row>
    <row r="303" spans="1:22">
      <c r="A303" s="40"/>
      <c r="B303" s="151" t="s">
        <v>3039</v>
      </c>
      <c r="C303" s="152" t="s">
        <v>2922</v>
      </c>
      <c r="D303" s="153" t="s">
        <v>1741</v>
      </c>
      <c r="E30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DC2 OBA/data (Physical Server)</v>
      </c>
      <c r="F303" s="154"/>
      <c r="G303" s="153" t="s">
        <v>57</v>
      </c>
      <c r="H303" s="153" t="str">
        <f>IF(B303="","",VLOOKUP(B303,DEVICE_TABLE[#Data],MATCH(H$3,DEVICE_TABLE[#Headers],0),FALSE))</f>
        <v>CR2</v>
      </c>
      <c r="I303" s="122" t="s">
        <v>1575</v>
      </c>
      <c r="J303" s="122" t="s">
        <v>2887</v>
      </c>
      <c r="K303" s="122" t="s">
        <v>2008</v>
      </c>
      <c r="L303" s="153" t="str">
        <f>CONNECTIONS_TABLE[[#This Row],[Switch]]&amp;" "&amp;CONNECTIONS_TABLE[[#This Row],[Switch Port]]</f>
        <v>FGHLHN143 gi1/0/15</v>
      </c>
      <c r="M303" s="122" t="s">
        <v>1991</v>
      </c>
      <c r="N303" s="122" t="s">
        <v>1988</v>
      </c>
      <c r="O303" s="152"/>
      <c r="P303" s="152">
        <v>220</v>
      </c>
      <c r="Q303" s="156" t="str">
        <f>IF(L303="","",IFERROR(VLOOKUP(UPPER($G303)&amp;"/"&amp;$P303,NETWORKS_TABLE[],MATCH(Q$3,NETWORKS_TABLE[#Headers],0),FALSE),""))</f>
        <v>VIRTUALMGNT</v>
      </c>
      <c r="R303" s="156" t="str">
        <f>IF(B303="","",IFERROR(VLOOKUP(UPPER($G303)&amp;"/"&amp;$P303,NETWORKS_TABLE[],MATCH(R$3,NETWORKS_TABLE[#Headers],0),FALSE),""))</f>
        <v>10.224.20.0/24</v>
      </c>
      <c r="S303" s="188"/>
      <c r="T303" s="152"/>
      <c r="U303" s="152"/>
      <c r="V303" s="155"/>
    </row>
    <row r="304" spans="1:22">
      <c r="A304" s="40"/>
      <c r="B304" s="151" t="s">
        <v>3029</v>
      </c>
      <c r="C304" s="152" t="s">
        <v>2922</v>
      </c>
      <c r="D304" s="153" t="s">
        <v>1741</v>
      </c>
      <c r="E30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FGH_Macmini02/data (Physical Server)</v>
      </c>
      <c r="F304" s="154"/>
      <c r="G304" s="153" t="s">
        <v>57</v>
      </c>
      <c r="H304" s="153" t="str">
        <f>IF(B304="","",VLOOKUP(B304,DEVICE_TABLE[#Data],MATCH(H$3,DEVICE_TABLE[#Headers],0),FALSE))</f>
        <v>CR2</v>
      </c>
      <c r="I304" s="122" t="s">
        <v>1575</v>
      </c>
      <c r="J304" s="122" t="s">
        <v>1095</v>
      </c>
      <c r="K304" s="122" t="s">
        <v>3056</v>
      </c>
      <c r="L304" s="153" t="str">
        <f>CONNECTIONS_TABLE[[#This Row],[Switch]]&amp;" "&amp;CONNECTIONS_TABLE[[#This Row],[Switch Port]]</f>
        <v>FGHLHN142-2 gi2/0/1</v>
      </c>
      <c r="M304" s="122" t="s">
        <v>1991</v>
      </c>
      <c r="N304" s="122" t="s">
        <v>1988</v>
      </c>
      <c r="O304" s="152"/>
      <c r="P304" s="152">
        <v>132</v>
      </c>
      <c r="Q304" s="156" t="str">
        <f>IF(L304="","",IFERROR(VLOOKUP(UPPER($G304)&amp;"/"&amp;$P304,NETWORKS_TABLE[],MATCH(Q$3,NETWORKS_TABLE[#Headers],0),FALSE),""))</f>
        <v>LEGACY132</v>
      </c>
      <c r="R304" s="156" t="str">
        <f>IF(B304="","",IFERROR(VLOOKUP(UPPER($G304)&amp;"/"&amp;$P304,NETWORKS_TABLE[],MATCH(R$3,NETWORKS_TABLE[#Headers],0),FALSE),""))</f>
        <v>172.16.132.0/22</v>
      </c>
      <c r="S304" s="188" t="s">
        <v>3031</v>
      </c>
      <c r="T304" s="152"/>
      <c r="U304" s="152"/>
      <c r="V304" s="155"/>
    </row>
    <row r="305" spans="1:22">
      <c r="A305" s="40"/>
      <c r="B305" s="151" t="s">
        <v>3057</v>
      </c>
      <c r="C305" s="152" t="s">
        <v>2922</v>
      </c>
      <c r="D305" s="153" t="s">
        <v>1741</v>
      </c>
      <c r="E30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FGH_Tape_Library/data (Physical Server)</v>
      </c>
      <c r="F305" s="154"/>
      <c r="G305" s="153" t="s">
        <v>57</v>
      </c>
      <c r="H305" s="153" t="s">
        <v>1578</v>
      </c>
      <c r="I305" s="122" t="s">
        <v>1575</v>
      </c>
      <c r="J305" s="122" t="s">
        <v>1095</v>
      </c>
      <c r="K305" s="122" t="s">
        <v>2069</v>
      </c>
      <c r="L305" s="153" t="str">
        <f>CONNECTIONS_TABLE[[#This Row],[Switch]]&amp;" "&amp;CONNECTIONS_TABLE[[#This Row],[Switch Port]]</f>
        <v>FGHLHN142-2 gi2/0/2</v>
      </c>
      <c r="M305" s="122" t="s">
        <v>1991</v>
      </c>
      <c r="N305" s="122" t="s">
        <v>1988</v>
      </c>
      <c r="O305" s="152"/>
      <c r="P305" s="152">
        <v>132</v>
      </c>
      <c r="Q305" s="156" t="str">
        <f>IF(L305="","",IFERROR(VLOOKUP(UPPER($G305)&amp;"/"&amp;$P305,NETWORKS_TABLE[],MATCH(Q$3,NETWORKS_TABLE[#Headers],0),FALSE),""))</f>
        <v>LEGACY132</v>
      </c>
      <c r="R305" s="156" t="str">
        <f>IF(B305="","",IFERROR(VLOOKUP(UPPER($G305)&amp;"/"&amp;$P305,NETWORKS_TABLE[],MATCH(R$3,NETWORKS_TABLE[#Headers],0),FALSE),""))</f>
        <v>172.16.132.0/22</v>
      </c>
      <c r="S305" s="188"/>
      <c r="T305" s="152"/>
      <c r="U305" s="152"/>
      <c r="V305" s="155"/>
    </row>
    <row r="306" spans="1:22">
      <c r="A306" s="40"/>
      <c r="B306" s="151" t="s">
        <v>3058</v>
      </c>
      <c r="C306" s="152" t="s">
        <v>2922</v>
      </c>
      <c r="D306" s="153" t="s">
        <v>1741</v>
      </c>
      <c r="E30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cardswipe Comms room door/data (Physical Server)</v>
      </c>
      <c r="F306" s="154"/>
      <c r="G306" s="153" t="s">
        <v>57</v>
      </c>
      <c r="H306" s="153" t="str">
        <f>IF(B306="","",VLOOKUP(B306,DEVICE_TABLE[#Data],MATCH(H$3,DEVICE_TABLE[#Headers],0),FALSE))</f>
        <v>CR2</v>
      </c>
      <c r="I306" s="122" t="s">
        <v>1575</v>
      </c>
      <c r="J306" s="122" t="s">
        <v>1095</v>
      </c>
      <c r="K306" s="122" t="s">
        <v>2112</v>
      </c>
      <c r="L306" s="153" t="str">
        <f>CONNECTIONS_TABLE[[#This Row],[Switch]]&amp;" "&amp;CONNECTIONS_TABLE[[#This Row],[Switch Port]]</f>
        <v>FGHLHN142-2 gi2/0/3</v>
      </c>
      <c r="M306" s="122" t="s">
        <v>1991</v>
      </c>
      <c r="N306" s="122" t="s">
        <v>1988</v>
      </c>
      <c r="O306" s="152"/>
      <c r="P306" s="152">
        <v>8</v>
      </c>
      <c r="Q306" s="156" t="str">
        <f>IF(L306="","",IFERROR(VLOOKUP(UPPER($G306)&amp;"/"&amp;$P306,NETWORKS_TABLE[],MATCH(Q$3,NETWORKS_TABLE[#Headers],0),FALSE),""))</f>
        <v>LEGACY08</v>
      </c>
      <c r="R306" s="156" t="str">
        <f>IF(B306="","",IFERROR(VLOOKUP(UPPER($G306)&amp;"/"&amp;$P306,NETWORKS_TABLE[],MATCH(R$3,NETWORKS_TABLE[#Headers],0),FALSE),""))</f>
        <v>172.16.8.0/22</v>
      </c>
      <c r="S306" s="188"/>
      <c r="T306" s="152"/>
      <c r="U306" s="152"/>
      <c r="V306" s="155"/>
    </row>
    <row r="307" spans="1:22">
      <c r="A307" s="40"/>
      <c r="B307" s="151" t="s">
        <v>3034</v>
      </c>
      <c r="C307" s="152" t="s">
        <v>2922</v>
      </c>
      <c r="D307" s="153" t="s">
        <v>1741</v>
      </c>
      <c r="E30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Alpha1/data (Physical Server)</v>
      </c>
      <c r="F307" s="154"/>
      <c r="G307" s="153" t="s">
        <v>57</v>
      </c>
      <c r="H307" s="153" t="str">
        <f>IF(B307="","",VLOOKUP(B307,DEVICE_TABLE[#Data],MATCH(H$3,DEVICE_TABLE[#Headers],0),FALSE))</f>
        <v>CR2</v>
      </c>
      <c r="I307" s="122" t="s">
        <v>1575</v>
      </c>
      <c r="J307" s="122" t="s">
        <v>1095</v>
      </c>
      <c r="K307" s="122" t="s">
        <v>3059</v>
      </c>
      <c r="L307" s="153" t="str">
        <f>CONNECTIONS_TABLE[[#This Row],[Switch]]&amp;" "&amp;CONNECTIONS_TABLE[[#This Row],[Switch Port]]</f>
        <v>FGHLHN142-2 gi2/0/43</v>
      </c>
      <c r="M307" s="122" t="s">
        <v>1991</v>
      </c>
      <c r="N307" s="122" t="s">
        <v>1988</v>
      </c>
      <c r="O307" s="152"/>
      <c r="P307" s="152">
        <v>8</v>
      </c>
      <c r="Q307" s="156" t="str">
        <f>IF(L307="","",IFERROR(VLOOKUP(UPPER($G307)&amp;"/"&amp;$P307,NETWORKS_TABLE[],MATCH(Q$3,NETWORKS_TABLE[#Headers],0),FALSE),""))</f>
        <v>LEGACY08</v>
      </c>
      <c r="R307" s="156" t="str">
        <f>IF(B307="","",IFERROR(VLOOKUP(UPPER($G307)&amp;"/"&amp;$P307,NETWORKS_TABLE[],MATCH(R$3,NETWORKS_TABLE[#Headers],0),FALSE),""))</f>
        <v>172.16.8.0/22</v>
      </c>
      <c r="S307" s="188" t="s">
        <v>3036</v>
      </c>
      <c r="T307" s="152"/>
      <c r="U307" s="152"/>
      <c r="V307" s="155"/>
    </row>
    <row r="308" spans="1:22">
      <c r="A308" s="40"/>
      <c r="B308" s="151" t="s">
        <v>3037</v>
      </c>
      <c r="C308" s="152" t="s">
        <v>2922</v>
      </c>
      <c r="D308" s="153" t="s">
        <v>1741</v>
      </c>
      <c r="E30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Hydra/data (Physical Server)</v>
      </c>
      <c r="F308" s="154"/>
      <c r="G308" s="153" t="s">
        <v>57</v>
      </c>
      <c r="H308" s="153" t="str">
        <f>IF(B308="","",VLOOKUP(B308,DEVICE_TABLE[#Data],MATCH(H$3,DEVICE_TABLE[#Headers],0),FALSE))</f>
        <v>CR2</v>
      </c>
      <c r="I308" s="122" t="s">
        <v>1575</v>
      </c>
      <c r="J308" s="122" t="s">
        <v>1095</v>
      </c>
      <c r="K308" s="122" t="s">
        <v>3060</v>
      </c>
      <c r="L308" s="153" t="str">
        <f>CONNECTIONS_TABLE[[#This Row],[Switch]]&amp;" "&amp;CONNECTIONS_TABLE[[#This Row],[Switch Port]]</f>
        <v>FGHLHN142-2 gi2/0/44</v>
      </c>
      <c r="M308" s="122" t="s">
        <v>1991</v>
      </c>
      <c r="N308" s="122" t="s">
        <v>1988</v>
      </c>
      <c r="O308" s="152"/>
      <c r="P308" s="152">
        <v>8</v>
      </c>
      <c r="Q308" s="156" t="str">
        <f>IF(L308="","",IFERROR(VLOOKUP(UPPER($G308)&amp;"/"&amp;$P308,NETWORKS_TABLE[],MATCH(Q$3,NETWORKS_TABLE[#Headers],0),FALSE),""))</f>
        <v>LEGACY08</v>
      </c>
      <c r="R308" s="156" t="str">
        <f>IF(B308="","",IFERROR(VLOOKUP(UPPER($G308)&amp;"/"&amp;$P308,NETWORKS_TABLE[],MATCH(R$3,NETWORKS_TABLE[#Headers],0),FALSE),""))</f>
        <v>172.16.8.0/22</v>
      </c>
      <c r="S308" s="188"/>
      <c r="T308" s="152"/>
      <c r="U308" s="152"/>
      <c r="V308" s="155"/>
    </row>
    <row r="309" spans="1:22">
      <c r="A309" s="40"/>
      <c r="B309" s="151" t="s">
        <v>3038</v>
      </c>
      <c r="C309" s="152" t="s">
        <v>2922</v>
      </c>
      <c r="D309" s="153" t="s">
        <v>1741</v>
      </c>
      <c r="E30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DC1 OBA/data (Physical Server)</v>
      </c>
      <c r="F309" s="154"/>
      <c r="G309" s="153" t="s">
        <v>57</v>
      </c>
      <c r="H309" s="153" t="str">
        <f>IF(B309="","",VLOOKUP(B309,DEVICE_TABLE[#Data],MATCH(H$3,DEVICE_TABLE[#Headers],0),FALSE))</f>
        <v>CR2</v>
      </c>
      <c r="I309" s="122" t="s">
        <v>1575</v>
      </c>
      <c r="J309" s="122" t="s">
        <v>1089</v>
      </c>
      <c r="K309" s="122" t="s">
        <v>3016</v>
      </c>
      <c r="L309" s="153" t="str">
        <f>CONNECTIONS_TABLE[[#This Row],[Switch]]&amp;" "&amp;CONNECTIONS_TABLE[[#This Row],[Switch Port]]</f>
        <v>FGHLHN142-1 gi1/0/10</v>
      </c>
      <c r="M309" s="122" t="s">
        <v>1991</v>
      </c>
      <c r="N309" s="122" t="s">
        <v>1988</v>
      </c>
      <c r="O309" s="152"/>
      <c r="P309" s="152">
        <v>220</v>
      </c>
      <c r="Q309" s="156" t="str">
        <f>IF(L309="","",IFERROR(VLOOKUP(UPPER($G309)&amp;"/"&amp;$P309,NETWORKS_TABLE[],MATCH(Q$3,NETWORKS_TABLE[#Headers],0),FALSE),""))</f>
        <v>VIRTUALMGNT</v>
      </c>
      <c r="R309" s="156" t="str">
        <f>IF(B309="","",IFERROR(VLOOKUP(UPPER($G309)&amp;"/"&amp;$P309,NETWORKS_TABLE[],MATCH(R$3,NETWORKS_TABLE[#Headers],0),FALSE),""))</f>
        <v>10.224.20.0/24</v>
      </c>
      <c r="S309" s="188"/>
      <c r="T309" s="152"/>
      <c r="U309" s="152"/>
      <c r="V309" s="155"/>
    </row>
    <row r="310" spans="1:22">
      <c r="A310" s="40"/>
      <c r="B310" s="151" t="s">
        <v>3039</v>
      </c>
      <c r="C310" s="152" t="s">
        <v>2922</v>
      </c>
      <c r="D310" s="153" t="s">
        <v>1741</v>
      </c>
      <c r="E31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DC2 OBA/data (Physical Server)</v>
      </c>
      <c r="F310" s="154"/>
      <c r="G310" s="153" t="s">
        <v>57</v>
      </c>
      <c r="H310" s="153" t="str">
        <f>IF(B310="","",VLOOKUP(B310,DEVICE_TABLE[#Data],MATCH(H$3,DEVICE_TABLE[#Headers],0),FALSE))</f>
        <v>CR2</v>
      </c>
      <c r="I310" s="122" t="s">
        <v>1575</v>
      </c>
      <c r="J310" s="122" t="s">
        <v>1095</v>
      </c>
      <c r="K310" s="122" t="s">
        <v>3061</v>
      </c>
      <c r="L310" s="153" t="str">
        <f>CONNECTIONS_TABLE[[#This Row],[Switch]]&amp;" "&amp;CONNECTIONS_TABLE[[#This Row],[Switch Port]]</f>
        <v>FGHLHN142-2 gi2/0/10</v>
      </c>
      <c r="M310" s="122" t="s">
        <v>1991</v>
      </c>
      <c r="N310" s="122" t="s">
        <v>1988</v>
      </c>
      <c r="O310" s="152"/>
      <c r="P310" s="152">
        <v>220</v>
      </c>
      <c r="Q310" s="156" t="str">
        <f>IF(L310="","",IFERROR(VLOOKUP(UPPER($G310)&amp;"/"&amp;$P310,NETWORKS_TABLE[],MATCH(Q$3,NETWORKS_TABLE[#Headers],0),FALSE),""))</f>
        <v>VIRTUALMGNT</v>
      </c>
      <c r="R310" s="156" t="str">
        <f>IF(B310="","",IFERROR(VLOOKUP(UPPER($G310)&amp;"/"&amp;$P310,NETWORKS_TABLE[],MATCH(R$3,NETWORKS_TABLE[#Headers],0),FALSE),""))</f>
        <v>10.224.20.0/24</v>
      </c>
      <c r="S310" s="188"/>
      <c r="T310" s="152"/>
      <c r="U310" s="152"/>
      <c r="V310" s="155"/>
    </row>
    <row r="311" spans="1:22">
      <c r="A311" s="40"/>
      <c r="B311" s="151" t="s">
        <v>3040</v>
      </c>
      <c r="C311" s="152" t="s">
        <v>2922</v>
      </c>
      <c r="D311" s="153" t="s">
        <v>1741</v>
      </c>
      <c r="E31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Colin Craven PC/data (Physical Server)</v>
      </c>
      <c r="F311" s="154"/>
      <c r="G311" s="153" t="s">
        <v>57</v>
      </c>
      <c r="H311" s="153" t="str">
        <f>IF(B311="","",VLOOKUP(B311,DEVICE_TABLE[#Data],MATCH(H$3,DEVICE_TABLE[#Headers],0),FALSE))</f>
        <v>CR2</v>
      </c>
      <c r="I311" s="122" t="s">
        <v>1575</v>
      </c>
      <c r="J311" s="122" t="s">
        <v>1089</v>
      </c>
      <c r="K311" s="122" t="s">
        <v>2967</v>
      </c>
      <c r="L311" s="153" t="str">
        <f>CONNECTIONS_TABLE[[#This Row],[Switch]]&amp;" "&amp;CONNECTIONS_TABLE[[#This Row],[Switch Port]]</f>
        <v>FGHLHN142-1 gi1/0/9</v>
      </c>
      <c r="M311" s="122" t="s">
        <v>1991</v>
      </c>
      <c r="N311" s="122" t="s">
        <v>1988</v>
      </c>
      <c r="O311" s="152"/>
      <c r="P311" s="152">
        <v>300</v>
      </c>
      <c r="Q311" s="156" t="str">
        <f>IF(L311="","",IFERROR(VLOOKUP(UPPER($G311)&amp;"/"&amp;$P311,NETWORKS_TABLE[],MATCH(Q$3,NETWORKS_TABLE[#Headers],0),FALSE),""))</f>
        <v>SERVER</v>
      </c>
      <c r="R311" s="156" t="str">
        <f>IF(B311="","",IFERROR(VLOOKUP(UPPER($G311)&amp;"/"&amp;$P311,NETWORKS_TABLE[],MATCH(R$3,NETWORKS_TABLE[#Headers],0),FALSE),""))</f>
        <v>10.224.100.0/24</v>
      </c>
      <c r="S311" s="188"/>
      <c r="T311" s="152"/>
      <c r="U311" s="152"/>
      <c r="V311" s="155"/>
    </row>
    <row r="312" spans="1:22">
      <c r="A312" s="40"/>
      <c r="B312" s="151" t="s">
        <v>3050</v>
      </c>
      <c r="C312" s="152" t="s">
        <v>2922</v>
      </c>
      <c r="D312" s="153" t="s">
        <v>1741</v>
      </c>
      <c r="E31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Dec Chassis/data (Physical Server)</v>
      </c>
      <c r="F312" s="154"/>
      <c r="G312" s="153" t="s">
        <v>57</v>
      </c>
      <c r="H312" s="153" t="str">
        <f>IF(B312="","",VLOOKUP(B312,DEVICE_TABLE[#Data],MATCH(H$3,DEVICE_TABLE[#Headers],0),FALSE))</f>
        <v>CR2</v>
      </c>
      <c r="I312" s="122" t="s">
        <v>1575</v>
      </c>
      <c r="J312" s="122" t="s">
        <v>1073</v>
      </c>
      <c r="K312" s="122" t="s">
        <v>2877</v>
      </c>
      <c r="L312" s="153" t="str">
        <f>CONNECTIONS_TABLE[[#This Row],[Switch]]&amp;" "&amp;CONNECTIONS_TABLE[[#This Row],[Switch Port]]</f>
        <v>FGHLHN141-1 gi1/0/18</v>
      </c>
      <c r="M312" s="122" t="s">
        <v>1991</v>
      </c>
      <c r="N312" s="122" t="s">
        <v>3062</v>
      </c>
      <c r="O312" s="152"/>
      <c r="P312" s="152">
        <v>8</v>
      </c>
      <c r="Q312" s="156" t="str">
        <f>IF(L312="","",IFERROR(VLOOKUP(UPPER($G312)&amp;"/"&amp;$P312,NETWORKS_TABLE[],MATCH(Q$3,NETWORKS_TABLE[#Headers],0),FALSE),""))</f>
        <v>LEGACY08</v>
      </c>
      <c r="R312" s="156" t="str">
        <f>IF(B312="","",IFERROR(VLOOKUP(UPPER($G312)&amp;"/"&amp;$P312,NETWORKS_TABLE[],MATCH(R$3,NETWORKS_TABLE[#Headers],0),FALSE),""))</f>
        <v>172.16.8.0/22</v>
      </c>
      <c r="S312" s="188"/>
      <c r="T312" s="152"/>
      <c r="U312" s="152"/>
      <c r="V312" s="155"/>
    </row>
    <row r="313" spans="1:22">
      <c r="A313" s="40"/>
      <c r="B313" s="151" t="s">
        <v>3042</v>
      </c>
      <c r="C313" s="152" t="s">
        <v>2922</v>
      </c>
      <c r="D313" s="153" t="s">
        <v>1741</v>
      </c>
      <c r="E31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FGHFW12/data (Physical Server)</v>
      </c>
      <c r="F313" s="154"/>
      <c r="G313" s="153" t="s">
        <v>57</v>
      </c>
      <c r="H313" s="153" t="str">
        <f>IF(B313="","",VLOOKUP(B313,DEVICE_TABLE[#Data],MATCH(H$3,DEVICE_TABLE[#Headers],0),FALSE))</f>
        <v>CR2</v>
      </c>
      <c r="I313" s="122" t="s">
        <v>1575</v>
      </c>
      <c r="J313" s="122" t="s">
        <v>1089</v>
      </c>
      <c r="K313" s="122" t="s">
        <v>2948</v>
      </c>
      <c r="L313" s="153" t="str">
        <f>CONNECTIONS_TABLE[[#This Row],[Switch]]&amp;" "&amp;CONNECTIONS_TABLE[[#This Row],[Switch Port]]</f>
        <v>FGHLHN142-1 gi1/0/1</v>
      </c>
      <c r="M313" s="122" t="s">
        <v>1991</v>
      </c>
      <c r="N313" s="122" t="s">
        <v>1988</v>
      </c>
      <c r="O313" s="152"/>
      <c r="P313" s="152">
        <v>92</v>
      </c>
      <c r="Q313" s="156" t="str">
        <f>IF(L313="","",IFERROR(VLOOKUP(UPPER($G313)&amp;"/"&amp;$P313,NETWORKS_TABLE[],MATCH(Q$3,NETWORKS_TABLE[#Headers],0),FALSE),""))</f>
        <v>HERMES</v>
      </c>
      <c r="R313" s="156" t="str">
        <f>IF(B313="","",IFERROR(VLOOKUP(UPPER($G313)&amp;"/"&amp;$P313,NETWORKS_TABLE[],MATCH(R$3,NETWORKS_TABLE[#Headers],0),FALSE),""))</f>
        <v>172.16.92.0/22</v>
      </c>
      <c r="S313" s="188"/>
      <c r="T313" s="152"/>
      <c r="U313" s="152"/>
      <c r="V313" s="155"/>
    </row>
    <row r="314" spans="1:22">
      <c r="A314" s="40"/>
      <c r="B314" s="151" t="s">
        <v>1719</v>
      </c>
      <c r="C314" s="152" t="s">
        <v>2922</v>
      </c>
      <c r="D314" s="153" t="s">
        <v>1741</v>
      </c>
      <c r="E31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FGHFW32/data (Physical Server)</v>
      </c>
      <c r="F314" s="154"/>
      <c r="G314" s="153" t="s">
        <v>57</v>
      </c>
      <c r="H314" s="153" t="str">
        <f>IF(B314="","",VLOOKUP(B314,DEVICE_TABLE[#Data],MATCH(H$3,DEVICE_TABLE[#Headers],0),FALSE))</f>
        <v>CR2</v>
      </c>
      <c r="I314" s="122" t="s">
        <v>1575</v>
      </c>
      <c r="J314" s="122" t="s">
        <v>1089</v>
      </c>
      <c r="K314" s="122" t="s">
        <v>2109</v>
      </c>
      <c r="L314" s="153" t="str">
        <f>CONNECTIONS_TABLE[[#This Row],[Switch]]&amp;" "&amp;CONNECTIONS_TABLE[[#This Row],[Switch Port]]</f>
        <v>FGHLHN142-1 gi1/0/3</v>
      </c>
      <c r="M314" s="122" t="s">
        <v>1991</v>
      </c>
      <c r="N314" s="122" t="s">
        <v>1988</v>
      </c>
      <c r="O314" s="152"/>
      <c r="P314" s="152">
        <v>32</v>
      </c>
      <c r="Q314" s="156" t="str">
        <f>IF(L314="","",IFERROR(VLOOKUP(UPPER($G314)&amp;"/"&amp;$P314,NETWORKS_TABLE[],MATCH(Q$3,NETWORKS_TABLE[#Headers],0),FALSE),""))</f>
        <v>LEGACYSERVER32</v>
      </c>
      <c r="R314" s="156" t="str">
        <f>IF(B314="","",IFERROR(VLOOKUP(UPPER($G314)&amp;"/"&amp;$P314,NETWORKS_TABLE[],MATCH(R$3,NETWORKS_TABLE[#Headers],0),FALSE),""))</f>
        <v>172.16.32.0/22</v>
      </c>
      <c r="S314" s="188"/>
      <c r="T314" s="152"/>
      <c r="U314" s="152"/>
      <c r="V314" s="155"/>
    </row>
    <row r="315" spans="1:22">
      <c r="A315" s="40"/>
      <c r="B315" s="151" t="s">
        <v>3044</v>
      </c>
      <c r="C315" s="152" t="s">
        <v>2922</v>
      </c>
      <c r="D315" s="153" t="s">
        <v>1741</v>
      </c>
      <c r="E31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FGHFW22/data (Physical Server)</v>
      </c>
      <c r="F315" s="154"/>
      <c r="G315" s="153" t="s">
        <v>57</v>
      </c>
      <c r="H315" s="153" t="str">
        <f>IF(B315="","",VLOOKUP(B315,DEVICE_TABLE[#Data],MATCH(H$3,DEVICE_TABLE[#Headers],0),FALSE))</f>
        <v>CR2</v>
      </c>
      <c r="I315" s="122" t="s">
        <v>1575</v>
      </c>
      <c r="J315" s="122" t="s">
        <v>1089</v>
      </c>
      <c r="K315" s="122" t="s">
        <v>2111</v>
      </c>
      <c r="L315" s="153" t="str">
        <f>CONNECTIONS_TABLE[[#This Row],[Switch]]&amp;" "&amp;CONNECTIONS_TABLE[[#This Row],[Switch Port]]</f>
        <v>FGHLHN142-1 gi1/0/4</v>
      </c>
      <c r="M315" s="122" t="s">
        <v>1991</v>
      </c>
      <c r="N315" s="122" t="s">
        <v>1988</v>
      </c>
      <c r="O315" s="152"/>
      <c r="P315" s="152">
        <v>32</v>
      </c>
      <c r="Q315" s="156" t="str">
        <f>IF(L315="","",IFERROR(VLOOKUP(UPPER($G315)&amp;"/"&amp;$P315,NETWORKS_TABLE[],MATCH(Q$3,NETWORKS_TABLE[#Headers],0),FALSE),""))</f>
        <v>LEGACYSERVER32</v>
      </c>
      <c r="R315" s="156" t="str">
        <f>IF(B315="","",IFERROR(VLOOKUP(UPPER($G315)&amp;"/"&amp;$P315,NETWORKS_TABLE[],MATCH(R$3,NETWORKS_TABLE[#Headers],0),FALSE),""))</f>
        <v>172.16.32.0/22</v>
      </c>
      <c r="S315" s="188"/>
      <c r="T315" s="152"/>
      <c r="U315" s="152"/>
      <c r="V315" s="155"/>
    </row>
    <row r="316" spans="1:22">
      <c r="A316" s="40"/>
      <c r="B316" s="151" t="s">
        <v>3042</v>
      </c>
      <c r="C316" s="152" t="s">
        <v>2922</v>
      </c>
      <c r="D316" s="153" t="s">
        <v>1741</v>
      </c>
      <c r="E31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FGHFW12/data (Physical Server)</v>
      </c>
      <c r="F316" s="154"/>
      <c r="G316" s="153" t="s">
        <v>57</v>
      </c>
      <c r="H316" s="153" t="str">
        <f>IF(B316="","",VLOOKUP(B316,DEVICE_TABLE[#Data],MATCH(H$3,DEVICE_TABLE[#Headers],0),FALSE))</f>
        <v>CR2</v>
      </c>
      <c r="I316" s="122" t="s">
        <v>1575</v>
      </c>
      <c r="J316" s="122" t="s">
        <v>1089</v>
      </c>
      <c r="K316" s="122" t="s">
        <v>2774</v>
      </c>
      <c r="L316" s="153" t="str">
        <f>CONNECTIONS_TABLE[[#This Row],[Switch]]&amp;" "&amp;CONNECTIONS_TABLE[[#This Row],[Switch Port]]</f>
        <v>FGHLHN142-1 gi1/0/5</v>
      </c>
      <c r="M316" s="122" t="s">
        <v>1991</v>
      </c>
      <c r="N316" s="122" t="s">
        <v>1988</v>
      </c>
      <c r="O316" s="152"/>
      <c r="P316" s="152">
        <v>32</v>
      </c>
      <c r="Q316" s="156" t="str">
        <f>IF(L316="","",IFERROR(VLOOKUP(UPPER($G316)&amp;"/"&amp;$P316,NETWORKS_TABLE[],MATCH(Q$3,NETWORKS_TABLE[#Headers],0),FALSE),""))</f>
        <v>LEGACYSERVER32</v>
      </c>
      <c r="R316" s="156" t="str">
        <f>IF(B316="","",IFERROR(VLOOKUP(UPPER($G316)&amp;"/"&amp;$P316,NETWORKS_TABLE[],MATCH(R$3,NETWORKS_TABLE[#Headers],0),FALSE),""))</f>
        <v>172.16.32.0/22</v>
      </c>
      <c r="S316" s="188"/>
      <c r="T316" s="152"/>
      <c r="U316" s="152"/>
      <c r="V316" s="155"/>
    </row>
    <row r="317" spans="1:22">
      <c r="A317" s="40"/>
      <c r="B317" s="151" t="s">
        <v>3063</v>
      </c>
      <c r="C317" s="152" t="s">
        <v>2922</v>
      </c>
      <c r="D317" s="153" t="s">
        <v>1741</v>
      </c>
      <c r="E31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IPS Secondary/data (Physical Server)</v>
      </c>
      <c r="F317" s="154"/>
      <c r="G317" s="153" t="s">
        <v>57</v>
      </c>
      <c r="H317" s="153" t="s">
        <v>1578</v>
      </c>
      <c r="I317" s="122" t="s">
        <v>1575</v>
      </c>
      <c r="J317" s="122" t="s">
        <v>1089</v>
      </c>
      <c r="K317" s="122" t="s">
        <v>2778</v>
      </c>
      <c r="L317" s="153" t="str">
        <f>CONNECTIONS_TABLE[[#This Row],[Switch]]&amp;" "&amp;CONNECTIONS_TABLE[[#This Row],[Switch Port]]</f>
        <v>FGHLHN142-1 gi1/0/6</v>
      </c>
      <c r="M317" s="122" t="s">
        <v>1991</v>
      </c>
      <c r="N317" s="122" t="s">
        <v>1988</v>
      </c>
      <c r="O317" s="152"/>
      <c r="P317" s="152">
        <v>32</v>
      </c>
      <c r="Q317" s="156" t="str">
        <f>IF(L317="","",IFERROR(VLOOKUP(UPPER($G317)&amp;"/"&amp;$P317,NETWORKS_TABLE[],MATCH(Q$3,NETWORKS_TABLE[#Headers],0),FALSE),""))</f>
        <v>LEGACYSERVER32</v>
      </c>
      <c r="R317" s="156" t="str">
        <f>IF(B317="","",IFERROR(VLOOKUP(UPPER($G317)&amp;"/"&amp;$P317,NETWORKS_TABLE[],MATCH(R$3,NETWORKS_TABLE[#Headers],0),FALSE),""))</f>
        <v>172.16.32.0/22</v>
      </c>
      <c r="S317" s="188"/>
      <c r="T317" s="152"/>
      <c r="U317" s="152"/>
      <c r="V317" s="155"/>
    </row>
    <row r="318" spans="1:22">
      <c r="A318" s="40"/>
      <c r="B318" s="151" t="s">
        <v>3045</v>
      </c>
      <c r="C318" s="152" t="s">
        <v>3066</v>
      </c>
      <c r="D318" s="153" t="s">
        <v>1741</v>
      </c>
      <c r="E31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Pres Server/data1 (Physical Server)</v>
      </c>
      <c r="F318" s="154"/>
      <c r="G318" s="153" t="s">
        <v>57</v>
      </c>
      <c r="H318" s="153" t="str">
        <f>IF(B318="","",VLOOKUP(B318,DEVICE_TABLE[#Data],MATCH(H$3,DEVICE_TABLE[#Headers],0),FALSE))</f>
        <v>CR2</v>
      </c>
      <c r="I318" s="122" t="s">
        <v>1575</v>
      </c>
      <c r="J318" s="122" t="s">
        <v>1089</v>
      </c>
      <c r="K318" s="122" t="s">
        <v>3064</v>
      </c>
      <c r="L318" s="153" t="str">
        <f>CONNECTIONS_TABLE[[#This Row],[Switch]]&amp;" "&amp;CONNECTIONS_TABLE[[#This Row],[Switch Port]]</f>
        <v>FGHLHN142-1 gi1/0/19</v>
      </c>
      <c r="M318" s="122" t="s">
        <v>1991</v>
      </c>
      <c r="N318" s="122" t="s">
        <v>1988</v>
      </c>
      <c r="O318" s="152"/>
      <c r="P318" s="152">
        <v>300</v>
      </c>
      <c r="Q318" s="156" t="str">
        <f>IF(L318="","",IFERROR(VLOOKUP(UPPER($G318)&amp;"/"&amp;$P318,NETWORKS_TABLE[],MATCH(Q$3,NETWORKS_TABLE[#Headers],0),FALSE),""))</f>
        <v>SERVER</v>
      </c>
      <c r="R318" s="156" t="str">
        <f>IF(B318="","",IFERROR(VLOOKUP(UPPER($G318)&amp;"/"&amp;$P318,NETWORKS_TABLE[],MATCH(R$3,NETWORKS_TABLE[#Headers],0),FALSE),""))</f>
        <v>10.224.100.0/24</v>
      </c>
      <c r="S318" s="188"/>
      <c r="T318" s="152"/>
      <c r="U318" s="152"/>
      <c r="V318" s="155"/>
    </row>
    <row r="319" spans="1:22">
      <c r="A319" s="40"/>
      <c r="B319" s="151" t="s">
        <v>3045</v>
      </c>
      <c r="C319" s="152" t="s">
        <v>2928</v>
      </c>
      <c r="D319" s="153" t="s">
        <v>1741</v>
      </c>
      <c r="E31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Pres Server/data2 (Physical Server)</v>
      </c>
      <c r="F319" s="154"/>
      <c r="G319" s="153" t="s">
        <v>57</v>
      </c>
      <c r="H319" s="153" t="s">
        <v>1578</v>
      </c>
      <c r="I319" s="122" t="s">
        <v>1575</v>
      </c>
      <c r="J319" s="122" t="s">
        <v>1095</v>
      </c>
      <c r="K319" s="122" t="s">
        <v>3065</v>
      </c>
      <c r="L319" s="153" t="str">
        <f>CONNECTIONS_TABLE[[#This Row],[Switch]]&amp;" "&amp;CONNECTIONS_TABLE[[#This Row],[Switch Port]]</f>
        <v>FGHLHN142-2 gi2/0/19</v>
      </c>
      <c r="M319" s="122" t="s">
        <v>1991</v>
      </c>
      <c r="N319" s="122" t="s">
        <v>1988</v>
      </c>
      <c r="O319" s="152"/>
      <c r="P319" s="152">
        <v>300</v>
      </c>
      <c r="Q319" s="156" t="str">
        <f>IF(L319="","",IFERROR(VLOOKUP(UPPER($G319)&amp;"/"&amp;$P319,NETWORKS_TABLE[],MATCH(Q$3,NETWORKS_TABLE[#Headers],0),FALSE),""))</f>
        <v>SERVER</v>
      </c>
      <c r="R319" s="156" t="str">
        <f>IF(B319="","",IFERROR(VLOOKUP(UPPER($G319)&amp;"/"&amp;$P319,NETWORKS_TABLE[],MATCH(R$3,NETWORKS_TABLE[#Headers],0),FALSE),""))</f>
        <v>10.224.100.0/24</v>
      </c>
      <c r="S319" s="188"/>
      <c r="T319" s="152"/>
      <c r="U319" s="152"/>
      <c r="V319" s="155"/>
    </row>
    <row r="320" spans="1:22">
      <c r="A320" s="40"/>
      <c r="B320" s="151" t="s">
        <v>3067</v>
      </c>
      <c r="C320" s="152" t="s">
        <v>3066</v>
      </c>
      <c r="D320" s="153" t="s">
        <v>1741</v>
      </c>
      <c r="E32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fgh259/data1 (Physical Server)</v>
      </c>
      <c r="F320" s="154"/>
      <c r="G320" s="153" t="s">
        <v>57</v>
      </c>
      <c r="H320" s="153" t="str">
        <f>IF(B320="","",VLOOKUP(B320,DEVICE_TABLE[#Data],MATCH(H$3,DEVICE_TABLE[#Headers],0),FALSE))</f>
        <v>CR2</v>
      </c>
      <c r="I320" s="122" t="s">
        <v>1575</v>
      </c>
      <c r="J320" s="122" t="s">
        <v>1089</v>
      </c>
      <c r="K320" s="122" t="s">
        <v>3027</v>
      </c>
      <c r="L320" s="153" t="str">
        <f>CONNECTIONS_TABLE[[#This Row],[Switch]]&amp;" "&amp;CONNECTIONS_TABLE[[#This Row],[Switch Port]]</f>
        <v>FGHLHN142-1 gi1/0/20</v>
      </c>
      <c r="M320" s="122" t="s">
        <v>1991</v>
      </c>
      <c r="N320" s="122" t="s">
        <v>1988</v>
      </c>
      <c r="O320" s="152"/>
      <c r="P320" s="152">
        <v>8</v>
      </c>
      <c r="Q320" s="156" t="str">
        <f>IF(L320="","",IFERROR(VLOOKUP(UPPER($G320)&amp;"/"&amp;$P320,NETWORKS_TABLE[],MATCH(Q$3,NETWORKS_TABLE[#Headers],0),FALSE),""))</f>
        <v>LEGACY08</v>
      </c>
      <c r="R320" s="156" t="str">
        <f>IF(B320="","",IFERROR(VLOOKUP(UPPER($G320)&amp;"/"&amp;$P320,NETWORKS_TABLE[],MATCH(R$3,NETWORKS_TABLE[#Headers],0),FALSE),""))</f>
        <v>172.16.8.0/22</v>
      </c>
      <c r="S320" s="188"/>
      <c r="T320" s="152"/>
      <c r="U320" s="152"/>
      <c r="V320" s="155"/>
    </row>
    <row r="321" spans="1:22">
      <c r="A321" s="40"/>
      <c r="B321" s="151" t="s">
        <v>3067</v>
      </c>
      <c r="C321" s="152" t="s">
        <v>2928</v>
      </c>
      <c r="D321" s="153" t="s">
        <v>1741</v>
      </c>
      <c r="E32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fgh259/data2 (Physical Server)</v>
      </c>
      <c r="F321" s="154"/>
      <c r="G321" s="153" t="s">
        <v>57</v>
      </c>
      <c r="H321" s="153" t="str">
        <f>IF(B321="","",VLOOKUP(B321,DEVICE_TABLE[#Data],MATCH(H$3,DEVICE_TABLE[#Headers],0),FALSE))</f>
        <v>CR2</v>
      </c>
      <c r="I321" s="122" t="s">
        <v>1575</v>
      </c>
      <c r="J321" s="122" t="s">
        <v>1095</v>
      </c>
      <c r="K321" s="122" t="s">
        <v>3068</v>
      </c>
      <c r="L321" s="153" t="str">
        <f>CONNECTIONS_TABLE[[#This Row],[Switch]]&amp;" "&amp;CONNECTIONS_TABLE[[#This Row],[Switch Port]]</f>
        <v>FGHLHN142-2 gi2/0/20</v>
      </c>
      <c r="M321" s="122" t="s">
        <v>1991</v>
      </c>
      <c r="N321" s="122" t="s">
        <v>1988</v>
      </c>
      <c r="O321" s="152"/>
      <c r="P321" s="152">
        <v>8</v>
      </c>
      <c r="Q321" s="156" t="str">
        <f>IF(L321="","",IFERROR(VLOOKUP(UPPER($G321)&amp;"/"&amp;$P321,NETWORKS_TABLE[],MATCH(Q$3,NETWORKS_TABLE[#Headers],0),FALSE),""))</f>
        <v>LEGACY08</v>
      </c>
      <c r="R321" s="156" t="str">
        <f>IF(B321="","",IFERROR(VLOOKUP(UPPER($G321)&amp;"/"&amp;$P321,NETWORKS_TABLE[],MATCH(R$3,NETWORKS_TABLE[#Headers],0),FALSE),""))</f>
        <v>172.16.8.0/22</v>
      </c>
      <c r="S321" s="188"/>
      <c r="T321" s="152"/>
      <c r="U321" s="152"/>
      <c r="V321" s="155"/>
    </row>
    <row r="322" spans="1:22">
      <c r="A322" s="40"/>
      <c r="B322" s="151" t="s">
        <v>3069</v>
      </c>
      <c r="C322" s="152" t="s">
        <v>3066</v>
      </c>
      <c r="D322" s="153" t="s">
        <v>1741</v>
      </c>
      <c r="E32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FGH-Vsphere22/data1 (Physical Server)</v>
      </c>
      <c r="F322" s="154"/>
      <c r="G322" s="153" t="s">
        <v>57</v>
      </c>
      <c r="H322" s="153" t="str">
        <f>IF(B322="","",VLOOKUP(B322,DEVICE_TABLE[#Data],MATCH(H$3,DEVICE_TABLE[#Headers],0),FALSE))</f>
        <v>CR2</v>
      </c>
      <c r="I322" s="122" t="s">
        <v>1575</v>
      </c>
      <c r="J322" s="122" t="s">
        <v>2888</v>
      </c>
      <c r="K322" s="122" t="s">
        <v>2111</v>
      </c>
      <c r="L322" s="153" t="str">
        <f>CONNECTIONS_TABLE[[#This Row],[Switch]]&amp;" "&amp;CONNECTIONS_TABLE[[#This Row],[Switch Port]]</f>
        <v>FGHLHN144 gi1/0/4</v>
      </c>
      <c r="M322" s="122" t="s">
        <v>1991</v>
      </c>
      <c r="N322" s="122" t="s">
        <v>1988</v>
      </c>
      <c r="O322" s="152"/>
      <c r="P322" s="152">
        <v>220</v>
      </c>
      <c r="Q322" s="156" t="str">
        <f>IF(L322="","",IFERROR(VLOOKUP(UPPER($G322)&amp;"/"&amp;$P322,NETWORKS_TABLE[],MATCH(Q$3,NETWORKS_TABLE[#Headers],0),FALSE),""))</f>
        <v>VIRTUALMGNT</v>
      </c>
      <c r="R322" s="156" t="str">
        <f>IF(B322="","",IFERROR(VLOOKUP(UPPER($G322)&amp;"/"&amp;$P322,NETWORKS_TABLE[],MATCH(R$3,NETWORKS_TABLE[#Headers],0),FALSE),""))</f>
        <v>10.224.20.0/24</v>
      </c>
      <c r="S322" s="188"/>
      <c r="T322" s="152"/>
      <c r="U322" s="152"/>
      <c r="V322" s="155"/>
    </row>
    <row r="323" spans="1:22">
      <c r="A323" s="40"/>
      <c r="B323" s="151" t="s">
        <v>3069</v>
      </c>
      <c r="C323" s="152" t="s">
        <v>2928</v>
      </c>
      <c r="D323" s="153" t="s">
        <v>1741</v>
      </c>
      <c r="E32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FGH-Vsphere22/data2 (Physical Server)</v>
      </c>
      <c r="F323" s="154"/>
      <c r="G323" s="153" t="s">
        <v>57</v>
      </c>
      <c r="H323" s="153" t="str">
        <f>IF(B323="","",VLOOKUP(B323,DEVICE_TABLE[#Data],MATCH(H$3,DEVICE_TABLE[#Headers],0),FALSE))</f>
        <v>CR2</v>
      </c>
      <c r="I323" s="122" t="s">
        <v>1575</v>
      </c>
      <c r="J323" s="122" t="s">
        <v>2888</v>
      </c>
      <c r="K323" s="122" t="s">
        <v>2774</v>
      </c>
      <c r="L323" s="153" t="str">
        <f>CONNECTIONS_TABLE[[#This Row],[Switch]]&amp;" "&amp;CONNECTIONS_TABLE[[#This Row],[Switch Port]]</f>
        <v>FGHLHN144 gi1/0/5</v>
      </c>
      <c r="M323" s="122" t="s">
        <v>1991</v>
      </c>
      <c r="N323" s="122" t="s">
        <v>1988</v>
      </c>
      <c r="O323" s="152"/>
      <c r="P323" s="152">
        <v>300</v>
      </c>
      <c r="Q323" s="156" t="str">
        <f>IF(L323="","",IFERROR(VLOOKUP(UPPER($G323)&amp;"/"&amp;$P323,NETWORKS_TABLE[],MATCH(Q$3,NETWORKS_TABLE[#Headers],0),FALSE),""))</f>
        <v>SERVER</v>
      </c>
      <c r="R323" s="156" t="str">
        <f>IF(B323="","",IFERROR(VLOOKUP(UPPER($G323)&amp;"/"&amp;$P323,NETWORKS_TABLE[],MATCH(R$3,NETWORKS_TABLE[#Headers],0),FALSE),""))</f>
        <v>10.224.100.0/24</v>
      </c>
      <c r="S323" s="188"/>
      <c r="T323" s="152"/>
      <c r="U323" s="152"/>
      <c r="V323" s="155"/>
    </row>
    <row r="324" spans="1:22">
      <c r="A324" s="40"/>
      <c r="B324" s="151" t="s">
        <v>3069</v>
      </c>
      <c r="C324" s="152" t="s">
        <v>2929</v>
      </c>
      <c r="D324" s="153" t="s">
        <v>1741</v>
      </c>
      <c r="E32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FGH-Vsphere22/data3 (Physical Server)</v>
      </c>
      <c r="F324" s="154"/>
      <c r="G324" s="153" t="s">
        <v>57</v>
      </c>
      <c r="H324" s="153" t="str">
        <f>IF(B324="","",VLOOKUP(B324,DEVICE_TABLE[#Data],MATCH(H$3,DEVICE_TABLE[#Headers],0),FALSE))</f>
        <v>CR2</v>
      </c>
      <c r="I324" s="122" t="s">
        <v>1575</v>
      </c>
      <c r="J324" s="122" t="s">
        <v>2888</v>
      </c>
      <c r="K324" s="122" t="s">
        <v>2778</v>
      </c>
      <c r="L324" s="153" t="str">
        <f>CONNECTIONS_TABLE[[#This Row],[Switch]]&amp;" "&amp;CONNECTIONS_TABLE[[#This Row],[Switch Port]]</f>
        <v>FGHLHN144 gi1/0/6</v>
      </c>
      <c r="M324" s="122" t="s">
        <v>1991</v>
      </c>
      <c r="N324" s="122" t="s">
        <v>1988</v>
      </c>
      <c r="O324" s="152"/>
      <c r="P324" s="152">
        <v>32</v>
      </c>
      <c r="Q324" s="156" t="str">
        <f>IF(L324="","",IFERROR(VLOOKUP(UPPER($G324)&amp;"/"&amp;$P324,NETWORKS_TABLE[],MATCH(Q$3,NETWORKS_TABLE[#Headers],0),FALSE),""))</f>
        <v>LEGACYSERVER32</v>
      </c>
      <c r="R324" s="156" t="str">
        <f>IF(B324="","",IFERROR(VLOOKUP(UPPER($G324)&amp;"/"&amp;$P324,NETWORKS_TABLE[],MATCH(R$3,NETWORKS_TABLE[#Headers],0),FALSE),""))</f>
        <v>172.16.32.0/22</v>
      </c>
      <c r="S324" s="188"/>
      <c r="T324" s="152"/>
      <c r="U324" s="152"/>
      <c r="V324" s="155"/>
    </row>
    <row r="325" spans="1:22">
      <c r="A325" s="40"/>
      <c r="B325" s="151" t="s">
        <v>3071</v>
      </c>
      <c r="C325" s="152" t="s">
        <v>3066</v>
      </c>
      <c r="D325" s="153" t="s">
        <v>1741</v>
      </c>
      <c r="E32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MDL02/data1 (Physical Server)</v>
      </c>
      <c r="F325" s="154"/>
      <c r="G325" s="153" t="s">
        <v>57</v>
      </c>
      <c r="H325" s="153" t="str">
        <f>IF(B325="","",VLOOKUP(B325,DEVICE_TABLE[#Data],MATCH(H$3,DEVICE_TABLE[#Headers],0),FALSE))</f>
        <v>CR2</v>
      </c>
      <c r="I325" s="122" t="s">
        <v>1575</v>
      </c>
      <c r="J325" s="122" t="s">
        <v>2888</v>
      </c>
      <c r="K325" s="122" t="s">
        <v>2960</v>
      </c>
      <c r="L325" s="153" t="str">
        <f>CONNECTIONS_TABLE[[#This Row],[Switch]]&amp;" "&amp;CONNECTIONS_TABLE[[#This Row],[Switch Port]]</f>
        <v>FGHLHN144 gi1/0/7</v>
      </c>
      <c r="M325" s="122" t="s">
        <v>1991</v>
      </c>
      <c r="N325" s="122" t="s">
        <v>1988</v>
      </c>
      <c r="O325" s="152"/>
      <c r="P325" s="152">
        <v>230</v>
      </c>
      <c r="Q325" s="156" t="str">
        <f>IF(L325="","",IFERROR(VLOOKUP(UPPER($G325)&amp;"/"&amp;$P325,NETWORKS_TABLE[],MATCH(Q$3,NETWORKS_TABLE[#Headers],0),FALSE),""))</f>
        <v>HPISCSI</v>
      </c>
      <c r="R325" s="156" t="str">
        <f>IF(B325="","",IFERROR(VLOOKUP(UPPER($G325)&amp;"/"&amp;$P325,NETWORKS_TABLE[],MATCH(R$3,NETWORKS_TABLE[#Headers],0),FALSE),""))</f>
        <v>10.224.30.0/24</v>
      </c>
      <c r="S325" s="188"/>
      <c r="T325" s="152"/>
      <c r="U325" s="152"/>
      <c r="V325" s="155"/>
    </row>
    <row r="326" spans="1:22">
      <c r="A326" s="40"/>
      <c r="B326" s="151" t="s">
        <v>3071</v>
      </c>
      <c r="C326" s="152" t="s">
        <v>2928</v>
      </c>
      <c r="D326" s="153" t="s">
        <v>1741</v>
      </c>
      <c r="E32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MDL02/data2 (Physical Server)</v>
      </c>
      <c r="F326" s="154"/>
      <c r="G326" s="153" t="s">
        <v>57</v>
      </c>
      <c r="H326" s="153" t="str">
        <f>IF(B326="","",VLOOKUP(B326,DEVICE_TABLE[#Data],MATCH(H$3,DEVICE_TABLE[#Headers],0),FALSE))</f>
        <v>CR2</v>
      </c>
      <c r="I326" s="122" t="s">
        <v>1575</v>
      </c>
      <c r="J326" s="122" t="s">
        <v>2888</v>
      </c>
      <c r="K326" s="122" t="s">
        <v>2963</v>
      </c>
      <c r="L326" s="153" t="str">
        <f>CONNECTIONS_TABLE[[#This Row],[Switch]]&amp;" "&amp;CONNECTIONS_TABLE[[#This Row],[Switch Port]]</f>
        <v>FGHLHN144 gi1/0/8</v>
      </c>
      <c r="M326" s="122" t="s">
        <v>1991</v>
      </c>
      <c r="N326" s="122" t="s">
        <v>1988</v>
      </c>
      <c r="O326" s="152"/>
      <c r="P326" s="152">
        <v>230</v>
      </c>
      <c r="Q326" s="156" t="str">
        <f>IF(L326="","",IFERROR(VLOOKUP(UPPER($G326)&amp;"/"&amp;$P326,NETWORKS_TABLE[],MATCH(Q$3,NETWORKS_TABLE[#Headers],0),FALSE),""))</f>
        <v>HPISCSI</v>
      </c>
      <c r="R326" s="156" t="str">
        <f>IF(B326="","",IFERROR(VLOOKUP(UPPER($G326)&amp;"/"&amp;$P326,NETWORKS_TABLE[],MATCH(R$3,NETWORKS_TABLE[#Headers],0),FALSE),""))</f>
        <v>10.224.30.0/24</v>
      </c>
      <c r="S326" s="188"/>
      <c r="T326" s="152"/>
      <c r="U326" s="152"/>
      <c r="V326" s="155"/>
    </row>
    <row r="327" spans="1:22">
      <c r="A327" s="40"/>
      <c r="B327" s="151" t="s">
        <v>3076</v>
      </c>
      <c r="C327" s="152" t="s">
        <v>3066</v>
      </c>
      <c r="D327" s="153" t="s">
        <v>1741</v>
      </c>
      <c r="E32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QNAP Tier3-1/data1 (Physical Server)</v>
      </c>
      <c r="F327" s="154"/>
      <c r="G327" s="153" t="s">
        <v>57</v>
      </c>
      <c r="H327" s="153" t="s">
        <v>1578</v>
      </c>
      <c r="I327" s="122" t="s">
        <v>1575</v>
      </c>
      <c r="J327" s="122" t="s">
        <v>2888</v>
      </c>
      <c r="K327" s="122" t="s">
        <v>2967</v>
      </c>
      <c r="L327" s="153" t="str">
        <f>CONNECTIONS_TABLE[[#This Row],[Switch]]&amp;" "&amp;CONNECTIONS_TABLE[[#This Row],[Switch Port]]</f>
        <v>FGHLHN144 gi1/0/9</v>
      </c>
      <c r="M327" s="122" t="s">
        <v>1991</v>
      </c>
      <c r="N327" s="122" t="s">
        <v>1988</v>
      </c>
      <c r="O327" s="152"/>
      <c r="P327" s="152">
        <v>230</v>
      </c>
      <c r="Q327" s="156" t="str">
        <f>IF(L327="","",IFERROR(VLOOKUP(UPPER($G327)&amp;"/"&amp;$P327,NETWORKS_TABLE[],MATCH(Q$3,NETWORKS_TABLE[#Headers],0),FALSE),""))</f>
        <v>HPISCSI</v>
      </c>
      <c r="R327" s="156" t="str">
        <f>IF(B327="","",IFERROR(VLOOKUP(UPPER($G327)&amp;"/"&amp;$P327,NETWORKS_TABLE[],MATCH(R$3,NETWORKS_TABLE[#Headers],0),FALSE),""))</f>
        <v>10.224.30.0/24</v>
      </c>
      <c r="S327" s="188"/>
      <c r="T327" s="152"/>
      <c r="U327" s="152"/>
      <c r="V327" s="155"/>
    </row>
    <row r="328" spans="1:22">
      <c r="A328" s="40"/>
      <c r="B328" s="151" t="s">
        <v>3076</v>
      </c>
      <c r="C328" s="152" t="s">
        <v>2928</v>
      </c>
      <c r="D328" s="153" t="s">
        <v>1741</v>
      </c>
      <c r="E32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QNAP Tier3-1/data2 (Physical Server)</v>
      </c>
      <c r="F328" s="154"/>
      <c r="G328" s="153" t="s">
        <v>57</v>
      </c>
      <c r="H328" s="153" t="s">
        <v>1578</v>
      </c>
      <c r="I328" s="122" t="s">
        <v>1575</v>
      </c>
      <c r="J328" s="122" t="s">
        <v>2888</v>
      </c>
      <c r="K328" s="122" t="s">
        <v>3016</v>
      </c>
      <c r="L328" s="153" t="str">
        <f>CONNECTIONS_TABLE[[#This Row],[Switch]]&amp;" "&amp;CONNECTIONS_TABLE[[#This Row],[Switch Port]]</f>
        <v>FGHLHN144 gi1/0/10</v>
      </c>
      <c r="M328" s="122" t="s">
        <v>1991</v>
      </c>
      <c r="N328" s="122" t="s">
        <v>1988</v>
      </c>
      <c r="O328" s="152"/>
      <c r="P328" s="152">
        <v>300</v>
      </c>
      <c r="Q328" s="156" t="str">
        <f>IF(L328="","",IFERROR(VLOOKUP(UPPER($G328)&amp;"/"&amp;$P328,NETWORKS_TABLE[],MATCH(Q$3,NETWORKS_TABLE[#Headers],0),FALSE),""))</f>
        <v>SERVER</v>
      </c>
      <c r="R328" s="156" t="str">
        <f>IF(B328="","",IFERROR(VLOOKUP(UPPER($G328)&amp;"/"&amp;$P328,NETWORKS_TABLE[],MATCH(R$3,NETWORKS_TABLE[#Headers],0),FALSE),""))</f>
        <v>10.224.100.0/24</v>
      </c>
      <c r="S328" s="188"/>
      <c r="T328" s="152"/>
      <c r="U328" s="152"/>
      <c r="V328" s="155"/>
    </row>
    <row r="329" spans="1:22">
      <c r="A329" s="40"/>
      <c r="B329" s="151" t="s">
        <v>3074</v>
      </c>
      <c r="C329" s="152" t="s">
        <v>3066</v>
      </c>
      <c r="D329" s="153" t="s">
        <v>1741</v>
      </c>
      <c r="E32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MD3000i/data1 (Physical Server)</v>
      </c>
      <c r="F329" s="154"/>
      <c r="G329" s="153" t="s">
        <v>57</v>
      </c>
      <c r="H329" s="153" t="str">
        <f>IF(B329="","",VLOOKUP(B329,DEVICE_TABLE[#Data],MATCH(H$3,DEVICE_TABLE[#Headers],0),FALSE))</f>
        <v>CR2</v>
      </c>
      <c r="I329" s="122" t="s">
        <v>1575</v>
      </c>
      <c r="J329" s="122" t="s">
        <v>2888</v>
      </c>
      <c r="K329" s="122" t="s">
        <v>2004</v>
      </c>
      <c r="L329" s="153" t="str">
        <f>CONNECTIONS_TABLE[[#This Row],[Switch]]&amp;" "&amp;CONNECTIONS_TABLE[[#This Row],[Switch Port]]</f>
        <v>FGHLHN144 gi1/0/11</v>
      </c>
      <c r="M329" s="122" t="s">
        <v>1991</v>
      </c>
      <c r="N329" s="122" t="s">
        <v>1988</v>
      </c>
      <c r="O329" s="152"/>
      <c r="P329" s="152">
        <v>230</v>
      </c>
      <c r="Q329" s="156" t="str">
        <f>IF(L329="","",IFERROR(VLOOKUP(UPPER($G329)&amp;"/"&amp;$P329,NETWORKS_TABLE[],MATCH(Q$3,NETWORKS_TABLE[#Headers],0),FALSE),""))</f>
        <v>HPISCSI</v>
      </c>
      <c r="R329" s="156" t="str">
        <f>IF(B329="","",IFERROR(VLOOKUP(UPPER($G329)&amp;"/"&amp;$P329,NETWORKS_TABLE[],MATCH(R$3,NETWORKS_TABLE[#Headers],0),FALSE),""))</f>
        <v>10.224.30.0/24</v>
      </c>
      <c r="S329" s="188"/>
      <c r="T329" s="152"/>
      <c r="U329" s="152"/>
      <c r="V329" s="155"/>
    </row>
    <row r="330" spans="1:22">
      <c r="A330" s="40"/>
      <c r="B330" s="151" t="s">
        <v>3074</v>
      </c>
      <c r="C330" s="152" t="s">
        <v>2928</v>
      </c>
      <c r="D330" s="153" t="s">
        <v>1741</v>
      </c>
      <c r="E33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MD3000i/data2 (Physical Server)</v>
      </c>
      <c r="F330" s="154"/>
      <c r="G330" s="153" t="s">
        <v>57</v>
      </c>
      <c r="H330" s="153" t="str">
        <f>IF(B330="","",VLOOKUP(B330,DEVICE_TABLE[#Data],MATCH(H$3,DEVICE_TABLE[#Headers],0),FALSE))</f>
        <v>CR2</v>
      </c>
      <c r="I330" s="122" t="s">
        <v>1575</v>
      </c>
      <c r="J330" s="122" t="s">
        <v>2888</v>
      </c>
      <c r="K330" s="122" t="s">
        <v>2005</v>
      </c>
      <c r="L330" s="153" t="str">
        <f>CONNECTIONS_TABLE[[#This Row],[Switch]]&amp;" "&amp;CONNECTIONS_TABLE[[#This Row],[Switch Port]]</f>
        <v>FGHLHN144 gi1/0/12</v>
      </c>
      <c r="M330" s="122" t="s">
        <v>1991</v>
      </c>
      <c r="N330" s="122" t="s">
        <v>1988</v>
      </c>
      <c r="O330" s="152"/>
      <c r="P330" s="152">
        <v>230</v>
      </c>
      <c r="Q330" s="156" t="str">
        <f>IF(L330="","",IFERROR(VLOOKUP(UPPER($G330)&amp;"/"&amp;$P330,NETWORKS_TABLE[],MATCH(Q$3,NETWORKS_TABLE[#Headers],0),FALSE),""))</f>
        <v>HPISCSI</v>
      </c>
      <c r="R330" s="156" t="str">
        <f>IF(B330="","",IFERROR(VLOOKUP(UPPER($G330)&amp;"/"&amp;$P330,NETWORKS_TABLE[],MATCH(R$3,NETWORKS_TABLE[#Headers],0),FALSE),""))</f>
        <v>10.224.30.0/24</v>
      </c>
      <c r="S330" s="188"/>
      <c r="T330" s="152"/>
      <c r="U330" s="152"/>
      <c r="V330" s="155"/>
    </row>
    <row r="331" spans="1:22">
      <c r="A331" s="40"/>
      <c r="B331" s="151" t="s">
        <v>3075</v>
      </c>
      <c r="C331" s="152" t="s">
        <v>2922</v>
      </c>
      <c r="D331" s="153" t="s">
        <v>1741</v>
      </c>
      <c r="E33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MDL01/data (Physical Server)</v>
      </c>
      <c r="F331" s="154"/>
      <c r="G331" s="153" t="s">
        <v>57</v>
      </c>
      <c r="H331" s="153" t="str">
        <f>IF(B331="","",VLOOKUP(B331,DEVICE_TABLE[#Data],MATCH(H$3,DEVICE_TABLE[#Headers],0),FALSE))</f>
        <v>CR2</v>
      </c>
      <c r="I331" s="122" t="s">
        <v>1575</v>
      </c>
      <c r="J331" s="122" t="s">
        <v>2888</v>
      </c>
      <c r="K331" s="122" t="s">
        <v>2006</v>
      </c>
      <c r="L331" s="153" t="str">
        <f>CONNECTIONS_TABLE[[#This Row],[Switch]]&amp;" "&amp;CONNECTIONS_TABLE[[#This Row],[Switch Port]]</f>
        <v>FGHLHN144 gi1/0/13</v>
      </c>
      <c r="M331" s="122" t="s">
        <v>1991</v>
      </c>
      <c r="N331" s="122" t="s">
        <v>1988</v>
      </c>
      <c r="O331" s="152"/>
      <c r="P331" s="152">
        <v>230</v>
      </c>
      <c r="Q331" s="156" t="str">
        <f>IF(L331="","",IFERROR(VLOOKUP(UPPER($G331)&amp;"/"&amp;$P331,NETWORKS_TABLE[],MATCH(Q$3,NETWORKS_TABLE[#Headers],0),FALSE),""))</f>
        <v>HPISCSI</v>
      </c>
      <c r="R331" s="156" t="str">
        <f>IF(B331="","",IFERROR(VLOOKUP(UPPER($G331)&amp;"/"&amp;$P331,NETWORKS_TABLE[],MATCH(R$3,NETWORKS_TABLE[#Headers],0),FALSE),""))</f>
        <v>10.224.30.0/24</v>
      </c>
      <c r="S331" s="188"/>
      <c r="T331" s="152"/>
      <c r="U331" s="152"/>
      <c r="V331" s="155"/>
    </row>
    <row r="332" spans="1:22">
      <c r="A332" s="40"/>
      <c r="B332" s="151" t="s">
        <v>3078</v>
      </c>
      <c r="C332" s="152" t="s">
        <v>3082</v>
      </c>
      <c r="D332" s="153" t="s">
        <v>3080</v>
      </c>
      <c r="E33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Security camera In/Camera 1 (Camera)</v>
      </c>
      <c r="F332" s="154"/>
      <c r="G332" s="153" t="s">
        <v>57</v>
      </c>
      <c r="H332" s="153" t="s">
        <v>1578</v>
      </c>
      <c r="I332" s="122" t="s">
        <v>1575</v>
      </c>
      <c r="J332" s="122" t="s">
        <v>2888</v>
      </c>
      <c r="K332" s="122" t="s">
        <v>2948</v>
      </c>
      <c r="L332" s="153" t="str">
        <f>CONNECTIONS_TABLE[[#This Row],[Switch]]&amp;" "&amp;CONNECTIONS_TABLE[[#This Row],[Switch Port]]</f>
        <v>FGHLHN144 gi1/0/1</v>
      </c>
      <c r="M332" s="122" t="s">
        <v>1991</v>
      </c>
      <c r="N332" s="122" t="s">
        <v>1988</v>
      </c>
      <c r="O332" s="152"/>
      <c r="P332" s="152"/>
      <c r="Q332" s="156" t="str">
        <f>IF(L332="","",IFERROR(VLOOKUP(UPPER($G332)&amp;"/"&amp;$P332,NETWORKS_TABLE[],MATCH(Q$3,NETWORKS_TABLE[#Headers],0),FALSE),""))</f>
        <v/>
      </c>
      <c r="R332" s="156" t="str">
        <f>IF(B332="","",IFERROR(VLOOKUP(UPPER($G332)&amp;"/"&amp;$P332,NETWORKS_TABLE[],MATCH(R$3,NETWORKS_TABLE[#Headers],0),FALSE),""))</f>
        <v/>
      </c>
      <c r="S332" s="188"/>
      <c r="T332" s="152"/>
      <c r="U332" s="152"/>
      <c r="V332" s="155"/>
    </row>
    <row r="333" spans="1:22">
      <c r="A333" s="40"/>
      <c r="B333" s="151" t="s">
        <v>3077</v>
      </c>
      <c r="C333" s="152" t="s">
        <v>3083</v>
      </c>
      <c r="D333" s="153" t="s">
        <v>3080</v>
      </c>
      <c r="E33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Security Camera Out/Camera 2 (Camera)</v>
      </c>
      <c r="F333" s="154"/>
      <c r="G333" s="153" t="s">
        <v>57</v>
      </c>
      <c r="H333" s="153" t="s">
        <v>1578</v>
      </c>
      <c r="I333" s="122" t="s">
        <v>1575</v>
      </c>
      <c r="J333" s="122" t="s">
        <v>2888</v>
      </c>
      <c r="K333" s="122" t="s">
        <v>2089</v>
      </c>
      <c r="L333" s="153" t="str">
        <f>CONNECTIONS_TABLE[[#This Row],[Switch]]&amp;" "&amp;CONNECTIONS_TABLE[[#This Row],[Switch Port]]</f>
        <v>FGHLHN144 gi1/0/2</v>
      </c>
      <c r="M333" s="122" t="s">
        <v>1991</v>
      </c>
      <c r="N333" s="122" t="s">
        <v>1988</v>
      </c>
      <c r="O333" s="152"/>
      <c r="P333" s="152"/>
      <c r="Q333" s="156" t="str">
        <f>IF(L333="","",IFERROR(VLOOKUP(UPPER($G333)&amp;"/"&amp;$P333,NETWORKS_TABLE[],MATCH(Q$3,NETWORKS_TABLE[#Headers],0),FALSE),""))</f>
        <v/>
      </c>
      <c r="R333" s="156" t="str">
        <f>IF(B333="","",IFERROR(VLOOKUP(UPPER($G333)&amp;"/"&amp;$P333,NETWORKS_TABLE[],MATCH(R$3,NETWORKS_TABLE[#Headers],0),FALSE),""))</f>
        <v/>
      </c>
      <c r="S333" s="188"/>
      <c r="T333" s="152"/>
      <c r="U333" s="152"/>
      <c r="V333" s="155"/>
    </row>
    <row r="334" spans="1:22">
      <c r="A334" s="40"/>
      <c r="B334" s="151" t="s">
        <v>3079</v>
      </c>
      <c r="C334" s="152" t="s">
        <v>3081</v>
      </c>
      <c r="D334" s="153" t="s">
        <v>3081</v>
      </c>
      <c r="E33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CR2 Phone/Phone (Phone)</v>
      </c>
      <c r="F334" s="154"/>
      <c r="G334" s="153" t="s">
        <v>57</v>
      </c>
      <c r="H334" s="153" t="s">
        <v>1578</v>
      </c>
      <c r="I334" s="122" t="s">
        <v>1575</v>
      </c>
      <c r="J334" s="122" t="s">
        <v>2888</v>
      </c>
      <c r="K334" s="122" t="s">
        <v>2109</v>
      </c>
      <c r="L334" s="153" t="str">
        <f>CONNECTIONS_TABLE[[#This Row],[Switch]]&amp;" "&amp;CONNECTIONS_TABLE[[#This Row],[Switch Port]]</f>
        <v>FGHLHN144 gi1/0/3</v>
      </c>
      <c r="M334" s="122" t="s">
        <v>1991</v>
      </c>
      <c r="N334" s="122" t="s">
        <v>1988</v>
      </c>
      <c r="O334" s="152"/>
      <c r="P334" s="152"/>
      <c r="Q334" s="156" t="str">
        <f>IF(L334="","",IFERROR(VLOOKUP(UPPER($G334)&amp;"/"&amp;$P334,NETWORKS_TABLE[],MATCH(Q$3,NETWORKS_TABLE[#Headers],0),FALSE),""))</f>
        <v/>
      </c>
      <c r="R334" s="156" t="str">
        <f>IF(B334="","",IFERROR(VLOOKUP(UPPER($G334)&amp;"/"&amp;$P334,NETWORKS_TABLE[],MATCH(R$3,NETWORKS_TABLE[#Headers],0),FALSE),""))</f>
        <v/>
      </c>
      <c r="S334" s="188"/>
      <c r="T334" s="152"/>
      <c r="U334" s="152"/>
      <c r="V334" s="155"/>
    </row>
    <row r="335" spans="1:22">
      <c r="A335" s="40"/>
      <c r="B335" s="151" t="s">
        <v>3085</v>
      </c>
      <c r="C335" s="152" t="s">
        <v>3086</v>
      </c>
      <c r="D335" s="153" t="s">
        <v>3086</v>
      </c>
      <c r="E335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IPS Monitoring/Monitoring (Monitoring)</v>
      </c>
      <c r="F335" s="154"/>
      <c r="G335" s="153" t="s">
        <v>57</v>
      </c>
      <c r="H335" s="153" t="str">
        <f>IF(B335="","",VLOOKUP(B335,DEVICE_TABLE[#Data],MATCH(H$3,DEVICE_TABLE[#Headers],0),FALSE))</f>
        <v>Cr2</v>
      </c>
      <c r="I335" s="122" t="s">
        <v>1575</v>
      </c>
      <c r="J335" s="122" t="s">
        <v>3090</v>
      </c>
      <c r="K335" s="122" t="s">
        <v>3052</v>
      </c>
      <c r="L335" s="153" t="str">
        <f>CONNECTIONS_TABLE[[#This Row],[Switch]]&amp;" "&amp;CONNECTIONS_TABLE[[#This Row],[Switch Port]]</f>
        <v>FGHLHn142-2 gi2/0/48</v>
      </c>
      <c r="M335" s="122" t="s">
        <v>1991</v>
      </c>
      <c r="N335" s="122" t="s">
        <v>1988</v>
      </c>
      <c r="O335" s="152"/>
      <c r="P335" s="152"/>
      <c r="Q335" s="156" t="str">
        <f>IF(L335="","",IFERROR(VLOOKUP(UPPER($G335)&amp;"/"&amp;$P335,NETWORKS_TABLE[],MATCH(Q$3,NETWORKS_TABLE[#Headers],0),FALSE),""))</f>
        <v/>
      </c>
      <c r="R335" s="156" t="str">
        <f>IF(B335="","",IFERROR(VLOOKUP(UPPER($G335)&amp;"/"&amp;$P335,NETWORKS_TABLE[],MATCH(R$3,NETWORKS_TABLE[#Headers],0),FALSE),""))</f>
        <v/>
      </c>
      <c r="S335" s="188"/>
      <c r="T335" s="152"/>
      <c r="U335" s="152"/>
      <c r="V335" s="155"/>
    </row>
    <row r="336" spans="1:22">
      <c r="A336" s="40"/>
      <c r="B336" s="151" t="s">
        <v>3085</v>
      </c>
      <c r="C336" s="152" t="s">
        <v>3086</v>
      </c>
      <c r="D336" s="153" t="s">
        <v>3086</v>
      </c>
      <c r="E336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>IPS Monitoring/Monitoring (Monitoring)</v>
      </c>
      <c r="F336" s="154"/>
      <c r="G336" s="153" t="s">
        <v>57</v>
      </c>
      <c r="H336" s="153" t="s">
        <v>3092</v>
      </c>
      <c r="I336" s="122" t="s">
        <v>1575</v>
      </c>
      <c r="J336" s="122" t="s">
        <v>1083</v>
      </c>
      <c r="K336" s="122" t="s">
        <v>3093</v>
      </c>
      <c r="L336" s="153" t="str">
        <f>CONNECTIONS_TABLE[[#This Row],[Switch]]&amp;" "&amp;CONNECTIONS_TABLE[[#This Row],[Switch Port]]</f>
        <v>FGHLHN141-2 gi2/0/46</v>
      </c>
      <c r="M336" s="122" t="s">
        <v>1991</v>
      </c>
      <c r="N336" s="122" t="s">
        <v>1988</v>
      </c>
      <c r="O336" s="152"/>
      <c r="P336" s="152"/>
      <c r="Q336" s="156" t="str">
        <f>IF(L336="","",IFERROR(VLOOKUP(UPPER($G336)&amp;"/"&amp;$P336,NETWORKS_TABLE[],MATCH(Q$3,NETWORKS_TABLE[#Headers],0),FALSE),""))</f>
        <v/>
      </c>
      <c r="R336" s="156" t="str">
        <f>IF(B336="","",IFERROR(VLOOKUP(UPPER($G336)&amp;"/"&amp;$P336,NETWORKS_TABLE[],MATCH(R$3,NETWORKS_TABLE[#Headers],0),FALSE),""))</f>
        <v/>
      </c>
      <c r="S336" s="188"/>
      <c r="T336" s="152"/>
      <c r="U336" s="152"/>
      <c r="V336" s="155"/>
    </row>
    <row r="337" spans="1:22">
      <c r="A337" s="40"/>
      <c r="B337" s="151"/>
      <c r="C337" s="152"/>
      <c r="D337" s="153"/>
      <c r="E337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37" s="154"/>
      <c r="G337" s="153"/>
      <c r="H337" s="153" t="str">
        <f>IF(B337="","",VLOOKUP(B337,DEVICE_TABLE[#Data],MATCH(H$3,DEVICE_TABLE[#Headers],0),FALSE))</f>
        <v/>
      </c>
      <c r="I337" s="122"/>
      <c r="J337" s="122"/>
      <c r="K337" s="122"/>
      <c r="L337" s="153" t="str">
        <f>CONNECTIONS_TABLE[[#This Row],[Switch]]&amp;" "&amp;CONNECTIONS_TABLE[[#This Row],[Switch Port]]</f>
        <v xml:space="preserve"> </v>
      </c>
      <c r="M337" s="122"/>
      <c r="N337" s="122"/>
      <c r="O337" s="152"/>
      <c r="P337" s="152"/>
      <c r="Q337" s="156" t="str">
        <f>IF(L337="","",IFERROR(VLOOKUP(UPPER($G337)&amp;"/"&amp;$P337,NETWORKS_TABLE[],MATCH(Q$3,NETWORKS_TABLE[#Headers],0),FALSE),""))</f>
        <v/>
      </c>
      <c r="R337" s="156" t="str">
        <f>IF(B337="","",IFERROR(VLOOKUP(UPPER($G337)&amp;"/"&amp;$P337,NETWORKS_TABLE[],MATCH(R$3,NETWORKS_TABLE[#Headers],0),FALSE),""))</f>
        <v/>
      </c>
      <c r="S337" s="188"/>
      <c r="T337" s="152"/>
      <c r="U337" s="152"/>
      <c r="V337" s="155"/>
    </row>
    <row r="338" spans="1:22">
      <c r="A338" s="40"/>
      <c r="B338" s="151"/>
      <c r="C338" s="152"/>
      <c r="D338" s="153"/>
      <c r="E338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38" s="154"/>
      <c r="G338" s="153"/>
      <c r="H338" s="153" t="str">
        <f>IF(B338="","",VLOOKUP(B338,DEVICE_TABLE[#Data],MATCH(H$3,DEVICE_TABLE[#Headers],0),FALSE))</f>
        <v/>
      </c>
      <c r="I338" s="122"/>
      <c r="J338" s="122"/>
      <c r="K338" s="122"/>
      <c r="L338" s="153" t="str">
        <f>CONNECTIONS_TABLE[[#This Row],[Switch]]&amp;" "&amp;CONNECTIONS_TABLE[[#This Row],[Switch Port]]</f>
        <v xml:space="preserve"> </v>
      </c>
      <c r="M338" s="122"/>
      <c r="N338" s="122"/>
      <c r="O338" s="152"/>
      <c r="P338" s="152"/>
      <c r="Q338" s="156" t="str">
        <f>IF(L338="","",IFERROR(VLOOKUP(UPPER($G338)&amp;"/"&amp;$P338,NETWORKS_TABLE[],MATCH(Q$3,NETWORKS_TABLE[#Headers],0),FALSE),""))</f>
        <v/>
      </c>
      <c r="R338" s="156" t="str">
        <f>IF(B338="","",IFERROR(VLOOKUP(UPPER($G338)&amp;"/"&amp;$P338,NETWORKS_TABLE[],MATCH(R$3,NETWORKS_TABLE[#Headers],0),FALSE),""))</f>
        <v/>
      </c>
      <c r="S338" s="188"/>
      <c r="T338" s="152"/>
      <c r="U338" s="152"/>
      <c r="V338" s="155"/>
    </row>
    <row r="339" spans="1:22">
      <c r="A339" s="40"/>
      <c r="B339" s="151"/>
      <c r="C339" s="152"/>
      <c r="D339" s="153"/>
      <c r="E339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39" s="154"/>
      <c r="G339" s="153"/>
      <c r="H339" s="153" t="str">
        <f>IF(B339="","",VLOOKUP(B339,DEVICE_TABLE[#Data],MATCH(H$3,DEVICE_TABLE[#Headers],0),FALSE))</f>
        <v/>
      </c>
      <c r="I339" s="122"/>
      <c r="J339" s="122"/>
      <c r="K339" s="122"/>
      <c r="L339" s="153" t="str">
        <f>CONNECTIONS_TABLE[[#This Row],[Switch]]&amp;" "&amp;CONNECTIONS_TABLE[[#This Row],[Switch Port]]</f>
        <v xml:space="preserve"> </v>
      </c>
      <c r="M339" s="122"/>
      <c r="N339" s="122"/>
      <c r="O339" s="152"/>
      <c r="P339" s="152"/>
      <c r="Q339" s="156" t="str">
        <f>IF(L339="","",IFERROR(VLOOKUP(UPPER($G339)&amp;"/"&amp;$P339,NETWORKS_TABLE[],MATCH(Q$3,NETWORKS_TABLE[#Headers],0),FALSE),""))</f>
        <v/>
      </c>
      <c r="R339" s="156" t="str">
        <f>IF(B339="","",IFERROR(VLOOKUP(UPPER($G339)&amp;"/"&amp;$P339,NETWORKS_TABLE[],MATCH(R$3,NETWORKS_TABLE[#Headers],0),FALSE),""))</f>
        <v/>
      </c>
      <c r="S339" s="188"/>
      <c r="T339" s="152"/>
      <c r="U339" s="152"/>
      <c r="V339" s="155"/>
    </row>
    <row r="340" spans="1:22">
      <c r="A340" s="40"/>
      <c r="B340" s="151"/>
      <c r="C340" s="152"/>
      <c r="D340" s="153"/>
      <c r="E340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40" s="154"/>
      <c r="G340" s="153"/>
      <c r="H340" s="153" t="str">
        <f>IF(B340="","",VLOOKUP(B340,DEVICE_TABLE[#Data],MATCH(H$3,DEVICE_TABLE[#Headers],0),FALSE))</f>
        <v/>
      </c>
      <c r="I340" s="122"/>
      <c r="J340" s="122"/>
      <c r="K340" s="122"/>
      <c r="L340" s="153" t="str">
        <f>CONNECTIONS_TABLE[[#This Row],[Switch]]&amp;" "&amp;CONNECTIONS_TABLE[[#This Row],[Switch Port]]</f>
        <v xml:space="preserve"> </v>
      </c>
      <c r="M340" s="122"/>
      <c r="N340" s="122"/>
      <c r="O340" s="152"/>
      <c r="P340" s="152"/>
      <c r="Q340" s="156" t="str">
        <f>IF(L340="","",IFERROR(VLOOKUP(UPPER($G340)&amp;"/"&amp;$P340,NETWORKS_TABLE[],MATCH(Q$3,NETWORKS_TABLE[#Headers],0),FALSE),""))</f>
        <v/>
      </c>
      <c r="R340" s="156" t="str">
        <f>IF(B340="","",IFERROR(VLOOKUP(UPPER($G340)&amp;"/"&amp;$P340,NETWORKS_TABLE[],MATCH(R$3,NETWORKS_TABLE[#Headers],0),FALSE),""))</f>
        <v/>
      </c>
      <c r="S340" s="188"/>
      <c r="T340" s="152"/>
      <c r="U340" s="152"/>
      <c r="V340" s="155"/>
    </row>
    <row r="341" spans="1:22">
      <c r="A341" s="40"/>
      <c r="B341" s="151"/>
      <c r="C341" s="152"/>
      <c r="D341" s="153"/>
      <c r="E341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41" s="154"/>
      <c r="G341" s="153"/>
      <c r="H341" s="153" t="str">
        <f>IF(B341="","",VLOOKUP(B341,DEVICE_TABLE[#Data],MATCH(H$3,DEVICE_TABLE[#Headers],0),FALSE))</f>
        <v/>
      </c>
      <c r="I341" s="122"/>
      <c r="J341" s="122"/>
      <c r="K341" s="122"/>
      <c r="L341" s="153" t="str">
        <f>CONNECTIONS_TABLE[[#This Row],[Switch]]&amp;" "&amp;CONNECTIONS_TABLE[[#This Row],[Switch Port]]</f>
        <v xml:space="preserve"> </v>
      </c>
      <c r="M341" s="122"/>
      <c r="N341" s="122"/>
      <c r="O341" s="152"/>
      <c r="P341" s="152"/>
      <c r="Q341" s="156" t="str">
        <f>IF(L341="","",IFERROR(VLOOKUP(UPPER($G341)&amp;"/"&amp;$P341,NETWORKS_TABLE[],MATCH(Q$3,NETWORKS_TABLE[#Headers],0),FALSE),""))</f>
        <v/>
      </c>
      <c r="R341" s="156" t="str">
        <f>IF(B341="","",IFERROR(VLOOKUP(UPPER($G341)&amp;"/"&amp;$P341,NETWORKS_TABLE[],MATCH(R$3,NETWORKS_TABLE[#Headers],0),FALSE),""))</f>
        <v/>
      </c>
      <c r="S341" s="188"/>
      <c r="T341" s="152"/>
      <c r="U341" s="152"/>
      <c r="V341" s="155"/>
    </row>
    <row r="342" spans="1:22">
      <c r="A342" s="40"/>
      <c r="B342" s="151"/>
      <c r="C342" s="152"/>
      <c r="D342" s="153"/>
      <c r="E342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42" s="154"/>
      <c r="G342" s="153"/>
      <c r="H342" s="153" t="str">
        <f>IF(B342="","",VLOOKUP(B342,DEVICE_TABLE[#Data],MATCH(H$3,DEVICE_TABLE[#Headers],0),FALSE))</f>
        <v/>
      </c>
      <c r="I342" s="122"/>
      <c r="J342" s="122"/>
      <c r="K342" s="122"/>
      <c r="L342" s="153" t="str">
        <f>CONNECTIONS_TABLE[[#This Row],[Switch]]&amp;" "&amp;CONNECTIONS_TABLE[[#This Row],[Switch Port]]</f>
        <v xml:space="preserve"> </v>
      </c>
      <c r="M342" s="122"/>
      <c r="N342" s="122"/>
      <c r="O342" s="152"/>
      <c r="P342" s="152"/>
      <c r="Q342" s="156" t="str">
        <f>IF(L342="","",IFERROR(VLOOKUP(UPPER($G342)&amp;"/"&amp;$P342,NETWORKS_TABLE[],MATCH(Q$3,NETWORKS_TABLE[#Headers],0),FALSE),""))</f>
        <v/>
      </c>
      <c r="R342" s="156" t="str">
        <f>IF(B342="","",IFERROR(VLOOKUP(UPPER($G342)&amp;"/"&amp;$P342,NETWORKS_TABLE[],MATCH(R$3,NETWORKS_TABLE[#Headers],0),FALSE),""))</f>
        <v/>
      </c>
      <c r="S342" s="188"/>
      <c r="T342" s="152"/>
      <c r="U342" s="152"/>
      <c r="V342" s="155"/>
    </row>
    <row r="343" spans="1:22">
      <c r="A343" s="40"/>
      <c r="B343" s="151"/>
      <c r="C343" s="152"/>
      <c r="D343" s="118" t="str">
        <f>IF(CONNECTIONS_TABLE[[#This Row],[Device Name]]="","",VLOOKUP(CONNECTIONS_TABLE[[#This Row],[Device Name]],DEVICE_TABLE[#Data],MATCH(D$3,DEVICE_TABLE[#Headers],0),FALSE))</f>
        <v/>
      </c>
      <c r="E343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43" s="154"/>
      <c r="G343" s="118" t="str">
        <f>IF(CONNECTIONS_TABLE[[#This Row],[Device Name]]="","",VLOOKUP(CONNECTIONS_TABLE[[#This Row],[Device Name]],DEVICE_TABLE[],MATCH(G$3,DEVICE_TABLE[#Headers],0),FALSE))</f>
        <v/>
      </c>
      <c r="H343" s="153" t="str">
        <f>IF(B343="","",VLOOKUP(B343,DEVICE_TABLE[#Data],MATCH(H$3,DEVICE_TABLE[#Headers],0),FALSE))</f>
        <v/>
      </c>
      <c r="I343" s="122"/>
      <c r="J343" s="122"/>
      <c r="K343" s="122"/>
      <c r="L343" s="153" t="str">
        <f>CONNECTIONS_TABLE[[#This Row],[Switch]]&amp;" "&amp;CONNECTIONS_TABLE[[#This Row],[Switch Port]]</f>
        <v xml:space="preserve"> </v>
      </c>
      <c r="M343" s="122"/>
      <c r="N343" s="122"/>
      <c r="O343" s="152"/>
      <c r="P343" s="152"/>
      <c r="Q343" s="156" t="str">
        <f>IF(L343="","",IFERROR(VLOOKUP(UPPER($G343)&amp;"/"&amp;$P343,NETWORKS_TABLE[],MATCH(Q$3,NETWORKS_TABLE[#Headers],0),FALSE),""))</f>
        <v/>
      </c>
      <c r="R343" s="156" t="str">
        <f>IF(B343="","",IFERROR(VLOOKUP(UPPER($G343)&amp;"/"&amp;$P343,NETWORKS_TABLE[],MATCH(R$3,NETWORKS_TABLE[#Headers],0),FALSE),""))</f>
        <v/>
      </c>
      <c r="S343" s="188" t="s" cm="1">
        <v>78</v>
      </c>
      <c r="T343" s="152"/>
      <c r="U343" s="152"/>
      <c r="V343" s="155"/>
    </row>
    <row r="344" spans="1:22">
      <c r="A344" s="40"/>
      <c r="B344" s="151"/>
      <c r="C344" s="152"/>
      <c r="D344" s="118" t="str">
        <f>IF(CONNECTIONS_TABLE[[#This Row],[Device Name]]="","",VLOOKUP(CONNECTIONS_TABLE[[#This Row],[Device Name]],DEVICE_TABLE[#Data],MATCH(D$3,DEVICE_TABLE[#Headers],0),FALSE))</f>
        <v/>
      </c>
      <c r="E344" s="118" t="str">
        <f>IF(CONNECTIONS_TABLE[[#This Row],[Device Name]]&lt;&gt;"",CONNECTIONS_TABLE[[#This Row],[Device Name]]&amp;IF(CONNECTIONS_TABLE[[#This Row],[Device Port]]&lt;&gt;"","/"&amp;CONNECTIONS_TABLE[[#This Row],[Device Port]],"")&amp;IF(CONNECTIONS_TABLE[[#This Row],[Role]]&lt;&gt;""," ("&amp;CONNECTIONS_TABLE[[#This Row],[Role]]&amp;")",""),"")</f>
        <v/>
      </c>
      <c r="F344" s="154"/>
      <c r="G344" s="118" t="str">
        <f>IF(CONNECTIONS_TABLE[[#This Row],[Device Name]]="","",VLOOKUP(CONNECTIONS_TABLE[[#This Row],[Device Name]],DEVICE_TABLE[],MATCH(G$3,DEVICE_TABLE[#Headers],0),FALSE))</f>
        <v/>
      </c>
      <c r="H344" s="153" t="str">
        <f>IF(B344="","",VLOOKUP(B344,DEVICE_TABLE[#Data],MATCH(H$3,DEVICE_TABLE[#Headers],0),FALSE))</f>
        <v/>
      </c>
      <c r="I344" s="122"/>
      <c r="J344" s="122"/>
      <c r="K344" s="122"/>
      <c r="L344" s="153" t="str">
        <f>CONNECTIONS_TABLE[[#This Row],[Switch]]&amp;" "&amp;CONNECTIONS_TABLE[[#This Row],[Switch Port]]</f>
        <v xml:space="preserve"> </v>
      </c>
      <c r="M344" s="122"/>
      <c r="N344" s="122"/>
      <c r="O344" s="152"/>
      <c r="P344" s="152"/>
      <c r="Q344" s="156" t="str">
        <f>IF(L344="","",IFERROR(VLOOKUP(UPPER($G344)&amp;"/"&amp;$P344,NETWORKS_TABLE[],MATCH(Q$3,NETWORKS_TABLE[#Headers],0),FALSE),""))</f>
        <v/>
      </c>
      <c r="R344" s="156" t="str">
        <f>IF(B344="","",IFERROR(VLOOKUP(UPPER($G344)&amp;"/"&amp;$P344,NETWORKS_TABLE[],MATCH(R$3,NETWORKS_TABLE[#Headers],0),FALSE),""))</f>
        <v/>
      </c>
      <c r="S344" s="188" t="s">
        <v>78</v>
      </c>
      <c r="T344" s="152"/>
      <c r="U344" s="152"/>
      <c r="V344" s="155"/>
    </row>
    <row r="345" spans="1:22">
      <c r="A345" s="40"/>
      <c r="B345" s="177"/>
      <c r="C345" s="177"/>
      <c r="D345" s="177"/>
      <c r="E345" s="177"/>
      <c r="F345" s="177"/>
      <c r="G345" s="177"/>
      <c r="H345" s="177"/>
      <c r="I345" s="177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8"/>
    </row>
    <row r="346" spans="1:22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63"/>
      <c r="R346" s="40"/>
      <c r="S346" s="40"/>
      <c r="T346" s="40"/>
      <c r="U346" s="40"/>
      <c r="V346" s="40"/>
    </row>
    <row r="347" spans="1:22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63"/>
      <c r="R347" s="40"/>
      <c r="S347" s="40"/>
      <c r="T347" s="40"/>
      <c r="U347" s="40"/>
      <c r="V347" s="40"/>
    </row>
    <row r="348" spans="1:22">
      <c r="A348" s="40"/>
      <c r="B348" s="40"/>
      <c r="C348" s="40" t="s">
        <v>1867</v>
      </c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63"/>
      <c r="R348" s="40"/>
      <c r="S348" s="40"/>
      <c r="T348" s="40"/>
      <c r="U348" s="40"/>
      <c r="V348" s="40"/>
    </row>
    <row r="349" spans="1:22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63"/>
      <c r="R349" s="40"/>
      <c r="S349" s="40"/>
      <c r="T349" s="40"/>
      <c r="U349" s="40"/>
      <c r="V349" s="40"/>
    </row>
    <row r="350" spans="1:22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63"/>
      <c r="R350" s="40"/>
      <c r="S350" s="40"/>
      <c r="T350" s="40"/>
      <c r="U350" s="40"/>
      <c r="V350" s="40"/>
    </row>
    <row r="351" spans="1:22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63"/>
      <c r="R351" s="40"/>
      <c r="S351" s="40"/>
      <c r="T351" s="40"/>
      <c r="U351" s="40"/>
      <c r="V351" s="40"/>
    </row>
    <row r="352" spans="1:2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63"/>
      <c r="R352" s="40"/>
      <c r="S352" s="40"/>
      <c r="T352" s="40"/>
      <c r="U352" s="40"/>
      <c r="V352" s="40"/>
    </row>
    <row r="353" spans="1:22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63"/>
      <c r="R353" s="40"/>
      <c r="S353" s="40"/>
      <c r="T353" s="40"/>
      <c r="U353" s="40"/>
      <c r="V353" s="40"/>
    </row>
    <row r="354" spans="1:22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63"/>
      <c r="R354" s="40"/>
      <c r="S354" s="40"/>
      <c r="T354" s="40"/>
      <c r="U354" s="40"/>
      <c r="V354" s="40"/>
    </row>
    <row r="355" spans="1:22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63"/>
      <c r="R355" s="40"/>
      <c r="S355" s="40"/>
      <c r="T355" s="40"/>
      <c r="U355" s="40"/>
      <c r="V355" s="40"/>
    </row>
    <row r="356" spans="1:22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63"/>
      <c r="R356" s="40"/>
      <c r="S356" s="40"/>
      <c r="T356" s="40"/>
      <c r="U356" s="40"/>
      <c r="V356" s="40"/>
    </row>
    <row r="357" spans="1:22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63"/>
      <c r="R357" s="40"/>
      <c r="S357" s="40"/>
      <c r="T357" s="40"/>
      <c r="U357" s="40"/>
      <c r="V357" s="40"/>
    </row>
    <row r="358" spans="1:22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63"/>
      <c r="R358" s="40"/>
      <c r="S358" s="40"/>
      <c r="T358" s="40"/>
      <c r="U358" s="40"/>
      <c r="V358" s="40"/>
    </row>
    <row r="359" spans="1:22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63"/>
      <c r="R359" s="40"/>
      <c r="S359" s="40"/>
      <c r="T359" s="40"/>
      <c r="U359" s="40"/>
      <c r="V359" s="40"/>
    </row>
    <row r="360" spans="1:22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63"/>
      <c r="R360" s="40"/>
      <c r="S360" s="40"/>
      <c r="T360" s="40"/>
      <c r="U360" s="40"/>
      <c r="V360" s="40"/>
    </row>
    <row r="361" spans="1:22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63"/>
      <c r="R361" s="40"/>
      <c r="S361" s="40"/>
      <c r="T361" s="40"/>
      <c r="U361" s="40"/>
      <c r="V361" s="40"/>
    </row>
    <row r="362" spans="1:2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63"/>
      <c r="R362" s="40"/>
      <c r="S362" s="40"/>
      <c r="T362" s="40"/>
      <c r="U362" s="40"/>
      <c r="V362" s="40"/>
    </row>
    <row r="363" spans="1:22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63"/>
      <c r="R363" s="40"/>
      <c r="S363" s="40"/>
      <c r="T363" s="40"/>
      <c r="U363" s="40"/>
      <c r="V363" s="40"/>
    </row>
    <row r="364" spans="1:22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63"/>
      <c r="R364" s="40"/>
      <c r="S364" s="40"/>
      <c r="T364" s="40"/>
      <c r="U364" s="40"/>
      <c r="V364" s="40"/>
    </row>
    <row r="365" spans="1:22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63"/>
      <c r="R365" s="40"/>
      <c r="S365" s="40"/>
      <c r="T365" s="40"/>
      <c r="U365" s="40"/>
      <c r="V365" s="40"/>
    </row>
    <row r="366" spans="1:22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63"/>
      <c r="R366" s="40"/>
      <c r="S366" s="40"/>
      <c r="T366" s="40"/>
      <c r="U366" s="40"/>
      <c r="V366" s="40"/>
    </row>
    <row r="367" spans="1:22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63"/>
      <c r="R367" s="40"/>
      <c r="S367" s="40"/>
      <c r="T367" s="40"/>
      <c r="U367" s="40"/>
      <c r="V367" s="40"/>
    </row>
    <row r="368" spans="1:22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63"/>
      <c r="R368" s="40"/>
      <c r="S368" s="40"/>
      <c r="T368" s="40"/>
      <c r="U368" s="40"/>
      <c r="V368" s="40"/>
    </row>
    <row r="369" spans="1:22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63"/>
      <c r="R369" s="40"/>
      <c r="S369" s="40"/>
      <c r="T369" s="40"/>
      <c r="U369" s="40"/>
      <c r="V369" s="40"/>
    </row>
    <row r="370" spans="1:22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63"/>
      <c r="R370" s="40"/>
      <c r="S370" s="40"/>
      <c r="T370" s="40"/>
      <c r="U370" s="40"/>
      <c r="V370" s="40"/>
    </row>
    <row r="371" spans="1:22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63"/>
      <c r="R371" s="40"/>
      <c r="S371" s="40"/>
      <c r="T371" s="40"/>
      <c r="U371" s="40"/>
      <c r="V371" s="40"/>
    </row>
    <row r="372" spans="1:2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63"/>
      <c r="R372" s="40"/>
      <c r="S372" s="40"/>
      <c r="T372" s="40"/>
      <c r="U372" s="40"/>
      <c r="V372" s="40"/>
    </row>
  </sheetData>
  <phoneticPr fontId="20" type="noConversion"/>
  <conditionalFormatting sqref="H4 H345 H248">
    <cfRule type="containsText" dxfId="1636" priority="394" operator="containsText" text="CR2">
      <formula>NOT(ISERROR(SEARCH("CR2",H4)))</formula>
    </cfRule>
    <cfRule type="containsText" dxfId="1635" priority="395" operator="containsText" text="CR1">
      <formula>NOT(ISERROR(SEARCH("CR1",H4)))</formula>
    </cfRule>
  </conditionalFormatting>
  <conditionalFormatting sqref="L1:L4 L345:L372">
    <cfRule type="containsBlanks" priority="348" stopIfTrue="1">
      <formula>LEN(TRIM(L1))=0</formula>
    </cfRule>
    <cfRule type="duplicateValues" dxfId="1634" priority="349"/>
  </conditionalFormatting>
  <conditionalFormatting sqref="I4 I248">
    <cfRule type="containsText" dxfId="1633" priority="297" stopIfTrue="1" operator="containsText" text="Planned">
      <formula>NOT(ISERROR(SEARCH("Planned",I4)))</formula>
    </cfRule>
    <cfRule type="containsText" dxfId="1632" priority="298" stopIfTrue="1" operator="containsText" text="Configured">
      <formula>NOT(ISERROR(SEARCH("Configured",I4)))</formula>
    </cfRule>
    <cfRule type="containsText" dxfId="1631" priority="299" stopIfTrue="1" operator="containsText" text="Live">
      <formula>NOT(ISERROR(SEARCH("Live",I4)))</formula>
    </cfRule>
  </conditionalFormatting>
  <conditionalFormatting sqref="H5:H230 H232 H234 H238:H246 H300:H344">
    <cfRule type="containsText" dxfId="1630" priority="295" operator="containsText" text="CR2">
      <formula>NOT(ISERROR(SEARCH("CR2",H5)))</formula>
    </cfRule>
    <cfRule type="containsText" dxfId="1629" priority="296" operator="containsText" text="CR1">
      <formula>NOT(ISERROR(SEARCH("CR1",H5)))</formula>
    </cfRule>
  </conditionalFormatting>
  <conditionalFormatting sqref="I5:I230 I232 I234 I238:I246 I300:I344">
    <cfRule type="containsText" dxfId="1628" priority="290" stopIfTrue="1" operator="containsText" text="Planned">
      <formula>NOT(ISERROR(SEARCH("Planned",I5)))</formula>
    </cfRule>
    <cfRule type="containsText" dxfId="1627" priority="291" stopIfTrue="1" operator="containsText" text="Configured">
      <formula>NOT(ISERROR(SEARCH("Configured",I5)))</formula>
    </cfRule>
    <cfRule type="containsText" dxfId="1626" priority="292" stopIfTrue="1" operator="containsText" text="Live">
      <formula>NOT(ISERROR(SEARCH("Live",I5)))</formula>
    </cfRule>
  </conditionalFormatting>
  <conditionalFormatting sqref="H231">
    <cfRule type="containsText" dxfId="1625" priority="288" operator="containsText" text="CR2">
      <formula>NOT(ISERROR(SEARCH("CR2",H231)))</formula>
    </cfRule>
    <cfRule type="containsText" dxfId="1624" priority="289" operator="containsText" text="CR1">
      <formula>NOT(ISERROR(SEARCH("CR1",H231)))</formula>
    </cfRule>
  </conditionalFormatting>
  <conditionalFormatting sqref="I231">
    <cfRule type="containsText" dxfId="1623" priority="285" stopIfTrue="1" operator="containsText" text="Planned">
      <formula>NOT(ISERROR(SEARCH("Planned",I231)))</formula>
    </cfRule>
    <cfRule type="containsText" dxfId="1622" priority="286" stopIfTrue="1" operator="containsText" text="Configured">
      <formula>NOT(ISERROR(SEARCH("Configured",I231)))</formula>
    </cfRule>
    <cfRule type="containsText" dxfId="1621" priority="287" stopIfTrue="1" operator="containsText" text="Live">
      <formula>NOT(ISERROR(SEARCH("Live",I231)))</formula>
    </cfRule>
  </conditionalFormatting>
  <conditionalFormatting sqref="H233">
    <cfRule type="containsText" dxfId="1620" priority="283" operator="containsText" text="CR2">
      <formula>NOT(ISERROR(SEARCH("CR2",H233)))</formula>
    </cfRule>
    <cfRule type="containsText" dxfId="1619" priority="284" operator="containsText" text="CR1">
      <formula>NOT(ISERROR(SEARCH("CR1",H233)))</formula>
    </cfRule>
  </conditionalFormatting>
  <conditionalFormatting sqref="I233">
    <cfRule type="containsText" dxfId="1618" priority="278" stopIfTrue="1" operator="containsText" text="Planned">
      <formula>NOT(ISERROR(SEARCH("Planned",I233)))</formula>
    </cfRule>
    <cfRule type="containsText" dxfId="1617" priority="279" stopIfTrue="1" operator="containsText" text="Configured">
      <formula>NOT(ISERROR(SEARCH("Configured",I233)))</formula>
    </cfRule>
    <cfRule type="containsText" dxfId="1616" priority="280" stopIfTrue="1" operator="containsText" text="Live">
      <formula>NOT(ISERROR(SEARCH("Live",I233)))</formula>
    </cfRule>
  </conditionalFormatting>
  <conditionalFormatting sqref="L233">
    <cfRule type="containsBlanks" priority="281" stopIfTrue="1">
      <formula>LEN(TRIM(L233))=0</formula>
    </cfRule>
    <cfRule type="duplicateValues" dxfId="1615" priority="282"/>
  </conditionalFormatting>
  <conditionalFormatting sqref="H235">
    <cfRule type="containsText" dxfId="1614" priority="276" operator="containsText" text="CR2">
      <formula>NOT(ISERROR(SEARCH("CR2",H235)))</formula>
    </cfRule>
    <cfRule type="containsText" dxfId="1613" priority="277" operator="containsText" text="CR1">
      <formula>NOT(ISERROR(SEARCH("CR1",H235)))</formula>
    </cfRule>
  </conditionalFormatting>
  <conditionalFormatting sqref="I235">
    <cfRule type="containsText" dxfId="1612" priority="271" stopIfTrue="1" operator="containsText" text="Planned">
      <formula>NOT(ISERROR(SEARCH("Planned",I235)))</formula>
    </cfRule>
    <cfRule type="containsText" dxfId="1611" priority="272" stopIfTrue="1" operator="containsText" text="Configured">
      <formula>NOT(ISERROR(SEARCH("Configured",I235)))</formula>
    </cfRule>
    <cfRule type="containsText" dxfId="1610" priority="273" stopIfTrue="1" operator="containsText" text="Live">
      <formula>NOT(ISERROR(SEARCH("Live",I235)))</formula>
    </cfRule>
  </conditionalFormatting>
  <conditionalFormatting sqref="L235">
    <cfRule type="containsBlanks" priority="274" stopIfTrue="1">
      <formula>LEN(TRIM(L235))=0</formula>
    </cfRule>
    <cfRule type="duplicateValues" dxfId="1609" priority="275"/>
  </conditionalFormatting>
  <conditionalFormatting sqref="H236">
    <cfRule type="containsText" dxfId="1608" priority="269" operator="containsText" text="CR2">
      <formula>NOT(ISERROR(SEARCH("CR2",H236)))</formula>
    </cfRule>
    <cfRule type="containsText" dxfId="1607" priority="270" operator="containsText" text="CR1">
      <formula>NOT(ISERROR(SEARCH("CR1",H236)))</formula>
    </cfRule>
  </conditionalFormatting>
  <conditionalFormatting sqref="I236">
    <cfRule type="containsText" dxfId="1606" priority="264" stopIfTrue="1" operator="containsText" text="Planned">
      <formula>NOT(ISERROR(SEARCH("Planned",I236)))</formula>
    </cfRule>
    <cfRule type="containsText" dxfId="1605" priority="265" stopIfTrue="1" operator="containsText" text="Configured">
      <formula>NOT(ISERROR(SEARCH("Configured",I236)))</formula>
    </cfRule>
    <cfRule type="containsText" dxfId="1604" priority="266" stopIfTrue="1" operator="containsText" text="Live">
      <formula>NOT(ISERROR(SEARCH("Live",I236)))</formula>
    </cfRule>
  </conditionalFormatting>
  <conditionalFormatting sqref="L236">
    <cfRule type="containsBlanks" priority="267" stopIfTrue="1">
      <formula>LEN(TRIM(L236))=0</formula>
    </cfRule>
    <cfRule type="duplicateValues" dxfId="1603" priority="268"/>
  </conditionalFormatting>
  <conditionalFormatting sqref="H237">
    <cfRule type="containsText" dxfId="1602" priority="262" operator="containsText" text="CR2">
      <formula>NOT(ISERROR(SEARCH("CR2",H237)))</formula>
    </cfRule>
    <cfRule type="containsText" dxfId="1601" priority="263" operator="containsText" text="CR1">
      <formula>NOT(ISERROR(SEARCH("CR1",H237)))</formula>
    </cfRule>
  </conditionalFormatting>
  <conditionalFormatting sqref="I237">
    <cfRule type="containsText" dxfId="1600" priority="257" stopIfTrue="1" operator="containsText" text="Planned">
      <formula>NOT(ISERROR(SEARCH("Planned",I237)))</formula>
    </cfRule>
    <cfRule type="containsText" dxfId="1599" priority="258" stopIfTrue="1" operator="containsText" text="Configured">
      <formula>NOT(ISERROR(SEARCH("Configured",I237)))</formula>
    </cfRule>
    <cfRule type="containsText" dxfId="1598" priority="259" stopIfTrue="1" operator="containsText" text="Live">
      <formula>NOT(ISERROR(SEARCH("Live",I237)))</formula>
    </cfRule>
  </conditionalFormatting>
  <conditionalFormatting sqref="L237">
    <cfRule type="containsBlanks" priority="260" stopIfTrue="1">
      <formula>LEN(TRIM(L237))=0</formula>
    </cfRule>
    <cfRule type="duplicateValues" dxfId="1597" priority="261"/>
  </conditionalFormatting>
  <conditionalFormatting sqref="L238">
    <cfRule type="containsBlanks" priority="255" stopIfTrue="1">
      <formula>LEN(TRIM(L238))=0</formula>
    </cfRule>
    <cfRule type="duplicateValues" dxfId="1596" priority="256"/>
  </conditionalFormatting>
  <conditionalFormatting sqref="L239">
    <cfRule type="containsBlanks" priority="253" stopIfTrue="1">
      <formula>LEN(TRIM(L239))=0</formula>
    </cfRule>
    <cfRule type="duplicateValues" dxfId="1595" priority="254"/>
  </conditionalFormatting>
  <conditionalFormatting sqref="L240">
    <cfRule type="containsBlanks" priority="251" stopIfTrue="1">
      <formula>LEN(TRIM(L240))=0</formula>
    </cfRule>
    <cfRule type="duplicateValues" dxfId="1594" priority="252"/>
  </conditionalFormatting>
  <conditionalFormatting sqref="L241">
    <cfRule type="containsBlanks" priority="249" stopIfTrue="1">
      <formula>LEN(TRIM(L241))=0</formula>
    </cfRule>
    <cfRule type="duplicateValues" dxfId="1593" priority="250"/>
  </conditionalFormatting>
  <conditionalFormatting sqref="L242">
    <cfRule type="containsBlanks" priority="247" stopIfTrue="1">
      <formula>LEN(TRIM(L242))=0</formula>
    </cfRule>
    <cfRule type="duplicateValues" dxfId="1592" priority="248"/>
  </conditionalFormatting>
  <conditionalFormatting sqref="L243">
    <cfRule type="containsBlanks" priority="245" stopIfTrue="1">
      <formula>LEN(TRIM(L243))=0</formula>
    </cfRule>
    <cfRule type="duplicateValues" dxfId="1591" priority="246"/>
  </conditionalFormatting>
  <conditionalFormatting sqref="L244">
    <cfRule type="containsBlanks" priority="243" stopIfTrue="1">
      <formula>LEN(TRIM(L244))=0</formula>
    </cfRule>
    <cfRule type="duplicateValues" dxfId="1590" priority="244"/>
  </conditionalFormatting>
  <conditionalFormatting sqref="L246">
    <cfRule type="containsBlanks" priority="241" stopIfTrue="1">
      <formula>LEN(TRIM(L246))=0</formula>
    </cfRule>
    <cfRule type="duplicateValues" dxfId="1589" priority="242"/>
  </conditionalFormatting>
  <conditionalFormatting sqref="H247">
    <cfRule type="containsText" dxfId="1588" priority="239" operator="containsText" text="CR2">
      <formula>NOT(ISERROR(SEARCH("CR2",H247)))</formula>
    </cfRule>
    <cfRule type="containsText" dxfId="1587" priority="240" operator="containsText" text="CR1">
      <formula>NOT(ISERROR(SEARCH("CR1",H247)))</formula>
    </cfRule>
  </conditionalFormatting>
  <conditionalFormatting sqref="I247">
    <cfRule type="containsText" dxfId="1586" priority="236" stopIfTrue="1" operator="containsText" text="Planned">
      <formula>NOT(ISERROR(SEARCH("Planned",I247)))</formula>
    </cfRule>
    <cfRule type="containsText" dxfId="1585" priority="237" stopIfTrue="1" operator="containsText" text="Configured">
      <formula>NOT(ISERROR(SEARCH("Configured",I247)))</formula>
    </cfRule>
    <cfRule type="containsText" dxfId="1584" priority="238" stopIfTrue="1" operator="containsText" text="Live">
      <formula>NOT(ISERROR(SEARCH("Live",I247)))</formula>
    </cfRule>
  </conditionalFormatting>
  <conditionalFormatting sqref="L247">
    <cfRule type="containsBlanks" priority="234" stopIfTrue="1">
      <formula>LEN(TRIM(L247))=0</formula>
    </cfRule>
    <cfRule type="duplicateValues" dxfId="1583" priority="235"/>
  </conditionalFormatting>
  <conditionalFormatting sqref="L248">
    <cfRule type="containsBlanks" priority="232" stopIfTrue="1">
      <formula>LEN(TRIM(L248))=0</formula>
    </cfRule>
    <cfRule type="duplicateValues" dxfId="1582" priority="233"/>
  </conditionalFormatting>
  <conditionalFormatting sqref="H249">
    <cfRule type="containsText" dxfId="1581" priority="230" operator="containsText" text="CR2">
      <formula>NOT(ISERROR(SEARCH("CR2",H249)))</formula>
    </cfRule>
    <cfRule type="containsText" dxfId="1580" priority="231" operator="containsText" text="CR1">
      <formula>NOT(ISERROR(SEARCH("CR1",H249)))</formula>
    </cfRule>
  </conditionalFormatting>
  <conditionalFormatting sqref="I249">
    <cfRule type="containsText" dxfId="1579" priority="227" stopIfTrue="1" operator="containsText" text="Planned">
      <formula>NOT(ISERROR(SEARCH("Planned",I249)))</formula>
    </cfRule>
    <cfRule type="containsText" dxfId="1578" priority="228" stopIfTrue="1" operator="containsText" text="Configured">
      <formula>NOT(ISERROR(SEARCH("Configured",I249)))</formula>
    </cfRule>
    <cfRule type="containsText" dxfId="1577" priority="229" stopIfTrue="1" operator="containsText" text="Live">
      <formula>NOT(ISERROR(SEARCH("Live",I249)))</formula>
    </cfRule>
  </conditionalFormatting>
  <conditionalFormatting sqref="L249">
    <cfRule type="containsBlanks" priority="225" stopIfTrue="1">
      <formula>LEN(TRIM(L249))=0</formula>
    </cfRule>
    <cfRule type="duplicateValues" dxfId="1576" priority="226"/>
  </conditionalFormatting>
  <conditionalFormatting sqref="H250">
    <cfRule type="containsText" dxfId="1575" priority="223" operator="containsText" text="CR2">
      <formula>NOT(ISERROR(SEARCH("CR2",H250)))</formula>
    </cfRule>
    <cfRule type="containsText" dxfId="1574" priority="224" operator="containsText" text="CR1">
      <formula>NOT(ISERROR(SEARCH("CR1",H250)))</formula>
    </cfRule>
  </conditionalFormatting>
  <conditionalFormatting sqref="I250">
    <cfRule type="containsText" dxfId="1573" priority="220" stopIfTrue="1" operator="containsText" text="Planned">
      <formula>NOT(ISERROR(SEARCH("Planned",I250)))</formula>
    </cfRule>
    <cfRule type="containsText" dxfId="1572" priority="221" stopIfTrue="1" operator="containsText" text="Configured">
      <formula>NOT(ISERROR(SEARCH("Configured",I250)))</formula>
    </cfRule>
    <cfRule type="containsText" dxfId="1571" priority="222" stopIfTrue="1" operator="containsText" text="Live">
      <formula>NOT(ISERROR(SEARCH("Live",I250)))</formula>
    </cfRule>
  </conditionalFormatting>
  <conditionalFormatting sqref="L250">
    <cfRule type="containsBlanks" priority="218" stopIfTrue="1">
      <formula>LEN(TRIM(L250))=0</formula>
    </cfRule>
    <cfRule type="duplicateValues" dxfId="1570" priority="219"/>
  </conditionalFormatting>
  <conditionalFormatting sqref="H251">
    <cfRule type="containsText" dxfId="1569" priority="216" operator="containsText" text="CR2">
      <formula>NOT(ISERROR(SEARCH("CR2",H251)))</formula>
    </cfRule>
    <cfRule type="containsText" dxfId="1568" priority="217" operator="containsText" text="CR1">
      <formula>NOT(ISERROR(SEARCH("CR1",H251)))</formula>
    </cfRule>
  </conditionalFormatting>
  <conditionalFormatting sqref="I251">
    <cfRule type="containsText" dxfId="1567" priority="213" stopIfTrue="1" operator="containsText" text="Planned">
      <formula>NOT(ISERROR(SEARCH("Planned",I251)))</formula>
    </cfRule>
    <cfRule type="containsText" dxfId="1566" priority="214" stopIfTrue="1" operator="containsText" text="Configured">
      <formula>NOT(ISERROR(SEARCH("Configured",I251)))</formula>
    </cfRule>
    <cfRule type="containsText" dxfId="1565" priority="215" stopIfTrue="1" operator="containsText" text="Live">
      <formula>NOT(ISERROR(SEARCH("Live",I251)))</formula>
    </cfRule>
  </conditionalFormatting>
  <conditionalFormatting sqref="L251">
    <cfRule type="containsBlanks" priority="211" stopIfTrue="1">
      <formula>LEN(TRIM(L251))=0</formula>
    </cfRule>
    <cfRule type="duplicateValues" dxfId="1564" priority="212"/>
  </conditionalFormatting>
  <conditionalFormatting sqref="H252">
    <cfRule type="containsText" dxfId="1563" priority="209" operator="containsText" text="CR2">
      <formula>NOT(ISERROR(SEARCH("CR2",H252)))</formula>
    </cfRule>
    <cfRule type="containsText" dxfId="1562" priority="210" operator="containsText" text="CR1">
      <formula>NOT(ISERROR(SEARCH("CR1",H252)))</formula>
    </cfRule>
  </conditionalFormatting>
  <conditionalFormatting sqref="I252">
    <cfRule type="containsText" dxfId="1561" priority="206" stopIfTrue="1" operator="containsText" text="Planned">
      <formula>NOT(ISERROR(SEARCH("Planned",I252)))</formula>
    </cfRule>
    <cfRule type="containsText" dxfId="1560" priority="207" stopIfTrue="1" operator="containsText" text="Configured">
      <formula>NOT(ISERROR(SEARCH("Configured",I252)))</formula>
    </cfRule>
    <cfRule type="containsText" dxfId="1559" priority="208" stopIfTrue="1" operator="containsText" text="Live">
      <formula>NOT(ISERROR(SEARCH("Live",I252)))</formula>
    </cfRule>
  </conditionalFormatting>
  <conditionalFormatting sqref="L252">
    <cfRule type="containsBlanks" priority="204" stopIfTrue="1">
      <formula>LEN(TRIM(L252))=0</formula>
    </cfRule>
    <cfRule type="duplicateValues" dxfId="1558" priority="205"/>
  </conditionalFormatting>
  <conditionalFormatting sqref="H253">
    <cfRule type="containsText" dxfId="1557" priority="202" operator="containsText" text="CR2">
      <formula>NOT(ISERROR(SEARCH("CR2",H253)))</formula>
    </cfRule>
    <cfRule type="containsText" dxfId="1556" priority="203" operator="containsText" text="CR1">
      <formula>NOT(ISERROR(SEARCH("CR1",H253)))</formula>
    </cfRule>
  </conditionalFormatting>
  <conditionalFormatting sqref="I253">
    <cfRule type="containsText" dxfId="1555" priority="199" stopIfTrue="1" operator="containsText" text="Planned">
      <formula>NOT(ISERROR(SEARCH("Planned",I253)))</formula>
    </cfRule>
    <cfRule type="containsText" dxfId="1554" priority="200" stopIfTrue="1" operator="containsText" text="Configured">
      <formula>NOT(ISERROR(SEARCH("Configured",I253)))</formula>
    </cfRule>
    <cfRule type="containsText" dxfId="1553" priority="201" stopIfTrue="1" operator="containsText" text="Live">
      <formula>NOT(ISERROR(SEARCH("Live",I253)))</formula>
    </cfRule>
  </conditionalFormatting>
  <conditionalFormatting sqref="L253">
    <cfRule type="containsBlanks" priority="197" stopIfTrue="1">
      <formula>LEN(TRIM(L253))=0</formula>
    </cfRule>
    <cfRule type="duplicateValues" dxfId="1552" priority="198"/>
  </conditionalFormatting>
  <conditionalFormatting sqref="H254">
    <cfRule type="containsText" dxfId="1551" priority="195" operator="containsText" text="CR2">
      <formula>NOT(ISERROR(SEARCH("CR2",H254)))</formula>
    </cfRule>
    <cfRule type="containsText" dxfId="1550" priority="196" operator="containsText" text="CR1">
      <formula>NOT(ISERROR(SEARCH("CR1",H254)))</formula>
    </cfRule>
  </conditionalFormatting>
  <conditionalFormatting sqref="I254">
    <cfRule type="containsText" dxfId="1549" priority="192" stopIfTrue="1" operator="containsText" text="Planned">
      <formula>NOT(ISERROR(SEARCH("Planned",I254)))</formula>
    </cfRule>
    <cfRule type="containsText" dxfId="1548" priority="193" stopIfTrue="1" operator="containsText" text="Configured">
      <formula>NOT(ISERROR(SEARCH("Configured",I254)))</formula>
    </cfRule>
    <cfRule type="containsText" dxfId="1547" priority="194" stopIfTrue="1" operator="containsText" text="Live">
      <formula>NOT(ISERROR(SEARCH("Live",I254)))</formula>
    </cfRule>
  </conditionalFormatting>
  <conditionalFormatting sqref="L254">
    <cfRule type="containsBlanks" priority="190" stopIfTrue="1">
      <formula>LEN(TRIM(L254))=0</formula>
    </cfRule>
    <cfRule type="duplicateValues" dxfId="1546" priority="191"/>
  </conditionalFormatting>
  <conditionalFormatting sqref="H255">
    <cfRule type="containsText" dxfId="1545" priority="188" operator="containsText" text="CR2">
      <formula>NOT(ISERROR(SEARCH("CR2",H255)))</formula>
    </cfRule>
    <cfRule type="containsText" dxfId="1544" priority="189" operator="containsText" text="CR1">
      <formula>NOT(ISERROR(SEARCH("CR1",H255)))</formula>
    </cfRule>
  </conditionalFormatting>
  <conditionalFormatting sqref="I255">
    <cfRule type="containsText" dxfId="1543" priority="185" stopIfTrue="1" operator="containsText" text="Planned">
      <formula>NOT(ISERROR(SEARCH("Planned",I255)))</formula>
    </cfRule>
    <cfRule type="containsText" dxfId="1542" priority="186" stopIfTrue="1" operator="containsText" text="Configured">
      <formula>NOT(ISERROR(SEARCH("Configured",I255)))</formula>
    </cfRule>
    <cfRule type="containsText" dxfId="1541" priority="187" stopIfTrue="1" operator="containsText" text="Live">
      <formula>NOT(ISERROR(SEARCH("Live",I255)))</formula>
    </cfRule>
  </conditionalFormatting>
  <conditionalFormatting sqref="L255">
    <cfRule type="containsBlanks" priority="183" stopIfTrue="1">
      <formula>LEN(TRIM(L255))=0</formula>
    </cfRule>
    <cfRule type="duplicateValues" dxfId="1540" priority="184"/>
  </conditionalFormatting>
  <conditionalFormatting sqref="H257">
    <cfRule type="containsText" dxfId="1539" priority="181" operator="containsText" text="CR2">
      <formula>NOT(ISERROR(SEARCH("CR2",H257)))</formula>
    </cfRule>
    <cfRule type="containsText" dxfId="1538" priority="182" operator="containsText" text="CR1">
      <formula>NOT(ISERROR(SEARCH("CR1",H257)))</formula>
    </cfRule>
  </conditionalFormatting>
  <conditionalFormatting sqref="I257">
    <cfRule type="containsText" dxfId="1537" priority="178" stopIfTrue="1" operator="containsText" text="Planned">
      <formula>NOT(ISERROR(SEARCH("Planned",I257)))</formula>
    </cfRule>
    <cfRule type="containsText" dxfId="1536" priority="179" stopIfTrue="1" operator="containsText" text="Configured">
      <formula>NOT(ISERROR(SEARCH("Configured",I257)))</formula>
    </cfRule>
    <cfRule type="containsText" dxfId="1535" priority="180" stopIfTrue="1" operator="containsText" text="Live">
      <formula>NOT(ISERROR(SEARCH("Live",I257)))</formula>
    </cfRule>
  </conditionalFormatting>
  <conditionalFormatting sqref="L257">
    <cfRule type="containsBlanks" priority="176" stopIfTrue="1">
      <formula>LEN(TRIM(L257))=0</formula>
    </cfRule>
    <cfRule type="duplicateValues" dxfId="1534" priority="177"/>
  </conditionalFormatting>
  <conditionalFormatting sqref="H258">
    <cfRule type="containsText" dxfId="1533" priority="174" operator="containsText" text="CR2">
      <formula>NOT(ISERROR(SEARCH("CR2",H258)))</formula>
    </cfRule>
    <cfRule type="containsText" dxfId="1532" priority="175" operator="containsText" text="CR1">
      <formula>NOT(ISERROR(SEARCH("CR1",H258)))</formula>
    </cfRule>
  </conditionalFormatting>
  <conditionalFormatting sqref="I258">
    <cfRule type="containsText" dxfId="1531" priority="171" stopIfTrue="1" operator="containsText" text="Planned">
      <formula>NOT(ISERROR(SEARCH("Planned",I258)))</formula>
    </cfRule>
    <cfRule type="containsText" dxfId="1530" priority="172" stopIfTrue="1" operator="containsText" text="Configured">
      <formula>NOT(ISERROR(SEARCH("Configured",I258)))</formula>
    </cfRule>
    <cfRule type="containsText" dxfId="1529" priority="173" stopIfTrue="1" operator="containsText" text="Live">
      <formula>NOT(ISERROR(SEARCH("Live",I258)))</formula>
    </cfRule>
  </conditionalFormatting>
  <conditionalFormatting sqref="L258">
    <cfRule type="containsBlanks" priority="169" stopIfTrue="1">
      <formula>LEN(TRIM(L258))=0</formula>
    </cfRule>
    <cfRule type="duplicateValues" dxfId="1528" priority="170"/>
  </conditionalFormatting>
  <conditionalFormatting sqref="L5:L232 L234 L245">
    <cfRule type="containsBlanks" priority="428" stopIfTrue="1">
      <formula>LEN(TRIM(L5))=0</formula>
    </cfRule>
    <cfRule type="duplicateValues" dxfId="1527" priority="429"/>
  </conditionalFormatting>
  <conditionalFormatting sqref="H256">
    <cfRule type="containsText" dxfId="1526" priority="167" operator="containsText" text="CR2">
      <formula>NOT(ISERROR(SEARCH("CR2",H256)))</formula>
    </cfRule>
    <cfRule type="containsText" dxfId="1525" priority="168" operator="containsText" text="CR1">
      <formula>NOT(ISERROR(SEARCH("CR1",H256)))</formula>
    </cfRule>
  </conditionalFormatting>
  <conditionalFormatting sqref="I256">
    <cfRule type="containsText" dxfId="1524" priority="164" stopIfTrue="1" operator="containsText" text="Planned">
      <formula>NOT(ISERROR(SEARCH("Planned",I256)))</formula>
    </cfRule>
    <cfRule type="containsText" dxfId="1523" priority="165" stopIfTrue="1" operator="containsText" text="Configured">
      <formula>NOT(ISERROR(SEARCH("Configured",I256)))</formula>
    </cfRule>
    <cfRule type="containsText" dxfId="1522" priority="166" stopIfTrue="1" operator="containsText" text="Live">
      <formula>NOT(ISERROR(SEARCH("Live",I256)))</formula>
    </cfRule>
  </conditionalFormatting>
  <conditionalFormatting sqref="L256">
    <cfRule type="containsBlanks" priority="162" stopIfTrue="1">
      <formula>LEN(TRIM(L256))=0</formula>
    </cfRule>
    <cfRule type="duplicateValues" dxfId="1521" priority="163"/>
  </conditionalFormatting>
  <conditionalFormatting sqref="H259:H261">
    <cfRule type="containsText" dxfId="1520" priority="160" operator="containsText" text="CR2">
      <formula>NOT(ISERROR(SEARCH("CR2",H259)))</formula>
    </cfRule>
    <cfRule type="containsText" dxfId="1519" priority="161" operator="containsText" text="CR1">
      <formula>NOT(ISERROR(SEARCH("CR1",H259)))</formula>
    </cfRule>
  </conditionalFormatting>
  <conditionalFormatting sqref="I259:I261">
    <cfRule type="containsText" dxfId="1518" priority="157" stopIfTrue="1" operator="containsText" text="Planned">
      <formula>NOT(ISERROR(SEARCH("Planned",I259)))</formula>
    </cfRule>
    <cfRule type="containsText" dxfId="1517" priority="158" stopIfTrue="1" operator="containsText" text="Configured">
      <formula>NOT(ISERROR(SEARCH("Configured",I259)))</formula>
    </cfRule>
    <cfRule type="containsText" dxfId="1516" priority="159" stopIfTrue="1" operator="containsText" text="Live">
      <formula>NOT(ISERROR(SEARCH("Live",I259)))</formula>
    </cfRule>
  </conditionalFormatting>
  <conditionalFormatting sqref="L259:L261">
    <cfRule type="containsBlanks" priority="155" stopIfTrue="1">
      <formula>LEN(TRIM(L259))=0</formula>
    </cfRule>
    <cfRule type="duplicateValues" dxfId="1515" priority="156"/>
  </conditionalFormatting>
  <conditionalFormatting sqref="H262">
    <cfRule type="containsText" dxfId="1514" priority="153" operator="containsText" text="CR2">
      <formula>NOT(ISERROR(SEARCH("CR2",H262)))</formula>
    </cfRule>
    <cfRule type="containsText" dxfId="1513" priority="154" operator="containsText" text="CR1">
      <formula>NOT(ISERROR(SEARCH("CR1",H262)))</formula>
    </cfRule>
  </conditionalFormatting>
  <conditionalFormatting sqref="I262">
    <cfRule type="containsText" dxfId="1512" priority="150" stopIfTrue="1" operator="containsText" text="Planned">
      <formula>NOT(ISERROR(SEARCH("Planned",I262)))</formula>
    </cfRule>
    <cfRule type="containsText" dxfId="1511" priority="151" stopIfTrue="1" operator="containsText" text="Configured">
      <formula>NOT(ISERROR(SEARCH("Configured",I262)))</formula>
    </cfRule>
    <cfRule type="containsText" dxfId="1510" priority="152" stopIfTrue="1" operator="containsText" text="Live">
      <formula>NOT(ISERROR(SEARCH("Live",I262)))</formula>
    </cfRule>
  </conditionalFormatting>
  <conditionalFormatting sqref="L262">
    <cfRule type="containsBlanks" priority="148" stopIfTrue="1">
      <formula>LEN(TRIM(L262))=0</formula>
    </cfRule>
    <cfRule type="duplicateValues" dxfId="1509" priority="149"/>
  </conditionalFormatting>
  <conditionalFormatting sqref="H263:H264">
    <cfRule type="containsText" dxfId="1508" priority="146" operator="containsText" text="CR2">
      <formula>NOT(ISERROR(SEARCH("CR2",H263)))</formula>
    </cfRule>
    <cfRule type="containsText" dxfId="1507" priority="147" operator="containsText" text="CR1">
      <formula>NOT(ISERROR(SEARCH("CR1",H263)))</formula>
    </cfRule>
  </conditionalFormatting>
  <conditionalFormatting sqref="I263:I264">
    <cfRule type="containsText" dxfId="1506" priority="143" stopIfTrue="1" operator="containsText" text="Planned">
      <formula>NOT(ISERROR(SEARCH("Planned",I263)))</formula>
    </cfRule>
    <cfRule type="containsText" dxfId="1505" priority="144" stopIfTrue="1" operator="containsText" text="Configured">
      <formula>NOT(ISERROR(SEARCH("Configured",I263)))</formula>
    </cfRule>
    <cfRule type="containsText" dxfId="1504" priority="145" stopIfTrue="1" operator="containsText" text="Live">
      <formula>NOT(ISERROR(SEARCH("Live",I263)))</formula>
    </cfRule>
  </conditionalFormatting>
  <conditionalFormatting sqref="L263:L264">
    <cfRule type="containsBlanks" priority="141" stopIfTrue="1">
      <formula>LEN(TRIM(L263))=0</formula>
    </cfRule>
    <cfRule type="duplicateValues" dxfId="1503" priority="142"/>
  </conditionalFormatting>
  <conditionalFormatting sqref="H265">
    <cfRule type="containsText" dxfId="1502" priority="139" operator="containsText" text="CR2">
      <formula>NOT(ISERROR(SEARCH("CR2",H265)))</formula>
    </cfRule>
    <cfRule type="containsText" dxfId="1501" priority="140" operator="containsText" text="CR1">
      <formula>NOT(ISERROR(SEARCH("CR1",H265)))</formula>
    </cfRule>
  </conditionalFormatting>
  <conditionalFormatting sqref="I265">
    <cfRule type="containsText" dxfId="1500" priority="136" stopIfTrue="1" operator="containsText" text="Planned">
      <formula>NOT(ISERROR(SEARCH("Planned",I265)))</formula>
    </cfRule>
    <cfRule type="containsText" dxfId="1499" priority="137" stopIfTrue="1" operator="containsText" text="Configured">
      <formula>NOT(ISERROR(SEARCH("Configured",I265)))</formula>
    </cfRule>
    <cfRule type="containsText" dxfId="1498" priority="138" stopIfTrue="1" operator="containsText" text="Live">
      <formula>NOT(ISERROR(SEARCH("Live",I265)))</formula>
    </cfRule>
  </conditionalFormatting>
  <conditionalFormatting sqref="L265">
    <cfRule type="containsBlanks" priority="134" stopIfTrue="1">
      <formula>LEN(TRIM(L265))=0</formula>
    </cfRule>
    <cfRule type="duplicateValues" dxfId="1497" priority="135"/>
  </conditionalFormatting>
  <conditionalFormatting sqref="H266:H267">
    <cfRule type="containsText" dxfId="1496" priority="132" operator="containsText" text="CR2">
      <formula>NOT(ISERROR(SEARCH("CR2",H266)))</formula>
    </cfRule>
    <cfRule type="containsText" dxfId="1495" priority="133" operator="containsText" text="CR1">
      <formula>NOT(ISERROR(SEARCH("CR1",H266)))</formula>
    </cfRule>
  </conditionalFormatting>
  <conditionalFormatting sqref="I266:I267">
    <cfRule type="containsText" dxfId="1494" priority="129" stopIfTrue="1" operator="containsText" text="Planned">
      <formula>NOT(ISERROR(SEARCH("Planned",I266)))</formula>
    </cfRule>
    <cfRule type="containsText" dxfId="1493" priority="130" stopIfTrue="1" operator="containsText" text="Configured">
      <formula>NOT(ISERROR(SEARCH("Configured",I266)))</formula>
    </cfRule>
    <cfRule type="containsText" dxfId="1492" priority="131" stopIfTrue="1" operator="containsText" text="Live">
      <formula>NOT(ISERROR(SEARCH("Live",I266)))</formula>
    </cfRule>
  </conditionalFormatting>
  <conditionalFormatting sqref="L266:L267">
    <cfRule type="containsBlanks" priority="127" stopIfTrue="1">
      <formula>LEN(TRIM(L266))=0</formula>
    </cfRule>
    <cfRule type="duplicateValues" dxfId="1491" priority="128"/>
  </conditionalFormatting>
  <conditionalFormatting sqref="H268">
    <cfRule type="containsText" dxfId="1490" priority="125" operator="containsText" text="CR2">
      <formula>NOT(ISERROR(SEARCH("CR2",H268)))</formula>
    </cfRule>
    <cfRule type="containsText" dxfId="1489" priority="126" operator="containsText" text="CR1">
      <formula>NOT(ISERROR(SEARCH("CR1",H268)))</formula>
    </cfRule>
  </conditionalFormatting>
  <conditionalFormatting sqref="I268">
    <cfRule type="containsText" dxfId="1488" priority="122" stopIfTrue="1" operator="containsText" text="Planned">
      <formula>NOT(ISERROR(SEARCH("Planned",I268)))</formula>
    </cfRule>
    <cfRule type="containsText" dxfId="1487" priority="123" stopIfTrue="1" operator="containsText" text="Configured">
      <formula>NOT(ISERROR(SEARCH("Configured",I268)))</formula>
    </cfRule>
    <cfRule type="containsText" dxfId="1486" priority="124" stopIfTrue="1" operator="containsText" text="Live">
      <formula>NOT(ISERROR(SEARCH("Live",I268)))</formula>
    </cfRule>
  </conditionalFormatting>
  <conditionalFormatting sqref="L268">
    <cfRule type="containsBlanks" priority="120" stopIfTrue="1">
      <formula>LEN(TRIM(L268))=0</formula>
    </cfRule>
    <cfRule type="duplicateValues" dxfId="1485" priority="121"/>
  </conditionalFormatting>
  <conditionalFormatting sqref="H269:H270">
    <cfRule type="containsText" dxfId="1484" priority="118" operator="containsText" text="CR2">
      <formula>NOT(ISERROR(SEARCH("CR2",H269)))</formula>
    </cfRule>
    <cfRule type="containsText" dxfId="1483" priority="119" operator="containsText" text="CR1">
      <formula>NOT(ISERROR(SEARCH("CR1",H269)))</formula>
    </cfRule>
  </conditionalFormatting>
  <conditionalFormatting sqref="I269:I270">
    <cfRule type="containsText" dxfId="1482" priority="115" stopIfTrue="1" operator="containsText" text="Planned">
      <formula>NOT(ISERROR(SEARCH("Planned",I269)))</formula>
    </cfRule>
    <cfRule type="containsText" dxfId="1481" priority="116" stopIfTrue="1" operator="containsText" text="Configured">
      <formula>NOT(ISERROR(SEARCH("Configured",I269)))</formula>
    </cfRule>
    <cfRule type="containsText" dxfId="1480" priority="117" stopIfTrue="1" operator="containsText" text="Live">
      <formula>NOT(ISERROR(SEARCH("Live",I269)))</formula>
    </cfRule>
  </conditionalFormatting>
  <conditionalFormatting sqref="L269:L270">
    <cfRule type="containsBlanks" priority="113" stopIfTrue="1">
      <formula>LEN(TRIM(L269))=0</formula>
    </cfRule>
    <cfRule type="duplicateValues" dxfId="1479" priority="114"/>
  </conditionalFormatting>
  <conditionalFormatting sqref="H271 H293 H295:H299">
    <cfRule type="containsText" dxfId="1478" priority="111" operator="containsText" text="CR2">
      <formula>NOT(ISERROR(SEARCH("CR2",H271)))</formula>
    </cfRule>
    <cfRule type="containsText" dxfId="1477" priority="112" operator="containsText" text="CR1">
      <formula>NOT(ISERROR(SEARCH("CR1",H271)))</formula>
    </cfRule>
  </conditionalFormatting>
  <conditionalFormatting sqref="I271 I293 I295:I299">
    <cfRule type="containsText" dxfId="1476" priority="108" stopIfTrue="1" operator="containsText" text="Planned">
      <formula>NOT(ISERROR(SEARCH("Planned",I271)))</formula>
    </cfRule>
    <cfRule type="containsText" dxfId="1475" priority="109" stopIfTrue="1" operator="containsText" text="Configured">
      <formula>NOT(ISERROR(SEARCH("Configured",I271)))</formula>
    </cfRule>
    <cfRule type="containsText" dxfId="1474" priority="110" stopIfTrue="1" operator="containsText" text="Live">
      <formula>NOT(ISERROR(SEARCH("Live",I271)))</formula>
    </cfRule>
  </conditionalFormatting>
  <conditionalFormatting sqref="L271">
    <cfRule type="containsBlanks" priority="106" stopIfTrue="1">
      <formula>LEN(TRIM(L271))=0</formula>
    </cfRule>
    <cfRule type="duplicateValues" dxfId="1473" priority="107"/>
  </conditionalFormatting>
  <conditionalFormatting sqref="H272:H273">
    <cfRule type="containsText" dxfId="1472" priority="104" operator="containsText" text="CR2">
      <formula>NOT(ISERROR(SEARCH("CR2",H272)))</formula>
    </cfRule>
    <cfRule type="containsText" dxfId="1471" priority="105" operator="containsText" text="CR1">
      <formula>NOT(ISERROR(SEARCH("CR1",H272)))</formula>
    </cfRule>
  </conditionalFormatting>
  <conditionalFormatting sqref="I272:I273">
    <cfRule type="containsText" dxfId="1470" priority="101" stopIfTrue="1" operator="containsText" text="Planned">
      <formula>NOT(ISERROR(SEARCH("Planned",I272)))</formula>
    </cfRule>
    <cfRule type="containsText" dxfId="1469" priority="102" stopIfTrue="1" operator="containsText" text="Configured">
      <formula>NOT(ISERROR(SEARCH("Configured",I272)))</formula>
    </cfRule>
    <cfRule type="containsText" dxfId="1468" priority="103" stopIfTrue="1" operator="containsText" text="Live">
      <formula>NOT(ISERROR(SEARCH("Live",I272)))</formula>
    </cfRule>
  </conditionalFormatting>
  <conditionalFormatting sqref="L272:L273">
    <cfRule type="containsBlanks" priority="99" stopIfTrue="1">
      <formula>LEN(TRIM(L272))=0</formula>
    </cfRule>
    <cfRule type="duplicateValues" dxfId="1467" priority="100"/>
  </conditionalFormatting>
  <conditionalFormatting sqref="H274">
    <cfRule type="containsText" dxfId="1466" priority="97" operator="containsText" text="CR2">
      <formula>NOT(ISERROR(SEARCH("CR2",H274)))</formula>
    </cfRule>
    <cfRule type="containsText" dxfId="1465" priority="98" operator="containsText" text="CR1">
      <formula>NOT(ISERROR(SEARCH("CR1",H274)))</formula>
    </cfRule>
  </conditionalFormatting>
  <conditionalFormatting sqref="I274">
    <cfRule type="containsText" dxfId="1464" priority="94" stopIfTrue="1" operator="containsText" text="Planned">
      <formula>NOT(ISERROR(SEARCH("Planned",I274)))</formula>
    </cfRule>
    <cfRule type="containsText" dxfId="1463" priority="95" stopIfTrue="1" operator="containsText" text="Configured">
      <formula>NOT(ISERROR(SEARCH("Configured",I274)))</formula>
    </cfRule>
    <cfRule type="containsText" dxfId="1462" priority="96" stopIfTrue="1" operator="containsText" text="Live">
      <formula>NOT(ISERROR(SEARCH("Live",I274)))</formula>
    </cfRule>
  </conditionalFormatting>
  <conditionalFormatting sqref="L274">
    <cfRule type="containsBlanks" priority="92" stopIfTrue="1">
      <formula>LEN(TRIM(L274))=0</formula>
    </cfRule>
    <cfRule type="duplicateValues" dxfId="1461" priority="93"/>
  </conditionalFormatting>
  <conditionalFormatting sqref="H275:H276">
    <cfRule type="containsText" dxfId="1460" priority="90" operator="containsText" text="CR2">
      <formula>NOT(ISERROR(SEARCH("CR2",H275)))</formula>
    </cfRule>
    <cfRule type="containsText" dxfId="1459" priority="91" operator="containsText" text="CR1">
      <formula>NOT(ISERROR(SEARCH("CR1",H275)))</formula>
    </cfRule>
  </conditionalFormatting>
  <conditionalFormatting sqref="I275:I276">
    <cfRule type="containsText" dxfId="1458" priority="87" stopIfTrue="1" operator="containsText" text="Planned">
      <formula>NOT(ISERROR(SEARCH("Planned",I275)))</formula>
    </cfRule>
    <cfRule type="containsText" dxfId="1457" priority="88" stopIfTrue="1" operator="containsText" text="Configured">
      <formula>NOT(ISERROR(SEARCH("Configured",I275)))</formula>
    </cfRule>
    <cfRule type="containsText" dxfId="1456" priority="89" stopIfTrue="1" operator="containsText" text="Live">
      <formula>NOT(ISERROR(SEARCH("Live",I275)))</formula>
    </cfRule>
  </conditionalFormatting>
  <conditionalFormatting sqref="L275:L276">
    <cfRule type="containsBlanks" priority="85" stopIfTrue="1">
      <formula>LEN(TRIM(L275))=0</formula>
    </cfRule>
    <cfRule type="duplicateValues" dxfId="1455" priority="86"/>
  </conditionalFormatting>
  <conditionalFormatting sqref="H277">
    <cfRule type="containsText" dxfId="1454" priority="83" operator="containsText" text="CR2">
      <formula>NOT(ISERROR(SEARCH("CR2",H277)))</formula>
    </cfRule>
    <cfRule type="containsText" dxfId="1453" priority="84" operator="containsText" text="CR1">
      <formula>NOT(ISERROR(SEARCH("CR1",H277)))</formula>
    </cfRule>
  </conditionalFormatting>
  <conditionalFormatting sqref="I277">
    <cfRule type="containsText" dxfId="1452" priority="80" stopIfTrue="1" operator="containsText" text="Planned">
      <formula>NOT(ISERROR(SEARCH("Planned",I277)))</formula>
    </cfRule>
    <cfRule type="containsText" dxfId="1451" priority="81" stopIfTrue="1" operator="containsText" text="Configured">
      <formula>NOT(ISERROR(SEARCH("Configured",I277)))</formula>
    </cfRule>
    <cfRule type="containsText" dxfId="1450" priority="82" stopIfTrue="1" operator="containsText" text="Live">
      <formula>NOT(ISERROR(SEARCH("Live",I277)))</formula>
    </cfRule>
  </conditionalFormatting>
  <conditionalFormatting sqref="L277">
    <cfRule type="containsBlanks" priority="78" stopIfTrue="1">
      <formula>LEN(TRIM(L277))=0</formula>
    </cfRule>
    <cfRule type="duplicateValues" dxfId="1449" priority="79"/>
  </conditionalFormatting>
  <conditionalFormatting sqref="H278:H279">
    <cfRule type="containsText" dxfId="1448" priority="76" operator="containsText" text="CR2">
      <formula>NOT(ISERROR(SEARCH("CR2",H278)))</formula>
    </cfRule>
    <cfRule type="containsText" dxfId="1447" priority="77" operator="containsText" text="CR1">
      <formula>NOT(ISERROR(SEARCH("CR1",H278)))</formula>
    </cfRule>
  </conditionalFormatting>
  <conditionalFormatting sqref="I278:I279">
    <cfRule type="containsText" dxfId="1446" priority="73" stopIfTrue="1" operator="containsText" text="Planned">
      <formula>NOT(ISERROR(SEARCH("Planned",I278)))</formula>
    </cfRule>
    <cfRule type="containsText" dxfId="1445" priority="74" stopIfTrue="1" operator="containsText" text="Configured">
      <formula>NOT(ISERROR(SEARCH("Configured",I278)))</formula>
    </cfRule>
    <cfRule type="containsText" dxfId="1444" priority="75" stopIfTrue="1" operator="containsText" text="Live">
      <formula>NOT(ISERROR(SEARCH("Live",I278)))</formula>
    </cfRule>
  </conditionalFormatting>
  <conditionalFormatting sqref="L278:L279">
    <cfRule type="containsBlanks" priority="71" stopIfTrue="1">
      <formula>LEN(TRIM(L278))=0</formula>
    </cfRule>
    <cfRule type="duplicateValues" dxfId="1443" priority="72"/>
  </conditionalFormatting>
  <conditionalFormatting sqref="H280">
    <cfRule type="containsText" dxfId="1442" priority="69" operator="containsText" text="CR2">
      <formula>NOT(ISERROR(SEARCH("CR2",H280)))</formula>
    </cfRule>
    <cfRule type="containsText" dxfId="1441" priority="70" operator="containsText" text="CR1">
      <formula>NOT(ISERROR(SEARCH("CR1",H280)))</formula>
    </cfRule>
  </conditionalFormatting>
  <conditionalFormatting sqref="I280">
    <cfRule type="containsText" dxfId="1440" priority="66" stopIfTrue="1" operator="containsText" text="Planned">
      <formula>NOT(ISERROR(SEARCH("Planned",I280)))</formula>
    </cfRule>
    <cfRule type="containsText" dxfId="1439" priority="67" stopIfTrue="1" operator="containsText" text="Configured">
      <formula>NOT(ISERROR(SEARCH("Configured",I280)))</formula>
    </cfRule>
    <cfRule type="containsText" dxfId="1438" priority="68" stopIfTrue="1" operator="containsText" text="Live">
      <formula>NOT(ISERROR(SEARCH("Live",I280)))</formula>
    </cfRule>
  </conditionalFormatting>
  <conditionalFormatting sqref="L280">
    <cfRule type="containsBlanks" priority="64" stopIfTrue="1">
      <formula>LEN(TRIM(L280))=0</formula>
    </cfRule>
    <cfRule type="duplicateValues" dxfId="1437" priority="65"/>
  </conditionalFormatting>
  <conditionalFormatting sqref="H281:H282">
    <cfRule type="containsText" dxfId="1436" priority="62" operator="containsText" text="CR2">
      <formula>NOT(ISERROR(SEARCH("CR2",H281)))</formula>
    </cfRule>
    <cfRule type="containsText" dxfId="1435" priority="63" operator="containsText" text="CR1">
      <formula>NOT(ISERROR(SEARCH("CR1",H281)))</formula>
    </cfRule>
  </conditionalFormatting>
  <conditionalFormatting sqref="I281:I282">
    <cfRule type="containsText" dxfId="1434" priority="59" stopIfTrue="1" operator="containsText" text="Planned">
      <formula>NOT(ISERROR(SEARCH("Planned",I281)))</formula>
    </cfRule>
    <cfRule type="containsText" dxfId="1433" priority="60" stopIfTrue="1" operator="containsText" text="Configured">
      <formula>NOT(ISERROR(SEARCH("Configured",I281)))</formula>
    </cfRule>
    <cfRule type="containsText" dxfId="1432" priority="61" stopIfTrue="1" operator="containsText" text="Live">
      <formula>NOT(ISERROR(SEARCH("Live",I281)))</formula>
    </cfRule>
  </conditionalFormatting>
  <conditionalFormatting sqref="L281:L282">
    <cfRule type="containsBlanks" priority="57" stopIfTrue="1">
      <formula>LEN(TRIM(L281))=0</formula>
    </cfRule>
    <cfRule type="duplicateValues" dxfId="1431" priority="58"/>
  </conditionalFormatting>
  <conditionalFormatting sqref="H283">
    <cfRule type="containsText" dxfId="1430" priority="55" operator="containsText" text="CR2">
      <formula>NOT(ISERROR(SEARCH("CR2",H283)))</formula>
    </cfRule>
    <cfRule type="containsText" dxfId="1429" priority="56" operator="containsText" text="CR1">
      <formula>NOT(ISERROR(SEARCH("CR1",H283)))</formula>
    </cfRule>
  </conditionalFormatting>
  <conditionalFormatting sqref="I283">
    <cfRule type="containsText" dxfId="1428" priority="52" stopIfTrue="1" operator="containsText" text="Planned">
      <formula>NOT(ISERROR(SEARCH("Planned",I283)))</formula>
    </cfRule>
    <cfRule type="containsText" dxfId="1427" priority="53" stopIfTrue="1" operator="containsText" text="Configured">
      <formula>NOT(ISERROR(SEARCH("Configured",I283)))</formula>
    </cfRule>
    <cfRule type="containsText" dxfId="1426" priority="54" stopIfTrue="1" operator="containsText" text="Live">
      <formula>NOT(ISERROR(SEARCH("Live",I283)))</formula>
    </cfRule>
  </conditionalFormatting>
  <conditionalFormatting sqref="L283">
    <cfRule type="containsBlanks" priority="50" stopIfTrue="1">
      <formula>LEN(TRIM(L283))=0</formula>
    </cfRule>
    <cfRule type="duplicateValues" dxfId="1425" priority="51"/>
  </conditionalFormatting>
  <conditionalFormatting sqref="H284:H285">
    <cfRule type="containsText" dxfId="1424" priority="48" operator="containsText" text="CR2">
      <formula>NOT(ISERROR(SEARCH("CR2",H284)))</formula>
    </cfRule>
    <cfRule type="containsText" dxfId="1423" priority="49" operator="containsText" text="CR1">
      <formula>NOT(ISERROR(SEARCH("CR1",H284)))</formula>
    </cfRule>
  </conditionalFormatting>
  <conditionalFormatting sqref="I284:I285">
    <cfRule type="containsText" dxfId="1422" priority="45" stopIfTrue="1" operator="containsText" text="Planned">
      <formula>NOT(ISERROR(SEARCH("Planned",I284)))</formula>
    </cfRule>
    <cfRule type="containsText" dxfId="1421" priority="46" stopIfTrue="1" operator="containsText" text="Configured">
      <formula>NOT(ISERROR(SEARCH("Configured",I284)))</formula>
    </cfRule>
    <cfRule type="containsText" dxfId="1420" priority="47" stopIfTrue="1" operator="containsText" text="Live">
      <formula>NOT(ISERROR(SEARCH("Live",I284)))</formula>
    </cfRule>
  </conditionalFormatting>
  <conditionalFormatting sqref="L284:L285">
    <cfRule type="containsBlanks" priority="43" stopIfTrue="1">
      <formula>LEN(TRIM(L284))=0</formula>
    </cfRule>
    <cfRule type="duplicateValues" dxfId="1419" priority="44"/>
  </conditionalFormatting>
  <conditionalFormatting sqref="H286">
    <cfRule type="containsText" dxfId="1418" priority="41" operator="containsText" text="CR2">
      <formula>NOT(ISERROR(SEARCH("CR2",H286)))</formula>
    </cfRule>
    <cfRule type="containsText" dxfId="1417" priority="42" operator="containsText" text="CR1">
      <formula>NOT(ISERROR(SEARCH("CR1",H286)))</formula>
    </cfRule>
  </conditionalFormatting>
  <conditionalFormatting sqref="I286">
    <cfRule type="containsText" dxfId="1416" priority="38" stopIfTrue="1" operator="containsText" text="Planned">
      <formula>NOT(ISERROR(SEARCH("Planned",I286)))</formula>
    </cfRule>
    <cfRule type="containsText" dxfId="1415" priority="39" stopIfTrue="1" operator="containsText" text="Configured">
      <formula>NOT(ISERROR(SEARCH("Configured",I286)))</formula>
    </cfRule>
    <cfRule type="containsText" dxfId="1414" priority="40" stopIfTrue="1" operator="containsText" text="Live">
      <formula>NOT(ISERROR(SEARCH("Live",I286)))</formula>
    </cfRule>
  </conditionalFormatting>
  <conditionalFormatting sqref="L286">
    <cfRule type="containsBlanks" priority="36" stopIfTrue="1">
      <formula>LEN(TRIM(L286))=0</formula>
    </cfRule>
    <cfRule type="duplicateValues" dxfId="1413" priority="37"/>
  </conditionalFormatting>
  <conditionalFormatting sqref="H287:H288">
    <cfRule type="containsText" dxfId="1412" priority="34" operator="containsText" text="CR2">
      <formula>NOT(ISERROR(SEARCH("CR2",H287)))</formula>
    </cfRule>
    <cfRule type="containsText" dxfId="1411" priority="35" operator="containsText" text="CR1">
      <formula>NOT(ISERROR(SEARCH("CR1",H287)))</formula>
    </cfRule>
  </conditionalFormatting>
  <conditionalFormatting sqref="I287:I288">
    <cfRule type="containsText" dxfId="1410" priority="31" stopIfTrue="1" operator="containsText" text="Planned">
      <formula>NOT(ISERROR(SEARCH("Planned",I287)))</formula>
    </cfRule>
    <cfRule type="containsText" dxfId="1409" priority="32" stopIfTrue="1" operator="containsText" text="Configured">
      <formula>NOT(ISERROR(SEARCH("Configured",I287)))</formula>
    </cfRule>
    <cfRule type="containsText" dxfId="1408" priority="33" stopIfTrue="1" operator="containsText" text="Live">
      <formula>NOT(ISERROR(SEARCH("Live",I287)))</formula>
    </cfRule>
  </conditionalFormatting>
  <conditionalFormatting sqref="L287:L288">
    <cfRule type="containsBlanks" priority="29" stopIfTrue="1">
      <formula>LEN(TRIM(L287))=0</formula>
    </cfRule>
    <cfRule type="duplicateValues" dxfId="1407" priority="30"/>
  </conditionalFormatting>
  <conditionalFormatting sqref="H289">
    <cfRule type="containsText" dxfId="1406" priority="27" operator="containsText" text="CR2">
      <formula>NOT(ISERROR(SEARCH("CR2",H289)))</formula>
    </cfRule>
    <cfRule type="containsText" dxfId="1405" priority="28" operator="containsText" text="CR1">
      <formula>NOT(ISERROR(SEARCH("CR1",H289)))</formula>
    </cfRule>
  </conditionalFormatting>
  <conditionalFormatting sqref="I289">
    <cfRule type="containsText" dxfId="1404" priority="24" stopIfTrue="1" operator="containsText" text="Planned">
      <formula>NOT(ISERROR(SEARCH("Planned",I289)))</formula>
    </cfRule>
    <cfRule type="containsText" dxfId="1403" priority="25" stopIfTrue="1" operator="containsText" text="Configured">
      <formula>NOT(ISERROR(SEARCH("Configured",I289)))</formula>
    </cfRule>
    <cfRule type="containsText" dxfId="1402" priority="26" stopIfTrue="1" operator="containsText" text="Live">
      <formula>NOT(ISERROR(SEARCH("Live",I289)))</formula>
    </cfRule>
  </conditionalFormatting>
  <conditionalFormatting sqref="L289">
    <cfRule type="containsBlanks" priority="22" stopIfTrue="1">
      <formula>LEN(TRIM(L289))=0</formula>
    </cfRule>
    <cfRule type="duplicateValues" dxfId="1401" priority="23"/>
  </conditionalFormatting>
  <conditionalFormatting sqref="H290:H291">
    <cfRule type="containsText" dxfId="1400" priority="20" operator="containsText" text="CR2">
      <formula>NOT(ISERROR(SEARCH("CR2",H290)))</formula>
    </cfRule>
    <cfRule type="containsText" dxfId="1399" priority="21" operator="containsText" text="CR1">
      <formula>NOT(ISERROR(SEARCH("CR1",H290)))</formula>
    </cfRule>
  </conditionalFormatting>
  <conditionalFormatting sqref="I290:I291">
    <cfRule type="containsText" dxfId="1398" priority="17" stopIfTrue="1" operator="containsText" text="Planned">
      <formula>NOT(ISERROR(SEARCH("Planned",I290)))</formula>
    </cfRule>
    <cfRule type="containsText" dxfId="1397" priority="18" stopIfTrue="1" operator="containsText" text="Configured">
      <formula>NOT(ISERROR(SEARCH("Configured",I290)))</formula>
    </cfRule>
    <cfRule type="containsText" dxfId="1396" priority="19" stopIfTrue="1" operator="containsText" text="Live">
      <formula>NOT(ISERROR(SEARCH("Live",I290)))</formula>
    </cfRule>
  </conditionalFormatting>
  <conditionalFormatting sqref="L290:L291">
    <cfRule type="containsBlanks" priority="15" stopIfTrue="1">
      <formula>LEN(TRIM(L290))=0</formula>
    </cfRule>
    <cfRule type="duplicateValues" dxfId="1395" priority="16"/>
  </conditionalFormatting>
  <conditionalFormatting sqref="H292">
    <cfRule type="containsText" dxfId="1394" priority="13" operator="containsText" text="CR2">
      <formula>NOT(ISERROR(SEARCH("CR2",H292)))</formula>
    </cfRule>
    <cfRule type="containsText" dxfId="1393" priority="14" operator="containsText" text="CR1">
      <formula>NOT(ISERROR(SEARCH("CR1",H292)))</formula>
    </cfRule>
  </conditionalFormatting>
  <conditionalFormatting sqref="I292">
    <cfRule type="containsText" dxfId="1392" priority="10" stopIfTrue="1" operator="containsText" text="Planned">
      <formula>NOT(ISERROR(SEARCH("Planned",I292)))</formula>
    </cfRule>
    <cfRule type="containsText" dxfId="1391" priority="11" stopIfTrue="1" operator="containsText" text="Configured">
      <formula>NOT(ISERROR(SEARCH("Configured",I292)))</formula>
    </cfRule>
    <cfRule type="containsText" dxfId="1390" priority="12" stopIfTrue="1" operator="containsText" text="Live">
      <formula>NOT(ISERROR(SEARCH("Live",I292)))</formula>
    </cfRule>
  </conditionalFormatting>
  <conditionalFormatting sqref="L292:L293 L295:L344">
    <cfRule type="containsBlanks" priority="8" stopIfTrue="1">
      <formula>LEN(TRIM(L292))=0</formula>
    </cfRule>
    <cfRule type="duplicateValues" dxfId="1389" priority="9"/>
  </conditionalFormatting>
  <conditionalFormatting sqref="H294">
    <cfRule type="containsText" dxfId="1388" priority="6" operator="containsText" text="CR2">
      <formula>NOT(ISERROR(SEARCH("CR2",H294)))</formula>
    </cfRule>
    <cfRule type="containsText" dxfId="1387" priority="7" operator="containsText" text="CR1">
      <formula>NOT(ISERROR(SEARCH("CR1",H294)))</formula>
    </cfRule>
  </conditionalFormatting>
  <conditionalFormatting sqref="I294">
    <cfRule type="containsText" dxfId="1386" priority="3" stopIfTrue="1" operator="containsText" text="Planned">
      <formula>NOT(ISERROR(SEARCH("Planned",I294)))</formula>
    </cfRule>
    <cfRule type="containsText" dxfId="1385" priority="4" stopIfTrue="1" operator="containsText" text="Configured">
      <formula>NOT(ISERROR(SEARCH("Configured",I294)))</formula>
    </cfRule>
    <cfRule type="containsText" dxfId="1384" priority="5" stopIfTrue="1" operator="containsText" text="Live">
      <formula>NOT(ISERROR(SEARCH("Live",I294)))</formula>
    </cfRule>
  </conditionalFormatting>
  <conditionalFormatting sqref="L294">
    <cfRule type="containsBlanks" priority="1" stopIfTrue="1">
      <formula>LEN(TRIM(L294))=0</formula>
    </cfRule>
    <cfRule type="duplicateValues" dxfId="1383" priority="2"/>
  </conditionalFormatting>
  <dataValidations count="6">
    <dataValidation type="list" allowBlank="1" showInputMessage="1" sqref="B4 B219" xr:uid="{E0FCFF88-B28D-4CCA-AC23-9E5E1520EBD7}">
      <formula1>DEVICE_NAME_LIST</formula1>
    </dataValidation>
    <dataValidation type="list" allowBlank="1" showInputMessage="1" sqref="N4:N344" xr:uid="{12219AB3-DD63-43E6-9E3F-DB01F27C1A20}">
      <formula1>SPEED_DUPLEX_LIST</formula1>
    </dataValidation>
    <dataValidation type="list" allowBlank="1" showInputMessage="1" sqref="M4:M344" xr:uid="{064884D5-5A78-4B10-AF30-2A8EBB81DDAF}">
      <formula1>PORT_TYPE_LIST</formula1>
    </dataValidation>
    <dataValidation type="list" allowBlank="1" showInputMessage="1" sqref="J4:J344" xr:uid="{DF2DDCB3-C205-4C82-A2CC-6294054A9F9F}">
      <formula1>SWITCH_NAME_LIST</formula1>
    </dataValidation>
    <dataValidation type="list" allowBlank="1" showInputMessage="1" showErrorMessage="1" sqref="I4:I344" xr:uid="{4E99DBDA-C6FE-4D40-B097-31A6A8F707EC}">
      <formula1>CONFIG_STATUS_LIST</formula1>
    </dataValidation>
    <dataValidation type="list" allowBlank="1" showInputMessage="1" showErrorMessage="1" sqref="K4:K344" xr:uid="{9385AC97-839D-4037-B9A2-C70959ADD3B1}">
      <formula1>INDIRECT("'"&amp;J4&amp;"'!B17:B64")</formula1>
    </dataValidation>
  </dataValidations>
  <pageMargins left="0.59055118110236227" right="0.59055118110236227" top="1.1811023622047245" bottom="0.98425196850393704" header="0.39370078740157483" footer="0.39370078740157483"/>
  <pageSetup paperSize="9" scale="49" fitToHeight="0" orientation="landscape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60B8-510A-47B2-8CEE-7650A231593C}">
  <sheetPr codeName="Sheet28">
    <tabColor rgb="FFFF0000"/>
  </sheetPr>
  <dimension ref="A1:L34"/>
  <sheetViews>
    <sheetView workbookViewId="0">
      <selection activeCell="I40" sqref="I40"/>
    </sheetView>
  </sheetViews>
  <sheetFormatPr defaultColWidth="9" defaultRowHeight="10.199999999999999"/>
  <cols>
    <col min="1" max="1" width="1.44140625" style="111" customWidth="1"/>
    <col min="2" max="2" width="16.44140625" style="111" customWidth="1"/>
    <col min="3" max="7" width="8.88671875" style="111" customWidth="1"/>
    <col min="8" max="8" width="10.109375" style="111" customWidth="1"/>
    <col min="9" max="10" width="8.88671875" style="111" customWidth="1"/>
    <col min="11" max="11" width="2.33203125" style="111" customWidth="1"/>
    <col min="12" max="12" width="57.77734375" style="111" customWidth="1"/>
    <col min="13" max="16384" width="9" style="111"/>
  </cols>
  <sheetData>
    <row r="1" spans="1:12" ht="21">
      <c r="A1" s="108" t="s">
        <v>2784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3" spans="1:12" ht="15.6">
      <c r="B3" s="160" t="s">
        <v>2785</v>
      </c>
      <c r="C3" s="160"/>
      <c r="D3" s="160"/>
      <c r="E3" s="160"/>
    </row>
    <row r="4" spans="1:12" ht="15.6">
      <c r="B4" s="161" t="s">
        <v>2786</v>
      </c>
      <c r="C4" s="213" t="s">
        <v>2881</v>
      </c>
      <c r="D4" s="214"/>
      <c r="E4" s="215"/>
    </row>
    <row r="5" spans="1:12" hidden="1">
      <c r="B5" s="127" t="s">
        <v>2787</v>
      </c>
      <c r="C5" s="162">
        <f>MATCH($C$4,CONNECTIONS_TABLE[Description],0)</f>
        <v>223</v>
      </c>
      <c r="D5" s="163"/>
      <c r="E5" s="164"/>
    </row>
    <row r="6" spans="1:12">
      <c r="B6" s="127" t="s">
        <v>46</v>
      </c>
      <c r="C6" s="165" cm="1">
        <f t="array" ref="C6">INDEX(CONNECTIONS_TABLE[#Data],$C$5,MATCH(B6,CONNECTIONS_TABLE[#Headers],0))</f>
        <v>415</v>
      </c>
      <c r="D6" s="166"/>
      <c r="E6" s="167"/>
    </row>
    <row r="7" spans="1:12" hidden="1">
      <c r="B7" s="127" t="s">
        <v>2788</v>
      </c>
      <c r="C7" s="162">
        <f>MATCH($C$6,NETWORKS_TABLE[VLAN],0)</f>
        <v>33</v>
      </c>
      <c r="D7" s="163"/>
      <c r="E7" s="164"/>
    </row>
    <row r="8" spans="1:12">
      <c r="B8" s="127" t="s">
        <v>49</v>
      </c>
      <c r="C8" s="165" t="str" cm="1">
        <f t="array" ref="C8">INDEX(NETWORKS_TABLE[#Data],$C$7,MATCH(B8,NETWORKS_TABLE[#Headers],0))</f>
        <v>10.224.215.0/24</v>
      </c>
      <c r="D8" s="166"/>
      <c r="E8" s="167"/>
    </row>
    <row r="9" spans="1:12">
      <c r="B9" s="127" t="s">
        <v>51</v>
      </c>
      <c r="C9" s="165" t="str" cm="1">
        <f t="array" ref="C9">INDEX(NETWORKS_TABLE[#Data],$C$7,MATCH(B9,NETWORKS_TABLE[#Headers],0))</f>
        <v>10.224.215.1</v>
      </c>
      <c r="D9" s="166"/>
      <c r="E9" s="167"/>
    </row>
    <row r="10" spans="1:12">
      <c r="B10" s="127" t="s">
        <v>52</v>
      </c>
      <c r="C10" s="165" t="str" cm="1">
        <f t="array" ref="C10">INDEX(NETWORKS_TABLE[#Data],$C$7,MATCH(B10,NETWORKS_TABLE[#Headers],0))</f>
        <v>255.255.255.0</v>
      </c>
      <c r="D10" s="166"/>
      <c r="E10" s="167"/>
    </row>
    <row r="11" spans="1:12">
      <c r="B11" s="127" t="s">
        <v>48</v>
      </c>
      <c r="C11" s="165" t="str" cm="1">
        <f t="array" ref="C11">INDEX(NETWORKS_TABLE[#Data],$C$7,MATCH(B11,NETWORKS_TABLE[#Headers],0))</f>
        <v>FGHVIEW15</v>
      </c>
      <c r="D11" s="166"/>
      <c r="E11" s="167"/>
    </row>
    <row r="12" spans="1:12">
      <c r="B12" s="127" t="s">
        <v>2789</v>
      </c>
      <c r="C12" s="216" t="s">
        <v>2790</v>
      </c>
      <c r="D12" s="217"/>
      <c r="E12" s="218"/>
    </row>
    <row r="13" spans="1:12">
      <c r="B13" s="127" t="s">
        <v>2791</v>
      </c>
      <c r="C13" s="168" t="s">
        <v>2792</v>
      </c>
      <c r="D13" s="169"/>
      <c r="E13" s="170"/>
    </row>
    <row r="14" spans="1:12" ht="10.8">
      <c r="L14" s="171" t="str">
        <f t="shared" ref="L14" si="0">IF(B14="","",IF(A14="!","",IF(A14="#","",IF(A14="x","no " &amp; B14&amp;" "&amp;C14&amp;" "&amp;D14&amp;" "&amp;E14&amp;" "&amp;F14&amp;" "&amp;G14&amp;" "&amp;H14&amp;" "&amp;I14&amp;" "&amp;J14,TRIM(B14&amp;" "&amp;C14&amp;" "&amp;D14&amp;" "&amp;E14&amp;" "&amp;F14&amp;" "&amp;G14&amp;" "&amp;H14&amp;" "&amp;I14&amp;" "&amp;J14)))))</f>
        <v/>
      </c>
    </row>
    <row r="15" spans="1:12" ht="15.6">
      <c r="A15" s="68" t="s">
        <v>1830</v>
      </c>
      <c r="B15" s="68" t="str">
        <f>C11&amp;" - SVI"</f>
        <v>FGHVIEW15 - SVI</v>
      </c>
      <c r="C15" s="68"/>
      <c r="D15" s="68"/>
      <c r="E15" s="68"/>
      <c r="F15" s="68"/>
      <c r="G15" s="68"/>
      <c r="H15" s="68"/>
      <c r="I15" s="68"/>
      <c r="J15" s="68"/>
      <c r="K15" s="172"/>
      <c r="L15" s="111" t="str">
        <f t="shared" ref="L15:L34" si="1">IF(B15="","!",IF(A15="!","!",IF(A15="#","! "&amp;B15,IF(A15="x","no " &amp; B15&amp;" "&amp;C15&amp;" "&amp;D15&amp;" "&amp;E15&amp;" "&amp;F15&amp;" "&amp;G15&amp;" "&amp;H15&amp;" "&amp;I15&amp;" "&amp;J15,TRIM(B15&amp;" "&amp;C15&amp;" "&amp;D15&amp;" "&amp;E15&amp;" "&amp;F15&amp;" "&amp;G15&amp;" "&amp;H15&amp;" "&amp;I15&amp;" "&amp;J15)))))</f>
        <v>! FGHVIEW15 - SVI</v>
      </c>
    </row>
    <row r="16" spans="1:12">
      <c r="B16" s="173" t="s">
        <v>2794</v>
      </c>
      <c r="C16" s="129">
        <f>$C$6</f>
        <v>415</v>
      </c>
      <c r="D16" s="174" t="s">
        <v>78</v>
      </c>
      <c r="E16" s="174" t="s">
        <v>78</v>
      </c>
      <c r="F16" s="174"/>
      <c r="G16" s="174"/>
      <c r="H16" s="174"/>
      <c r="I16" s="174"/>
      <c r="J16" s="174"/>
      <c r="K16" s="172"/>
      <c r="L16" s="111" t="str">
        <f t="shared" si="1"/>
        <v>vlan 415</v>
      </c>
    </row>
    <row r="17" spans="1:12">
      <c r="B17" s="173" t="s">
        <v>2795</v>
      </c>
      <c r="C17" s="129" t="str">
        <f>$C$11</f>
        <v>FGHVIEW15</v>
      </c>
      <c r="D17" s="174"/>
      <c r="E17" s="174" t="s">
        <v>78</v>
      </c>
      <c r="F17" s="174"/>
      <c r="G17" s="174"/>
      <c r="H17" s="174"/>
      <c r="I17" s="174"/>
      <c r="J17" s="174"/>
      <c r="K17" s="172"/>
      <c r="L17" s="111" t="str">
        <f t="shared" si="1"/>
        <v>name FGHVIEW15</v>
      </c>
    </row>
    <row r="18" spans="1:12">
      <c r="B18" s="173"/>
      <c r="C18" s="174" t="s">
        <v>78</v>
      </c>
      <c r="D18" s="174" t="s">
        <v>78</v>
      </c>
      <c r="E18" s="174" t="s">
        <v>78</v>
      </c>
      <c r="F18" s="174"/>
      <c r="G18" s="174"/>
      <c r="H18" s="174"/>
      <c r="I18" s="174"/>
      <c r="J18" s="174"/>
      <c r="K18" s="172"/>
      <c r="L18" s="111" t="str">
        <f t="shared" si="1"/>
        <v>!</v>
      </c>
    </row>
    <row r="19" spans="1:12">
      <c r="A19" s="172"/>
      <c r="B19" s="173" t="s">
        <v>2796</v>
      </c>
      <c r="C19" s="129" t="str">
        <f>"VLAN"&amp;$C$6</f>
        <v>VLAN415</v>
      </c>
      <c r="D19" s="174" t="s">
        <v>78</v>
      </c>
      <c r="E19" s="174" t="s">
        <v>78</v>
      </c>
      <c r="F19" s="174"/>
      <c r="G19" s="174"/>
      <c r="H19" s="174"/>
      <c r="I19" s="174"/>
      <c r="J19" s="174"/>
      <c r="K19" s="172"/>
      <c r="L19" s="111" t="str">
        <f t="shared" si="1"/>
        <v>interface VLAN415</v>
      </c>
    </row>
    <row r="20" spans="1:12">
      <c r="A20" s="172"/>
      <c r="B20" s="173" t="s">
        <v>2797</v>
      </c>
      <c r="C20" s="174" t="s">
        <v>78</v>
      </c>
      <c r="D20" s="174" t="s">
        <v>78</v>
      </c>
      <c r="E20" s="174" t="s">
        <v>78</v>
      </c>
      <c r="F20" s="174"/>
      <c r="G20" s="174"/>
      <c r="H20" s="174"/>
      <c r="I20" s="174"/>
      <c r="J20" s="174"/>
      <c r="K20" s="172"/>
      <c r="L20" s="111" t="str">
        <f t="shared" si="1"/>
        <v>shutdown</v>
      </c>
    </row>
    <row r="21" spans="1:12">
      <c r="A21" s="172"/>
      <c r="B21" s="173" t="s">
        <v>2798</v>
      </c>
      <c r="C21" s="129" t="str">
        <f>$C$11</f>
        <v>FGHVIEW15</v>
      </c>
      <c r="D21" s="174" t="s">
        <v>78</v>
      </c>
      <c r="E21" s="174" t="s">
        <v>78</v>
      </c>
      <c r="F21" s="174"/>
      <c r="G21" s="174"/>
      <c r="H21" s="174"/>
      <c r="I21" s="174"/>
      <c r="J21" s="174"/>
      <c r="K21" s="172"/>
      <c r="L21" s="111" t="str">
        <f t="shared" si="1"/>
        <v>description FGHVIEW15</v>
      </c>
    </row>
    <row r="22" spans="1:12">
      <c r="A22" s="172"/>
      <c r="B22" s="173" t="s">
        <v>2799</v>
      </c>
      <c r="C22" s="174" t="s">
        <v>2800</v>
      </c>
      <c r="D22" s="129" t="str">
        <f>$C$9</f>
        <v>10.224.215.1</v>
      </c>
      <c r="E22" s="129" t="str">
        <f>$C$10</f>
        <v>255.255.255.0</v>
      </c>
      <c r="F22" s="174"/>
      <c r="G22" s="174"/>
      <c r="H22" s="174"/>
      <c r="I22" s="174"/>
      <c r="J22" s="174"/>
      <c r="K22" s="172"/>
      <c r="L22" s="111" t="str">
        <f t="shared" si="1"/>
        <v>ip address 10.224.215.1 255.255.255.0</v>
      </c>
    </row>
    <row r="23" spans="1:12">
      <c r="A23" s="129" t="str">
        <f t="shared" ref="A23:A26" si="2">IF($C$12="YES","","!")</f>
        <v>!</v>
      </c>
      <c r="B23" s="173" t="s">
        <v>2799</v>
      </c>
      <c r="C23" s="174" t="s">
        <v>2801</v>
      </c>
      <c r="D23" s="174" t="s">
        <v>2802</v>
      </c>
      <c r="E23" s="174"/>
      <c r="F23" s="174"/>
      <c r="G23" s="174"/>
      <c r="H23" s="174"/>
      <c r="I23" s="174"/>
      <c r="J23" s="174"/>
      <c r="K23" s="172"/>
      <c r="L23" s="111" t="str">
        <f t="shared" si="1"/>
        <v>!</v>
      </c>
    </row>
    <row r="24" spans="1:12">
      <c r="A24" s="129" t="str">
        <f t="shared" si="2"/>
        <v>!</v>
      </c>
      <c r="B24" s="173" t="s">
        <v>2799</v>
      </c>
      <c r="C24" s="174" t="s">
        <v>2801</v>
      </c>
      <c r="D24" s="174" t="s">
        <v>1660</v>
      </c>
      <c r="E24" s="174"/>
      <c r="F24" s="174"/>
      <c r="G24" s="174"/>
      <c r="H24" s="174"/>
      <c r="I24" s="174"/>
      <c r="J24" s="174"/>
      <c r="K24" s="172"/>
      <c r="L24" s="111" t="str">
        <f t="shared" si="1"/>
        <v>!</v>
      </c>
    </row>
    <row r="25" spans="1:12">
      <c r="A25" s="129" t="str">
        <f t="shared" si="2"/>
        <v>!</v>
      </c>
      <c r="B25" s="173" t="s">
        <v>2799</v>
      </c>
      <c r="C25" s="174" t="s">
        <v>2801</v>
      </c>
      <c r="D25" s="174" t="s">
        <v>1663</v>
      </c>
      <c r="E25" s="174"/>
      <c r="F25" s="174"/>
      <c r="G25" s="174"/>
      <c r="H25" s="174"/>
      <c r="I25" s="174"/>
      <c r="J25" s="174"/>
      <c r="K25" s="172"/>
      <c r="L25" s="111" t="str">
        <f t="shared" si="1"/>
        <v>!</v>
      </c>
    </row>
    <row r="26" spans="1:12">
      <c r="A26" s="129" t="str">
        <f t="shared" si="2"/>
        <v>!</v>
      </c>
      <c r="B26" s="173"/>
      <c r="C26" s="174" t="s">
        <v>78</v>
      </c>
      <c r="D26" s="174" t="s">
        <v>78</v>
      </c>
      <c r="E26" s="174" t="s">
        <v>78</v>
      </c>
      <c r="F26" s="174"/>
      <c r="G26" s="174"/>
      <c r="H26" s="174"/>
      <c r="I26" s="174"/>
      <c r="J26" s="174"/>
      <c r="K26" s="172"/>
      <c r="L26" s="111" t="str">
        <f t="shared" si="1"/>
        <v>!</v>
      </c>
    </row>
    <row r="27" spans="1:12">
      <c r="L27" s="111" t="str">
        <f t="shared" si="1"/>
        <v>!</v>
      </c>
    </row>
    <row r="28" spans="1:12" ht="15.6">
      <c r="A28" s="68" t="s">
        <v>1830</v>
      </c>
      <c r="B28" s="68" t="s">
        <v>2803</v>
      </c>
      <c r="C28" s="68"/>
      <c r="D28" s="68"/>
      <c r="E28" s="68"/>
      <c r="F28" s="68"/>
      <c r="G28" s="68"/>
      <c r="H28" s="68"/>
      <c r="I28" s="68"/>
      <c r="J28" s="68"/>
      <c r="K28" s="172"/>
      <c r="L28" s="111" t="str">
        <f t="shared" si="1"/>
        <v>! LEGACY CORE CHANGES - CR1 AND CR1</v>
      </c>
    </row>
    <row r="29" spans="1:12">
      <c r="B29" s="173" t="s">
        <v>2796</v>
      </c>
      <c r="C29" s="129" t="str">
        <f>"VLAN"&amp;$C$6</f>
        <v>VLAN415</v>
      </c>
      <c r="D29" s="174" t="s">
        <v>78</v>
      </c>
      <c r="E29" s="174" t="s">
        <v>78</v>
      </c>
      <c r="F29" s="174"/>
      <c r="G29" s="174"/>
      <c r="H29" s="174"/>
      <c r="I29" s="174"/>
      <c r="J29" s="174"/>
      <c r="K29" s="172"/>
      <c r="L29" s="111" t="str">
        <f t="shared" si="1"/>
        <v>interface VLAN415</v>
      </c>
    </row>
    <row r="30" spans="1:12">
      <c r="B30" s="173" t="s">
        <v>2797</v>
      </c>
      <c r="C30" s="174" t="s">
        <v>78</v>
      </c>
      <c r="D30" s="174"/>
      <c r="E30" s="174" t="s">
        <v>78</v>
      </c>
      <c r="F30" s="174"/>
      <c r="G30" s="174"/>
      <c r="H30" s="174"/>
      <c r="I30" s="174"/>
      <c r="J30" s="174"/>
      <c r="K30" s="172"/>
      <c r="L30" s="111" t="str">
        <f t="shared" si="1"/>
        <v>shutdown</v>
      </c>
    </row>
    <row r="31" spans="1:12">
      <c r="B31" s="173"/>
      <c r="C31" s="174" t="s">
        <v>78</v>
      </c>
      <c r="D31" s="174" t="s">
        <v>78</v>
      </c>
      <c r="E31" s="174" t="s">
        <v>78</v>
      </c>
      <c r="F31" s="174"/>
      <c r="G31" s="174"/>
      <c r="H31" s="174"/>
      <c r="I31" s="174"/>
      <c r="J31" s="174"/>
      <c r="K31" s="172"/>
      <c r="L31" s="111" t="str">
        <f t="shared" si="1"/>
        <v>!</v>
      </c>
    </row>
    <row r="32" spans="1:12">
      <c r="A32" s="172"/>
      <c r="B32" s="175" t="s">
        <v>2799</v>
      </c>
      <c r="C32" s="118" t="s">
        <v>2804</v>
      </c>
      <c r="D32" s="129" t="str">
        <f>LEFT($C$8,FIND("/",C8)-1)</f>
        <v>10.224.215.0</v>
      </c>
      <c r="E32" s="129" t="str">
        <f>$C$10</f>
        <v>255.255.255.0</v>
      </c>
      <c r="F32" s="176" t="str">
        <f>$C$13</f>
        <v>172.16.32.80</v>
      </c>
      <c r="G32" s="174"/>
      <c r="H32" s="174"/>
      <c r="I32" s="174"/>
      <c r="J32" s="174"/>
      <c r="K32" s="172"/>
      <c r="L32" s="111" t="str">
        <f t="shared" si="1"/>
        <v>ip route 10.224.215.0 255.255.255.0 172.16.32.80</v>
      </c>
    </row>
    <row r="33" spans="1:12">
      <c r="A33" s="172"/>
      <c r="B33" s="173"/>
      <c r="C33" s="173"/>
      <c r="D33" s="173"/>
      <c r="E33" s="174" t="s">
        <v>78</v>
      </c>
      <c r="F33" s="174"/>
      <c r="G33" s="174"/>
      <c r="H33" s="174"/>
      <c r="I33" s="174"/>
      <c r="J33" s="174"/>
      <c r="K33" s="172"/>
      <c r="L33" s="111" t="str">
        <f t="shared" si="1"/>
        <v>!</v>
      </c>
    </row>
    <row r="34" spans="1:12">
      <c r="A34" s="172"/>
      <c r="B34" s="173"/>
      <c r="C34" s="173"/>
      <c r="D34" s="173"/>
      <c r="E34" s="174" t="s">
        <v>78</v>
      </c>
      <c r="F34" s="174"/>
      <c r="G34" s="174"/>
      <c r="H34" s="174"/>
      <c r="I34" s="174"/>
      <c r="J34" s="174"/>
      <c r="K34" s="172"/>
      <c r="L34" s="111" t="str">
        <f t="shared" si="1"/>
        <v>!</v>
      </c>
    </row>
  </sheetData>
  <mergeCells count="2">
    <mergeCell ref="C4:E4"/>
    <mergeCell ref="C12:E12"/>
  </mergeCells>
  <conditionalFormatting sqref="L14">
    <cfRule type="expression" dxfId="1359" priority="10">
      <formula>A14="*"</formula>
    </cfRule>
  </conditionalFormatting>
  <conditionalFormatting sqref="L14">
    <cfRule type="expression" dxfId="1358" priority="9">
      <formula>A14="#"</formula>
    </cfRule>
  </conditionalFormatting>
  <conditionalFormatting sqref="L15 L19:L27">
    <cfRule type="expression" dxfId="1357" priority="8">
      <formula>A15="*"</formula>
    </cfRule>
  </conditionalFormatting>
  <conditionalFormatting sqref="L15 L19:L27">
    <cfRule type="expression" dxfId="1356" priority="7">
      <formula>A15="#"</formula>
    </cfRule>
  </conditionalFormatting>
  <conditionalFormatting sqref="L16:L18">
    <cfRule type="expression" dxfId="1355" priority="6">
      <formula>A16="*"</formula>
    </cfRule>
  </conditionalFormatting>
  <conditionalFormatting sqref="L16:L18">
    <cfRule type="expression" dxfId="1354" priority="5">
      <formula>A16="#"</formula>
    </cfRule>
  </conditionalFormatting>
  <conditionalFormatting sqref="L28 L32:L34">
    <cfRule type="expression" dxfId="1353" priority="4">
      <formula>A28="*"</formula>
    </cfRule>
  </conditionalFormatting>
  <conditionalFormatting sqref="L28 L32:L34">
    <cfRule type="expression" dxfId="1352" priority="3">
      <formula>A28="#"</formula>
    </cfRule>
  </conditionalFormatting>
  <conditionalFormatting sqref="L29:L31">
    <cfRule type="expression" dxfId="1351" priority="2">
      <formula>A29="*"</formula>
    </cfRule>
  </conditionalFormatting>
  <conditionalFormatting sqref="L29:L31">
    <cfRule type="expression" dxfId="1350" priority="1">
      <formula>A29="#"</formula>
    </cfRule>
  </conditionalFormatting>
  <dataValidations disablePrompts="1" count="2">
    <dataValidation type="list" allowBlank="1" showInputMessage="1" showErrorMessage="1" sqref="C12:C13" xr:uid="{5CAB28B6-EB54-45B4-A2AB-FF9D07AA5B20}">
      <formula1>"YES, NO"</formula1>
    </dataValidation>
    <dataValidation type="list" allowBlank="1" showInputMessage="1" sqref="C4" xr:uid="{2110F806-F191-46B5-A172-DC13422DB24C}">
      <formula1>INDIRECT("CONNECTIONS_TABLE[Description]")</formula1>
    </dataValidation>
  </dataValidation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01FB-D8E8-4A7B-BA2B-B099C3971E4C}">
  <sheetPr codeName="Sheet38">
    <tabColor rgb="FFFF0000"/>
  </sheetPr>
  <dimension ref="A1:L71"/>
  <sheetViews>
    <sheetView workbookViewId="0">
      <selection activeCell="G13" sqref="G13"/>
    </sheetView>
  </sheetViews>
  <sheetFormatPr defaultColWidth="9" defaultRowHeight="10.199999999999999"/>
  <cols>
    <col min="1" max="1" width="1.44140625" style="111" customWidth="1"/>
    <col min="2" max="2" width="18.6640625" style="111" customWidth="1"/>
    <col min="3" max="7" width="8.88671875" style="111" customWidth="1"/>
    <col min="8" max="8" width="10.109375" style="111" customWidth="1"/>
    <col min="9" max="10" width="8.88671875" style="111" customWidth="1"/>
    <col min="11" max="11" width="2.33203125" style="111" customWidth="1"/>
    <col min="12" max="12" width="57.77734375" style="111" customWidth="1"/>
    <col min="13" max="16384" width="9" style="111"/>
  </cols>
  <sheetData>
    <row r="1" spans="1:12" ht="21">
      <c r="A1" s="108" t="s">
        <v>2805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3" spans="1:12" ht="15.6">
      <c r="B3" s="160" t="s">
        <v>2806</v>
      </c>
      <c r="C3" s="160"/>
      <c r="D3" s="160"/>
      <c r="E3" s="160"/>
    </row>
    <row r="4" spans="1:12" ht="15.6">
      <c r="B4" s="161" t="s">
        <v>2786</v>
      </c>
      <c r="C4" s="219" t="s">
        <v>2937</v>
      </c>
      <c r="D4" s="220"/>
      <c r="E4" s="220"/>
      <c r="F4" s="220"/>
      <c r="G4" s="220"/>
      <c r="H4" s="221"/>
      <c r="I4" s="222" t="s">
        <v>2807</v>
      </c>
      <c r="J4" s="223"/>
    </row>
    <row r="5" spans="1:12">
      <c r="B5" s="127" t="s">
        <v>2808</v>
      </c>
      <c r="C5" s="165">
        <f>MATCH($C$4,CONNECTIONS_TABLE[Description],0)</f>
        <v>240</v>
      </c>
      <c r="D5" s="166"/>
      <c r="E5" s="167"/>
      <c r="I5" s="111" t="s">
        <v>1867</v>
      </c>
    </row>
    <row r="6" spans="1:12">
      <c r="B6" s="127" t="s">
        <v>1979</v>
      </c>
      <c r="C6" s="179" t="str" cm="1">
        <f t="array" ref="C6">INDEX(CONNECTIONS_TABLE[#Data],$C$5,MATCH(B6,CONNECTIONS_TABLE[#Headers],0))</f>
        <v>FGHLHN142-2</v>
      </c>
      <c r="D6" s="166"/>
      <c r="E6" s="167"/>
    </row>
    <row r="7" spans="1:12">
      <c r="B7" s="127" t="s">
        <v>886</v>
      </c>
      <c r="C7" s="165" t="str">
        <f>VLOOKUP(C6,DEVICE_TABLE[#Data],MATCH(B7,DEVICE_TABLE[#Headers],0),0)</f>
        <v>C9300-48T</v>
      </c>
      <c r="D7" s="166"/>
      <c r="E7" s="167"/>
    </row>
    <row r="8" spans="1:12">
      <c r="B8" s="127" t="s">
        <v>1980</v>
      </c>
      <c r="C8" s="179" t="str" cm="1">
        <f t="array" ref="C8">INDEX(CONNECTIONS_TABLE[#Data],$C$5,MATCH(B8,CONNECTIONS_TABLE[#Headers],0))</f>
        <v>gi2/0/42</v>
      </c>
      <c r="D8" s="166"/>
      <c r="E8" s="167"/>
    </row>
    <row r="9" spans="1:12">
      <c r="B9" s="127" t="s">
        <v>46</v>
      </c>
      <c r="C9" s="165" cm="1">
        <f t="array" ref="C9">INDEX(CONNECTIONS_TABLE[#Data],$C$5,MATCH(B9,CONNECTIONS_TABLE[#Headers],0))</f>
        <v>201</v>
      </c>
      <c r="D9" s="166"/>
      <c r="E9" s="167"/>
    </row>
    <row r="10" spans="1:12">
      <c r="B10" s="127" t="s">
        <v>1983</v>
      </c>
      <c r="C10" s="180" cm="1">
        <f t="array" ref="C10">INDEX(CONNECTIONS_TABLE[#Data],$C$5,MATCH(B10,CONNECTIONS_TABLE[#Headers],0))</f>
        <v>0</v>
      </c>
      <c r="D10" s="166"/>
      <c r="E10" s="167"/>
    </row>
    <row r="11" spans="1:12">
      <c r="B11" s="127" t="s">
        <v>1984</v>
      </c>
      <c r="C11" s="165" t="str" cm="1">
        <f t="array" ref="C11">IF(INDEX(CONNECTIONS_TABLE[#Data],$C$5,MATCH(B11,CONNECTIONS_TABLE[#Headers],0))=0,"999",INDEX(CONNECTIONS_TABLE[#Data],$C$5,MATCH(B11,CONNECTIONS_TABLE[#Headers],0)))</f>
        <v>999</v>
      </c>
      <c r="D11" s="166"/>
      <c r="E11" s="167"/>
    </row>
    <row r="12" spans="1:12">
      <c r="B12" s="127" t="s">
        <v>1985</v>
      </c>
      <c r="C12" s="165" cm="1">
        <f t="array" ref="C12">INDEX(CONNECTIONS_TABLE[#Data],$C$5,MATCH(B12,CONNECTIONS_TABLE[#Headers],0))</f>
        <v>0</v>
      </c>
      <c r="D12" s="166"/>
      <c r="E12" s="167"/>
    </row>
    <row r="13" spans="1:12">
      <c r="B13" s="127" t="s">
        <v>1982</v>
      </c>
      <c r="C13" s="165" t="str" cm="1">
        <f t="array" ref="C13">INDEX(CONNECTIONS_TABLE[#Data],$C$5,MATCH(B13,CONNECTIONS_TABLE[#Headers],0))</f>
        <v>auto</v>
      </c>
      <c r="D13" s="166"/>
      <c r="E13" s="167"/>
      <c r="L13" s="111" t="s">
        <v>1867</v>
      </c>
    </row>
    <row r="14" spans="1:12">
      <c r="B14" s="127" t="s">
        <v>45</v>
      </c>
      <c r="C14" s="165" t="str" cm="1">
        <f t="array" ref="C14">INDEX(CONNECTIONS_TABLE[#Data],$C$5,MATCH(B14,CONNECTIONS_TABLE[#Headers],0))</f>
        <v>1GB COPPER</v>
      </c>
      <c r="D14" s="166"/>
      <c r="E14" s="167"/>
    </row>
    <row r="15" spans="1:12">
      <c r="B15" s="127" t="s">
        <v>887</v>
      </c>
      <c r="C15" s="165" t="str" cm="1">
        <f t="array" ref="C15">INDEX(CONNECTIONS_TABLE[#Data],$C$5,MATCH(B15,CONNECTIONS_TABLE[#Headers],0))</f>
        <v>Cisco UCESXI02 data/data4 (Physical Server)</v>
      </c>
      <c r="D15" s="166"/>
      <c r="E15" s="167"/>
    </row>
    <row r="16" spans="1:12">
      <c r="B16" s="127" t="s">
        <v>2809</v>
      </c>
      <c r="C16" s="165" t="s">
        <v>78</v>
      </c>
      <c r="D16" s="166"/>
      <c r="E16" s="167"/>
    </row>
    <row r="17" spans="1:12">
      <c r="B17" s="127" t="s">
        <v>2810</v>
      </c>
      <c r="C17" s="165" t="s">
        <v>78</v>
      </c>
      <c r="D17" s="166"/>
      <c r="E17" s="167"/>
    </row>
    <row r="18" spans="1:12">
      <c r="B18" s="127" t="s">
        <v>2811</v>
      </c>
      <c r="C18" s="165" t="str">
        <f>IF($C$10=0,"",INDEX(CONNECTIONS_TABLE[Description],MATCH(C17&amp;" "&amp;C16,CONNECTIONS_TABLE[Switch-Port],0)))</f>
        <v/>
      </c>
      <c r="D18" s="166"/>
      <c r="E18" s="167"/>
    </row>
    <row r="19" spans="1:12">
      <c r="B19" s="127" t="s">
        <v>2812</v>
      </c>
      <c r="C19" s="168"/>
      <c r="D19" s="169"/>
      <c r="E19" s="170"/>
    </row>
    <row r="20" spans="1:12">
      <c r="L20" s="111" t="str">
        <f t="shared" ref="L20:L60" si="0">IF(B20="","!",IF(A20="!","!",IF(A20="#","! "&amp;B20,IF(A20="x","no " &amp; B20&amp;" "&amp;C20&amp;" "&amp;D20&amp;" "&amp;E20&amp;" "&amp;F20&amp;" "&amp;G20&amp;" "&amp;H20&amp;" "&amp;I20&amp;" "&amp;J20,TRIM(B20&amp;" "&amp;C20&amp;" "&amp;D20&amp;" "&amp;E20&amp;" "&amp;F20&amp;" "&amp;G20&amp;" "&amp;H20&amp;" "&amp;I20&amp;" "&amp;J20)))))</f>
        <v>!</v>
      </c>
    </row>
    <row r="21" spans="1:12">
      <c r="F21" s="127" t="s">
        <v>2154</v>
      </c>
      <c r="G21" s="127" t="s">
        <v>2813</v>
      </c>
      <c r="H21" s="129" t="str">
        <f>IF(C9="TRUNK","Native VLAN","VLAN")</f>
        <v>VLAN</v>
      </c>
      <c r="I21" s="127" t="s">
        <v>2814</v>
      </c>
      <c r="J21" s="127" t="s">
        <v>887</v>
      </c>
      <c r="L21" s="111" t="str">
        <f t="shared" si="0"/>
        <v>!</v>
      </c>
    </row>
    <row r="22" spans="1:12" ht="15.6">
      <c r="A22" s="160" t="s">
        <v>1830</v>
      </c>
      <c r="B22" s="160" t="str">
        <f>$C$6&amp;" - "&amp;$C$8&amp;" - "&amp;$I$22&amp; " - "&amp;UPPER(F22)</f>
        <v>FGHLHN142-2 - gi2/0/42 - Cisco UCESXI02 data/data4 - ACCESS</v>
      </c>
      <c r="C22" s="160"/>
      <c r="D22" s="160"/>
      <c r="E22" s="160"/>
      <c r="F22" s="118" t="str">
        <f>IF(UPPER($C$9)="TRUNK","TRUNK","access")</f>
        <v>access</v>
      </c>
      <c r="G22" s="118" t="str">
        <f>$C$8</f>
        <v>gi2/0/42</v>
      </c>
      <c r="H22" s="118">
        <f>IF(H21="VLAN",$C$9,$C$11)</f>
        <v>201</v>
      </c>
      <c r="I22" s="118" t="str">
        <f>MID($C$15,1,FIND("(",$C$15,1)-2)</f>
        <v>Cisco UCESXI02 data/data4</v>
      </c>
      <c r="J22" s="118" t="str">
        <f>MID($C$15,FIND("(",$C$15)+1,LEN($C$15)-1-FIND("(",$C$15))</f>
        <v>Physical Server</v>
      </c>
      <c r="L22" s="111" t="str">
        <f>IF(B22="","!",IF(A22="!","!",IF(A22="#","! "&amp;B22,IF(A22="x","no " &amp; B22&amp;" "&amp;C22&amp;" "&amp;D22&amp;" "&amp;E22&amp;" "&amp;F22&amp;" "&amp;G22&amp;" "&amp;H22&amp;" "&amp;I22&amp;" "&amp;J22,TRIM(B22&amp;" "&amp;C22&amp;" "&amp;D22&amp;" "&amp;E22&amp;" "&amp;F22&amp;" "&amp;G22&amp;" "&amp;H22&amp;" "&amp;I22&amp;" "&amp;J22)))))</f>
        <v>! FGHLHN142-2 - gi2/0/42 - Cisco UCESXI02 data/data4 - ACCESS</v>
      </c>
    </row>
    <row r="23" spans="1:12">
      <c r="A23" s="129" t="str">
        <f>IF($C$10=0,"","!")</f>
        <v/>
      </c>
      <c r="B23" s="175" t="s">
        <v>2815</v>
      </c>
      <c r="C23" s="118" t="s">
        <v>2796</v>
      </c>
      <c r="D23" s="129" t="str">
        <f>G22</f>
        <v>gi2/0/42</v>
      </c>
      <c r="E23" s="118"/>
      <c r="F23" s="118"/>
      <c r="G23" s="118"/>
      <c r="H23" s="118"/>
      <c r="I23" s="118"/>
      <c r="J23" s="118"/>
      <c r="L23" s="111" t="str">
        <f t="shared" si="0"/>
        <v>default interface gi2/0/42</v>
      </c>
    </row>
    <row r="24" spans="1:12">
      <c r="A24" s="129" t="str">
        <f t="shared" ref="A24:A38" si="1">IF($C$10=0,"","!")</f>
        <v/>
      </c>
      <c r="B24" s="175" t="s">
        <v>2796</v>
      </c>
      <c r="C24" s="129" t="str">
        <f>G22</f>
        <v>gi2/0/42</v>
      </c>
      <c r="D24" s="118"/>
      <c r="E24" s="118"/>
      <c r="F24" s="118"/>
      <c r="G24" s="118"/>
      <c r="H24" s="118"/>
      <c r="I24" s="118"/>
      <c r="J24" s="118"/>
      <c r="L24" s="111" t="str">
        <f t="shared" si="0"/>
        <v>interface gi2/0/42</v>
      </c>
    </row>
    <row r="25" spans="1:12">
      <c r="A25" s="129" t="str">
        <f t="shared" si="1"/>
        <v/>
      </c>
      <c r="B25" s="175" t="s">
        <v>2797</v>
      </c>
      <c r="C25" s="118"/>
      <c r="D25" s="118"/>
      <c r="E25" s="118"/>
      <c r="F25" s="118"/>
      <c r="G25" s="118"/>
      <c r="H25" s="118"/>
      <c r="I25" s="118"/>
      <c r="J25" s="118"/>
      <c r="L25" s="111" t="str">
        <f t="shared" si="0"/>
        <v>shutdown</v>
      </c>
    </row>
    <row r="26" spans="1:12">
      <c r="A26" s="129" t="str">
        <f t="shared" si="1"/>
        <v/>
      </c>
      <c r="B26" s="175" t="s">
        <v>2798</v>
      </c>
      <c r="C26" s="129" t="str">
        <f>I22</f>
        <v>Cisco UCESXI02 data/data4</v>
      </c>
      <c r="D26" s="129" t="str">
        <f>"("&amp;J22&amp;")"</f>
        <v>(Physical Server)</v>
      </c>
      <c r="E26" s="118"/>
      <c r="F26" s="118"/>
      <c r="G26" s="118"/>
      <c r="H26" s="118"/>
      <c r="I26" s="118"/>
      <c r="J26" s="118"/>
      <c r="L26" s="111" t="str">
        <f t="shared" si="0"/>
        <v>description Cisco UCESXI02 data/data4 (Physical Server)</v>
      </c>
    </row>
    <row r="27" spans="1:12">
      <c r="A27" s="129" t="str">
        <f t="shared" si="1"/>
        <v/>
      </c>
      <c r="B27" s="143" t="s">
        <v>2793</v>
      </c>
      <c r="C27" s="175" t="s">
        <v>2816</v>
      </c>
      <c r="D27" s="142">
        <v>100</v>
      </c>
      <c r="E27" s="118"/>
      <c r="F27" s="118"/>
      <c r="G27" s="118"/>
      <c r="H27" s="118"/>
      <c r="I27" s="118"/>
      <c r="J27" s="118"/>
      <c r="L27" s="111" t="str">
        <f t="shared" si="0"/>
        <v>! speed 100</v>
      </c>
    </row>
    <row r="28" spans="1:12">
      <c r="A28" s="129" t="str">
        <f t="shared" si="1"/>
        <v/>
      </c>
      <c r="B28" s="143" t="s">
        <v>2793</v>
      </c>
      <c r="C28" s="175" t="s">
        <v>2817</v>
      </c>
      <c r="D28" s="142" t="s">
        <v>2818</v>
      </c>
      <c r="E28" s="118"/>
      <c r="F28" s="118"/>
      <c r="G28" s="118"/>
      <c r="H28" s="118"/>
      <c r="I28" s="118"/>
      <c r="J28" s="118"/>
      <c r="L28" s="111" t="str">
        <f t="shared" si="0"/>
        <v>! duplex full</v>
      </c>
    </row>
    <row r="29" spans="1:12">
      <c r="A29" s="129" t="str">
        <f t="shared" si="1"/>
        <v/>
      </c>
      <c r="B29" s="175" t="s">
        <v>2819</v>
      </c>
      <c r="C29" s="118" t="s">
        <v>2820</v>
      </c>
      <c r="D29" s="129" t="str">
        <f>F22</f>
        <v>access</v>
      </c>
      <c r="E29" s="118"/>
      <c r="F29" s="118"/>
      <c r="G29" s="118"/>
      <c r="H29" s="118"/>
      <c r="I29" s="118"/>
      <c r="J29" s="118"/>
      <c r="L29" s="111" t="str">
        <f t="shared" si="0"/>
        <v>switchport mode access</v>
      </c>
    </row>
    <row r="30" spans="1:12">
      <c r="A30" s="129" t="str">
        <f t="shared" si="1"/>
        <v/>
      </c>
      <c r="B30" s="175" t="s">
        <v>2819</v>
      </c>
      <c r="C30" s="129" t="str">
        <f>$F$22</f>
        <v>access</v>
      </c>
      <c r="D30" s="129" t="str">
        <f>IF(F22&lt;&gt;"TRUNK","","native")</f>
        <v/>
      </c>
      <c r="E30" s="118" t="s">
        <v>2794</v>
      </c>
      <c r="F30" s="129">
        <f>H22</f>
        <v>201</v>
      </c>
      <c r="G30" s="118"/>
      <c r="H30" s="118"/>
      <c r="I30" s="118"/>
      <c r="J30" s="118"/>
      <c r="L30" s="111" t="str">
        <f t="shared" si="0"/>
        <v>switchport access vlan 201</v>
      </c>
    </row>
    <row r="31" spans="1:12">
      <c r="A31" s="129" t="str">
        <f t="shared" si="1"/>
        <v/>
      </c>
      <c r="B31" s="181" t="str" cm="1">
        <f t="array" ref="B31">_xlfn.IFS($F$22&lt;&gt;"TRUNK","! ",$C12=0,"! ",TRUE,"")&amp;"switchport"</f>
        <v>! switchport</v>
      </c>
      <c r="C31" s="118" t="s">
        <v>2075</v>
      </c>
      <c r="D31" s="118" t="s">
        <v>2821</v>
      </c>
      <c r="E31" s="118" t="s">
        <v>2794</v>
      </c>
      <c r="F31" s="129">
        <f>$C$12</f>
        <v>0</v>
      </c>
      <c r="G31" s="118"/>
      <c r="H31" s="118"/>
      <c r="I31" s="118"/>
      <c r="J31" s="118"/>
      <c r="L31" s="111" t="str">
        <f t="shared" si="0"/>
        <v>! switchport TRUNK allowed vlan 0</v>
      </c>
    </row>
    <row r="32" spans="1:12">
      <c r="A32" s="129" t="str">
        <f t="shared" si="1"/>
        <v/>
      </c>
      <c r="B32" s="175" t="s">
        <v>2819</v>
      </c>
      <c r="C32" s="118" t="s">
        <v>2822</v>
      </c>
      <c r="D32" s="118"/>
      <c r="E32" s="118"/>
      <c r="F32" s="118"/>
      <c r="G32" s="118"/>
      <c r="H32" s="118"/>
      <c r="I32" s="118"/>
      <c r="J32" s="118"/>
      <c r="L32" s="111" t="str">
        <f t="shared" si="0"/>
        <v>switchport nonegotiate</v>
      </c>
    </row>
    <row r="33" spans="1:12">
      <c r="A33" s="129" t="str">
        <f t="shared" si="1"/>
        <v/>
      </c>
      <c r="B33" s="143" t="s">
        <v>2793</v>
      </c>
      <c r="C33" s="175" t="s">
        <v>2823</v>
      </c>
      <c r="D33" s="118" t="s">
        <v>2824</v>
      </c>
      <c r="E33" s="182" t="str">
        <f>IF(LEFT($C$7,3)="C95","edge","")</f>
        <v/>
      </c>
      <c r="F33" s="118"/>
      <c r="G33" s="118"/>
      <c r="H33" s="118"/>
      <c r="I33" s="118"/>
      <c r="J33" s="118"/>
      <c r="L33" s="111" t="str">
        <f t="shared" si="0"/>
        <v>! spanning-tree portfast</v>
      </c>
    </row>
    <row r="34" spans="1:12">
      <c r="A34" s="129" t="str">
        <f t="shared" si="1"/>
        <v/>
      </c>
      <c r="B34" s="143" t="str">
        <f>IF(F22&lt;&gt;"TRUNK","!"," ")</f>
        <v>!</v>
      </c>
      <c r="C34" s="175" t="s">
        <v>2823</v>
      </c>
      <c r="D34" s="118" t="s">
        <v>2825</v>
      </c>
      <c r="E34" s="118" t="str">
        <f>IF(F22&lt;&gt;"TRUNK","enable","disable")</f>
        <v>enable</v>
      </c>
      <c r="F34" s="118"/>
      <c r="G34" s="118"/>
      <c r="H34" s="118"/>
      <c r="I34" s="118"/>
      <c r="J34" s="118"/>
      <c r="L34" s="111" t="str">
        <f t="shared" si="0"/>
        <v>! spanning-tree bpduguard enable</v>
      </c>
    </row>
    <row r="35" spans="1:12">
      <c r="A35" s="129" t="str">
        <f t="shared" si="1"/>
        <v/>
      </c>
      <c r="B35" s="175" t="s">
        <v>2826</v>
      </c>
      <c r="C35" s="183" t="s">
        <v>2827</v>
      </c>
      <c r="D35" s="118"/>
      <c r="E35" s="118"/>
      <c r="F35" s="118"/>
      <c r="G35" s="118"/>
      <c r="H35" s="118"/>
      <c r="I35" s="118"/>
      <c r="J35" s="118"/>
      <c r="L35" s="111" t="str">
        <f t="shared" si="0"/>
        <v>no cdp enable</v>
      </c>
    </row>
    <row r="36" spans="1:12">
      <c r="A36" s="129" t="str">
        <f t="shared" si="1"/>
        <v/>
      </c>
      <c r="B36" s="143" t="s">
        <v>2793</v>
      </c>
      <c r="C36" s="173" t="s">
        <v>1988</v>
      </c>
      <c r="D36" s="184" t="s">
        <v>2828</v>
      </c>
      <c r="E36" s="174" t="s">
        <v>2829</v>
      </c>
      <c r="F36" s="174" t="s">
        <v>2830</v>
      </c>
      <c r="G36" s="174"/>
      <c r="H36" s="174"/>
      <c r="I36" s="174"/>
      <c r="J36" s="174"/>
      <c r="K36" s="172"/>
      <c r="L36" s="111" t="str">
        <f t="shared" si="0"/>
        <v>! auto qos trust dscp</v>
      </c>
    </row>
    <row r="37" spans="1:12">
      <c r="A37" s="129" t="str">
        <f t="shared" si="1"/>
        <v/>
      </c>
      <c r="B37" s="175" t="s">
        <v>2831</v>
      </c>
      <c r="C37" s="118"/>
      <c r="D37" s="118"/>
      <c r="E37" s="118"/>
      <c r="F37" s="118"/>
      <c r="G37" s="118"/>
      <c r="H37" s="118"/>
      <c r="I37" s="118"/>
      <c r="J37" s="118"/>
      <c r="L37" s="111" t="str">
        <f t="shared" si="0"/>
        <v>no shutdown</v>
      </c>
    </row>
    <row r="38" spans="1:12">
      <c r="A38" s="129" t="str">
        <f t="shared" si="1"/>
        <v/>
      </c>
      <c r="B38" s="175" t="s">
        <v>2832</v>
      </c>
      <c r="C38" s="118"/>
      <c r="D38" s="118"/>
      <c r="E38" s="118"/>
      <c r="F38" s="118"/>
      <c r="G38" s="118"/>
      <c r="H38" s="118"/>
      <c r="I38" s="118"/>
      <c r="J38" s="118"/>
      <c r="L38" s="111" t="str">
        <f t="shared" si="0"/>
        <v>exit</v>
      </c>
    </row>
    <row r="39" spans="1:12">
      <c r="L39" s="111" t="str">
        <f t="shared" si="0"/>
        <v>!</v>
      </c>
    </row>
    <row r="40" spans="1:12">
      <c r="L40" s="111" t="str">
        <f t="shared" si="0"/>
        <v>!</v>
      </c>
    </row>
    <row r="41" spans="1:12">
      <c r="E41" s="127" t="s">
        <v>2833</v>
      </c>
      <c r="F41" s="127" t="s">
        <v>2154</v>
      </c>
      <c r="G41" s="127" t="s">
        <v>2813</v>
      </c>
      <c r="H41" s="129" t="str">
        <f>IF(C31="TRUNK","Native VLAN","VLAN")</f>
        <v>Native VLAN</v>
      </c>
      <c r="I41" s="127" t="s">
        <v>2814</v>
      </c>
      <c r="J41" s="127" t="s">
        <v>887</v>
      </c>
      <c r="L41" s="111" t="str">
        <f t="shared" si="0"/>
        <v>!</v>
      </c>
    </row>
    <row r="42" spans="1:12" ht="15.6">
      <c r="A42" s="160" t="s">
        <v>1830</v>
      </c>
      <c r="B42" s="160" t="str">
        <f>$C$6&amp;" - "&amp;$C$8&amp;" - "&amp;$I$22&amp; " - TRUNK TEAM "</f>
        <v xml:space="preserve">FGHLHN142-2 - gi2/0/42 - Cisco UCESXI02 data/data4 - TRUNK TEAM </v>
      </c>
      <c r="C42" s="160"/>
      <c r="D42" s="160"/>
      <c r="E42" s="185">
        <f>$C$10</f>
        <v>0</v>
      </c>
      <c r="F42" s="118" t="str">
        <f>IF(UPPER($C$9)="TRUNK","TRUNK","access")</f>
        <v>access</v>
      </c>
      <c r="G42" s="118" t="str">
        <f>$C$8</f>
        <v>gi2/0/42</v>
      </c>
      <c r="H42" s="118" t="str">
        <f>IF(H41="VLAN",$C$9,$C$11)</f>
        <v>999</v>
      </c>
      <c r="I42" s="118" t="str">
        <f>MID($C$15,1,FIND("(",$C$15,1)-2)</f>
        <v>Cisco UCESXI02 data/data4</v>
      </c>
      <c r="J42" s="118" t="str">
        <f>MID($C$15,FIND("(",$C$15)+1,LEN($C$15)-1-FIND("(",$C$15))</f>
        <v>Physical Server</v>
      </c>
      <c r="L42" s="111" t="str">
        <f t="shared" si="0"/>
        <v xml:space="preserve">! FGHLHN142-2 - gi2/0/42 - Cisco UCESXI02 data/data4 - TRUNK TEAM </v>
      </c>
    </row>
    <row r="43" spans="1:12" ht="13.65" customHeight="1">
      <c r="A43" s="129" t="str">
        <f>IF($C$10=0,"!","")</f>
        <v>!</v>
      </c>
      <c r="B43" s="175" t="s">
        <v>2834</v>
      </c>
      <c r="C43" s="118" t="s">
        <v>2835</v>
      </c>
      <c r="D43" s="186">
        <f>E42</f>
        <v>0</v>
      </c>
      <c r="E43" s="187"/>
      <c r="F43" s="118"/>
      <c r="G43" s="118"/>
      <c r="H43" s="118"/>
      <c r="I43" s="118"/>
      <c r="J43" s="118"/>
      <c r="L43" s="111" t="str">
        <f t="shared" si="0"/>
        <v>!</v>
      </c>
    </row>
    <row r="44" spans="1:12">
      <c r="A44" s="129" t="str">
        <f t="shared" ref="A44:A70" si="2">IF($C$10=0,"!","")</f>
        <v>!</v>
      </c>
      <c r="B44" s="175"/>
      <c r="C44" s="118"/>
      <c r="D44" s="118"/>
      <c r="E44" s="118"/>
      <c r="F44" s="118"/>
      <c r="G44" s="118"/>
      <c r="H44" s="118"/>
      <c r="I44" s="118"/>
      <c r="J44" s="118"/>
      <c r="L44" s="111" t="str">
        <f t="shared" si="0"/>
        <v>!</v>
      </c>
    </row>
    <row r="45" spans="1:12">
      <c r="A45" s="129" t="str">
        <f t="shared" si="2"/>
        <v>!</v>
      </c>
      <c r="B45" s="175" t="s">
        <v>2815</v>
      </c>
      <c r="C45" s="118" t="s">
        <v>2796</v>
      </c>
      <c r="D45" s="129" t="str">
        <f>G42</f>
        <v>gi2/0/42</v>
      </c>
      <c r="E45" s="118"/>
      <c r="F45" s="118"/>
      <c r="G45" s="118"/>
      <c r="H45" s="118"/>
      <c r="I45" s="118"/>
      <c r="J45" s="118"/>
      <c r="L45" s="111" t="str">
        <f t="shared" si="0"/>
        <v>!</v>
      </c>
    </row>
    <row r="46" spans="1:12">
      <c r="A46" s="129" t="str">
        <f t="shared" si="2"/>
        <v>!</v>
      </c>
      <c r="B46" s="175" t="s">
        <v>2796</v>
      </c>
      <c r="C46" s="129" t="str">
        <f>G42</f>
        <v>gi2/0/42</v>
      </c>
      <c r="D46" s="118"/>
      <c r="E46" s="118"/>
      <c r="F46" s="118"/>
      <c r="G46" s="118"/>
      <c r="H46" s="118"/>
      <c r="I46" s="118"/>
      <c r="J46" s="118"/>
      <c r="L46" s="111" t="str">
        <f t="shared" si="0"/>
        <v>!</v>
      </c>
    </row>
    <row r="47" spans="1:12">
      <c r="A47" s="129" t="str">
        <f t="shared" si="2"/>
        <v>!</v>
      </c>
      <c r="B47" s="175" t="s">
        <v>2797</v>
      </c>
      <c r="C47" s="118"/>
      <c r="D47" s="118"/>
      <c r="E47" s="118"/>
      <c r="F47" s="118"/>
      <c r="G47" s="118"/>
      <c r="H47" s="118"/>
      <c r="I47" s="118"/>
      <c r="J47" s="118"/>
      <c r="L47" s="111" t="str">
        <f t="shared" si="0"/>
        <v>!</v>
      </c>
    </row>
    <row r="48" spans="1:12">
      <c r="A48" s="129" t="str">
        <f t="shared" si="2"/>
        <v>!</v>
      </c>
      <c r="B48" s="175" t="s">
        <v>2798</v>
      </c>
      <c r="C48" s="129" t="str">
        <f>$I$42</f>
        <v>Cisco UCESXI02 data/data4</v>
      </c>
      <c r="D48" s="129" t="str">
        <f>"("&amp;$J$42&amp;")"</f>
        <v>(Physical Server)</v>
      </c>
      <c r="E48" s="118"/>
      <c r="F48" s="118"/>
      <c r="G48" s="118"/>
      <c r="H48" s="118"/>
      <c r="I48" s="118"/>
      <c r="J48" s="118"/>
      <c r="L48" s="111" t="str">
        <f t="shared" si="0"/>
        <v>!</v>
      </c>
    </row>
    <row r="49" spans="1:12" ht="13.65" customHeight="1">
      <c r="A49" s="129" t="str">
        <f t="shared" si="2"/>
        <v>!</v>
      </c>
      <c r="B49" s="175" t="s">
        <v>2836</v>
      </c>
      <c r="C49" s="176">
        <f>E42</f>
        <v>0</v>
      </c>
      <c r="D49" s="118" t="s">
        <v>2820</v>
      </c>
      <c r="E49" s="142" t="s">
        <v>2837</v>
      </c>
      <c r="F49" s="118"/>
      <c r="G49" s="118"/>
      <c r="H49" s="118"/>
      <c r="I49" s="118"/>
      <c r="J49" s="118"/>
      <c r="L49" s="111" t="str">
        <f t="shared" si="0"/>
        <v>!</v>
      </c>
    </row>
    <row r="50" spans="1:12">
      <c r="A50" s="129" t="str">
        <f t="shared" si="2"/>
        <v>!</v>
      </c>
      <c r="B50" s="175" t="s">
        <v>2831</v>
      </c>
      <c r="C50" s="175"/>
      <c r="D50" s="118"/>
      <c r="E50" s="118"/>
      <c r="F50" s="118"/>
      <c r="G50" s="118"/>
      <c r="H50" s="118"/>
      <c r="I50" s="118"/>
      <c r="J50" s="118"/>
      <c r="L50" s="111" t="str">
        <f t="shared" si="0"/>
        <v>!</v>
      </c>
    </row>
    <row r="51" spans="1:12">
      <c r="A51" s="129" t="str">
        <f t="shared" si="2"/>
        <v>!</v>
      </c>
      <c r="B51" s="175" t="s">
        <v>2832</v>
      </c>
      <c r="C51" s="175"/>
      <c r="D51" s="118"/>
      <c r="E51" s="118"/>
      <c r="F51" s="118"/>
      <c r="G51" s="118"/>
      <c r="H51" s="118"/>
      <c r="I51" s="118"/>
      <c r="J51" s="118"/>
      <c r="L51" s="111" t="str">
        <f t="shared" si="0"/>
        <v>!</v>
      </c>
    </row>
    <row r="52" spans="1:12">
      <c r="A52" s="129" t="str">
        <f t="shared" si="2"/>
        <v>!</v>
      </c>
      <c r="B52" s="175"/>
      <c r="C52" s="118"/>
      <c r="D52" s="118"/>
      <c r="E52" s="118"/>
      <c r="F52" s="118"/>
      <c r="G52" s="118"/>
      <c r="H52" s="118"/>
      <c r="I52" s="118"/>
      <c r="J52" s="118"/>
      <c r="L52" s="111" t="str">
        <f t="shared" si="0"/>
        <v>!</v>
      </c>
    </row>
    <row r="53" spans="1:12">
      <c r="A53" s="129" t="str">
        <f t="shared" si="2"/>
        <v>!</v>
      </c>
      <c r="B53" s="175" t="s">
        <v>2815</v>
      </c>
      <c r="C53" s="118" t="s">
        <v>2796</v>
      </c>
      <c r="D53" s="118" t="str">
        <f>$C$16</f>
        <v/>
      </c>
      <c r="E53" s="118"/>
      <c r="F53" s="118"/>
      <c r="G53" s="118"/>
      <c r="H53" s="118"/>
      <c r="I53" s="118"/>
      <c r="J53" s="118"/>
      <c r="L53" s="111" t="str">
        <f t="shared" si="0"/>
        <v>!</v>
      </c>
    </row>
    <row r="54" spans="1:12">
      <c r="A54" s="129" t="str">
        <f t="shared" si="2"/>
        <v>!</v>
      </c>
      <c r="B54" s="175" t="s">
        <v>2796</v>
      </c>
      <c r="C54" s="118" t="str">
        <f>$C$16</f>
        <v/>
      </c>
      <c r="D54" s="118"/>
      <c r="E54" s="118"/>
      <c r="F54" s="118"/>
      <c r="G54" s="118"/>
      <c r="H54" s="118"/>
      <c r="I54" s="118"/>
      <c r="J54" s="118"/>
      <c r="L54" s="111" t="str">
        <f t="shared" si="0"/>
        <v>!</v>
      </c>
    </row>
    <row r="55" spans="1:12">
      <c r="A55" s="129" t="str">
        <f t="shared" si="2"/>
        <v>!</v>
      </c>
      <c r="B55" s="175" t="s">
        <v>2797</v>
      </c>
      <c r="C55" s="118"/>
      <c r="D55" s="118"/>
      <c r="E55" s="118"/>
      <c r="F55" s="118"/>
      <c r="G55" s="118"/>
      <c r="H55" s="118"/>
      <c r="I55" s="118"/>
      <c r="J55" s="118"/>
      <c r="L55" s="111" t="str">
        <f t="shared" si="0"/>
        <v>!</v>
      </c>
    </row>
    <row r="56" spans="1:12">
      <c r="A56" s="129" t="str">
        <f t="shared" si="2"/>
        <v>!</v>
      </c>
      <c r="B56" s="175" t="s">
        <v>2798</v>
      </c>
      <c r="C56" s="118" t="str">
        <f>$C$18</f>
        <v/>
      </c>
      <c r="D56" s="118"/>
      <c r="E56" s="118"/>
      <c r="F56" s="118"/>
      <c r="G56" s="118"/>
      <c r="H56" s="118"/>
      <c r="I56" s="118"/>
      <c r="J56" s="118"/>
      <c r="L56" s="111" t="str">
        <f t="shared" si="0"/>
        <v>!</v>
      </c>
    </row>
    <row r="57" spans="1:12" ht="13.65" customHeight="1">
      <c r="A57" s="129" t="str">
        <f t="shared" si="2"/>
        <v>!</v>
      </c>
      <c r="B57" s="175" t="s">
        <v>2836</v>
      </c>
      <c r="C57" s="176">
        <f>E42</f>
        <v>0</v>
      </c>
      <c r="D57" s="118" t="s">
        <v>2820</v>
      </c>
      <c r="E57" s="142" t="s">
        <v>2837</v>
      </c>
      <c r="F57" s="118"/>
      <c r="G57" s="118"/>
      <c r="H57" s="118"/>
      <c r="I57" s="118"/>
      <c r="J57" s="118"/>
      <c r="L57" s="111" t="str">
        <f t="shared" si="0"/>
        <v>!</v>
      </c>
    </row>
    <row r="58" spans="1:12">
      <c r="A58" s="129" t="str">
        <f t="shared" si="2"/>
        <v>!</v>
      </c>
      <c r="B58" s="175" t="s">
        <v>2831</v>
      </c>
      <c r="C58" s="175"/>
      <c r="D58" s="118"/>
      <c r="E58" s="118"/>
      <c r="F58" s="118"/>
      <c r="G58" s="118"/>
      <c r="H58" s="118"/>
      <c r="I58" s="118"/>
      <c r="J58" s="118"/>
      <c r="L58" s="111" t="str">
        <f t="shared" si="0"/>
        <v>!</v>
      </c>
    </row>
    <row r="59" spans="1:12">
      <c r="A59" s="129" t="str">
        <f t="shared" si="2"/>
        <v>!</v>
      </c>
      <c r="B59" s="175" t="s">
        <v>2832</v>
      </c>
      <c r="C59" s="175"/>
      <c r="D59" s="118"/>
      <c r="E59" s="118"/>
      <c r="F59" s="118"/>
      <c r="G59" s="118"/>
      <c r="H59" s="118"/>
      <c r="I59" s="118"/>
      <c r="J59" s="118"/>
      <c r="L59" s="111" t="str">
        <f t="shared" si="0"/>
        <v>!</v>
      </c>
    </row>
    <row r="60" spans="1:12">
      <c r="A60" s="129" t="str">
        <f t="shared" si="2"/>
        <v>!</v>
      </c>
      <c r="B60" s="175"/>
      <c r="C60" s="118"/>
      <c r="D60" s="118"/>
      <c r="E60" s="118"/>
      <c r="F60" s="118"/>
      <c r="G60" s="118"/>
      <c r="H60" s="118"/>
      <c r="I60" s="118"/>
      <c r="J60" s="118"/>
      <c r="L60" s="111" t="str">
        <f t="shared" si="0"/>
        <v>!</v>
      </c>
    </row>
    <row r="61" spans="1:12">
      <c r="A61" s="129" t="str">
        <f t="shared" si="2"/>
        <v>!</v>
      </c>
      <c r="B61" s="175" t="s">
        <v>2796</v>
      </c>
      <c r="C61" s="118" t="s">
        <v>2835</v>
      </c>
      <c r="D61" s="186">
        <f>E42</f>
        <v>0</v>
      </c>
      <c r="E61" s="118"/>
      <c r="F61" s="118"/>
      <c r="G61" s="118"/>
      <c r="H61" s="118"/>
      <c r="I61" s="118"/>
      <c r="J61" s="118"/>
      <c r="L61" s="111" t="str">
        <f>IF(B61="","!",IF(A61="!","!",IF(A61="#","! "&amp;B61,IF(A61="x","no " &amp; B61&amp;" "&amp;C61&amp;" "&amp;D61&amp;" "&amp;E61&amp;" "&amp;F61&amp;" "&amp;G61&amp;" "&amp;H61&amp;" "&amp;I61&amp;" "&amp;J61,TRIM(B61&amp;" "&amp;C61&amp;" "&amp;D61&amp;" "&amp;E61&amp;" "&amp;F61&amp;" "&amp;G61&amp;" "&amp;H61&amp;" "&amp;I61&amp;" "&amp;J61)))))</f>
        <v>!</v>
      </c>
    </row>
    <row r="62" spans="1:12">
      <c r="A62" s="129" t="str">
        <f t="shared" si="2"/>
        <v>!</v>
      </c>
      <c r="B62" s="175" t="s">
        <v>2797</v>
      </c>
      <c r="C62" s="118"/>
      <c r="D62" s="118"/>
      <c r="E62" s="118"/>
      <c r="F62" s="118"/>
      <c r="G62" s="118"/>
      <c r="H62" s="118"/>
      <c r="I62" s="118"/>
      <c r="J62" s="118"/>
      <c r="L62" s="111" t="str">
        <f>IF(B62="","!",IF(A62="!","!",IF(A62="#","! "&amp;B62,IF(A62="x","no " &amp; B62&amp;" "&amp;C62&amp;" "&amp;D62&amp;" "&amp;E62&amp;" "&amp;F62&amp;" "&amp;G62&amp;" "&amp;H62&amp;" "&amp;I62&amp;" "&amp;J62,TRIM(B62&amp;" "&amp;C62&amp;" "&amp;D62&amp;" "&amp;E62&amp;" "&amp;F62&amp;" "&amp;G62&amp;" "&amp;H62&amp;" "&amp;I62&amp;" "&amp;J62)))))</f>
        <v>!</v>
      </c>
    </row>
    <row r="63" spans="1:12">
      <c r="A63" s="129" t="str">
        <f t="shared" si="2"/>
        <v>!</v>
      </c>
      <c r="B63" s="175" t="s">
        <v>2798</v>
      </c>
      <c r="C63" s="118" t="s">
        <v>1751</v>
      </c>
      <c r="D63" s="118" t="str">
        <f>"("&amp;$J$42&amp;")"</f>
        <v>(Physical Server)</v>
      </c>
      <c r="E63" s="118"/>
      <c r="F63" s="118"/>
      <c r="G63" s="118"/>
      <c r="H63" s="118"/>
      <c r="I63" s="118"/>
      <c r="J63" s="118"/>
      <c r="L63" s="111" t="str">
        <f>IF(B63="","!",IF(A63="!","!",IF(A63="#","! "&amp;B63,IF(A63="x","no " &amp; B63&amp;" "&amp;C63&amp;" "&amp;D63&amp;" "&amp;E63&amp;" "&amp;F63&amp;" "&amp;G63&amp;" "&amp;H63&amp;" "&amp;I63&amp;" "&amp;J63,TRIM(B63&amp;" "&amp;C63&amp;" "&amp;D63&amp;" "&amp;E63&amp;" "&amp;F63&amp;" "&amp;G63&amp;" "&amp;H63&amp;" "&amp;I63&amp;" "&amp;J63)))))</f>
        <v>!</v>
      </c>
    </row>
    <row r="64" spans="1:12">
      <c r="A64" s="129" t="str">
        <f t="shared" si="2"/>
        <v>!</v>
      </c>
      <c r="B64" s="175" t="s">
        <v>2819</v>
      </c>
      <c r="C64" s="118" t="s">
        <v>2820</v>
      </c>
      <c r="D64" s="129" t="str">
        <f>$F$22</f>
        <v>access</v>
      </c>
      <c r="E64" s="118"/>
      <c r="F64" s="118"/>
      <c r="G64" s="118"/>
      <c r="H64" s="118"/>
      <c r="I64" s="118"/>
      <c r="J64" s="118"/>
      <c r="L64" s="111" t="str">
        <f>IF(B64="","!",IF(A64="!","!",IF(A64="#","! "&amp;B64,IF(A64="x","no " &amp; B64&amp;" "&amp;C64&amp;" "&amp;D64&amp;" "&amp;E64&amp;" "&amp;F64&amp;" "&amp;G64&amp;" "&amp;H64&amp;" "&amp;I64&amp;" "&amp;J64,TRIM(B64&amp;" "&amp;C64&amp;" "&amp;D64&amp;" "&amp;E64&amp;" "&amp;F64&amp;" "&amp;G64&amp;" "&amp;H64&amp;" "&amp;I64&amp;" "&amp;J64)))))</f>
        <v>!</v>
      </c>
    </row>
    <row r="65" spans="1:12">
      <c r="A65" s="129" t="str">
        <f t="shared" si="2"/>
        <v>!</v>
      </c>
      <c r="B65" s="175" t="s">
        <v>2819</v>
      </c>
      <c r="C65" s="129" t="str">
        <f>$F$22</f>
        <v>access</v>
      </c>
      <c r="D65" s="129" t="str">
        <f>IF(F42&lt;&gt;"TRUNK","","native")</f>
        <v/>
      </c>
      <c r="E65" s="118" t="s">
        <v>2794</v>
      </c>
      <c r="F65" s="129" t="str">
        <f>H42</f>
        <v>999</v>
      </c>
      <c r="G65" s="118"/>
      <c r="H65" s="118"/>
      <c r="I65" s="118"/>
      <c r="J65" s="118"/>
      <c r="L65" s="111" t="str">
        <f>IF(B65="","!",IF(A65="!","!",IF(A65="#","! "&amp;B65,IF(A65="x","no " &amp; B65&amp;" "&amp;C65&amp;" "&amp;D65&amp;" "&amp;E65&amp;" "&amp;F65&amp;" "&amp;G65&amp;" "&amp;H65&amp;" "&amp;I65&amp;" "&amp;J65,TRIM(B65&amp;" "&amp;C65&amp;" "&amp;D65&amp;" "&amp;E65&amp;" "&amp;F65&amp;" "&amp;G65&amp;" "&amp;H65&amp;" "&amp;I65&amp;" "&amp;J65)))))</f>
        <v>!</v>
      </c>
    </row>
    <row r="66" spans="1:12">
      <c r="A66" s="129" t="str">
        <f t="shared" si="2"/>
        <v>!</v>
      </c>
      <c r="B66" s="181" t="str">
        <f>IF($F$22&lt;&gt;"TRUNK","! ","")&amp;"switchport"</f>
        <v>! switchport</v>
      </c>
      <c r="C66" s="118" t="s">
        <v>2075</v>
      </c>
      <c r="D66" s="118" t="s">
        <v>2821</v>
      </c>
      <c r="E66" s="118" t="s">
        <v>2794</v>
      </c>
      <c r="F66" s="129">
        <f>$C$12</f>
        <v>0</v>
      </c>
      <c r="G66" s="118"/>
      <c r="H66" s="118"/>
      <c r="I66" s="118"/>
      <c r="J66" s="118"/>
      <c r="L66" s="111" t="str">
        <f t="shared" ref="L66" si="3">IF(B66="","!",IF(A66="!","!",IF(A66="#","! "&amp;B66,IF(A66="x","no " &amp; B66&amp;" "&amp;C66&amp;" "&amp;D66&amp;" "&amp;E66&amp;" "&amp;F66&amp;" "&amp;G66&amp;" "&amp;H66&amp;" "&amp;I66&amp;" "&amp;J66,TRIM(B66&amp;" "&amp;C66&amp;" "&amp;D66&amp;" "&amp;E66&amp;" "&amp;F66&amp;" "&amp;G66&amp;" "&amp;H66&amp;" "&amp;I66&amp;" "&amp;J66)))))</f>
        <v>!</v>
      </c>
    </row>
    <row r="67" spans="1:12">
      <c r="A67" s="129" t="str">
        <f t="shared" si="2"/>
        <v>!</v>
      </c>
      <c r="B67" s="175" t="s">
        <v>2819</v>
      </c>
      <c r="C67" s="118" t="s">
        <v>2822</v>
      </c>
      <c r="D67" s="118"/>
      <c r="E67" s="118"/>
      <c r="F67" s="118"/>
      <c r="G67" s="118"/>
      <c r="H67" s="118"/>
      <c r="I67" s="118"/>
      <c r="J67" s="118"/>
      <c r="L67" s="111" t="str">
        <f>IF(B67="","!",IF(A67="!","!",IF(A67="#","! "&amp;B67,IF(A67="x","no " &amp; B67&amp;" "&amp;C67&amp;" "&amp;D67&amp;" "&amp;E67&amp;" "&amp;F67&amp;" "&amp;G67&amp;" "&amp;H67&amp;" "&amp;I67&amp;" "&amp;J67,TRIM(B67&amp;" "&amp;C67&amp;" "&amp;D67&amp;" "&amp;E67&amp;" "&amp;F67&amp;" "&amp;G67&amp;" "&amp;H67&amp;" "&amp;I67&amp;" "&amp;J67)))))</f>
        <v>!</v>
      </c>
    </row>
    <row r="68" spans="1:12">
      <c r="A68" s="129" t="str">
        <f t="shared" si="2"/>
        <v>!</v>
      </c>
      <c r="B68" s="175" t="s">
        <v>2831</v>
      </c>
      <c r="C68" s="118"/>
      <c r="D68" s="118"/>
      <c r="E68" s="118"/>
      <c r="F68" s="118"/>
      <c r="G68" s="118"/>
      <c r="H68" s="118"/>
      <c r="I68" s="118"/>
      <c r="J68" s="118"/>
      <c r="L68" s="111" t="str">
        <f>IF(B68="","!",IF(A68="!","!",IF(A68="#","! "&amp;B68,IF(A68="x","no " &amp; B68&amp;" "&amp;C68&amp;" "&amp;D68&amp;" "&amp;E68&amp;" "&amp;F68&amp;" "&amp;G68&amp;" "&amp;H68&amp;" "&amp;I68&amp;" "&amp;J68,TRIM(B68&amp;" "&amp;C68&amp;" "&amp;D68&amp;" "&amp;E68&amp;" "&amp;F68&amp;" "&amp;G68&amp;" "&amp;H68&amp;" "&amp;I68&amp;" "&amp;J68)))))</f>
        <v>!</v>
      </c>
    </row>
    <row r="69" spans="1:12">
      <c r="A69" s="129" t="str">
        <f t="shared" si="2"/>
        <v>!</v>
      </c>
      <c r="B69" s="175" t="s">
        <v>2832</v>
      </c>
      <c r="C69" s="118"/>
      <c r="D69" s="118"/>
      <c r="E69" s="118"/>
      <c r="F69" s="118"/>
      <c r="G69" s="118"/>
      <c r="H69" s="118"/>
      <c r="I69" s="118"/>
      <c r="J69" s="118"/>
      <c r="L69" s="111" t="str">
        <f>IF(B69="","!",IF(A69="!","!",IF(A69="#","! "&amp;B69,IF(A69="x","no " &amp; B69&amp;" "&amp;C69&amp;" "&amp;D69&amp;" "&amp;E69&amp;" "&amp;F69&amp;" "&amp;G69&amp;" "&amp;H69&amp;" "&amp;I69&amp;" "&amp;J69,TRIM(B69&amp;" "&amp;C69&amp;" "&amp;D69&amp;" "&amp;E69&amp;" "&amp;F69&amp;" "&amp;G69&amp;" "&amp;H69&amp;" "&amp;I69&amp;" "&amp;J69)))))</f>
        <v>!</v>
      </c>
    </row>
    <row r="70" spans="1:12">
      <c r="A70" s="129" t="str">
        <f t="shared" si="2"/>
        <v>!</v>
      </c>
      <c r="B70" s="175"/>
      <c r="C70" s="118"/>
      <c r="D70" s="118"/>
      <c r="E70" s="118"/>
      <c r="F70" s="118"/>
      <c r="G70" s="118"/>
      <c r="H70" s="118"/>
      <c r="I70" s="118"/>
      <c r="J70" s="118"/>
      <c r="L70" s="111" t="str">
        <f>IF(B70="","!",IF(A70="!","!",IF(A70="#","! "&amp;B70,IF(A70="x","no " &amp; B70&amp;" "&amp;C70&amp;" "&amp;D70&amp;" "&amp;E70&amp;" "&amp;F70&amp;" "&amp;G70&amp;" "&amp;H70&amp;" "&amp;I70&amp;" "&amp;J70,TRIM(B70&amp;" "&amp;C70&amp;" "&amp;D70&amp;" "&amp;E70&amp;" "&amp;F70&amp;" "&amp;G70&amp;" "&amp;H70&amp;" "&amp;I70&amp;" "&amp;J70)))))</f>
        <v>!</v>
      </c>
    </row>
    <row r="71" spans="1:12">
      <c r="L71" s="111" t="str">
        <f t="shared" ref="L71" si="4">IF(B71="","!",IF(A71="!","!",IF(A71="#","! "&amp;B71,IF(A71="x","no " &amp; B71&amp;" "&amp;C71&amp;" "&amp;D71&amp;" "&amp;E71&amp;" "&amp;F71&amp;" "&amp;G71&amp;" "&amp;H71&amp;" "&amp;I71&amp;" "&amp;J71,TRIM(B71&amp;" "&amp;C71&amp;" "&amp;D71&amp;" "&amp;E71&amp;" "&amp;F71&amp;" "&amp;G71&amp;" "&amp;H71&amp;" "&amp;I71&amp;" "&amp;J71)))))</f>
        <v>!</v>
      </c>
    </row>
  </sheetData>
  <mergeCells count="2">
    <mergeCell ref="C4:H4"/>
    <mergeCell ref="I4:J4"/>
  </mergeCells>
  <conditionalFormatting sqref="L20 L64:L65 L44 L60 L67:L71">
    <cfRule type="expression" dxfId="1349" priority="21">
      <formula>A20="#"</formula>
    </cfRule>
  </conditionalFormatting>
  <conditionalFormatting sqref="L20 L64:L65 L44 L60 L67:L71">
    <cfRule type="expression" dxfId="1348" priority="22">
      <formula>A20="*"</formula>
    </cfRule>
  </conditionalFormatting>
  <conditionalFormatting sqref="L21:L42 L45:L48 L50:L51">
    <cfRule type="expression" dxfId="1347" priority="19">
      <formula>A21="#"</formula>
    </cfRule>
  </conditionalFormatting>
  <conditionalFormatting sqref="L43">
    <cfRule type="expression" dxfId="1346" priority="17">
      <formula>A43="#"</formula>
    </cfRule>
  </conditionalFormatting>
  <conditionalFormatting sqref="L21:L42 L45:L48 L50:L51">
    <cfRule type="expression" dxfId="1345" priority="20">
      <formula>A21="*"</formula>
    </cfRule>
  </conditionalFormatting>
  <conditionalFormatting sqref="L43">
    <cfRule type="expression" dxfId="1344" priority="18">
      <formula>A43="*"</formula>
    </cfRule>
  </conditionalFormatting>
  <conditionalFormatting sqref="L53:L56 L58:L59">
    <cfRule type="expression" dxfId="1343" priority="13">
      <formula>A53="#"</formula>
    </cfRule>
  </conditionalFormatting>
  <conditionalFormatting sqref="L53:L56 L58:L59">
    <cfRule type="expression" dxfId="1342" priority="14">
      <formula>A53="*"</formula>
    </cfRule>
  </conditionalFormatting>
  <conditionalFormatting sqref="L57">
    <cfRule type="expression" dxfId="1341" priority="11">
      <formula>A57="#"</formula>
    </cfRule>
  </conditionalFormatting>
  <conditionalFormatting sqref="L49">
    <cfRule type="expression" dxfId="1340" priority="15">
      <formula>A49="#"</formula>
    </cfRule>
  </conditionalFormatting>
  <conditionalFormatting sqref="L49">
    <cfRule type="expression" dxfId="1339" priority="16">
      <formula>A49="*"</formula>
    </cfRule>
  </conditionalFormatting>
  <conditionalFormatting sqref="L57">
    <cfRule type="expression" dxfId="1338" priority="12">
      <formula>A57="*"</formula>
    </cfRule>
  </conditionalFormatting>
  <conditionalFormatting sqref="L61">
    <cfRule type="expression" dxfId="1337" priority="9">
      <formula>A61="#"</formula>
    </cfRule>
  </conditionalFormatting>
  <conditionalFormatting sqref="L61">
    <cfRule type="expression" dxfId="1336" priority="10">
      <formula>A61="*"</formula>
    </cfRule>
  </conditionalFormatting>
  <conditionalFormatting sqref="L62">
    <cfRule type="expression" dxfId="1335" priority="7">
      <formula>A62="#"</formula>
    </cfRule>
  </conditionalFormatting>
  <conditionalFormatting sqref="L62">
    <cfRule type="expression" dxfId="1334" priority="8">
      <formula>A62="*"</formula>
    </cfRule>
  </conditionalFormatting>
  <conditionalFormatting sqref="L63">
    <cfRule type="expression" dxfId="1333" priority="5">
      <formula>A63="#"</formula>
    </cfRule>
  </conditionalFormatting>
  <conditionalFormatting sqref="L63">
    <cfRule type="expression" dxfId="1332" priority="6">
      <formula>A63="*"</formula>
    </cfRule>
  </conditionalFormatting>
  <conditionalFormatting sqref="L66">
    <cfRule type="expression" dxfId="1331" priority="3">
      <formula>A66="#"</formula>
    </cfRule>
  </conditionalFormatting>
  <conditionalFormatting sqref="L66">
    <cfRule type="expression" dxfId="1330" priority="4">
      <formula>A66="*"</formula>
    </cfRule>
  </conditionalFormatting>
  <conditionalFormatting sqref="L52">
    <cfRule type="expression" dxfId="1329" priority="1">
      <formula>A52="#"</formula>
    </cfRule>
  </conditionalFormatting>
  <conditionalFormatting sqref="L52">
    <cfRule type="expression" dxfId="1328" priority="2">
      <formula>A52="*"</formula>
    </cfRule>
  </conditionalFormatting>
  <dataValidations count="2">
    <dataValidation type="list" allowBlank="1" showInputMessage="1" sqref="E49 E57" xr:uid="{2FF060F7-9722-4337-831F-56FE4CC180C9}">
      <formula1>"on,active,passive,desirable"</formula1>
    </dataValidation>
    <dataValidation type="list" allowBlank="1" showInputMessage="1" sqref="C4" xr:uid="{F0940A61-E4F8-4E41-AB47-455D21A4BCCF}">
      <formula1>INDIRECT("CONNECTIONS_TABLE[Description]")</formula1>
    </dataValidation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0372B-96A7-4DC4-A92B-7DF6385C7027}">
  <sheetPr codeName="Sheet39">
    <tabColor rgb="FF00B050"/>
  </sheetPr>
  <dimension ref="A1:C17"/>
  <sheetViews>
    <sheetView workbookViewId="0">
      <selection activeCell="B15" sqref="B15"/>
    </sheetView>
  </sheetViews>
  <sheetFormatPr defaultRowHeight="10.199999999999999"/>
  <cols>
    <col min="1" max="1" width="1.6640625" customWidth="1"/>
    <col min="2" max="2" width="20.77734375" customWidth="1"/>
    <col min="3" max="3" width="51" customWidth="1"/>
  </cols>
  <sheetData>
    <row r="1" spans="1:3" ht="21">
      <c r="A1" s="12" t="s">
        <v>2130</v>
      </c>
      <c r="B1" s="64"/>
      <c r="C1" s="65"/>
    </row>
    <row r="2" spans="1:3" ht="13.2">
      <c r="A2" s="66"/>
      <c r="B2" s="66"/>
      <c r="C2" s="66"/>
    </row>
    <row r="3" spans="1:3" ht="15.6">
      <c r="A3" s="67"/>
      <c r="B3" s="68" t="s">
        <v>2131</v>
      </c>
      <c r="C3" s="69"/>
    </row>
    <row r="4" spans="1:3">
      <c r="A4" s="67"/>
      <c r="B4" s="70" t="s">
        <v>2132</v>
      </c>
      <c r="C4" s="71" t="s">
        <v>2133</v>
      </c>
    </row>
    <row r="5" spans="1:3">
      <c r="A5" s="67"/>
      <c r="B5" s="70" t="s">
        <v>2134</v>
      </c>
      <c r="C5" s="72" t="s">
        <v>2135</v>
      </c>
    </row>
    <row r="6" spans="1:3">
      <c r="A6" s="67"/>
      <c r="B6" s="70" t="s">
        <v>2136</v>
      </c>
      <c r="C6" s="50" t="s">
        <v>1672</v>
      </c>
    </row>
    <row r="7" spans="1:3">
      <c r="A7" s="67"/>
      <c r="B7" s="70" t="s">
        <v>2137</v>
      </c>
      <c r="C7" s="50" t="s">
        <v>1672</v>
      </c>
    </row>
    <row r="8" spans="1:3">
      <c r="A8" s="67"/>
      <c r="B8" s="70" t="s">
        <v>2138</v>
      </c>
      <c r="C8" s="50" t="s">
        <v>1672</v>
      </c>
    </row>
    <row r="9" spans="1:3">
      <c r="A9" s="67"/>
      <c r="B9" s="70" t="s">
        <v>2139</v>
      </c>
      <c r="C9" s="50" t="s">
        <v>1672</v>
      </c>
    </row>
    <row r="10" spans="1:3">
      <c r="A10" s="67"/>
      <c r="B10" s="70" t="s">
        <v>2140</v>
      </c>
      <c r="C10" s="50" t="s">
        <v>1672</v>
      </c>
    </row>
    <row r="11" spans="1:3">
      <c r="A11" s="67"/>
      <c r="B11" s="70"/>
      <c r="C11" s="72"/>
    </row>
    <row r="12" spans="1:3" ht="13.2">
      <c r="A12" s="66"/>
      <c r="B12" s="66"/>
      <c r="C12" s="66"/>
    </row>
    <row r="13" spans="1:3" ht="15.6">
      <c r="A13" s="67"/>
      <c r="B13" s="68" t="s">
        <v>2141</v>
      </c>
      <c r="C13" s="69"/>
    </row>
    <row r="14" spans="1:3">
      <c r="A14" s="67"/>
      <c r="B14" s="50" t="s">
        <v>1664</v>
      </c>
      <c r="C14" s="46" t="s">
        <v>1666</v>
      </c>
    </row>
    <row r="15" spans="1:3">
      <c r="A15" s="67"/>
      <c r="B15" s="50" t="s">
        <v>1668</v>
      </c>
      <c r="C15" s="46" t="s">
        <v>1669</v>
      </c>
    </row>
    <row r="16" spans="1:3">
      <c r="A16" s="67"/>
      <c r="B16" s="50" t="s">
        <v>1670</v>
      </c>
      <c r="C16" s="46" t="s">
        <v>1671</v>
      </c>
    </row>
    <row r="17" spans="1:3">
      <c r="A17" s="67"/>
      <c r="B17" s="50" t="s">
        <v>1672</v>
      </c>
      <c r="C17" s="46" t="s">
        <v>1673</v>
      </c>
    </row>
  </sheetData>
  <conditionalFormatting sqref="C6:C10">
    <cfRule type="expression" dxfId="1327" priority="1">
      <formula>AND(C6="",A6="SWITCH")</formula>
    </cfRule>
  </conditionalFormatting>
  <conditionalFormatting sqref="B14">
    <cfRule type="expression" dxfId="1326" priority="3">
      <formula>AND(B14="",XFD14="SWITCH")</formula>
    </cfRule>
  </conditionalFormatting>
  <conditionalFormatting sqref="B15:B17">
    <cfRule type="expression" dxfId="1325" priority="2">
      <formula>AND(B15="",XFD15="SWITCH")</formula>
    </cfRule>
  </conditionalFormatting>
  <pageMargins left="0.59055118110236227" right="0.59055118110236227" top="1.1811023622047245" bottom="0.98425196850393704" header="0.39370078740157483" footer="0.39370078740157483"/>
  <pageSetup paperSize="9" orientation="portrait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12E5-521B-4E9F-A3F7-D21423E5427B}">
  <sheetPr codeName="Sheet40">
    <tabColor rgb="FF00B050"/>
  </sheetPr>
  <dimension ref="A1:C154"/>
  <sheetViews>
    <sheetView topLeftCell="A25" workbookViewId="0">
      <selection activeCell="C4" sqref="C4"/>
    </sheetView>
  </sheetViews>
  <sheetFormatPr defaultRowHeight="10.199999999999999"/>
  <cols>
    <col min="1" max="1" width="2.21875" customWidth="1"/>
    <col min="2" max="2" width="30.109375" bestFit="1" customWidth="1"/>
    <col min="3" max="3" width="53.77734375" bestFit="1" customWidth="1"/>
  </cols>
  <sheetData>
    <row r="1" spans="1:3" ht="21">
      <c r="A1" s="12" t="s">
        <v>2258</v>
      </c>
      <c r="B1" s="64"/>
      <c r="C1" s="65"/>
    </row>
    <row r="2" spans="1:3" ht="13.2">
      <c r="A2" s="66"/>
      <c r="B2" s="66"/>
      <c r="C2" s="66"/>
    </row>
    <row r="3" spans="1:3" ht="15.6">
      <c r="A3" s="67"/>
      <c r="B3" s="68" t="s">
        <v>2259</v>
      </c>
      <c r="C3" s="68"/>
    </row>
    <row r="4" spans="1:3">
      <c r="A4" s="67"/>
      <c r="B4" s="70" t="s">
        <v>889</v>
      </c>
      <c r="C4" s="50" t="s">
        <v>1339</v>
      </c>
    </row>
    <row r="5" spans="1:3">
      <c r="A5" s="67"/>
      <c r="B5" s="70" t="s">
        <v>44</v>
      </c>
      <c r="C5" s="46" t="s">
        <v>57</v>
      </c>
    </row>
    <row r="6" spans="1:3">
      <c r="A6" s="67"/>
      <c r="B6" s="70" t="s">
        <v>886</v>
      </c>
      <c r="C6" s="46" t="s">
        <v>1652</v>
      </c>
    </row>
    <row r="7" spans="1:3">
      <c r="A7" s="67"/>
      <c r="B7" s="70" t="s">
        <v>2260</v>
      </c>
      <c r="C7" s="46" t="s">
        <v>2261</v>
      </c>
    </row>
    <row r="8" spans="1:3">
      <c r="A8" s="67"/>
      <c r="B8" s="70" t="s">
        <v>2262</v>
      </c>
      <c r="C8" s="46" t="s">
        <v>2263</v>
      </c>
    </row>
    <row r="9" spans="1:3">
      <c r="A9" s="67"/>
      <c r="B9" s="70" t="s">
        <v>2264</v>
      </c>
      <c r="C9" s="46" t="s">
        <v>2265</v>
      </c>
    </row>
    <row r="10" spans="1:3">
      <c r="A10" s="67"/>
      <c r="B10" s="70" t="s">
        <v>2266</v>
      </c>
      <c r="C10" s="46" t="s">
        <v>2267</v>
      </c>
    </row>
    <row r="11" spans="1:3">
      <c r="A11" s="67"/>
      <c r="B11" s="70" t="s">
        <v>2268</v>
      </c>
      <c r="C11" s="46" t="s">
        <v>2269</v>
      </c>
    </row>
    <row r="12" spans="1:3">
      <c r="A12" s="67"/>
      <c r="B12" s="70"/>
      <c r="C12" s="46" t="s">
        <v>2270</v>
      </c>
    </row>
    <row r="13" spans="1:3">
      <c r="A13" s="67"/>
      <c r="B13" s="70" t="s">
        <v>2271</v>
      </c>
      <c r="C13" s="46" t="s">
        <v>2272</v>
      </c>
    </row>
    <row r="14" spans="1:3">
      <c r="A14" s="67"/>
      <c r="B14" s="70"/>
      <c r="C14" s="46" t="s">
        <v>2273</v>
      </c>
    </row>
    <row r="15" spans="1:3">
      <c r="A15" s="67"/>
      <c r="B15" s="70" t="s">
        <v>2274</v>
      </c>
      <c r="C15" s="46" t="s">
        <v>2275</v>
      </c>
    </row>
    <row r="16" spans="1:3">
      <c r="A16" s="67"/>
      <c r="B16" s="70"/>
      <c r="C16" s="46" t="s">
        <v>2276</v>
      </c>
    </row>
    <row r="17" spans="1:3">
      <c r="A17" s="67"/>
      <c r="B17" s="70"/>
      <c r="C17" s="46" t="s">
        <v>2277</v>
      </c>
    </row>
    <row r="18" spans="1:3" ht="20.399999999999999">
      <c r="A18" s="67"/>
      <c r="B18" s="70"/>
      <c r="C18" s="77" t="s">
        <v>2278</v>
      </c>
    </row>
    <row r="19" spans="1:3" ht="20.399999999999999">
      <c r="A19" s="67"/>
      <c r="B19" s="70"/>
      <c r="C19" s="77" t="s">
        <v>2279</v>
      </c>
    </row>
    <row r="20" spans="1:3">
      <c r="A20" s="67"/>
      <c r="B20" s="70"/>
      <c r="C20" s="77" t="s">
        <v>2280</v>
      </c>
    </row>
    <row r="21" spans="1:3">
      <c r="A21" s="67"/>
      <c r="B21" s="70"/>
      <c r="C21" s="77" t="s">
        <v>2281</v>
      </c>
    </row>
    <row r="22" spans="1:3">
      <c r="A22" s="67"/>
      <c r="B22" s="70"/>
      <c r="C22" s="77" t="s">
        <v>2282</v>
      </c>
    </row>
    <row r="23" spans="1:3" ht="30.6">
      <c r="A23" s="67"/>
      <c r="B23" s="70"/>
      <c r="C23" s="77" t="s">
        <v>2283</v>
      </c>
    </row>
    <row r="24" spans="1:3">
      <c r="A24" s="67"/>
      <c r="B24" s="70" t="s">
        <v>2284</v>
      </c>
      <c r="C24" s="77" t="s">
        <v>2285</v>
      </c>
    </row>
    <row r="25" spans="1:3">
      <c r="A25" s="67"/>
      <c r="B25" s="70"/>
      <c r="C25" s="77" t="s">
        <v>2286</v>
      </c>
    </row>
    <row r="26" spans="1:3">
      <c r="A26" s="67"/>
      <c r="B26" s="70" t="s">
        <v>2287</v>
      </c>
      <c r="C26" s="77" t="s">
        <v>2288</v>
      </c>
    </row>
    <row r="27" spans="1:3" ht="20.399999999999999">
      <c r="A27" s="67"/>
      <c r="B27" s="70" t="s">
        <v>2289</v>
      </c>
      <c r="C27" s="77" t="s">
        <v>2290</v>
      </c>
    </row>
    <row r="28" spans="1:3" ht="13.2">
      <c r="A28" s="66"/>
      <c r="B28" s="66"/>
      <c r="C28" s="66"/>
    </row>
    <row r="29" spans="1:3" ht="15.6">
      <c r="A29" s="67"/>
      <c r="B29" s="68" t="s">
        <v>2291</v>
      </c>
      <c r="C29" s="69" t="s">
        <v>2292</v>
      </c>
    </row>
    <row r="30" spans="1:3" ht="20.399999999999999">
      <c r="A30" s="67"/>
      <c r="B30" s="70" t="s">
        <v>887</v>
      </c>
      <c r="C30" s="78" t="s">
        <v>2293</v>
      </c>
    </row>
    <row r="31" spans="1:3">
      <c r="A31" s="79"/>
      <c r="B31" s="70" t="s">
        <v>1980</v>
      </c>
      <c r="C31" s="54" t="s">
        <v>2294</v>
      </c>
    </row>
    <row r="32" spans="1:3">
      <c r="A32" s="67"/>
      <c r="B32" s="70" t="s">
        <v>2295</v>
      </c>
      <c r="C32" s="46" t="s">
        <v>2296</v>
      </c>
    </row>
    <row r="33" spans="1:3">
      <c r="A33" s="67"/>
      <c r="B33" s="70" t="s">
        <v>2297</v>
      </c>
      <c r="C33" s="46" t="s">
        <v>1992</v>
      </c>
    </row>
    <row r="34" spans="1:3">
      <c r="A34" s="67"/>
      <c r="B34" s="70" t="s">
        <v>2298</v>
      </c>
      <c r="C34" s="46" t="s">
        <v>2299</v>
      </c>
    </row>
    <row r="35" spans="1:3">
      <c r="A35" s="67"/>
      <c r="B35" s="70" t="s">
        <v>2300</v>
      </c>
      <c r="C35" s="50" t="s">
        <v>311</v>
      </c>
    </row>
    <row r="36" spans="1:3">
      <c r="A36" s="67"/>
      <c r="B36" s="70" t="s">
        <v>2301</v>
      </c>
      <c r="C36" s="80">
        <v>1018</v>
      </c>
    </row>
    <row r="37" spans="1:3">
      <c r="A37" s="67"/>
      <c r="B37" s="70" t="s">
        <v>49</v>
      </c>
      <c r="C37" s="80" t="s">
        <v>312</v>
      </c>
    </row>
    <row r="38" spans="1:3">
      <c r="A38" s="67"/>
      <c r="B38" s="70" t="s">
        <v>1571</v>
      </c>
      <c r="C38" s="46" t="s">
        <v>1653</v>
      </c>
    </row>
    <row r="39" spans="1:3">
      <c r="A39" s="67"/>
      <c r="B39" s="70" t="s">
        <v>1572</v>
      </c>
      <c r="C39" s="46" t="s">
        <v>2115</v>
      </c>
    </row>
    <row r="40" spans="1:3">
      <c r="A40" s="67"/>
      <c r="B40" s="70" t="s">
        <v>2302</v>
      </c>
      <c r="C40" s="46" t="s">
        <v>73</v>
      </c>
    </row>
    <row r="41" spans="1:3">
      <c r="A41" s="67"/>
      <c r="B41" s="70" t="s">
        <v>51</v>
      </c>
      <c r="C41" s="46" t="s">
        <v>314</v>
      </c>
    </row>
    <row r="42" spans="1:3" ht="13.2">
      <c r="A42" s="66"/>
      <c r="B42" s="66"/>
      <c r="C42" s="66"/>
    </row>
    <row r="43" spans="1:3" ht="15.6">
      <c r="A43" s="67"/>
      <c r="B43" s="68" t="s">
        <v>2303</v>
      </c>
      <c r="C43" s="69" t="s">
        <v>2304</v>
      </c>
    </row>
    <row r="44" spans="1:3">
      <c r="A44" s="79"/>
      <c r="B44" s="70" t="s">
        <v>887</v>
      </c>
      <c r="C44" s="78" t="s">
        <v>2305</v>
      </c>
    </row>
    <row r="45" spans="1:3">
      <c r="A45" s="67"/>
      <c r="B45" s="70" t="s">
        <v>1980</v>
      </c>
      <c r="C45" s="54" t="s">
        <v>2306</v>
      </c>
    </row>
    <row r="46" spans="1:3">
      <c r="A46" s="67"/>
      <c r="B46" s="70" t="s">
        <v>2295</v>
      </c>
      <c r="C46" s="46" t="s">
        <v>2296</v>
      </c>
    </row>
    <row r="47" spans="1:3">
      <c r="A47" s="67"/>
      <c r="B47" s="70" t="s">
        <v>2297</v>
      </c>
      <c r="C47" s="46" t="s">
        <v>41</v>
      </c>
    </row>
    <row r="48" spans="1:3">
      <c r="A48" s="67"/>
      <c r="B48" s="70" t="s">
        <v>2298</v>
      </c>
      <c r="C48" s="46" t="s">
        <v>1990</v>
      </c>
    </row>
    <row r="49" spans="1:3">
      <c r="A49" s="67"/>
      <c r="B49" s="70" t="s">
        <v>2300</v>
      </c>
      <c r="C49" s="50" t="s">
        <v>317</v>
      </c>
    </row>
    <row r="50" spans="1:3">
      <c r="A50" s="67"/>
      <c r="B50" s="70" t="s">
        <v>2301</v>
      </c>
      <c r="C50" s="80">
        <v>1021</v>
      </c>
    </row>
    <row r="51" spans="1:3">
      <c r="A51" s="67"/>
      <c r="B51" s="70" t="s">
        <v>49</v>
      </c>
      <c r="C51" s="80" t="s">
        <v>318</v>
      </c>
    </row>
    <row r="52" spans="1:3">
      <c r="A52" s="67"/>
      <c r="B52" s="70" t="s">
        <v>1571</v>
      </c>
      <c r="C52" s="54" t="s">
        <v>2307</v>
      </c>
    </row>
    <row r="53" spans="1:3">
      <c r="A53" s="67"/>
      <c r="B53" s="70" t="s">
        <v>1572</v>
      </c>
      <c r="C53" s="46" t="s">
        <v>2308</v>
      </c>
    </row>
    <row r="54" spans="1:3">
      <c r="A54" s="67"/>
      <c r="B54" s="70" t="s">
        <v>2302</v>
      </c>
      <c r="C54" s="46" t="s">
        <v>73</v>
      </c>
    </row>
    <row r="55" spans="1:3">
      <c r="A55" s="67"/>
      <c r="B55" s="70" t="s">
        <v>2309</v>
      </c>
      <c r="C55" s="46" t="s">
        <v>78</v>
      </c>
    </row>
    <row r="56" spans="1:3" ht="13.2">
      <c r="A56" s="66"/>
      <c r="B56" s="66"/>
      <c r="C56" s="66"/>
    </row>
    <row r="57" spans="1:3" ht="15.6">
      <c r="A57" s="67"/>
      <c r="B57" s="68" t="s">
        <v>2310</v>
      </c>
      <c r="C57" s="69" t="s">
        <v>2311</v>
      </c>
    </row>
    <row r="58" spans="1:3">
      <c r="A58" s="79"/>
      <c r="B58" s="70" t="s">
        <v>887</v>
      </c>
      <c r="C58" s="78" t="s">
        <v>2312</v>
      </c>
    </row>
    <row r="59" spans="1:3">
      <c r="A59" s="67"/>
      <c r="B59" s="70" t="s">
        <v>1980</v>
      </c>
      <c r="C59" s="73" t="s">
        <v>2313</v>
      </c>
    </row>
    <row r="60" spans="1:3">
      <c r="A60" s="67"/>
      <c r="B60" s="70" t="s">
        <v>2295</v>
      </c>
      <c r="C60" s="46" t="s">
        <v>2296</v>
      </c>
    </row>
    <row r="61" spans="1:3">
      <c r="A61" s="67"/>
      <c r="B61" s="70" t="s">
        <v>2297</v>
      </c>
      <c r="C61" s="46" t="s">
        <v>1696</v>
      </c>
    </row>
    <row r="62" spans="1:3">
      <c r="A62" s="67"/>
      <c r="B62" s="70" t="s">
        <v>2298</v>
      </c>
      <c r="C62" s="46" t="s">
        <v>2314</v>
      </c>
    </row>
    <row r="63" spans="1:3">
      <c r="A63" s="67"/>
      <c r="B63" s="70" t="s">
        <v>2300</v>
      </c>
      <c r="C63" s="50" t="s">
        <v>2315</v>
      </c>
    </row>
    <row r="64" spans="1:3">
      <c r="A64" s="67"/>
      <c r="B64" s="70" t="s">
        <v>2301</v>
      </c>
      <c r="C64" s="80" t="s">
        <v>78</v>
      </c>
    </row>
    <row r="65" spans="1:3">
      <c r="A65" s="67"/>
      <c r="B65" s="70" t="s">
        <v>49</v>
      </c>
      <c r="C65" s="80" t="s">
        <v>78</v>
      </c>
    </row>
    <row r="66" spans="1:3">
      <c r="A66" s="67"/>
      <c r="B66" s="70" t="s">
        <v>1571</v>
      </c>
      <c r="C66" s="46" t="s">
        <v>1653</v>
      </c>
    </row>
    <row r="67" spans="1:3">
      <c r="A67" s="67"/>
      <c r="B67" s="70" t="s">
        <v>1572</v>
      </c>
      <c r="C67" s="46" t="s">
        <v>1810</v>
      </c>
    </row>
    <row r="68" spans="1:3">
      <c r="A68" s="67"/>
      <c r="B68" s="70" t="s">
        <v>2302</v>
      </c>
      <c r="C68" s="46" t="s">
        <v>78</v>
      </c>
    </row>
    <row r="69" spans="1:3" ht="13.2">
      <c r="A69" s="66"/>
      <c r="B69" s="66"/>
      <c r="C69" s="66"/>
    </row>
    <row r="70" spans="1:3" ht="15.6">
      <c r="A70" s="67"/>
      <c r="B70" s="68" t="s">
        <v>2316</v>
      </c>
      <c r="C70" s="69" t="s">
        <v>2317</v>
      </c>
    </row>
    <row r="71" spans="1:3">
      <c r="A71" s="79"/>
      <c r="B71" s="70" t="s">
        <v>887</v>
      </c>
      <c r="C71" s="81" t="s">
        <v>2318</v>
      </c>
    </row>
    <row r="72" spans="1:3">
      <c r="A72" s="67"/>
      <c r="B72" s="70" t="s">
        <v>1980</v>
      </c>
      <c r="C72" s="35" t="s">
        <v>2319</v>
      </c>
    </row>
    <row r="73" spans="1:3">
      <c r="A73" s="67"/>
      <c r="B73" s="70" t="s">
        <v>2295</v>
      </c>
      <c r="C73" s="46" t="s">
        <v>2320</v>
      </c>
    </row>
    <row r="74" spans="1:3">
      <c r="A74" s="67"/>
      <c r="B74" s="70" t="s">
        <v>2297</v>
      </c>
      <c r="C74" s="46" t="s">
        <v>2321</v>
      </c>
    </row>
    <row r="75" spans="1:3">
      <c r="A75" s="67"/>
      <c r="B75" s="70" t="s">
        <v>2298</v>
      </c>
      <c r="C75" s="46" t="s">
        <v>1986</v>
      </c>
    </row>
    <row r="76" spans="1:3">
      <c r="A76" s="67"/>
      <c r="B76" s="70" t="s">
        <v>2300</v>
      </c>
      <c r="C76" s="50" t="s">
        <v>317</v>
      </c>
    </row>
    <row r="77" spans="1:3">
      <c r="A77" s="67"/>
      <c r="B77" s="70" t="s">
        <v>2301</v>
      </c>
      <c r="C77" s="80">
        <v>1021</v>
      </c>
    </row>
    <row r="78" spans="1:3">
      <c r="A78" s="67"/>
      <c r="B78" s="70" t="s">
        <v>49</v>
      </c>
      <c r="C78" s="80" t="s">
        <v>318</v>
      </c>
    </row>
    <row r="79" spans="1:3">
      <c r="A79" s="67"/>
      <c r="B79" s="70" t="s">
        <v>1571</v>
      </c>
      <c r="C79" s="46" t="s">
        <v>1653</v>
      </c>
    </row>
    <row r="80" spans="1:3">
      <c r="A80" s="67"/>
      <c r="B80" s="70" t="s">
        <v>1572</v>
      </c>
      <c r="C80" s="46" t="s">
        <v>1654</v>
      </c>
    </row>
    <row r="81" spans="1:3">
      <c r="A81" s="67"/>
      <c r="B81" s="70" t="s">
        <v>2302</v>
      </c>
      <c r="C81" s="46" t="s">
        <v>73</v>
      </c>
    </row>
    <row r="82" spans="1:3">
      <c r="A82" s="67"/>
      <c r="B82" s="70" t="s">
        <v>51</v>
      </c>
      <c r="C82" s="46" t="s">
        <v>320</v>
      </c>
    </row>
    <row r="83" spans="1:3">
      <c r="A83" s="67"/>
      <c r="B83" s="70" t="s">
        <v>2322</v>
      </c>
      <c r="C83" s="46" t="s">
        <v>2323</v>
      </c>
    </row>
    <row r="84" spans="1:3">
      <c r="A84" s="67"/>
      <c r="B84" s="70" t="s">
        <v>2309</v>
      </c>
      <c r="C84" s="46" t="s">
        <v>2324</v>
      </c>
    </row>
    <row r="85" spans="1:3">
      <c r="A85" s="67"/>
      <c r="B85" s="70"/>
      <c r="C85" s="46"/>
    </row>
    <row r="86" spans="1:3" ht="13.2">
      <c r="A86" s="66"/>
      <c r="B86" s="66"/>
      <c r="C86" s="66"/>
    </row>
    <row r="87" spans="1:3" ht="15.6">
      <c r="A87" s="67"/>
      <c r="B87" s="68" t="s">
        <v>2325</v>
      </c>
      <c r="C87" s="69" t="s">
        <v>2326</v>
      </c>
    </row>
    <row r="88" spans="1:3">
      <c r="A88" s="79"/>
      <c r="B88" s="70" t="s">
        <v>887</v>
      </c>
      <c r="C88" s="81" t="s">
        <v>2327</v>
      </c>
    </row>
    <row r="89" spans="1:3">
      <c r="A89" s="67"/>
      <c r="B89" s="70" t="s">
        <v>1980</v>
      </c>
      <c r="C89" s="35" t="s">
        <v>2328</v>
      </c>
    </row>
    <row r="90" spans="1:3">
      <c r="A90" s="67"/>
      <c r="B90" s="70" t="s">
        <v>2295</v>
      </c>
      <c r="C90" s="46" t="s">
        <v>2320</v>
      </c>
    </row>
    <row r="91" spans="1:3">
      <c r="A91" s="67"/>
      <c r="B91" s="70" t="s">
        <v>2297</v>
      </c>
      <c r="C91" s="46" t="s">
        <v>2329</v>
      </c>
    </row>
    <row r="92" spans="1:3">
      <c r="A92" s="67"/>
      <c r="B92" s="70" t="s">
        <v>2298</v>
      </c>
      <c r="C92" s="46" t="s">
        <v>1989</v>
      </c>
    </row>
    <row r="93" spans="1:3">
      <c r="A93" s="67"/>
      <c r="B93" s="70" t="s">
        <v>2300</v>
      </c>
      <c r="C93" s="50" t="s">
        <v>328</v>
      </c>
    </row>
    <row r="94" spans="1:3">
      <c r="A94" s="67"/>
      <c r="B94" s="70" t="s">
        <v>2301</v>
      </c>
      <c r="C94" s="80">
        <v>1029</v>
      </c>
    </row>
    <row r="95" spans="1:3">
      <c r="A95" s="67"/>
      <c r="B95" s="70" t="s">
        <v>49</v>
      </c>
      <c r="C95" s="80" t="s">
        <v>329</v>
      </c>
    </row>
    <row r="96" spans="1:3">
      <c r="A96" s="67"/>
      <c r="B96" s="70" t="s">
        <v>1571</v>
      </c>
      <c r="C96" s="46" t="s">
        <v>1653</v>
      </c>
    </row>
    <row r="97" spans="1:3">
      <c r="A97" s="67"/>
      <c r="B97" s="70" t="s">
        <v>1572</v>
      </c>
      <c r="C97" s="46" t="s">
        <v>2114</v>
      </c>
    </row>
    <row r="98" spans="1:3">
      <c r="A98" s="67"/>
      <c r="B98" s="70" t="s">
        <v>2302</v>
      </c>
      <c r="C98" s="46" t="s">
        <v>73</v>
      </c>
    </row>
    <row r="99" spans="1:3">
      <c r="A99" s="67"/>
      <c r="B99" s="70" t="s">
        <v>2330</v>
      </c>
      <c r="C99" s="81" t="s">
        <v>1935</v>
      </c>
    </row>
    <row r="100" spans="1:3" ht="13.2">
      <c r="A100" s="66"/>
      <c r="B100" s="66"/>
      <c r="C100" s="66"/>
    </row>
    <row r="101" spans="1:3" ht="15.6">
      <c r="A101" s="67"/>
      <c r="B101" s="68" t="s">
        <v>2331</v>
      </c>
      <c r="C101" s="69" t="s">
        <v>2332</v>
      </c>
    </row>
    <row r="102" spans="1:3">
      <c r="A102" s="67"/>
      <c r="B102" s="70" t="s">
        <v>2333</v>
      </c>
      <c r="C102" s="46" t="s">
        <v>2194</v>
      </c>
    </row>
    <row r="103" spans="1:3">
      <c r="A103" s="67"/>
      <c r="B103" s="70" t="s">
        <v>2334</v>
      </c>
      <c r="C103" s="46" t="s">
        <v>2335</v>
      </c>
    </row>
    <row r="104" spans="1:3">
      <c r="A104" s="67"/>
      <c r="B104" s="70" t="s">
        <v>2336</v>
      </c>
      <c r="C104" s="46" t="s">
        <v>2337</v>
      </c>
    </row>
    <row r="105" spans="1:3">
      <c r="A105" s="67"/>
      <c r="B105" s="70" t="s">
        <v>2338</v>
      </c>
      <c r="C105" s="82" t="s">
        <v>2339</v>
      </c>
    </row>
    <row r="106" spans="1:3">
      <c r="A106" s="67"/>
      <c r="B106" s="70" t="s">
        <v>2340</v>
      </c>
      <c r="C106" s="82" t="s">
        <v>2341</v>
      </c>
    </row>
    <row r="107" spans="1:3">
      <c r="A107" s="67"/>
      <c r="B107" s="70" t="s">
        <v>2342</v>
      </c>
      <c r="C107" s="82" t="s">
        <v>2115</v>
      </c>
    </row>
    <row r="108" spans="1:3">
      <c r="A108" s="67"/>
      <c r="B108" s="70" t="s">
        <v>2343</v>
      </c>
      <c r="C108" s="82" t="s">
        <v>73</v>
      </c>
    </row>
    <row r="109" spans="1:3">
      <c r="A109" s="67"/>
      <c r="B109" s="70" t="s">
        <v>51</v>
      </c>
      <c r="C109" s="82" t="s">
        <v>314</v>
      </c>
    </row>
    <row r="110" spans="1:3">
      <c r="A110" s="67"/>
      <c r="B110" s="70" t="s">
        <v>2344</v>
      </c>
      <c r="C110" s="82" t="s">
        <v>1666</v>
      </c>
    </row>
    <row r="111" spans="1:3">
      <c r="A111" s="67"/>
      <c r="B111" s="70" t="s">
        <v>2345</v>
      </c>
      <c r="C111" s="82" t="s">
        <v>2346</v>
      </c>
    </row>
    <row r="112" spans="1:3">
      <c r="A112" s="67"/>
      <c r="B112" s="83" t="s">
        <v>2347</v>
      </c>
      <c r="C112" s="82"/>
    </row>
    <row r="113" spans="1:3">
      <c r="A113" s="67"/>
      <c r="B113" s="17" t="s">
        <v>1817</v>
      </c>
      <c r="C113" s="82" t="s">
        <v>1339</v>
      </c>
    </row>
    <row r="114" spans="1:3">
      <c r="A114" s="67"/>
      <c r="B114" s="17" t="s">
        <v>2348</v>
      </c>
      <c r="C114" s="82" t="s">
        <v>2349</v>
      </c>
    </row>
    <row r="115" spans="1:3">
      <c r="A115" s="67"/>
      <c r="B115" s="17" t="s">
        <v>2350</v>
      </c>
      <c r="C115" s="82" t="s">
        <v>2349</v>
      </c>
    </row>
    <row r="116" spans="1:3">
      <c r="A116" s="67"/>
      <c r="B116" s="17" t="s">
        <v>2351</v>
      </c>
      <c r="C116" s="82" t="s">
        <v>2352</v>
      </c>
    </row>
    <row r="117" spans="1:3">
      <c r="A117" s="67"/>
      <c r="B117" s="17" t="s">
        <v>2353</v>
      </c>
      <c r="C117" s="82" t="s">
        <v>2354</v>
      </c>
    </row>
    <row r="118" spans="1:3">
      <c r="A118" s="67"/>
      <c r="B118" s="17" t="s">
        <v>2355</v>
      </c>
      <c r="C118" s="82" t="s">
        <v>2349</v>
      </c>
    </row>
    <row r="119" spans="1:3">
      <c r="A119" s="67"/>
      <c r="B119" s="67"/>
      <c r="C119" s="67"/>
    </row>
    <row r="120" spans="1:3" ht="15.6">
      <c r="A120" s="67"/>
      <c r="B120" s="68" t="s">
        <v>2356</v>
      </c>
      <c r="C120" s="69" t="s">
        <v>2357</v>
      </c>
    </row>
    <row r="121" spans="1:3">
      <c r="A121" s="67"/>
      <c r="B121" s="70" t="s">
        <v>2358</v>
      </c>
      <c r="C121" s="81" t="s">
        <v>2359</v>
      </c>
    </row>
    <row r="122" spans="1:3">
      <c r="A122" s="67"/>
      <c r="B122" s="70" t="s">
        <v>2360</v>
      </c>
      <c r="C122" s="81" t="s">
        <v>2359</v>
      </c>
    </row>
    <row r="123" spans="1:3">
      <c r="A123" s="67"/>
      <c r="B123" s="70" t="s">
        <v>2361</v>
      </c>
      <c r="C123" s="81" t="s">
        <v>2362</v>
      </c>
    </row>
    <row r="124" spans="1:3">
      <c r="A124" s="67"/>
      <c r="B124" s="70" t="s">
        <v>2363</v>
      </c>
      <c r="C124" s="81" t="s">
        <v>2364</v>
      </c>
    </row>
    <row r="125" spans="1:3">
      <c r="A125" s="67"/>
      <c r="B125" s="70" t="s">
        <v>2365</v>
      </c>
      <c r="C125" s="72"/>
    </row>
    <row r="126" spans="1:3">
      <c r="A126" s="67"/>
      <c r="B126" s="70" t="s">
        <v>2366</v>
      </c>
      <c r="C126" s="72"/>
    </row>
    <row r="127" spans="1:3">
      <c r="A127" s="67"/>
      <c r="B127" s="70" t="s">
        <v>2367</v>
      </c>
      <c r="C127" s="72"/>
    </row>
    <row r="128" spans="1:3" ht="13.2">
      <c r="A128" s="66"/>
      <c r="B128" s="66"/>
      <c r="C128" s="66"/>
    </row>
    <row r="129" spans="1:3" ht="15.6">
      <c r="A129" s="67"/>
      <c r="B129" s="68" t="s">
        <v>2368</v>
      </c>
      <c r="C129" s="69" t="s">
        <v>2369</v>
      </c>
    </row>
    <row r="130" spans="1:3">
      <c r="A130" s="67"/>
      <c r="B130" s="70" t="s">
        <v>2370</v>
      </c>
      <c r="C130" s="46" t="s">
        <v>2371</v>
      </c>
    </row>
    <row r="131" spans="1:3">
      <c r="A131" s="67"/>
      <c r="B131" s="70" t="s">
        <v>2372</v>
      </c>
      <c r="C131" s="46" t="s">
        <v>2373</v>
      </c>
    </row>
    <row r="132" spans="1:3" ht="13.2">
      <c r="A132" s="66"/>
      <c r="B132" s="66"/>
      <c r="C132" s="66"/>
    </row>
    <row r="133" spans="1:3" ht="15.6">
      <c r="A133" s="67"/>
      <c r="B133" s="68" t="s">
        <v>2374</v>
      </c>
      <c r="C133" s="69" t="s">
        <v>2375</v>
      </c>
    </row>
    <row r="134" spans="1:3">
      <c r="A134" s="67"/>
      <c r="B134" s="70" t="s">
        <v>2376</v>
      </c>
      <c r="C134" s="82" t="s">
        <v>2377</v>
      </c>
    </row>
    <row r="135" spans="1:3">
      <c r="A135" s="67"/>
      <c r="B135" s="70" t="s">
        <v>2378</v>
      </c>
      <c r="C135" s="72" t="s">
        <v>2337</v>
      </c>
    </row>
    <row r="136" spans="1:3">
      <c r="A136" s="67"/>
      <c r="B136" s="70" t="s">
        <v>2379</v>
      </c>
      <c r="C136" s="46" t="s">
        <v>2194</v>
      </c>
    </row>
    <row r="137" spans="1:3">
      <c r="A137" s="67"/>
      <c r="B137" s="70" t="s">
        <v>2380</v>
      </c>
      <c r="C137" s="35" t="s">
        <v>2381</v>
      </c>
    </row>
    <row r="138" spans="1:3">
      <c r="A138" s="67"/>
      <c r="B138" s="70" t="s">
        <v>2382</v>
      </c>
      <c r="C138" s="46" t="s">
        <v>2337</v>
      </c>
    </row>
    <row r="139" spans="1:3">
      <c r="A139" s="67"/>
      <c r="B139" s="70" t="s">
        <v>2383</v>
      </c>
      <c r="C139" s="84" t="s">
        <v>2384</v>
      </c>
    </row>
    <row r="140" spans="1:3">
      <c r="A140" s="67"/>
      <c r="B140" s="70" t="s">
        <v>2385</v>
      </c>
      <c r="C140" s="72" t="s">
        <v>2386</v>
      </c>
    </row>
    <row r="141" spans="1:3">
      <c r="A141" s="67"/>
      <c r="B141" s="70" t="s">
        <v>2387</v>
      </c>
      <c r="C141" s="72" t="s">
        <v>2388</v>
      </c>
    </row>
    <row r="142" spans="1:3">
      <c r="A142" s="67"/>
      <c r="B142" s="70" t="s">
        <v>2389</v>
      </c>
      <c r="C142" s="72"/>
    </row>
    <row r="143" spans="1:3">
      <c r="A143" s="67"/>
      <c r="B143" s="70" t="s">
        <v>2390</v>
      </c>
      <c r="C143" s="46" t="s">
        <v>2391</v>
      </c>
    </row>
    <row r="144" spans="1:3">
      <c r="A144" s="67"/>
      <c r="B144" s="70" t="s">
        <v>2392</v>
      </c>
      <c r="C144" s="72" t="s">
        <v>2393</v>
      </c>
    </row>
    <row r="145" spans="1:3" ht="13.2">
      <c r="A145" s="66"/>
      <c r="B145" s="66"/>
      <c r="C145" s="66"/>
    </row>
    <row r="146" spans="1:3" ht="15.6">
      <c r="A146" s="67"/>
      <c r="B146" s="68" t="s">
        <v>2159</v>
      </c>
      <c r="C146" s="69" t="s">
        <v>2394</v>
      </c>
    </row>
    <row r="147" spans="1:3">
      <c r="A147" s="67"/>
      <c r="B147" s="70" t="s">
        <v>2395</v>
      </c>
      <c r="C147" s="46" t="s">
        <v>2160</v>
      </c>
    </row>
    <row r="148" spans="1:3">
      <c r="A148" s="67"/>
      <c r="B148" s="70" t="s">
        <v>2396</v>
      </c>
      <c r="C148" s="81" t="s">
        <v>320</v>
      </c>
    </row>
    <row r="149" spans="1:3">
      <c r="A149" s="67"/>
      <c r="B149" s="67"/>
      <c r="C149" s="85"/>
    </row>
    <row r="150" spans="1:3" ht="15.6">
      <c r="A150" s="67"/>
      <c r="B150" s="68" t="s">
        <v>2397</v>
      </c>
      <c r="C150" s="69" t="s">
        <v>2398</v>
      </c>
    </row>
    <row r="151" spans="1:3">
      <c r="A151" s="67"/>
      <c r="B151" s="70" t="s">
        <v>2399</v>
      </c>
      <c r="C151" s="72" t="s">
        <v>2400</v>
      </c>
    </row>
    <row r="152" spans="1:3">
      <c r="A152" s="67"/>
      <c r="B152" s="70" t="s">
        <v>2401</v>
      </c>
      <c r="C152" s="72" t="s">
        <v>2402</v>
      </c>
    </row>
    <row r="153" spans="1:3">
      <c r="A153" s="67"/>
      <c r="B153" s="67"/>
      <c r="C153" s="67"/>
    </row>
    <row r="154" spans="1:3">
      <c r="A154" s="67"/>
      <c r="B154" s="67"/>
      <c r="C154" s="67"/>
    </row>
  </sheetData>
  <conditionalFormatting sqref="C4">
    <cfRule type="expression" dxfId="1324" priority="1">
      <formula>AND(C4="",A4="SWITCH")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F53A-74CF-49E7-9091-C7ADC43A9046}">
  <sheetPr codeName="Sheet41">
    <tabColor rgb="FF00B050"/>
  </sheetPr>
  <dimension ref="A1:E61"/>
  <sheetViews>
    <sheetView topLeftCell="A7" workbookViewId="0">
      <selection activeCell="D4" sqref="D4"/>
    </sheetView>
  </sheetViews>
  <sheetFormatPr defaultRowHeight="10.199999999999999"/>
  <cols>
    <col min="1" max="1" width="1.88671875" customWidth="1"/>
    <col min="2" max="2" width="22.77734375" bestFit="1" customWidth="1"/>
    <col min="3" max="3" width="41.44140625" bestFit="1" customWidth="1"/>
    <col min="4" max="4" width="33.88671875" bestFit="1" customWidth="1"/>
  </cols>
  <sheetData>
    <row r="1" spans="1:5" ht="21">
      <c r="A1" s="12" t="s">
        <v>2403</v>
      </c>
      <c r="B1" s="64"/>
      <c r="C1" s="65"/>
      <c r="D1" s="65"/>
      <c r="E1" s="67"/>
    </row>
    <row r="2" spans="1:5" ht="13.2">
      <c r="A2" s="66"/>
      <c r="B2" s="66"/>
      <c r="C2" s="66"/>
      <c r="D2" s="66"/>
      <c r="E2" s="66"/>
    </row>
    <row r="3" spans="1:5" ht="15.6">
      <c r="A3" s="67"/>
      <c r="B3" s="68" t="s">
        <v>2259</v>
      </c>
      <c r="C3" s="68" t="s">
        <v>2404</v>
      </c>
      <c r="D3" s="68" t="s">
        <v>2405</v>
      </c>
      <c r="E3" s="67"/>
    </row>
    <row r="4" spans="1:5">
      <c r="A4" s="67"/>
      <c r="B4" s="70" t="s">
        <v>2406</v>
      </c>
      <c r="C4" s="50" t="s">
        <v>1643</v>
      </c>
      <c r="D4" s="50" t="s">
        <v>1649</v>
      </c>
      <c r="E4" s="67"/>
    </row>
    <row r="5" spans="1:5">
      <c r="A5" s="67"/>
      <c r="B5" s="70" t="s">
        <v>1565</v>
      </c>
      <c r="C5" s="46" t="s">
        <v>57</v>
      </c>
      <c r="D5" s="46" t="s">
        <v>57</v>
      </c>
      <c r="E5" s="67"/>
    </row>
    <row r="6" spans="1:5">
      <c r="A6" s="67"/>
      <c r="B6" s="70" t="s">
        <v>2300</v>
      </c>
      <c r="C6" s="46" t="s">
        <v>149</v>
      </c>
      <c r="D6" s="46" t="s">
        <v>149</v>
      </c>
      <c r="E6" s="67"/>
    </row>
    <row r="7" spans="1:5">
      <c r="A7" s="67"/>
      <c r="B7" s="70" t="s">
        <v>1572</v>
      </c>
      <c r="C7" s="46" t="s">
        <v>1647</v>
      </c>
      <c r="D7" s="46" t="s">
        <v>1650</v>
      </c>
      <c r="E7" s="67"/>
    </row>
    <row r="8" spans="1:5">
      <c r="A8" s="67"/>
      <c r="B8" s="70" t="s">
        <v>2302</v>
      </c>
      <c r="C8" s="46" t="s">
        <v>73</v>
      </c>
      <c r="D8" s="46" t="s">
        <v>73</v>
      </c>
      <c r="E8" s="67"/>
    </row>
    <row r="9" spans="1:5">
      <c r="A9" s="67"/>
      <c r="B9" s="70" t="s">
        <v>51</v>
      </c>
      <c r="C9" s="46" t="e">
        <v>#N/A</v>
      </c>
      <c r="D9" s="46" t="e">
        <v>#N/A</v>
      </c>
      <c r="E9" s="67"/>
    </row>
    <row r="10" spans="1:5">
      <c r="A10" s="67"/>
      <c r="B10" s="70" t="s">
        <v>2407</v>
      </c>
      <c r="C10" s="86" t="s">
        <v>2133</v>
      </c>
      <c r="D10" s="46" t="s">
        <v>2133</v>
      </c>
      <c r="E10" s="67"/>
    </row>
    <row r="11" spans="1:5">
      <c r="A11" s="67"/>
      <c r="B11" s="70" t="s">
        <v>2408</v>
      </c>
      <c r="C11" s="86" t="s">
        <v>1666</v>
      </c>
      <c r="D11" s="46" t="s">
        <v>1666</v>
      </c>
      <c r="E11" s="67"/>
    </row>
    <row r="12" spans="1:5">
      <c r="A12" s="67"/>
      <c r="B12" s="70" t="s">
        <v>2409</v>
      </c>
      <c r="C12" s="86" t="s">
        <v>1671</v>
      </c>
      <c r="D12" s="46" t="s">
        <v>1671</v>
      </c>
      <c r="E12" s="67"/>
    </row>
    <row r="13" spans="1:5">
      <c r="A13" s="67"/>
      <c r="B13" s="70" t="s">
        <v>2410</v>
      </c>
      <c r="C13" s="35" t="s">
        <v>2160</v>
      </c>
      <c r="D13" s="46" t="s">
        <v>2160</v>
      </c>
      <c r="E13" s="67"/>
    </row>
    <row r="14" spans="1:5">
      <c r="A14" s="67"/>
      <c r="B14" s="70" t="s">
        <v>2411</v>
      </c>
      <c r="C14" s="86" t="s">
        <v>2412</v>
      </c>
      <c r="D14" s="46" t="s">
        <v>2412</v>
      </c>
      <c r="E14" s="79" t="s">
        <v>2413</v>
      </c>
    </row>
    <row r="15" spans="1:5">
      <c r="A15" s="67"/>
      <c r="B15" s="70" t="s">
        <v>2414</v>
      </c>
      <c r="C15" s="46" t="s">
        <v>2194</v>
      </c>
      <c r="D15" s="46" t="s">
        <v>2194</v>
      </c>
      <c r="E15" s="67"/>
    </row>
    <row r="16" spans="1:5">
      <c r="A16" s="67"/>
      <c r="B16" s="70" t="s">
        <v>2415</v>
      </c>
      <c r="C16" s="72" t="s">
        <v>2416</v>
      </c>
      <c r="D16" s="46" t="s">
        <v>2416</v>
      </c>
      <c r="E16" s="67"/>
    </row>
    <row r="17" spans="1:5">
      <c r="A17" s="67"/>
      <c r="B17" s="70" t="s">
        <v>2417</v>
      </c>
      <c r="C17" s="46" t="s">
        <v>2418</v>
      </c>
      <c r="D17" s="46" t="s">
        <v>2418</v>
      </c>
      <c r="E17" s="67"/>
    </row>
    <row r="18" spans="1:5">
      <c r="A18" s="67"/>
      <c r="B18" s="70" t="s">
        <v>2419</v>
      </c>
      <c r="C18" s="46"/>
      <c r="D18" s="46">
        <v>0</v>
      </c>
      <c r="E18" s="67"/>
    </row>
    <row r="19" spans="1:5">
      <c r="A19" s="67"/>
      <c r="B19" s="70" t="s">
        <v>2420</v>
      </c>
      <c r="C19" s="46" t="s">
        <v>2421</v>
      </c>
      <c r="D19" s="46" t="s">
        <v>2421</v>
      </c>
      <c r="E19" s="67"/>
    </row>
    <row r="20" spans="1:5">
      <c r="A20" s="67"/>
      <c r="B20" s="70" t="s">
        <v>2422</v>
      </c>
      <c r="C20" s="46"/>
      <c r="D20" s="46"/>
      <c r="E20" s="67"/>
    </row>
    <row r="21" spans="1:5">
      <c r="A21" s="67"/>
      <c r="B21" s="70" t="s">
        <v>2423</v>
      </c>
      <c r="C21" s="46"/>
      <c r="D21" s="46"/>
      <c r="E21" s="67"/>
    </row>
    <row r="22" spans="1:5" ht="13.2">
      <c r="A22" s="66"/>
      <c r="B22" s="66"/>
      <c r="C22" s="66"/>
      <c r="D22" s="66"/>
      <c r="E22" s="67"/>
    </row>
    <row r="23" spans="1:5" ht="15.6">
      <c r="A23" s="40"/>
      <c r="B23" s="15" t="s">
        <v>2179</v>
      </c>
      <c r="C23" s="15"/>
      <c r="D23" s="67"/>
      <c r="E23" s="40"/>
    </row>
    <row r="24" spans="1:5">
      <c r="A24" s="40"/>
      <c r="B24" s="17" t="s">
        <v>2424</v>
      </c>
      <c r="C24" s="52" t="s">
        <v>2181</v>
      </c>
      <c r="D24" s="67"/>
      <c r="E24" s="40"/>
    </row>
    <row r="25" spans="1:5">
      <c r="A25" s="40"/>
      <c r="B25" s="17" t="s">
        <v>2182</v>
      </c>
      <c r="C25" s="52" t="s">
        <v>2184</v>
      </c>
      <c r="D25" s="67"/>
      <c r="E25" s="40"/>
    </row>
    <row r="26" spans="1:5">
      <c r="A26" s="40"/>
      <c r="B26" s="17" t="s">
        <v>2185</v>
      </c>
      <c r="C26" s="52" t="s">
        <v>2187</v>
      </c>
      <c r="D26" s="67"/>
      <c r="E26" s="40"/>
    </row>
    <row r="27" spans="1:5">
      <c r="A27" s="40"/>
      <c r="B27" s="17" t="s">
        <v>2188</v>
      </c>
      <c r="C27" s="52" t="s">
        <v>2189</v>
      </c>
      <c r="D27" s="67"/>
      <c r="E27" s="40"/>
    </row>
    <row r="28" spans="1:5">
      <c r="A28" s="40"/>
      <c r="B28" s="40"/>
      <c r="C28" s="40"/>
      <c r="D28" s="67"/>
      <c r="E28" s="40"/>
    </row>
    <row r="29" spans="1:5" ht="15.6">
      <c r="A29" s="67"/>
      <c r="B29" s="68" t="s">
        <v>2425</v>
      </c>
      <c r="C29" s="68" t="s">
        <v>2404</v>
      </c>
      <c r="D29" s="68" t="s">
        <v>2405</v>
      </c>
      <c r="E29" s="67"/>
    </row>
    <row r="30" spans="1:5">
      <c r="A30" s="67"/>
      <c r="B30" s="70" t="s">
        <v>2426</v>
      </c>
      <c r="C30" s="71" t="s">
        <v>2427</v>
      </c>
      <c r="D30" s="46"/>
      <c r="E30" s="67"/>
    </row>
    <row r="31" spans="1:5">
      <c r="A31" s="67"/>
      <c r="B31" s="70" t="s">
        <v>2428</v>
      </c>
      <c r="C31" s="46"/>
      <c r="D31" s="72" t="s">
        <v>2427</v>
      </c>
      <c r="E31" s="67"/>
    </row>
    <row r="32" spans="1:5">
      <c r="A32" s="67"/>
      <c r="B32" s="70" t="s">
        <v>2429</v>
      </c>
      <c r="C32" s="72" t="s">
        <v>2427</v>
      </c>
      <c r="D32" s="46"/>
      <c r="E32" s="67"/>
    </row>
    <row r="33" spans="1:5">
      <c r="A33" s="67"/>
      <c r="B33" s="70" t="s">
        <v>2430</v>
      </c>
      <c r="C33" s="46"/>
      <c r="D33" s="72" t="s">
        <v>2427</v>
      </c>
      <c r="E33" s="67"/>
    </row>
    <row r="34" spans="1:5">
      <c r="A34" s="67"/>
      <c r="B34" s="70" t="s">
        <v>2431</v>
      </c>
      <c r="C34" s="35" t="s">
        <v>2427</v>
      </c>
      <c r="D34" s="35" t="s">
        <v>2427</v>
      </c>
      <c r="E34" s="67"/>
    </row>
    <row r="35" spans="1:5" ht="13.2">
      <c r="A35" s="66"/>
      <c r="B35" s="66"/>
      <c r="C35" s="66"/>
      <c r="D35" s="66"/>
      <c r="E35" s="67"/>
    </row>
    <row r="36" spans="1:5" ht="15.6">
      <c r="A36" s="67"/>
      <c r="B36" s="68" t="s">
        <v>2374</v>
      </c>
      <c r="C36" s="69" t="s">
        <v>2432</v>
      </c>
      <c r="D36" s="67"/>
      <c r="E36" s="67"/>
    </row>
    <row r="37" spans="1:5">
      <c r="A37" s="67"/>
      <c r="B37" s="70" t="s">
        <v>2433</v>
      </c>
      <c r="C37" s="87" t="s">
        <v>2391</v>
      </c>
      <c r="D37" s="67"/>
      <c r="E37" s="67"/>
    </row>
    <row r="38" spans="1:5">
      <c r="A38" s="67"/>
      <c r="B38" s="70" t="s">
        <v>2434</v>
      </c>
      <c r="C38" s="72" t="s">
        <v>2435</v>
      </c>
      <c r="D38" s="67"/>
      <c r="E38" s="67"/>
    </row>
    <row r="39" spans="1:5">
      <c r="A39" s="67"/>
      <c r="B39" s="67"/>
      <c r="C39" s="67"/>
      <c r="D39" s="67"/>
      <c r="E39" s="67"/>
    </row>
    <row r="40" spans="1:5" ht="15.6">
      <c r="A40" s="67"/>
      <c r="B40" s="68" t="s">
        <v>2436</v>
      </c>
      <c r="C40" s="69" t="s">
        <v>2437</v>
      </c>
      <c r="D40" s="67"/>
      <c r="E40" s="67"/>
    </row>
    <row r="41" spans="1:5">
      <c r="A41" s="67"/>
      <c r="B41" s="70" t="s">
        <v>2438</v>
      </c>
      <c r="C41" s="72"/>
      <c r="D41" s="67"/>
      <c r="E41" s="67"/>
    </row>
    <row r="42" spans="1:5">
      <c r="A42" s="67"/>
      <c r="B42" s="70" t="s">
        <v>2439</v>
      </c>
      <c r="C42" s="72"/>
      <c r="D42" s="67"/>
      <c r="E42" s="67"/>
    </row>
    <row r="43" spans="1:5">
      <c r="A43" s="67"/>
      <c r="B43" s="70" t="s">
        <v>2440</v>
      </c>
      <c r="C43" s="72"/>
      <c r="D43" s="67"/>
      <c r="E43" s="67"/>
    </row>
    <row r="44" spans="1:5">
      <c r="A44" s="67"/>
      <c r="B44" s="67"/>
      <c r="C44" s="85" t="s">
        <v>2441</v>
      </c>
      <c r="D44" s="85"/>
      <c r="E44" s="67"/>
    </row>
    <row r="45" spans="1:5">
      <c r="A45" s="67"/>
      <c r="B45" s="67"/>
      <c r="C45" s="67"/>
      <c r="D45" s="67"/>
      <c r="E45" s="67"/>
    </row>
    <row r="46" spans="1:5" ht="15.6">
      <c r="A46" s="67"/>
      <c r="B46" s="68" t="s">
        <v>2442</v>
      </c>
      <c r="C46" s="69" t="s">
        <v>2443</v>
      </c>
      <c r="D46" s="69" t="s">
        <v>2443</v>
      </c>
      <c r="E46" s="67"/>
    </row>
    <row r="47" spans="1:5">
      <c r="A47" s="67"/>
      <c r="B47" s="70" t="s">
        <v>2444</v>
      </c>
      <c r="C47" s="72"/>
      <c r="D47" s="72"/>
      <c r="E47" s="67"/>
    </row>
    <row r="48" spans="1:5">
      <c r="A48" s="67"/>
      <c r="B48" s="70" t="s">
        <v>2445</v>
      </c>
      <c r="C48" s="72"/>
      <c r="D48" s="72"/>
      <c r="E48" s="67"/>
    </row>
    <row r="49" spans="1:5">
      <c r="A49" s="67"/>
      <c r="B49" s="70" t="s">
        <v>2446</v>
      </c>
      <c r="C49" s="72"/>
      <c r="D49" s="72"/>
      <c r="E49" s="67"/>
    </row>
    <row r="50" spans="1:5">
      <c r="A50" s="67"/>
      <c r="B50" s="70" t="s">
        <v>2447</v>
      </c>
      <c r="C50" s="72"/>
      <c r="D50" s="72"/>
      <c r="E50" s="67"/>
    </row>
    <row r="51" spans="1:5">
      <c r="A51" s="67"/>
      <c r="B51" s="70" t="s">
        <v>2448</v>
      </c>
      <c r="C51" s="72"/>
      <c r="D51" s="72"/>
      <c r="E51" s="67"/>
    </row>
    <row r="52" spans="1:5">
      <c r="A52" s="67"/>
      <c r="B52" s="70" t="s">
        <v>2449</v>
      </c>
      <c r="C52" s="88"/>
      <c r="D52" s="88"/>
      <c r="E52" s="67"/>
    </row>
    <row r="53" spans="1:5">
      <c r="A53" s="67"/>
      <c r="B53" s="70" t="s">
        <v>2450</v>
      </c>
      <c r="C53" s="88"/>
      <c r="D53" s="88"/>
      <c r="E53" s="67"/>
    </row>
    <row r="54" spans="1:5">
      <c r="A54" s="67"/>
      <c r="B54" s="67"/>
      <c r="C54" s="85" t="s">
        <v>2451</v>
      </c>
      <c r="D54" s="85" t="s">
        <v>2451</v>
      </c>
      <c r="E54" s="67"/>
    </row>
    <row r="55" spans="1:5">
      <c r="A55" s="67"/>
      <c r="B55" s="67"/>
      <c r="C55" s="67"/>
      <c r="D55" s="67"/>
      <c r="E55" s="67"/>
    </row>
    <row r="56" spans="1:5" ht="15.6">
      <c r="A56" s="67"/>
      <c r="B56" s="68" t="s">
        <v>2452</v>
      </c>
      <c r="C56" s="69" t="s">
        <v>2453</v>
      </c>
      <c r="D56" s="69" t="s">
        <v>2453</v>
      </c>
      <c r="E56" s="67"/>
    </row>
    <row r="57" spans="1:5">
      <c r="A57" s="67"/>
      <c r="B57" s="70" t="s">
        <v>2454</v>
      </c>
      <c r="C57" s="72"/>
      <c r="D57" s="72"/>
      <c r="E57" s="67"/>
    </row>
    <row r="58" spans="1:5">
      <c r="A58" s="67"/>
      <c r="B58" s="70" t="s">
        <v>2455</v>
      </c>
      <c r="C58" s="72"/>
      <c r="D58" s="72"/>
      <c r="E58" s="67"/>
    </row>
    <row r="59" spans="1:5">
      <c r="A59" s="67"/>
      <c r="B59" s="70" t="s">
        <v>2456</v>
      </c>
      <c r="C59" s="72"/>
      <c r="D59" s="72"/>
      <c r="E59" s="67"/>
    </row>
    <row r="60" spans="1:5">
      <c r="A60" s="67"/>
      <c r="B60" s="70" t="s">
        <v>2457</v>
      </c>
      <c r="C60" s="72"/>
      <c r="D60" s="72"/>
      <c r="E60" s="67"/>
    </row>
    <row r="61" spans="1:5">
      <c r="A61" s="67"/>
      <c r="B61" s="67"/>
      <c r="C61" s="67"/>
      <c r="D61" s="67"/>
      <c r="E61" s="67"/>
    </row>
  </sheetData>
  <conditionalFormatting sqref="D4">
    <cfRule type="expression" dxfId="1323" priority="1">
      <formula>AND(D4="",B4="SWITCH")</formula>
    </cfRule>
  </conditionalFormatting>
  <conditionalFormatting sqref="C4">
    <cfRule type="expression" dxfId="1322" priority="2">
      <formula>AND(C4="",A4="SWITCH")</formula>
    </cfRule>
  </conditionalFormatting>
  <pageMargins left="0.59055118110236227" right="0.59055118110236227" top="1.1811023622047245" bottom="0.98425196850393704" header="0.39370078740157483" footer="0.39370078740157483"/>
  <pageSetup paperSize="9" orientation="portrait" horizontalDpi="4294967293" verticalDpi="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C11F0-F19D-418C-BB8B-A3D5C68FB415}">
  <sheetPr codeName="Sheet42">
    <tabColor rgb="FF00B050"/>
  </sheetPr>
  <dimension ref="A1:N82"/>
  <sheetViews>
    <sheetView workbookViewId="0">
      <selection activeCell="B71" sqref="B71"/>
    </sheetView>
  </sheetViews>
  <sheetFormatPr defaultRowHeight="10.199999999999999"/>
  <cols>
    <col min="1" max="1" width="1.6640625" customWidth="1"/>
    <col min="2" max="2" width="23" customWidth="1"/>
    <col min="3" max="3" width="5.6640625" customWidth="1"/>
    <col min="4" max="4" width="26.44140625" bestFit="1" customWidth="1"/>
    <col min="5" max="5" width="5.6640625" customWidth="1"/>
    <col min="6" max="6" width="16.6640625" customWidth="1"/>
    <col min="7" max="7" width="5.6640625" customWidth="1"/>
    <col min="8" max="8" width="16.6640625" customWidth="1"/>
    <col min="9" max="9" width="5.6640625" customWidth="1"/>
    <col min="10" max="10" width="18.6640625" customWidth="1"/>
    <col min="11" max="13" width="10.44140625" customWidth="1"/>
  </cols>
  <sheetData>
    <row r="1" spans="1:14" ht="21">
      <c r="A1" s="12" t="str">
        <f ca="1">MID(CELL("filename",A1),SEARCH("]",CELL("filename",A1))+1,99)</f>
        <v>ISE Policy</v>
      </c>
      <c r="B1" s="12"/>
      <c r="C1" s="89"/>
      <c r="D1" s="90"/>
      <c r="E1" s="89"/>
      <c r="F1" s="90"/>
      <c r="G1" s="89"/>
      <c r="H1" s="12"/>
      <c r="I1" s="89"/>
      <c r="J1" s="89"/>
      <c r="K1" s="89"/>
      <c r="L1" s="89"/>
      <c r="M1" s="91"/>
      <c r="N1" s="40"/>
    </row>
    <row r="2" spans="1:14">
      <c r="A2" s="40"/>
      <c r="B2" s="40"/>
      <c r="C2" s="92"/>
      <c r="D2" s="40"/>
      <c r="E2" s="92"/>
      <c r="F2" s="40"/>
      <c r="G2" s="92"/>
      <c r="H2" s="40"/>
      <c r="I2" s="92"/>
      <c r="J2" s="40"/>
      <c r="K2" s="40"/>
      <c r="L2" s="40"/>
      <c r="M2" s="93"/>
      <c r="N2" s="40"/>
    </row>
    <row r="3" spans="1:14" ht="15.6">
      <c r="A3" s="40"/>
      <c r="B3" s="15" t="s">
        <v>2458</v>
      </c>
      <c r="C3" s="94"/>
      <c r="D3" s="15"/>
      <c r="E3" s="94"/>
      <c r="F3" s="15"/>
      <c r="G3" s="94"/>
      <c r="H3" s="15"/>
      <c r="I3" s="40"/>
      <c r="J3" s="40"/>
      <c r="K3" s="40"/>
      <c r="L3" s="40"/>
      <c r="M3" s="40"/>
      <c r="N3" s="40"/>
    </row>
    <row r="4" spans="1:14">
      <c r="A4" s="40"/>
      <c r="B4" s="17" t="s">
        <v>2459</v>
      </c>
      <c r="C4" s="17"/>
      <c r="D4" s="17" t="s">
        <v>2450</v>
      </c>
      <c r="E4" s="17"/>
      <c r="F4" s="17" t="s">
        <v>54</v>
      </c>
      <c r="G4" s="17"/>
      <c r="H4" s="17" t="s">
        <v>2460</v>
      </c>
      <c r="I4" s="40"/>
      <c r="J4" s="40"/>
      <c r="K4" s="40"/>
      <c r="L4" s="40"/>
      <c r="M4" s="40"/>
      <c r="N4" s="40"/>
    </row>
    <row r="5" spans="1:14">
      <c r="A5" s="40"/>
      <c r="B5" s="53" t="s">
        <v>2461</v>
      </c>
      <c r="C5" s="95"/>
      <c r="D5" s="53" t="s">
        <v>2462</v>
      </c>
      <c r="E5" s="95"/>
      <c r="F5" s="53" t="s">
        <v>2463</v>
      </c>
      <c r="G5" s="95"/>
      <c r="H5" s="53" t="s">
        <v>2464</v>
      </c>
      <c r="I5" s="40"/>
      <c r="J5" s="40"/>
      <c r="K5" s="40"/>
      <c r="L5" s="40"/>
      <c r="M5" s="40"/>
      <c r="N5" s="40"/>
    </row>
    <row r="6" spans="1:14">
      <c r="A6" s="40"/>
      <c r="B6" s="53"/>
      <c r="C6" s="95"/>
      <c r="D6" s="53"/>
      <c r="E6" s="95"/>
      <c r="F6" s="53"/>
      <c r="G6" s="95"/>
      <c r="H6" s="53"/>
      <c r="I6" s="40"/>
      <c r="J6" s="40"/>
      <c r="K6" s="40"/>
      <c r="L6" s="40"/>
      <c r="M6" s="40"/>
      <c r="N6" s="40"/>
    </row>
    <row r="7" spans="1:14">
      <c r="A7" s="40"/>
      <c r="B7" s="17"/>
      <c r="C7" s="17"/>
      <c r="D7" s="17"/>
      <c r="E7" s="17"/>
      <c r="F7" s="17"/>
      <c r="G7" s="17"/>
      <c r="H7" s="17"/>
      <c r="I7" s="40"/>
      <c r="J7" s="40"/>
      <c r="K7" s="40"/>
      <c r="L7" s="40"/>
      <c r="M7" s="40"/>
      <c r="N7" s="40"/>
    </row>
    <row r="8" spans="1:14">
      <c r="A8" s="40"/>
      <c r="B8" s="40"/>
      <c r="C8" s="92"/>
      <c r="D8" s="40"/>
      <c r="E8" s="92"/>
      <c r="F8" s="40"/>
      <c r="G8" s="40"/>
      <c r="H8" s="40"/>
      <c r="I8" s="40"/>
      <c r="J8" s="40"/>
      <c r="K8" s="40"/>
      <c r="L8" s="40"/>
      <c r="M8" s="40"/>
      <c r="N8" s="40"/>
    </row>
    <row r="9" spans="1:14" ht="15.6">
      <c r="A9" s="40"/>
      <c r="B9" s="15" t="s">
        <v>2465</v>
      </c>
      <c r="C9" s="94"/>
      <c r="D9" s="15"/>
      <c r="E9" s="94"/>
      <c r="F9" s="15"/>
      <c r="G9" s="40"/>
      <c r="H9" s="40"/>
      <c r="I9" s="40"/>
      <c r="J9" s="40"/>
      <c r="K9" s="40"/>
      <c r="L9" s="40"/>
      <c r="M9" s="40"/>
      <c r="N9" s="40"/>
    </row>
    <row r="10" spans="1:14">
      <c r="A10" s="40"/>
      <c r="B10" s="17" t="s">
        <v>2459</v>
      </c>
      <c r="C10" s="96"/>
      <c r="D10" s="17" t="s">
        <v>2466</v>
      </c>
      <c r="E10" s="96"/>
      <c r="F10" s="17"/>
      <c r="G10" s="40"/>
      <c r="H10" s="40"/>
      <c r="I10" s="40"/>
      <c r="J10" s="40"/>
      <c r="K10" s="40"/>
      <c r="L10" s="40"/>
      <c r="M10" s="40"/>
      <c r="N10" s="40"/>
    </row>
    <row r="11" spans="1:14">
      <c r="A11" s="40"/>
      <c r="B11" s="97" t="s">
        <v>2467</v>
      </c>
      <c r="C11" s="95"/>
      <c r="D11" s="97" t="s">
        <v>2468</v>
      </c>
      <c r="E11" s="95"/>
      <c r="F11" s="46"/>
      <c r="G11" s="40"/>
      <c r="H11" s="40"/>
      <c r="I11" s="40"/>
      <c r="J11" s="40"/>
      <c r="K11" s="40"/>
      <c r="L11" s="40"/>
      <c r="M11" s="40"/>
      <c r="N11" s="40"/>
    </row>
    <row r="12" spans="1:14">
      <c r="A12" s="40"/>
      <c r="B12" s="97" t="s">
        <v>2469</v>
      </c>
      <c r="C12" s="95"/>
      <c r="D12" s="97" t="s">
        <v>2470</v>
      </c>
      <c r="E12" s="95"/>
      <c r="F12" s="46"/>
      <c r="G12" s="40"/>
      <c r="H12" s="40"/>
      <c r="I12" s="40"/>
      <c r="J12" s="40"/>
      <c r="K12" s="40"/>
      <c r="L12" s="40"/>
      <c r="M12" s="40"/>
      <c r="N12" s="40"/>
    </row>
    <row r="13" spans="1:14">
      <c r="A13" s="40"/>
      <c r="B13" s="35" t="s">
        <v>2471</v>
      </c>
      <c r="C13" s="95"/>
      <c r="D13" s="54" t="s">
        <v>2133</v>
      </c>
      <c r="E13" s="96" t="s">
        <v>2472</v>
      </c>
      <c r="F13" s="81" t="s">
        <v>2467</v>
      </c>
      <c r="G13" s="40"/>
      <c r="H13" s="40"/>
      <c r="I13" s="40"/>
      <c r="J13" s="40"/>
      <c r="K13" s="40"/>
      <c r="L13" s="40"/>
      <c r="M13" s="40"/>
      <c r="N13" s="40"/>
    </row>
    <row r="14" spans="1:14">
      <c r="A14" s="40"/>
      <c r="B14" s="17"/>
      <c r="C14" s="96"/>
      <c r="D14" s="17"/>
      <c r="E14" s="96"/>
      <c r="F14" s="17"/>
      <c r="G14" s="40"/>
      <c r="H14" s="40"/>
      <c r="I14" s="40"/>
      <c r="J14" s="40"/>
      <c r="K14" s="40"/>
      <c r="L14" s="40"/>
      <c r="M14" s="40"/>
      <c r="N14" s="40"/>
    </row>
    <row r="15" spans="1:14">
      <c r="A15" s="40"/>
      <c r="B15" s="40"/>
      <c r="C15" s="92"/>
      <c r="D15" s="40"/>
      <c r="E15" s="92"/>
      <c r="F15" s="40"/>
      <c r="G15" s="92"/>
      <c r="H15" s="40"/>
      <c r="I15" s="92"/>
      <c r="J15" s="40"/>
      <c r="K15" s="40"/>
      <c r="L15" s="40"/>
      <c r="M15" s="40"/>
      <c r="N15" s="40"/>
    </row>
    <row r="16" spans="1:14" ht="15.6">
      <c r="A16" s="40"/>
      <c r="B16" s="15" t="s">
        <v>2473</v>
      </c>
      <c r="C16" s="94"/>
      <c r="D16" s="15"/>
      <c r="E16" s="94"/>
      <c r="F16" s="15"/>
      <c r="G16" s="94"/>
      <c r="H16" s="15"/>
      <c r="I16" s="94"/>
      <c r="J16" s="15"/>
      <c r="K16" s="15"/>
      <c r="L16" s="15"/>
      <c r="M16" s="15"/>
      <c r="N16" s="40"/>
    </row>
    <row r="17" spans="1:14">
      <c r="A17" s="40"/>
      <c r="B17" s="17" t="s">
        <v>2474</v>
      </c>
      <c r="C17" s="96" t="s">
        <v>2475</v>
      </c>
      <c r="D17" s="17" t="s">
        <v>2476</v>
      </c>
      <c r="E17" s="96" t="s">
        <v>2477</v>
      </c>
      <c r="F17" s="17" t="s">
        <v>2476</v>
      </c>
      <c r="G17" s="96" t="s">
        <v>2478</v>
      </c>
      <c r="H17" s="17" t="s">
        <v>2479</v>
      </c>
      <c r="I17" s="96" t="s">
        <v>2472</v>
      </c>
      <c r="J17" s="17" t="s">
        <v>2465</v>
      </c>
      <c r="K17" s="17" t="s">
        <v>2480</v>
      </c>
      <c r="L17" s="17" t="s">
        <v>2481</v>
      </c>
      <c r="M17" s="17" t="s">
        <v>2482</v>
      </c>
      <c r="N17" s="40"/>
    </row>
    <row r="18" spans="1:14">
      <c r="A18" s="40"/>
      <c r="B18" s="35" t="s">
        <v>2483</v>
      </c>
      <c r="C18" s="96" t="s">
        <v>2475</v>
      </c>
      <c r="D18" s="45" t="s">
        <v>2484</v>
      </c>
      <c r="E18" s="96" t="s">
        <v>2477</v>
      </c>
      <c r="F18" s="45" t="s">
        <v>2485</v>
      </c>
      <c r="G18" s="96" t="s">
        <v>2478</v>
      </c>
      <c r="H18" s="97" t="s">
        <v>2486</v>
      </c>
      <c r="I18" s="96" t="s">
        <v>2472</v>
      </c>
      <c r="J18" s="45" t="s">
        <v>2469</v>
      </c>
      <c r="K18" s="46" t="s">
        <v>2487</v>
      </c>
      <c r="L18" s="46" t="s">
        <v>2488</v>
      </c>
      <c r="M18" s="46" t="s">
        <v>2489</v>
      </c>
      <c r="N18" s="40"/>
    </row>
    <row r="19" spans="1:14">
      <c r="A19" s="40"/>
      <c r="B19" s="35" t="s">
        <v>2490</v>
      </c>
      <c r="C19" s="96" t="s">
        <v>2475</v>
      </c>
      <c r="D19" s="45" t="s">
        <v>2491</v>
      </c>
      <c r="E19" s="96" t="s">
        <v>2477</v>
      </c>
      <c r="F19" s="45" t="s">
        <v>2492</v>
      </c>
      <c r="G19" s="96" t="s">
        <v>2478</v>
      </c>
      <c r="H19" s="97" t="s">
        <v>2486</v>
      </c>
      <c r="I19" s="96" t="s">
        <v>2472</v>
      </c>
      <c r="J19" s="45" t="s">
        <v>2471</v>
      </c>
      <c r="K19" s="46" t="s">
        <v>2487</v>
      </c>
      <c r="L19" s="46" t="s">
        <v>2487</v>
      </c>
      <c r="M19" s="46" t="s">
        <v>2489</v>
      </c>
      <c r="N19" s="40"/>
    </row>
    <row r="20" spans="1:14">
      <c r="A20" s="40"/>
      <c r="B20" s="97" t="s">
        <v>2493</v>
      </c>
      <c r="C20" s="96"/>
      <c r="D20" s="46"/>
      <c r="E20" s="96"/>
      <c r="F20" s="46"/>
      <c r="G20" s="96" t="s">
        <v>2478</v>
      </c>
      <c r="H20" s="97" t="s">
        <v>2486</v>
      </c>
      <c r="I20" s="96" t="s">
        <v>2472</v>
      </c>
      <c r="J20" s="45" t="s">
        <v>2467</v>
      </c>
      <c r="K20" s="46" t="s">
        <v>2487</v>
      </c>
      <c r="L20" s="46" t="s">
        <v>2487</v>
      </c>
      <c r="M20" s="46" t="s">
        <v>2489</v>
      </c>
      <c r="N20" s="40"/>
    </row>
    <row r="21" spans="1:14">
      <c r="A21" s="40"/>
      <c r="B21" s="17"/>
      <c r="C21" s="96"/>
      <c r="D21" s="17"/>
      <c r="E21" s="96"/>
      <c r="F21" s="17"/>
      <c r="G21" s="96"/>
      <c r="H21" s="17"/>
      <c r="I21" s="96"/>
      <c r="J21" s="17"/>
      <c r="K21" s="17"/>
      <c r="L21" s="17"/>
      <c r="M21" s="17"/>
      <c r="N21" s="40"/>
    </row>
    <row r="22" spans="1:14" ht="13.2">
      <c r="A22" s="38"/>
      <c r="B22" s="38"/>
      <c r="C22" s="98"/>
      <c r="D22" s="38"/>
      <c r="E22" s="98"/>
      <c r="F22" s="40"/>
      <c r="G22" s="98"/>
      <c r="H22" s="38"/>
      <c r="I22" s="98"/>
      <c r="J22" s="40"/>
      <c r="K22" s="40"/>
      <c r="L22" s="40"/>
      <c r="M22" s="40"/>
      <c r="N22" s="40"/>
    </row>
    <row r="23" spans="1:14" ht="15.6">
      <c r="A23" s="40"/>
      <c r="B23" s="15" t="s">
        <v>2494</v>
      </c>
      <c r="C23" s="94"/>
      <c r="D23" s="15"/>
      <c r="E23" s="94"/>
      <c r="F23" s="15"/>
      <c r="G23" s="94"/>
      <c r="H23" s="15"/>
      <c r="I23" s="94"/>
      <c r="J23" s="15"/>
      <c r="K23" s="40"/>
      <c r="L23" s="40"/>
      <c r="M23" s="40"/>
      <c r="N23" s="40"/>
    </row>
    <row r="24" spans="1:14">
      <c r="A24" s="40"/>
      <c r="B24" s="17" t="s">
        <v>2495</v>
      </c>
      <c r="C24" s="239" t="s">
        <v>45</v>
      </c>
      <c r="D24" s="240"/>
      <c r="E24" s="241"/>
      <c r="F24" s="239" t="s">
        <v>54</v>
      </c>
      <c r="G24" s="240"/>
      <c r="H24" s="240"/>
      <c r="I24" s="240"/>
      <c r="J24" s="241"/>
      <c r="K24" s="40"/>
      <c r="L24" s="40"/>
      <c r="M24" s="40"/>
      <c r="N24" s="40"/>
    </row>
    <row r="25" spans="1:14">
      <c r="A25" s="40"/>
      <c r="B25" s="99" t="s">
        <v>2496</v>
      </c>
      <c r="C25" s="236" t="s">
        <v>2449</v>
      </c>
      <c r="D25" s="237"/>
      <c r="E25" s="238"/>
      <c r="F25" s="236" t="s">
        <v>2497</v>
      </c>
      <c r="G25" s="237"/>
      <c r="H25" s="237"/>
      <c r="I25" s="237"/>
      <c r="J25" s="238"/>
      <c r="K25" s="40"/>
      <c r="L25" s="40"/>
      <c r="M25" s="40"/>
      <c r="N25" s="40"/>
    </row>
    <row r="26" spans="1:14">
      <c r="A26" s="40"/>
      <c r="B26" s="99" t="s">
        <v>2498</v>
      </c>
      <c r="C26" s="236" t="s">
        <v>2449</v>
      </c>
      <c r="D26" s="237"/>
      <c r="E26" s="238"/>
      <c r="F26" s="236" t="s">
        <v>2499</v>
      </c>
      <c r="G26" s="237"/>
      <c r="H26" s="237"/>
      <c r="I26" s="237"/>
      <c r="J26" s="238"/>
      <c r="K26" s="40"/>
      <c r="L26" s="40"/>
      <c r="M26" s="40"/>
      <c r="N26" s="40"/>
    </row>
    <row r="27" spans="1:14">
      <c r="A27" s="40"/>
      <c r="B27" s="99" t="s">
        <v>2500</v>
      </c>
      <c r="C27" s="236" t="s">
        <v>2449</v>
      </c>
      <c r="D27" s="237"/>
      <c r="E27" s="238"/>
      <c r="F27" s="236" t="s">
        <v>2501</v>
      </c>
      <c r="G27" s="237"/>
      <c r="H27" s="237"/>
      <c r="I27" s="237"/>
      <c r="J27" s="238"/>
      <c r="K27" s="40"/>
      <c r="L27" s="40"/>
      <c r="M27" s="40"/>
      <c r="N27" s="40"/>
    </row>
    <row r="28" spans="1:14">
      <c r="A28" s="40"/>
      <c r="B28" s="99" t="s">
        <v>2502</v>
      </c>
      <c r="C28" s="236" t="s">
        <v>2503</v>
      </c>
      <c r="D28" s="237"/>
      <c r="E28" s="238"/>
      <c r="F28" s="236" t="s">
        <v>2504</v>
      </c>
      <c r="G28" s="237"/>
      <c r="H28" s="237"/>
      <c r="I28" s="237"/>
      <c r="J28" s="238"/>
      <c r="K28" s="40"/>
      <c r="L28" s="40"/>
      <c r="M28" s="40"/>
      <c r="N28" s="40"/>
    </row>
    <row r="29" spans="1:14">
      <c r="A29" s="40"/>
      <c r="B29" s="100" t="s">
        <v>2464</v>
      </c>
      <c r="C29" s="224" t="s">
        <v>2449</v>
      </c>
      <c r="D29" s="225"/>
      <c r="E29" s="226"/>
      <c r="F29" s="227" t="s">
        <v>2505</v>
      </c>
      <c r="G29" s="228"/>
      <c r="H29" s="228"/>
      <c r="I29" s="228"/>
      <c r="J29" s="229"/>
      <c r="K29" s="40"/>
      <c r="L29" s="40"/>
      <c r="M29" s="40"/>
      <c r="N29" s="40"/>
    </row>
    <row r="30" spans="1:14" ht="11.25" customHeight="1">
      <c r="A30" s="40"/>
      <c r="B30" s="100" t="s">
        <v>2506</v>
      </c>
      <c r="C30" s="224" t="s">
        <v>2503</v>
      </c>
      <c r="D30" s="225"/>
      <c r="E30" s="226"/>
      <c r="F30" s="227" t="s">
        <v>2507</v>
      </c>
      <c r="G30" s="228"/>
      <c r="H30" s="228"/>
      <c r="I30" s="228"/>
      <c r="J30" s="229"/>
      <c r="K30" s="40"/>
      <c r="L30" s="40"/>
      <c r="M30" s="40"/>
      <c r="N30" s="40"/>
    </row>
    <row r="31" spans="1:14" ht="11.25" customHeight="1">
      <c r="A31" s="40"/>
      <c r="B31" s="100" t="s">
        <v>2508</v>
      </c>
      <c r="C31" s="224" t="s">
        <v>2503</v>
      </c>
      <c r="D31" s="225"/>
      <c r="E31" s="226"/>
      <c r="F31" s="227" t="s">
        <v>2509</v>
      </c>
      <c r="G31" s="228"/>
      <c r="H31" s="228"/>
      <c r="I31" s="228"/>
      <c r="J31" s="229"/>
      <c r="K31" s="40"/>
      <c r="L31" s="40"/>
      <c r="M31" s="40"/>
      <c r="N31" s="40"/>
    </row>
    <row r="32" spans="1:14" ht="11.25" customHeight="1">
      <c r="A32" s="40"/>
      <c r="B32" s="100" t="s">
        <v>2510</v>
      </c>
      <c r="C32" s="224" t="s">
        <v>2503</v>
      </c>
      <c r="D32" s="225"/>
      <c r="E32" s="226"/>
      <c r="F32" s="227" t="s">
        <v>2511</v>
      </c>
      <c r="G32" s="228"/>
      <c r="H32" s="228"/>
      <c r="I32" s="228"/>
      <c r="J32" s="229"/>
      <c r="K32" s="40"/>
      <c r="L32" s="40"/>
      <c r="M32" s="40"/>
      <c r="N32" s="40"/>
    </row>
    <row r="33" spans="1:14">
      <c r="A33" s="40"/>
      <c r="B33" s="17"/>
      <c r="C33" s="230"/>
      <c r="D33" s="231"/>
      <c r="E33" s="232"/>
      <c r="F33" s="233"/>
      <c r="G33" s="234"/>
      <c r="H33" s="234"/>
      <c r="I33" s="234"/>
      <c r="J33" s="235"/>
      <c r="K33" s="40"/>
      <c r="L33" s="40"/>
      <c r="M33" s="40"/>
      <c r="N33" s="40"/>
    </row>
    <row r="34" spans="1:14">
      <c r="A34" s="40"/>
      <c r="B34" s="40"/>
      <c r="C34" s="92"/>
      <c r="D34" s="40"/>
      <c r="E34" s="92"/>
      <c r="F34" s="40"/>
      <c r="G34" s="92"/>
      <c r="H34" s="40"/>
      <c r="I34" s="92"/>
      <c r="J34" s="40"/>
      <c r="K34" s="40"/>
      <c r="L34" s="40"/>
      <c r="M34" s="40"/>
      <c r="N34" s="40"/>
    </row>
    <row r="35" spans="1:14" ht="15.6">
      <c r="A35" s="40"/>
      <c r="B35" s="15" t="s">
        <v>2512</v>
      </c>
      <c r="C35" s="94"/>
      <c r="D35" s="15"/>
      <c r="E35" s="94"/>
      <c r="F35" s="15"/>
      <c r="G35" s="94"/>
      <c r="H35" s="15"/>
      <c r="I35" s="94"/>
      <c r="J35" s="15"/>
      <c r="K35" s="40"/>
      <c r="L35" s="40"/>
      <c r="M35" s="40"/>
      <c r="N35" s="40"/>
    </row>
    <row r="36" spans="1:14">
      <c r="A36" s="40"/>
      <c r="B36" s="17" t="s">
        <v>2513</v>
      </c>
      <c r="C36" s="239" t="s">
        <v>2514</v>
      </c>
      <c r="D36" s="240"/>
      <c r="E36" s="241"/>
      <c r="F36" s="239" t="s">
        <v>54</v>
      </c>
      <c r="G36" s="240"/>
      <c r="H36" s="240"/>
      <c r="I36" s="240"/>
      <c r="J36" s="241"/>
      <c r="K36" s="40"/>
      <c r="L36" s="40"/>
      <c r="M36" s="40"/>
      <c r="N36" s="40"/>
    </row>
    <row r="37" spans="1:14">
      <c r="A37" s="40"/>
      <c r="B37" s="99" t="s">
        <v>2515</v>
      </c>
      <c r="C37" s="236" t="s">
        <v>2516</v>
      </c>
      <c r="D37" s="237"/>
      <c r="E37" s="238"/>
      <c r="F37" s="236" t="s">
        <v>2517</v>
      </c>
      <c r="G37" s="237"/>
      <c r="H37" s="237"/>
      <c r="I37" s="237"/>
      <c r="J37" s="238"/>
      <c r="K37" s="40"/>
      <c r="L37" s="40"/>
      <c r="M37" s="40"/>
      <c r="N37" s="40"/>
    </row>
    <row r="38" spans="1:14">
      <c r="A38" s="40"/>
      <c r="B38" s="99" t="s">
        <v>2491</v>
      </c>
      <c r="C38" s="236"/>
      <c r="D38" s="237"/>
      <c r="E38" s="238"/>
      <c r="F38" s="236" t="s">
        <v>2518</v>
      </c>
      <c r="G38" s="237"/>
      <c r="H38" s="237"/>
      <c r="I38" s="237"/>
      <c r="J38" s="238"/>
      <c r="K38" s="40"/>
      <c r="L38" s="40"/>
      <c r="M38" s="40"/>
      <c r="N38" s="40"/>
    </row>
    <row r="39" spans="1:14">
      <c r="A39" s="40"/>
      <c r="B39" s="99" t="s">
        <v>2484</v>
      </c>
      <c r="C39" s="236"/>
      <c r="D39" s="237"/>
      <c r="E39" s="238"/>
      <c r="F39" s="236" t="s">
        <v>2519</v>
      </c>
      <c r="G39" s="237"/>
      <c r="H39" s="237"/>
      <c r="I39" s="237"/>
      <c r="J39" s="238"/>
      <c r="K39" s="40"/>
      <c r="L39" s="40"/>
      <c r="M39" s="40"/>
      <c r="N39" s="40"/>
    </row>
    <row r="40" spans="1:14">
      <c r="A40" s="40"/>
      <c r="B40" s="99" t="s">
        <v>2492</v>
      </c>
      <c r="C40" s="236"/>
      <c r="D40" s="237"/>
      <c r="E40" s="238"/>
      <c r="F40" s="236" t="s">
        <v>2520</v>
      </c>
      <c r="G40" s="237"/>
      <c r="H40" s="237"/>
      <c r="I40" s="237"/>
      <c r="J40" s="238"/>
      <c r="K40" s="40"/>
      <c r="L40" s="40"/>
      <c r="M40" s="40"/>
      <c r="N40" s="40"/>
    </row>
    <row r="41" spans="1:14">
      <c r="A41" s="40"/>
      <c r="B41" s="99" t="s">
        <v>2521</v>
      </c>
      <c r="C41" s="236"/>
      <c r="D41" s="237"/>
      <c r="E41" s="238"/>
      <c r="F41" s="236" t="s">
        <v>2522</v>
      </c>
      <c r="G41" s="237"/>
      <c r="H41" s="237"/>
      <c r="I41" s="237"/>
      <c r="J41" s="238"/>
      <c r="K41" s="40"/>
      <c r="L41" s="40"/>
      <c r="M41" s="40"/>
      <c r="N41" s="40"/>
    </row>
    <row r="42" spans="1:14" ht="11.25" customHeight="1">
      <c r="A42" s="40"/>
      <c r="B42" s="100" t="s">
        <v>2523</v>
      </c>
      <c r="C42" s="224" t="s">
        <v>2524</v>
      </c>
      <c r="D42" s="225"/>
      <c r="E42" s="226"/>
      <c r="F42" s="227" t="s">
        <v>2525</v>
      </c>
      <c r="G42" s="228"/>
      <c r="H42" s="228"/>
      <c r="I42" s="228"/>
      <c r="J42" s="229"/>
      <c r="K42" s="40"/>
      <c r="L42" s="40"/>
      <c r="M42" s="40"/>
      <c r="N42" s="40"/>
    </row>
    <row r="43" spans="1:14" ht="11.25" customHeight="1">
      <c r="A43" s="40"/>
      <c r="B43" s="100" t="s">
        <v>2526</v>
      </c>
      <c r="C43" s="224" t="s">
        <v>2527</v>
      </c>
      <c r="D43" s="225"/>
      <c r="E43" s="226"/>
      <c r="F43" s="227" t="s">
        <v>2528</v>
      </c>
      <c r="G43" s="228"/>
      <c r="H43" s="228"/>
      <c r="I43" s="228"/>
      <c r="J43" s="229"/>
      <c r="K43" s="40"/>
      <c r="L43" s="40"/>
      <c r="M43" s="40"/>
      <c r="N43" s="40"/>
    </row>
    <row r="44" spans="1:14" ht="11.25" customHeight="1">
      <c r="A44" s="40"/>
      <c r="B44" s="100" t="s">
        <v>2529</v>
      </c>
      <c r="C44" s="224" t="s">
        <v>2530</v>
      </c>
      <c r="D44" s="225"/>
      <c r="E44" s="226"/>
      <c r="F44" s="227" t="s">
        <v>2509</v>
      </c>
      <c r="G44" s="228"/>
      <c r="H44" s="228"/>
      <c r="I44" s="228"/>
      <c r="J44" s="229"/>
      <c r="K44" s="40"/>
      <c r="L44" s="40"/>
      <c r="M44" s="40"/>
      <c r="N44" s="40"/>
    </row>
    <row r="45" spans="1:14" ht="11.25" customHeight="1">
      <c r="A45" s="40"/>
      <c r="B45" s="101" t="s">
        <v>2531</v>
      </c>
      <c r="C45" s="224" t="s">
        <v>2532</v>
      </c>
      <c r="D45" s="225"/>
      <c r="E45" s="226"/>
      <c r="F45" s="227" t="s">
        <v>2511</v>
      </c>
      <c r="G45" s="228"/>
      <c r="H45" s="228"/>
      <c r="I45" s="228"/>
      <c r="J45" s="229"/>
      <c r="K45" s="40"/>
      <c r="L45" s="40"/>
      <c r="M45" s="40"/>
      <c r="N45" s="40"/>
    </row>
    <row r="46" spans="1:14">
      <c r="A46" s="40"/>
      <c r="B46" s="17"/>
      <c r="C46" s="230"/>
      <c r="D46" s="231"/>
      <c r="E46" s="232"/>
      <c r="F46" s="233"/>
      <c r="G46" s="234"/>
      <c r="H46" s="234"/>
      <c r="I46" s="234"/>
      <c r="J46" s="235"/>
      <c r="K46" s="40"/>
      <c r="L46" s="40"/>
      <c r="M46" s="40"/>
      <c r="N46" s="40"/>
    </row>
    <row r="47" spans="1:14">
      <c r="A47" s="40"/>
      <c r="B47" s="40"/>
      <c r="C47" s="92"/>
      <c r="D47" s="40"/>
      <c r="E47" s="92"/>
      <c r="F47" s="40"/>
      <c r="G47" s="92"/>
      <c r="H47" s="40"/>
      <c r="I47" s="92"/>
      <c r="J47" s="40"/>
      <c r="K47" s="40"/>
      <c r="L47" s="40"/>
      <c r="M47" s="40"/>
      <c r="N47" s="40"/>
    </row>
    <row r="48" spans="1:14" ht="15.6">
      <c r="A48" s="40"/>
      <c r="B48" s="15" t="s">
        <v>2533</v>
      </c>
      <c r="C48" s="94"/>
      <c r="D48" s="15"/>
      <c r="E48" s="94"/>
      <c r="F48" s="15"/>
      <c r="G48" s="94"/>
      <c r="H48" s="15"/>
      <c r="I48" s="94"/>
      <c r="J48" s="15"/>
      <c r="K48" s="242"/>
      <c r="L48" s="242"/>
      <c r="M48" s="40"/>
      <c r="N48" s="40"/>
    </row>
    <row r="49" spans="1:14">
      <c r="A49" s="40"/>
      <c r="B49" s="17" t="s">
        <v>2534</v>
      </c>
      <c r="C49" s="17"/>
      <c r="D49" s="17" t="s">
        <v>2535</v>
      </c>
      <c r="E49" s="17"/>
      <c r="F49" s="17" t="s">
        <v>2536</v>
      </c>
      <c r="G49" s="17"/>
      <c r="H49" s="17" t="s">
        <v>46</v>
      </c>
      <c r="I49" s="17"/>
      <c r="J49" s="17" t="s">
        <v>2537</v>
      </c>
      <c r="K49" s="243" t="s">
        <v>2538</v>
      </c>
      <c r="L49" s="244"/>
      <c r="M49" s="40"/>
      <c r="N49" s="40"/>
    </row>
    <row r="50" spans="1:14">
      <c r="A50" s="40"/>
      <c r="B50" s="97" t="s">
        <v>2539</v>
      </c>
      <c r="C50" s="46"/>
      <c r="D50" s="46" t="s">
        <v>2540</v>
      </c>
      <c r="E50" s="46"/>
      <c r="F50" s="46"/>
      <c r="G50" s="46"/>
      <c r="H50" s="46"/>
      <c r="I50" s="46"/>
      <c r="J50" s="46"/>
      <c r="K50" s="245"/>
      <c r="L50" s="246"/>
      <c r="M50" s="40"/>
      <c r="N50" s="40"/>
    </row>
    <row r="51" spans="1:14">
      <c r="A51" s="40"/>
      <c r="B51" s="97" t="s">
        <v>2541</v>
      </c>
      <c r="C51" s="46"/>
      <c r="D51" s="46" t="s">
        <v>2542</v>
      </c>
      <c r="E51" s="46"/>
      <c r="F51" s="46"/>
      <c r="G51" s="46"/>
      <c r="H51" s="46"/>
      <c r="I51" s="46"/>
      <c r="J51" s="46"/>
      <c r="K51" s="245"/>
      <c r="L51" s="246"/>
      <c r="M51" s="40"/>
      <c r="N51" s="40"/>
    </row>
    <row r="52" spans="1:14">
      <c r="A52" s="40"/>
      <c r="B52" s="97" t="s">
        <v>2543</v>
      </c>
      <c r="C52" s="46"/>
      <c r="D52" s="46" t="s">
        <v>2540</v>
      </c>
      <c r="E52" s="46"/>
      <c r="F52" s="46"/>
      <c r="G52" s="46"/>
      <c r="H52" s="46"/>
      <c r="I52" s="46"/>
      <c r="J52" s="97" t="s">
        <v>2544</v>
      </c>
      <c r="K52" s="236" t="s">
        <v>2544</v>
      </c>
      <c r="L52" s="238"/>
      <c r="M52" s="40"/>
      <c r="N52" s="40"/>
    </row>
    <row r="53" spans="1:14">
      <c r="A53" s="40"/>
      <c r="B53" s="54" t="s">
        <v>2545</v>
      </c>
      <c r="C53" s="46"/>
      <c r="D53" s="45" t="s">
        <v>2540</v>
      </c>
      <c r="E53" s="46"/>
      <c r="F53" s="45" t="s">
        <v>2546</v>
      </c>
      <c r="G53" s="46"/>
      <c r="H53" s="52">
        <v>1112</v>
      </c>
      <c r="I53" s="46"/>
      <c r="J53" s="45" t="s">
        <v>2547</v>
      </c>
      <c r="K53" s="247" t="s">
        <v>2548</v>
      </c>
      <c r="L53" s="248"/>
      <c r="M53" s="40"/>
      <c r="N53" s="40"/>
    </row>
    <row r="54" spans="1:14">
      <c r="A54" s="40"/>
      <c r="B54" s="54" t="s">
        <v>2549</v>
      </c>
      <c r="C54" s="46"/>
      <c r="D54" s="45" t="s">
        <v>2540</v>
      </c>
      <c r="E54" s="46"/>
      <c r="F54" s="45" t="s">
        <v>2550</v>
      </c>
      <c r="G54" s="46"/>
      <c r="H54" s="52">
        <v>1112</v>
      </c>
      <c r="I54" s="46"/>
      <c r="J54" s="45"/>
      <c r="K54" s="247"/>
      <c r="L54" s="248"/>
      <c r="M54" s="40"/>
      <c r="N54" s="40"/>
    </row>
    <row r="55" spans="1:14">
      <c r="A55" s="40"/>
      <c r="B55" s="54" t="s">
        <v>2539</v>
      </c>
      <c r="C55" s="46"/>
      <c r="D55" s="45" t="s">
        <v>2540</v>
      </c>
      <c r="E55" s="46"/>
      <c r="F55" s="45"/>
      <c r="G55" s="46"/>
      <c r="H55" s="53">
        <v>1104</v>
      </c>
      <c r="I55" s="46"/>
      <c r="J55" s="45"/>
      <c r="K55" s="247"/>
      <c r="L55" s="248"/>
      <c r="M55" s="40"/>
      <c r="N55" s="40"/>
    </row>
    <row r="56" spans="1:14">
      <c r="A56" s="40"/>
      <c r="B56" s="54" t="s">
        <v>2551</v>
      </c>
      <c r="C56" s="81"/>
      <c r="D56" s="55" t="s">
        <v>2540</v>
      </c>
      <c r="E56" s="81"/>
      <c r="F56" s="55"/>
      <c r="G56" s="81"/>
      <c r="H56" s="53">
        <v>32</v>
      </c>
      <c r="I56" s="81"/>
      <c r="J56" s="55"/>
      <c r="K56" s="247"/>
      <c r="L56" s="248"/>
      <c r="M56" s="40"/>
      <c r="N56" s="40"/>
    </row>
    <row r="57" spans="1:14">
      <c r="A57" s="40"/>
      <c r="B57" s="35" t="s">
        <v>2552</v>
      </c>
      <c r="C57" s="46"/>
      <c r="D57" s="45" t="s">
        <v>2540</v>
      </c>
      <c r="E57" s="46"/>
      <c r="F57" s="45"/>
      <c r="G57" s="46"/>
      <c r="H57" s="52">
        <v>7</v>
      </c>
      <c r="I57" s="46"/>
      <c r="J57" s="45"/>
      <c r="K57" s="247"/>
      <c r="L57" s="248"/>
      <c r="M57" s="40"/>
      <c r="N57" s="40"/>
    </row>
    <row r="58" spans="1:14">
      <c r="A58" s="40"/>
      <c r="B58" s="17"/>
      <c r="C58" s="96"/>
      <c r="D58" s="17"/>
      <c r="E58" s="96"/>
      <c r="F58" s="17"/>
      <c r="G58" s="96"/>
      <c r="H58" s="17"/>
      <c r="I58" s="96"/>
      <c r="J58" s="17"/>
      <c r="K58" s="233"/>
      <c r="L58" s="235"/>
      <c r="M58" s="40"/>
      <c r="N58" s="40"/>
    </row>
    <row r="59" spans="1:14">
      <c r="A59" s="40"/>
      <c r="B59" s="40"/>
      <c r="C59" s="92"/>
      <c r="D59" s="40"/>
      <c r="E59" s="92"/>
      <c r="F59" s="40"/>
      <c r="G59" s="92"/>
      <c r="H59" s="40"/>
      <c r="I59" s="92"/>
      <c r="J59" s="40"/>
      <c r="K59" s="40"/>
      <c r="L59" s="40"/>
      <c r="M59" s="40"/>
      <c r="N59" s="40"/>
    </row>
    <row r="60" spans="1:14" ht="15.6">
      <c r="A60" s="40"/>
      <c r="B60" s="15" t="s">
        <v>2553</v>
      </c>
      <c r="C60" s="94"/>
      <c r="D60" s="15"/>
      <c r="E60" s="94"/>
      <c r="F60" s="15"/>
      <c r="G60" s="94"/>
      <c r="H60" s="15"/>
      <c r="I60" s="94"/>
      <c r="J60" s="15"/>
      <c r="K60" s="40"/>
      <c r="L60" s="40"/>
      <c r="M60" s="40"/>
      <c r="N60" s="40"/>
    </row>
    <row r="61" spans="1:14">
      <c r="A61" s="40"/>
      <c r="B61" s="17" t="s">
        <v>2474</v>
      </c>
      <c r="C61" s="96" t="s">
        <v>2475</v>
      </c>
      <c r="D61" s="17" t="s">
        <v>2554</v>
      </c>
      <c r="E61" s="96" t="s">
        <v>2478</v>
      </c>
      <c r="F61" s="17" t="s">
        <v>2476</v>
      </c>
      <c r="G61" s="96" t="s">
        <v>2555</v>
      </c>
      <c r="H61" s="17" t="s">
        <v>2476</v>
      </c>
      <c r="I61" s="96" t="s">
        <v>2472</v>
      </c>
      <c r="J61" s="17" t="s">
        <v>2556</v>
      </c>
      <c r="K61" s="40"/>
      <c r="L61" s="40" t="s">
        <v>2557</v>
      </c>
      <c r="M61" s="40" t="s">
        <v>2557</v>
      </c>
      <c r="N61" s="40">
        <v>1104</v>
      </c>
    </row>
    <row r="62" spans="1:14">
      <c r="A62" s="40"/>
      <c r="B62" s="97" t="s">
        <v>2558</v>
      </c>
      <c r="C62" s="96" t="s">
        <v>2475</v>
      </c>
      <c r="D62" s="97" t="s">
        <v>2502</v>
      </c>
      <c r="E62" s="96" t="s">
        <v>2478</v>
      </c>
      <c r="F62" s="97" t="s">
        <v>2521</v>
      </c>
      <c r="G62" s="96"/>
      <c r="H62" s="97"/>
      <c r="I62" s="96" t="s">
        <v>2472</v>
      </c>
      <c r="J62" s="97" t="s">
        <v>2543</v>
      </c>
      <c r="K62" s="40"/>
      <c r="L62" s="40" t="s">
        <v>2559</v>
      </c>
      <c r="M62" s="40" t="s">
        <v>2559</v>
      </c>
      <c r="N62" s="40">
        <v>1108</v>
      </c>
    </row>
    <row r="63" spans="1:14">
      <c r="A63" s="40"/>
      <c r="B63" s="53" t="s">
        <v>2560</v>
      </c>
      <c r="C63" s="96" t="s">
        <v>2475</v>
      </c>
      <c r="D63" s="45" t="s">
        <v>2561</v>
      </c>
      <c r="E63" s="96" t="s">
        <v>2478</v>
      </c>
      <c r="F63" s="45" t="s">
        <v>2484</v>
      </c>
      <c r="G63" s="96"/>
      <c r="H63" s="45"/>
      <c r="I63" s="96" t="s">
        <v>2472</v>
      </c>
      <c r="J63" s="45" t="s">
        <v>2562</v>
      </c>
      <c r="K63" s="40"/>
      <c r="L63" s="40" t="s">
        <v>2563</v>
      </c>
      <c r="M63" s="40" t="s">
        <v>2563</v>
      </c>
      <c r="N63" s="40">
        <v>1112</v>
      </c>
    </row>
    <row r="64" spans="1:14">
      <c r="A64" s="40"/>
      <c r="B64" s="53" t="s">
        <v>2564</v>
      </c>
      <c r="C64" s="96" t="s">
        <v>2475</v>
      </c>
      <c r="D64" s="45"/>
      <c r="E64" s="96" t="s">
        <v>2478</v>
      </c>
      <c r="F64" s="45" t="s">
        <v>2491</v>
      </c>
      <c r="G64" s="96"/>
      <c r="H64" s="45" t="s">
        <v>2565</v>
      </c>
      <c r="I64" s="96" t="s">
        <v>2472</v>
      </c>
      <c r="J64" s="45" t="s">
        <v>2562</v>
      </c>
      <c r="K64" s="40"/>
      <c r="L64" s="40" t="s">
        <v>2566</v>
      </c>
      <c r="M64" s="40" t="s">
        <v>2566</v>
      </c>
      <c r="N64" s="40">
        <v>1116</v>
      </c>
    </row>
    <row r="65" spans="1:14">
      <c r="A65" s="40"/>
      <c r="B65" s="53" t="s">
        <v>2567</v>
      </c>
      <c r="C65" s="96" t="s">
        <v>2475</v>
      </c>
      <c r="D65" s="45"/>
      <c r="E65" s="96" t="s">
        <v>2478</v>
      </c>
      <c r="F65" s="45" t="s">
        <v>2492</v>
      </c>
      <c r="G65" s="96"/>
      <c r="H65" s="45" t="s">
        <v>2565</v>
      </c>
      <c r="I65" s="96" t="s">
        <v>2472</v>
      </c>
      <c r="J65" s="45" t="s">
        <v>2539</v>
      </c>
      <c r="K65" s="40"/>
      <c r="L65" s="40"/>
      <c r="M65" s="40"/>
      <c r="N65" s="40"/>
    </row>
    <row r="66" spans="1:14">
      <c r="A66" s="40"/>
      <c r="B66" s="53" t="s">
        <v>2568</v>
      </c>
      <c r="C66" s="96" t="s">
        <v>2475</v>
      </c>
      <c r="D66" s="45"/>
      <c r="E66" s="96" t="s">
        <v>2478</v>
      </c>
      <c r="F66" s="45" t="s">
        <v>2484</v>
      </c>
      <c r="G66" s="96"/>
      <c r="H66" s="45" t="s">
        <v>2515</v>
      </c>
      <c r="I66" s="96" t="s">
        <v>2472</v>
      </c>
      <c r="J66" s="45" t="s">
        <v>2549</v>
      </c>
      <c r="K66" s="40"/>
      <c r="L66" s="40"/>
      <c r="M66" s="40"/>
      <c r="N66" s="40"/>
    </row>
    <row r="67" spans="1:14">
      <c r="A67" s="40"/>
      <c r="B67" s="53" t="s">
        <v>2569</v>
      </c>
      <c r="C67" s="96" t="s">
        <v>2475</v>
      </c>
      <c r="D67" s="45"/>
      <c r="E67" s="96" t="s">
        <v>2478</v>
      </c>
      <c r="F67" s="45" t="s">
        <v>2484</v>
      </c>
      <c r="G67" s="96"/>
      <c r="H67" s="45"/>
      <c r="I67" s="96" t="s">
        <v>2472</v>
      </c>
      <c r="J67" s="45" t="s">
        <v>2545</v>
      </c>
      <c r="K67" s="40"/>
      <c r="L67" s="40"/>
      <c r="M67" s="40"/>
      <c r="N67" s="40"/>
    </row>
    <row r="68" spans="1:14">
      <c r="A68" s="40"/>
      <c r="B68" s="53" t="s">
        <v>2570</v>
      </c>
      <c r="C68" s="96" t="s">
        <v>2475</v>
      </c>
      <c r="D68" s="45" t="s">
        <v>2464</v>
      </c>
      <c r="E68" s="96" t="s">
        <v>2478</v>
      </c>
      <c r="F68" s="45"/>
      <c r="G68" s="96"/>
      <c r="H68" s="45"/>
      <c r="I68" s="96" t="s">
        <v>2472</v>
      </c>
      <c r="J68" s="45" t="s">
        <v>2539</v>
      </c>
      <c r="K68" s="40"/>
      <c r="L68" s="40"/>
      <c r="M68" s="40"/>
      <c r="N68" s="40"/>
    </row>
    <row r="69" spans="1:14">
      <c r="A69" s="40"/>
      <c r="B69" s="53" t="s">
        <v>2506</v>
      </c>
      <c r="C69" s="96" t="s">
        <v>2475</v>
      </c>
      <c r="D69" s="55"/>
      <c r="E69" s="96"/>
      <c r="F69" s="55" t="s">
        <v>2484</v>
      </c>
      <c r="G69" s="96" t="s">
        <v>2478</v>
      </c>
      <c r="H69" s="55" t="s">
        <v>2526</v>
      </c>
      <c r="I69" s="96" t="s">
        <v>2472</v>
      </c>
      <c r="J69" s="55" t="s">
        <v>2551</v>
      </c>
      <c r="K69" s="40"/>
      <c r="L69" s="40"/>
      <c r="M69" s="40"/>
      <c r="N69" s="40"/>
    </row>
    <row r="70" spans="1:14">
      <c r="A70" s="40"/>
      <c r="B70" s="53" t="s">
        <v>2508</v>
      </c>
      <c r="C70" s="96" t="s">
        <v>2475</v>
      </c>
      <c r="D70" s="55"/>
      <c r="E70" s="96"/>
      <c r="F70" s="55" t="s">
        <v>2484</v>
      </c>
      <c r="G70" s="96" t="s">
        <v>2478</v>
      </c>
      <c r="H70" s="55" t="s">
        <v>2529</v>
      </c>
      <c r="I70" s="96" t="s">
        <v>2472</v>
      </c>
      <c r="J70" s="55" t="s">
        <v>2539</v>
      </c>
      <c r="K70" s="40"/>
      <c r="L70" s="40"/>
      <c r="M70" s="40"/>
      <c r="N70" s="40"/>
    </row>
    <row r="71" spans="1:14">
      <c r="A71" s="40"/>
      <c r="B71" s="53" t="s">
        <v>2510</v>
      </c>
      <c r="C71" s="96" t="s">
        <v>2475</v>
      </c>
      <c r="D71" s="55"/>
      <c r="E71" s="96"/>
      <c r="F71" s="55" t="s">
        <v>2484</v>
      </c>
      <c r="G71" s="96" t="s">
        <v>2478</v>
      </c>
      <c r="H71" s="55" t="s">
        <v>2531</v>
      </c>
      <c r="I71" s="96" t="s">
        <v>2472</v>
      </c>
      <c r="J71" s="55" t="s">
        <v>2552</v>
      </c>
      <c r="K71" s="40"/>
      <c r="L71" s="40"/>
      <c r="M71" s="40"/>
      <c r="N71" s="40"/>
    </row>
    <row r="72" spans="1:14">
      <c r="A72" s="40"/>
      <c r="B72" s="97" t="s">
        <v>2571</v>
      </c>
      <c r="C72" s="96" t="s">
        <v>2475</v>
      </c>
      <c r="D72" s="97" t="s">
        <v>2572</v>
      </c>
      <c r="E72" s="96" t="s">
        <v>2478</v>
      </c>
      <c r="F72" s="46"/>
      <c r="G72" s="96"/>
      <c r="H72" s="46"/>
      <c r="I72" s="96" t="s">
        <v>2472</v>
      </c>
      <c r="J72" s="46" t="s">
        <v>2541</v>
      </c>
      <c r="K72" s="40"/>
      <c r="L72" s="40"/>
      <c r="M72" s="40"/>
      <c r="N72" s="40"/>
    </row>
    <row r="73" spans="1:14">
      <c r="A73" s="40"/>
      <c r="B73" s="17"/>
      <c r="C73" s="96"/>
      <c r="D73" s="17"/>
      <c r="E73" s="96"/>
      <c r="F73" s="17"/>
      <c r="G73" s="96"/>
      <c r="H73" s="17"/>
      <c r="I73" s="96"/>
      <c r="J73" s="17"/>
      <c r="K73" s="40"/>
      <c r="L73" s="40"/>
      <c r="M73" s="40"/>
      <c r="N73" s="40"/>
    </row>
    <row r="74" spans="1:14">
      <c r="A74" s="40"/>
      <c r="B74" s="40"/>
      <c r="C74" s="92"/>
      <c r="D74" s="40"/>
      <c r="E74" s="92"/>
      <c r="F74" s="40"/>
      <c r="G74" s="92"/>
      <c r="H74" s="40"/>
      <c r="I74" s="92"/>
      <c r="J74" s="40"/>
      <c r="K74" s="40"/>
      <c r="L74" s="40"/>
      <c r="M74" s="40"/>
      <c r="N74" s="40"/>
    </row>
    <row r="75" spans="1:14" ht="15.6">
      <c r="A75" s="40"/>
      <c r="B75" s="15" t="s">
        <v>2573</v>
      </c>
      <c r="C75" s="94"/>
      <c r="D75" s="15"/>
      <c r="E75" s="94"/>
      <c r="F75" s="15"/>
      <c r="G75" s="94"/>
      <c r="H75" s="15"/>
      <c r="I75" s="94"/>
      <c r="J75" s="15"/>
      <c r="K75" s="40"/>
      <c r="L75" s="40"/>
      <c r="M75" s="40"/>
      <c r="N75" s="40"/>
    </row>
    <row r="76" spans="1:14">
      <c r="A76" s="40"/>
      <c r="B76" s="17" t="s">
        <v>2574</v>
      </c>
      <c r="C76" s="239" t="s">
        <v>2575</v>
      </c>
      <c r="D76" s="240"/>
      <c r="E76" s="241"/>
      <c r="F76" s="239" t="s">
        <v>54</v>
      </c>
      <c r="G76" s="240"/>
      <c r="H76" s="240"/>
      <c r="I76" s="240"/>
      <c r="J76" s="241"/>
      <c r="K76" s="40"/>
      <c r="L76" s="40"/>
      <c r="M76" s="40"/>
      <c r="N76" s="40"/>
    </row>
    <row r="77" spans="1:14">
      <c r="A77" s="40"/>
      <c r="B77" s="99" t="s">
        <v>2576</v>
      </c>
      <c r="C77" s="236" t="s">
        <v>2571</v>
      </c>
      <c r="D77" s="237"/>
      <c r="E77" s="238"/>
      <c r="F77" s="236" t="s">
        <v>2577</v>
      </c>
      <c r="G77" s="237"/>
      <c r="H77" s="237"/>
      <c r="I77" s="237"/>
      <c r="J77" s="238"/>
      <c r="K77" s="40"/>
      <c r="L77" s="40"/>
      <c r="M77" s="40"/>
      <c r="N77" s="40"/>
    </row>
    <row r="78" spans="1:14">
      <c r="A78" s="40"/>
      <c r="B78" s="99" t="s">
        <v>2578</v>
      </c>
      <c r="C78" s="236" t="s">
        <v>2571</v>
      </c>
      <c r="D78" s="237"/>
      <c r="E78" s="238"/>
      <c r="F78" s="236" t="s">
        <v>2579</v>
      </c>
      <c r="G78" s="237"/>
      <c r="H78" s="237"/>
      <c r="I78" s="237"/>
      <c r="J78" s="238"/>
      <c r="K78" s="40"/>
      <c r="L78" s="40"/>
      <c r="M78" s="40"/>
      <c r="N78" s="40"/>
    </row>
    <row r="79" spans="1:14">
      <c r="A79" s="40"/>
      <c r="B79" s="101" t="s">
        <v>2546</v>
      </c>
      <c r="C79" s="224" t="e">
        <f>"permit udp any eq bootpc any eq bootps 
permit udp any any eq domain
permit tcp any host "&amp;IP_ADDRESS&amp;" eq 80
permit tcp any host "&amp;IP_ADDRESS&amp;" eq 443
permit tcp any host "&amp;IP_ADDRESS&amp;" eq 8443
deny ip any any log"</f>
        <v>#NAME?</v>
      </c>
      <c r="D79" s="225"/>
      <c r="E79" s="226"/>
      <c r="F79" s="227" t="s">
        <v>2580</v>
      </c>
      <c r="G79" s="228"/>
      <c r="H79" s="228"/>
      <c r="I79" s="228"/>
      <c r="J79" s="229"/>
      <c r="K79" s="40"/>
      <c r="L79" s="40"/>
      <c r="M79" s="40"/>
      <c r="N79" s="40"/>
    </row>
    <row r="80" spans="1:14">
      <c r="A80" s="40"/>
      <c r="B80" s="101" t="s">
        <v>2550</v>
      </c>
      <c r="C80" s="224" t="e">
        <v>#NAME?</v>
      </c>
      <c r="D80" s="225"/>
      <c r="E80" s="226"/>
      <c r="F80" s="227" t="s">
        <v>2581</v>
      </c>
      <c r="G80" s="228"/>
      <c r="H80" s="228"/>
      <c r="I80" s="228"/>
      <c r="J80" s="229"/>
      <c r="K80" s="40"/>
      <c r="L80" s="40"/>
      <c r="M80" s="40"/>
      <c r="N80" s="40"/>
    </row>
    <row r="81" spans="1:14">
      <c r="A81" s="40"/>
      <c r="B81" s="101"/>
      <c r="C81" s="224"/>
      <c r="D81" s="225"/>
      <c r="E81" s="226"/>
      <c r="F81" s="227"/>
      <c r="G81" s="228"/>
      <c r="H81" s="228"/>
      <c r="I81" s="228"/>
      <c r="J81" s="229"/>
      <c r="K81" s="40"/>
      <c r="L81" s="40"/>
      <c r="M81" s="40"/>
      <c r="N81" s="40"/>
    </row>
    <row r="82" spans="1:14">
      <c r="A82" s="40"/>
      <c r="B82" s="17"/>
      <c r="C82" s="230"/>
      <c r="D82" s="231"/>
      <c r="E82" s="232"/>
      <c r="F82" s="233"/>
      <c r="G82" s="234"/>
      <c r="H82" s="234"/>
      <c r="I82" s="234"/>
      <c r="J82" s="235"/>
      <c r="K82" s="40"/>
      <c r="L82" s="40"/>
      <c r="M82" s="40"/>
      <c r="N82" s="40"/>
    </row>
  </sheetData>
  <mergeCells count="67">
    <mergeCell ref="C24:E24"/>
    <mergeCell ref="F24:J24"/>
    <mergeCell ref="C25:E25"/>
    <mergeCell ref="F25:J25"/>
    <mergeCell ref="C26:E26"/>
    <mergeCell ref="F26:J26"/>
    <mergeCell ref="C27:E27"/>
    <mergeCell ref="F27:J27"/>
    <mergeCell ref="C28:E28"/>
    <mergeCell ref="F28:J28"/>
    <mergeCell ref="C29:E29"/>
    <mergeCell ref="F29:J29"/>
    <mergeCell ref="C30:E30"/>
    <mergeCell ref="F30:J30"/>
    <mergeCell ref="C31:E31"/>
    <mergeCell ref="F31:J31"/>
    <mergeCell ref="C32:E32"/>
    <mergeCell ref="F32:J32"/>
    <mergeCell ref="C33:E33"/>
    <mergeCell ref="F33:J33"/>
    <mergeCell ref="C36:E36"/>
    <mergeCell ref="F36:J36"/>
    <mergeCell ref="C37:E37"/>
    <mergeCell ref="F37:J37"/>
    <mergeCell ref="C38:E38"/>
    <mergeCell ref="F38:J38"/>
    <mergeCell ref="C39:E39"/>
    <mergeCell ref="F39:J39"/>
    <mergeCell ref="C40:E40"/>
    <mergeCell ref="F40:J40"/>
    <mergeCell ref="C41:E41"/>
    <mergeCell ref="F41:J41"/>
    <mergeCell ref="C42:E42"/>
    <mergeCell ref="F42:J42"/>
    <mergeCell ref="C43:E43"/>
    <mergeCell ref="F43:J43"/>
    <mergeCell ref="C44:E44"/>
    <mergeCell ref="F44:J44"/>
    <mergeCell ref="C45:E45"/>
    <mergeCell ref="F45:J45"/>
    <mergeCell ref="C46:E46"/>
    <mergeCell ref="F46:J46"/>
    <mergeCell ref="C76:E76"/>
    <mergeCell ref="F76:J76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C77:E77"/>
    <mergeCell ref="F77:J77"/>
    <mergeCell ref="C78:E78"/>
    <mergeCell ref="F78:J78"/>
    <mergeCell ref="C79:E79"/>
    <mergeCell ref="F79:J79"/>
    <mergeCell ref="C80:E80"/>
    <mergeCell ref="F80:J80"/>
    <mergeCell ref="C81:E81"/>
    <mergeCell ref="F81:J81"/>
    <mergeCell ref="C82:E82"/>
    <mergeCell ref="F82:J82"/>
  </mergeCells>
  <conditionalFormatting sqref="K18">
    <cfRule type="cellIs" dxfId="1321" priority="45" operator="equal">
      <formula>"DROP"</formula>
    </cfRule>
    <cfRule type="cellIs" dxfId="1320" priority="46" operator="equal">
      <formula>"CONTINUE"</formula>
    </cfRule>
    <cfRule type="cellIs" dxfId="1319" priority="47" operator="equal">
      <formula>"REJECT"</formula>
    </cfRule>
  </conditionalFormatting>
  <conditionalFormatting sqref="L18">
    <cfRule type="cellIs" dxfId="1318" priority="42" operator="equal">
      <formula>"DROP"</formula>
    </cfRule>
    <cfRule type="cellIs" dxfId="1317" priority="43" operator="equal">
      <formula>"CONTINUE"</formula>
    </cfRule>
    <cfRule type="cellIs" dxfId="1316" priority="44" operator="equal">
      <formula>"REJECT"</formula>
    </cfRule>
  </conditionalFormatting>
  <conditionalFormatting sqref="M18">
    <cfRule type="cellIs" dxfId="1315" priority="39" operator="equal">
      <formula>"DROP"</formula>
    </cfRule>
    <cfRule type="cellIs" dxfId="1314" priority="40" operator="equal">
      <formula>"CONTINUE"</formula>
    </cfRule>
    <cfRule type="cellIs" dxfId="1313" priority="41" operator="equal">
      <formula>"REJECT"</formula>
    </cfRule>
  </conditionalFormatting>
  <conditionalFormatting sqref="K19">
    <cfRule type="cellIs" dxfId="1312" priority="36" operator="equal">
      <formula>"DROP"</formula>
    </cfRule>
    <cfRule type="cellIs" dxfId="1311" priority="37" operator="equal">
      <formula>"CONTINUE"</formula>
    </cfRule>
    <cfRule type="cellIs" dxfId="1310" priority="38" operator="equal">
      <formula>"REJECT"</formula>
    </cfRule>
  </conditionalFormatting>
  <conditionalFormatting sqref="L19">
    <cfRule type="cellIs" dxfId="1309" priority="33" operator="equal">
      <formula>"DROP"</formula>
    </cfRule>
    <cfRule type="cellIs" dxfId="1308" priority="34" operator="equal">
      <formula>"CONTINUE"</formula>
    </cfRule>
    <cfRule type="cellIs" dxfId="1307" priority="35" operator="equal">
      <formula>"REJECT"</formula>
    </cfRule>
  </conditionalFormatting>
  <conditionalFormatting sqref="M19">
    <cfRule type="cellIs" dxfId="1306" priority="30" operator="equal">
      <formula>"DROP"</formula>
    </cfRule>
    <cfRule type="cellIs" dxfId="1305" priority="31" operator="equal">
      <formula>"CONTINUE"</formula>
    </cfRule>
    <cfRule type="cellIs" dxfId="1304" priority="32" operator="equal">
      <formula>"REJECT"</formula>
    </cfRule>
  </conditionalFormatting>
  <conditionalFormatting sqref="K20">
    <cfRule type="cellIs" dxfId="1303" priority="27" operator="equal">
      <formula>"DROP"</formula>
    </cfRule>
    <cfRule type="cellIs" dxfId="1302" priority="28" operator="equal">
      <formula>"CONTINUE"</formula>
    </cfRule>
    <cfRule type="cellIs" dxfId="1301" priority="29" operator="equal">
      <formula>"REJECT"</formula>
    </cfRule>
  </conditionalFormatting>
  <conditionalFormatting sqref="L20">
    <cfRule type="cellIs" dxfId="1300" priority="24" operator="equal">
      <formula>"DROP"</formula>
    </cfRule>
    <cfRule type="cellIs" dxfId="1299" priority="25" operator="equal">
      <formula>"CONTINUE"</formula>
    </cfRule>
    <cfRule type="cellIs" dxfId="1298" priority="26" operator="equal">
      <formula>"REJECT"</formula>
    </cfRule>
  </conditionalFormatting>
  <conditionalFormatting sqref="M20">
    <cfRule type="cellIs" dxfId="1297" priority="21" operator="equal">
      <formula>"DROP"</formula>
    </cfRule>
    <cfRule type="cellIs" dxfId="1296" priority="22" operator="equal">
      <formula>"CONTINUE"</formula>
    </cfRule>
    <cfRule type="cellIs" dxfId="1295" priority="23" operator="equal">
      <formula>"REJECT"</formula>
    </cfRule>
  </conditionalFormatting>
  <conditionalFormatting sqref="D50">
    <cfRule type="cellIs" dxfId="1294" priority="19" operator="equal">
      <formula>"ACCESS_ACCEPT"</formula>
    </cfRule>
    <cfRule type="cellIs" dxfId="1293" priority="20" operator="equal">
      <formula>"ACCESS_REJECT"</formula>
    </cfRule>
  </conditionalFormatting>
  <conditionalFormatting sqref="D51 D53">
    <cfRule type="cellIs" dxfId="1292" priority="17" operator="equal">
      <formula>"ACCESS_ACCEPT"</formula>
    </cfRule>
    <cfRule type="cellIs" dxfId="1291" priority="18" operator="equal">
      <formula>"ACCESS_REJECT"</formula>
    </cfRule>
  </conditionalFormatting>
  <conditionalFormatting sqref="D52">
    <cfRule type="cellIs" dxfId="1290" priority="15" operator="equal">
      <formula>"ACCESS_ACCEPT"</formula>
    </cfRule>
    <cfRule type="cellIs" dxfId="1289" priority="16" operator="equal">
      <formula>"ACCESS_REJECT"</formula>
    </cfRule>
  </conditionalFormatting>
  <conditionalFormatting sqref="D54:D55 D57">
    <cfRule type="cellIs" dxfId="1288" priority="13" operator="equal">
      <formula>"ACCESS_ACCEPT"</formula>
    </cfRule>
    <cfRule type="cellIs" dxfId="1287" priority="14" operator="equal">
      <formula>"ACCESS_REJECT"</formula>
    </cfRule>
  </conditionalFormatting>
  <conditionalFormatting sqref="B1:B2 B9:B31 B33:B43 B45:B55 B57:B68 B72:B82">
    <cfRule type="expression" dxfId="1286" priority="12">
      <formula>A1="!"</formula>
    </cfRule>
  </conditionalFormatting>
  <conditionalFormatting sqref="B8">
    <cfRule type="expression" dxfId="1285" priority="11">
      <formula>A8="!"</formula>
    </cfRule>
  </conditionalFormatting>
  <conditionalFormatting sqref="B3:B6">
    <cfRule type="expression" dxfId="1284" priority="10">
      <formula>A3="!"</formula>
    </cfRule>
  </conditionalFormatting>
  <conditionalFormatting sqref="B7">
    <cfRule type="expression" dxfId="1283" priority="9">
      <formula>A7="!"</formula>
    </cfRule>
  </conditionalFormatting>
  <conditionalFormatting sqref="B32">
    <cfRule type="expression" dxfId="1282" priority="8">
      <formula>A32="!"</formula>
    </cfRule>
  </conditionalFormatting>
  <conditionalFormatting sqref="B44">
    <cfRule type="expression" dxfId="1281" priority="7">
      <formula>A44="!"</formula>
    </cfRule>
  </conditionalFormatting>
  <conditionalFormatting sqref="D56">
    <cfRule type="cellIs" dxfId="1280" priority="5" operator="equal">
      <formula>"ACCESS_ACCEPT"</formula>
    </cfRule>
    <cfRule type="cellIs" dxfId="1279" priority="6" operator="equal">
      <formula>"ACCESS_REJECT"</formula>
    </cfRule>
  </conditionalFormatting>
  <conditionalFormatting sqref="B56">
    <cfRule type="expression" dxfId="1278" priority="4">
      <formula>A56="!"</formula>
    </cfRule>
  </conditionalFormatting>
  <conditionalFormatting sqref="B69">
    <cfRule type="expression" dxfId="1277" priority="3">
      <formula>A69="!"</formula>
    </cfRule>
  </conditionalFormatting>
  <conditionalFormatting sqref="B70">
    <cfRule type="expression" dxfId="1276" priority="2">
      <formula>A70="!"</formula>
    </cfRule>
  </conditionalFormatting>
  <conditionalFormatting sqref="B71">
    <cfRule type="expression" dxfId="1275" priority="1">
      <formula>A71="!"</formula>
    </cfRule>
  </conditionalFormatting>
  <dataValidations count="11">
    <dataValidation type="list" allowBlank="1" showInputMessage="1" sqref="K50:K57" xr:uid="{101E23DD-956D-4AD2-8775-FDAF22DE0B89}">
      <formula1>"WEBAUTH-REDIRECT-ACL"</formula1>
    </dataValidation>
    <dataValidation type="list" allowBlank="1" showInputMessage="1" sqref="D50:D57" xr:uid="{034F7688-58C6-4E16-A045-552EBB0EE80E}">
      <formula1>"ACCESS_ACCEPT,ACCESS_REJECT"</formula1>
    </dataValidation>
    <dataValidation type="list" allowBlank="1" showInputMessage="1" promptTitle="CWA,DRW,MDM,NSP,CPP" sqref="J50:J57" xr:uid="{C8A14ED5-8FF4-495B-BF36-1F06A39838E6}">
      <formula1>"CWA,DRW,MDM,NSP,CPP"</formula1>
    </dataValidation>
    <dataValidation type="list" allowBlank="1" showInputMessage="1" promptTitle="CWA,DRW,MDM,NSP,CPP" sqref="F50:F55" xr:uid="{B38BAC08-9A21-4A09-9859-1C1AD1C36861}">
      <formula1>DACL_LIST</formula1>
    </dataValidation>
    <dataValidation type="list" allowBlank="1" showInputMessage="1" sqref="J18:J20" xr:uid="{63F44D3D-0A23-442E-923D-3CC3C834BA65}">
      <formula1>IDENTITY_SOURCE_LIST</formula1>
    </dataValidation>
    <dataValidation type="list" allowBlank="1" showInputMessage="1" sqref="D18:D19 F18:F19" xr:uid="{5B9B9EEB-ED43-47CE-929B-A83364FAF3EE}">
      <formula1>"Wired_MAB,Wireless_MAB,Wired_802.1X,Wireless_802.1X"</formula1>
    </dataValidation>
    <dataValidation type="list" allowBlank="1" showInputMessage="1" sqref="K18:M20" xr:uid="{F6626A51-DAD0-497C-A95D-07EBD2ED5BEA}">
      <formula1>"REJECT, CONTINUE, DROP"</formula1>
    </dataValidation>
    <dataValidation type="list" allowBlank="1" sqref="J62:J72" xr:uid="{33F26620-E408-4567-91D2-65B258F9057B}">
      <formula1>AUTH_PROFILE_LIST</formula1>
    </dataValidation>
    <dataValidation type="list" allowBlank="1" showInputMessage="1" sqref="G62:G72" xr:uid="{F8DB5D5C-AEEE-48B9-A87C-A78FC6598E55}">
      <formula1>"AND,OR"</formula1>
    </dataValidation>
    <dataValidation type="list" allowBlank="1" sqref="F62:F71 H62:H71" xr:uid="{EAC4E87F-7E7D-4B85-893F-CA3C65724881}">
      <formula1>AUTHZ_CONDITION_LIST</formula1>
    </dataValidation>
    <dataValidation type="list" allowBlank="1" sqref="D62:D71" xr:uid="{A14E03A7-FE82-43D0-9523-B8F6802924F7}">
      <formula1>IDENTITY_GROUP_LIST</formula1>
    </dataValidation>
  </dataValidation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7786B-C824-48A8-958D-055798E7A05D}">
  <sheetPr codeName="Sheet8">
    <tabColor theme="3" tint="-0.249977111117893"/>
  </sheetPr>
  <dimension ref="A1:K73"/>
  <sheetViews>
    <sheetView workbookViewId="0">
      <selection activeCell="C18" sqref="C18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21875" style="111" hidden="1" customWidth="1"/>
    <col min="11" max="16384" width="9" style="111"/>
  </cols>
  <sheetData>
    <row r="1" spans="1:11" ht="24" customHeight="1">
      <c r="A1" s="108" t="s">
        <v>902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C9500-32QC</v>
      </c>
    </row>
    <row r="2" spans="1:11" ht="13.2">
      <c r="B2" s="112"/>
      <c r="C2" s="112"/>
      <c r="D2" s="112"/>
      <c r="E2" s="112"/>
      <c r="F2" s="112"/>
      <c r="G2" s="112"/>
    </row>
    <row r="3" spans="1:11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</v>
      </c>
    </row>
    <row r="4" spans="1:11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FGHLHN01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1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Core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1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1">
      <c r="B7" s="116" t="s">
        <v>1819</v>
      </c>
      <c r="C7" s="117">
        <f>VLOOKUP($H$1,MODEL_TABLE[#Data],MATCH("Ports",MODEL_TABLE[#Headers],0),FALSE)</f>
        <v>32</v>
      </c>
      <c r="D7" s="118" t="str">
        <f>VLOOKUP($H$1,MODEL_TABLE[#Data],MATCH("Port Type",MODEL_TABLE[#Headers],0),FALSE)</f>
        <v>fo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CAT2326L1K9</v>
      </c>
    </row>
    <row r="8" spans="1:11">
      <c r="B8" s="116" t="s">
        <v>2656</v>
      </c>
      <c r="C8" s="117">
        <f>VLOOKUP($H$1,MODEL_TABLE[#Data],MATCH("Uplinks",MODEL_TABLE[#Headers],0),FALSE)</f>
        <v>16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10.224.21.254</v>
      </c>
    </row>
    <row r="9" spans="1:11">
      <c r="G9" s="111"/>
    </row>
    <row r="10" spans="1:11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1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n/a</v>
      </c>
      <c r="H11" s="118" cm="1">
        <f t="array" ref="H11">IF(G11="","",INDEX(SWITCH_TABLE[#Data],$H$3,MATCH("Uplink 1 SFP",SWITCH_TABLE[#Headers],0)))</f>
        <v>0</v>
      </c>
    </row>
    <row r="12" spans="1:11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1">
      <c r="B13" s="116" t="s">
        <v>1837</v>
      </c>
      <c r="C13" s="117" t="str">
        <f>INDEX(SWITCH_TABLE[#Data],$H$3,MATCH(B13,SWITCH_TABLE[#Headers],0))</f>
        <v>FGHLHN01-2</v>
      </c>
      <c r="D13" s="117" t="str">
        <f>INDEX(SWITCH_TABLE[#Data],$H$3,MATCH("Next Port",SWITCH_TABLE[#Headers],0))</f>
        <v>hu2/0/48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n/a</v>
      </c>
      <c r="H13" s="118" cm="1">
        <f t="array" ref="H13">IF(G13="","",INDEX(SWITCH_TABLE[#Data],$H$3,MATCH("Uplink 2 SFP",SWITCH_TABLE[#Headers],0)))</f>
        <v>0</v>
      </c>
    </row>
    <row r="14" spans="1:11">
      <c r="B14" s="116" t="s">
        <v>1842</v>
      </c>
      <c r="C14" s="117" t="str">
        <f>INDEX(SWITCH_TABLE[#Data],$H$3,MATCH(B14,SWITCH_TABLE[#Headers],0))</f>
        <v>FGHLHN01-2</v>
      </c>
      <c r="D14" s="117" t="str">
        <f>INDEX(SWITCH_TABLE[#Data],$H$3,MATCH("Prev Port",SWITCH_TABLE[#Headers],0))</f>
        <v>hu2/0/47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1">
      <c r="H15" s="114"/>
      <c r="I15" s="111" t="str">
        <f t="array" ref="I15">_xlfn.IFNA(MATCH(1,(#REF!=SWITCH_TABLE[Remote Device 1])*(#REF!=SWITCH_TABLE[Remote Port 1]),0),"")</f>
        <v/>
      </c>
      <c r="K15" s="111" t="str">
        <f t="array" ref="K15">_xlfn.IFNA(MATCH(1,(#REF!=SWITCH_TABLE[Remote Device 1])*(#REF!=SWITCH_TABLE[Remote Port 1]),0),"")</f>
        <v/>
      </c>
    </row>
    <row r="16" spans="1:11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1">
      <c r="A17" s="121">
        <f>ROW(A17)-ROW($A$16)+$A$16</f>
        <v>1</v>
      </c>
      <c r="B17" s="116" t="str">
        <f t="shared" ref="B17:B48" si="0">IF(A17&lt;=$C$7,$D$7&amp;$C$11&amp;"/0/"&amp;A17,"")</f>
        <v>fo1/0/1</v>
      </c>
      <c r="C17" s="122" t="str">
        <f>IF(INDEX($C$52:$C$67,INT(($A17+1)/2),1)&lt;&gt;"disabled","reserved","disabled")</f>
        <v>disabled</v>
      </c>
      <c r="D17" s="122" t="str">
        <f t="shared" ref="D17:D48" si="1">IF(J17&lt;&gt;"","TRUNK","")</f>
        <v/>
      </c>
      <c r="E17" s="123" t="str" cm="1">
        <f t="array" ref="E17">IF($J17&lt;&gt;"",INDEX(SWITCH_TABLE[#Data],$J17,MATCH("Remote EC",SWITCH_TABLE[#Headers],0)),"")</f>
        <v/>
      </c>
      <c r="F17" s="124" t="str" cm="1">
        <f t="array" ref="F17">_xlfn.IFS($B17="","",$B17=$G$11,"Uplink Port 1",$B17=$G$13,"Uplink Port 2",$B17=$B$71,"Stack Port 1",$B17=$B$72,"Stack Port 2",1=1,"")</f>
        <v/>
      </c>
      <c r="G17" s="122" t="str" cm="1">
        <f t="array" ref="G17">IF($J17&lt;&gt;"",INDEX(SWITCH_TABLE[#Data],$J17,MATCH("Uplink 2 SFP",SWITCH_TABLE[#Headers],0)),"")</f>
        <v/>
      </c>
      <c r="H17" s="125" t="str">
        <f>IF($J17&lt;&gt;"",INDEX(SWITCH_TABLE[#Data],$J17,MATCH("Device Name",SWITCH_TABLE[#Headers],0)) &amp; " " &amp; INDEX(SWITCH_TABLE[#Data],$J17,MATCH("Uplink Port 2",SWITCH_TABLE[#Headers],0)),"")</f>
        <v/>
      </c>
      <c r="I17" s="40"/>
      <c r="J17" s="118" t="str">
        <f t="array" ref="J17">_xlfn.IFNA(MATCH(1,(SHEET_NAME=SWITCH_TABLE[Remote Device 1])*(B17=SWITCH_TABLE[Remote Port 1]),0),"")</f>
        <v/>
      </c>
      <c r="K17" s="40"/>
    </row>
    <row r="18" spans="1:11">
      <c r="A18" s="121">
        <f t="shared" ref="A18:A48" si="2">ROW(A18)-ROW($A$16)+$A$16</f>
        <v>2</v>
      </c>
      <c r="B18" s="116" t="str">
        <f t="shared" si="0"/>
        <v>fo1/0/2</v>
      </c>
      <c r="C18" s="122" t="str">
        <f t="shared" ref="C18:C48" si="3">IF(INDEX($C$52:$C$67,INT(($A18+1)/2),1)&lt;&gt;"disabled","reserved","disabled")</f>
        <v>disabled</v>
      </c>
      <c r="D18" s="122" t="str">
        <f t="shared" si="1"/>
        <v/>
      </c>
      <c r="E18" s="123" t="str" cm="1">
        <f t="array" ref="E18">IF($J18&lt;&gt;"",INDEX(SWITCH_TABLE[#Data],$J18,MATCH("Remote EC",SWITCH_TABLE[#Headers],0)),"")</f>
        <v/>
      </c>
      <c r="F18" s="124" t="str" cm="1">
        <f t="array" ref="F18">_xlfn.IFS($B18="","",$B18=$G$11,"Uplink Port 1",$B18=$G$13,"Uplink Port 2",$B18=$B$71,"Stack Port 1",$B18=$B$72,"Stack Port 2",1=1,"")</f>
        <v/>
      </c>
      <c r="G18" s="122" t="str" cm="1">
        <f t="array" ref="G18">IF($J18&lt;&gt;"",INDEX(SWITCH_TABLE[#Data],$J18,MATCH("Uplink 2 SFP",SWITCH_TABLE[#Headers],0)),"")</f>
        <v/>
      </c>
      <c r="H18" s="125" t="str">
        <f>IF($J18&lt;&gt;"",INDEX(SWITCH_TABLE[#Data],$J18,MATCH("Device Name",SWITCH_TABLE[#Headers],0)) &amp; " " &amp; INDEX(SWITCH_TABLE[#Data],$J18,MATCH("Uplink Port 2",SWITCH_TABLE[#Headers],0)),"")</f>
        <v/>
      </c>
      <c r="I18" s="40"/>
      <c r="J18" s="118" t="str">
        <f t="array" ref="J18">_xlfn.IFNA(MATCH(1,(SHEET_NAME=SWITCH_TABLE[Remote Device 1])*(B18=SWITCH_TABLE[Remote Port 1]),0),"")</f>
        <v/>
      </c>
      <c r="K18" s="40"/>
    </row>
    <row r="19" spans="1:11">
      <c r="A19" s="121">
        <f t="shared" si="2"/>
        <v>3</v>
      </c>
      <c r="B19" s="116" t="str">
        <f t="shared" si="0"/>
        <v>fo1/0/3</v>
      </c>
      <c r="C19" s="122" t="str">
        <f t="shared" si="3"/>
        <v>disabled</v>
      </c>
      <c r="D19" s="122" t="str">
        <f t="shared" si="1"/>
        <v/>
      </c>
      <c r="E19" s="123" t="str" cm="1">
        <f t="array" ref="E19">IF($J19&lt;&gt;"",INDEX(SWITCH_TABLE[#Data],$J19,MATCH("Remote EC",SWITCH_TABLE[#Headers],0)),"")</f>
        <v/>
      </c>
      <c r="F19" s="124" t="str" cm="1">
        <f t="array" ref="F19">_xlfn.IFS($B19="","",$B19=$G$11,"Uplink Port 1",$B19=$G$13,"Uplink Port 2",$B19=$B$71,"Stack Port 1",$B19=$B$72,"Stack Port 2",1=1,"")</f>
        <v/>
      </c>
      <c r="G19" s="122" t="str" cm="1">
        <f t="array" ref="G19">IF($J19&lt;&gt;"",INDEX(SWITCH_TABLE[#Data],$J19,MATCH("Uplink 2 SFP",SWITCH_TABLE[#Headers],0)),"")</f>
        <v/>
      </c>
      <c r="H19" s="125" t="str">
        <f>IF($J19&lt;&gt;"",INDEX(SWITCH_TABLE[#Data],$J19,MATCH("Device Name",SWITCH_TABLE[#Headers],0)) &amp; " " &amp; INDEX(SWITCH_TABLE[#Data],$J19,MATCH("Uplink Port 2",SWITCH_TABLE[#Headers],0)),"")</f>
        <v/>
      </c>
      <c r="I19" s="40"/>
      <c r="J19" s="118" t="str">
        <f t="array" ref="J19">_xlfn.IFNA(MATCH(1,(SHEET_NAME=SWITCH_TABLE[Remote Device 1])*(B19=SWITCH_TABLE[Remote Port 1]),0),"")</f>
        <v/>
      </c>
      <c r="K19" s="40"/>
    </row>
    <row r="20" spans="1:11">
      <c r="A20" s="121">
        <f t="shared" si="2"/>
        <v>4</v>
      </c>
      <c r="B20" s="116" t="str">
        <f t="shared" si="0"/>
        <v>fo1/0/4</v>
      </c>
      <c r="C20" s="122" t="str">
        <f t="shared" si="3"/>
        <v>disabled</v>
      </c>
      <c r="D20" s="122" t="str">
        <f t="shared" si="1"/>
        <v/>
      </c>
      <c r="E20" s="123" t="str" cm="1">
        <f t="array" ref="E20">IF($J20&lt;&gt;"",INDEX(SWITCH_TABLE[#Data],$J20,MATCH("Remote EC",SWITCH_TABLE[#Headers],0)),"")</f>
        <v/>
      </c>
      <c r="F20" s="124" t="str" cm="1">
        <f t="array" ref="F20">_xlfn.IFS($B20="","",$B20=$G$11,"Uplink Port 1",$B20=$G$13,"Uplink Port 2",$B20=$B$71,"Stack Port 1",$B20=$B$72,"Stack Port 2",1=1,"")</f>
        <v/>
      </c>
      <c r="G20" s="122" t="str" cm="1">
        <f t="array" ref="G20">IF($J20&lt;&gt;"",INDEX(SWITCH_TABLE[#Data],$J20,MATCH("Uplink 2 SFP",SWITCH_TABLE[#Headers],0)),"")</f>
        <v/>
      </c>
      <c r="H20" s="125" t="str">
        <f>IF($J20&lt;&gt;"",INDEX(SWITCH_TABLE[#Data],$J20,MATCH("Device Name",SWITCH_TABLE[#Headers],0)) &amp; " " &amp; INDEX(SWITCH_TABLE[#Data],$J20,MATCH("Uplink Port 2",SWITCH_TABLE[#Headers],0)),"")</f>
        <v/>
      </c>
      <c r="I20" s="40"/>
      <c r="J20" s="118" t="str">
        <f t="array" ref="J20">_xlfn.IFNA(MATCH(1,(SHEET_NAME=SWITCH_TABLE[Remote Device 1])*(B20=SWITCH_TABLE[Remote Port 1]),0),"")</f>
        <v/>
      </c>
      <c r="K20" s="40"/>
    </row>
    <row r="21" spans="1:11">
      <c r="A21" s="121">
        <f t="shared" si="2"/>
        <v>5</v>
      </c>
      <c r="B21" s="116" t="str">
        <f t="shared" si="0"/>
        <v>fo1/0/5</v>
      </c>
      <c r="C21" s="122" t="str">
        <f t="shared" si="3"/>
        <v>disabled</v>
      </c>
      <c r="D21" s="122" t="str">
        <f t="shared" si="1"/>
        <v/>
      </c>
      <c r="E21" s="123" t="str" cm="1">
        <f t="array" ref="E21">IF($J21&lt;&gt;"",INDEX(SWITCH_TABLE[#Data],$J21,MATCH("Remote EC",SWITCH_TABLE[#Headers],0)),"")</f>
        <v/>
      </c>
      <c r="F21" s="124" t="str" cm="1">
        <f t="array" ref="F21">_xlfn.IFS($B21="","",$B21=$G$11,"Uplink Port 1",$B21=$G$13,"Uplink Port 2",$B21=$B$71,"Stack Port 1",$B21=$B$72,"Stack Port 2",1=1,"")</f>
        <v/>
      </c>
      <c r="G21" s="122" t="str" cm="1">
        <f t="array" ref="G21">IF($J21&lt;&gt;"",INDEX(SWITCH_TABLE[#Data],$J21,MATCH("Uplink 2 SFP",SWITCH_TABLE[#Headers],0)),"")</f>
        <v/>
      </c>
      <c r="H21" s="125" t="str">
        <f>IF($J21&lt;&gt;"",INDEX(SWITCH_TABLE[#Data],$J21,MATCH("Device Name",SWITCH_TABLE[#Headers],0)) &amp; " " &amp; INDEX(SWITCH_TABLE[#Data],$J21,MATCH("Uplink Port 2",SWITCH_TABLE[#Headers],0)),"")</f>
        <v/>
      </c>
      <c r="I21" s="40"/>
      <c r="J21" s="118" t="str">
        <f t="array" ref="J21">_xlfn.IFNA(MATCH(1,(SHEET_NAME=SWITCH_TABLE[Remote Device 1])*(B21=SWITCH_TABLE[Remote Port 1]),0),"")</f>
        <v/>
      </c>
      <c r="K21" s="40"/>
    </row>
    <row r="22" spans="1:11">
      <c r="A22" s="121">
        <f t="shared" si="2"/>
        <v>6</v>
      </c>
      <c r="B22" s="116" t="str">
        <f t="shared" si="0"/>
        <v>fo1/0/6</v>
      </c>
      <c r="C22" s="122" t="str">
        <f t="shared" si="3"/>
        <v>disabled</v>
      </c>
      <c r="D22" s="122" t="str">
        <f t="shared" si="1"/>
        <v/>
      </c>
      <c r="E22" s="123" t="str" cm="1">
        <f t="array" ref="E22">IF($J22&lt;&gt;"",INDEX(SWITCH_TABLE[#Data],$J22,MATCH("Remote EC",SWITCH_TABLE[#Headers],0)),"")</f>
        <v/>
      </c>
      <c r="F22" s="124" t="str" cm="1">
        <f t="array" ref="F22">_xlfn.IFS($B22="","",$B22=$G$11,"Uplink Port 1",$B22=$G$13,"Uplink Port 2",$B22=$B$71,"Stack Port 1",$B22=$B$72,"Stack Port 2",1=1,"")</f>
        <v/>
      </c>
      <c r="G22" s="122" t="str" cm="1">
        <f t="array" ref="G22">IF($J22&lt;&gt;"",INDEX(SWITCH_TABLE[#Data],$J22,MATCH("Uplink 2 SFP",SWITCH_TABLE[#Headers],0)),"")</f>
        <v/>
      </c>
      <c r="H22" s="125" t="str">
        <f>IF($J22&lt;&gt;"",INDEX(SWITCH_TABLE[#Data],$J22,MATCH("Device Name",SWITCH_TABLE[#Headers],0)) &amp; " " &amp; INDEX(SWITCH_TABLE[#Data],$J22,MATCH("Uplink Port 2",SWITCH_TABLE[#Headers],0)),"")</f>
        <v/>
      </c>
      <c r="I22" s="40"/>
      <c r="J22" s="118" t="str">
        <f t="array" ref="J22">_xlfn.IFNA(MATCH(1,(SHEET_NAME=SWITCH_TABLE[Remote Device 1])*(B22=SWITCH_TABLE[Remote Port 1]),0),"")</f>
        <v/>
      </c>
      <c r="K22" s="40"/>
    </row>
    <row r="23" spans="1:11">
      <c r="A23" s="121">
        <f t="shared" si="2"/>
        <v>7</v>
      </c>
      <c r="B23" s="116" t="str">
        <f t="shared" si="0"/>
        <v>fo1/0/7</v>
      </c>
      <c r="C23" s="122" t="str">
        <f t="shared" si="3"/>
        <v>disabled</v>
      </c>
      <c r="D23" s="122" t="str">
        <f t="shared" si="1"/>
        <v/>
      </c>
      <c r="E23" s="123" t="str" cm="1">
        <f t="array" ref="E23">IF($J23&lt;&gt;"",INDEX(SWITCH_TABLE[#Data],$J23,MATCH("Remote EC",SWITCH_TABLE[#Headers],0)),"")</f>
        <v/>
      </c>
      <c r="F23" s="124" t="str" cm="1">
        <f t="array" ref="F23">_xlfn.IFS($B23="","",$B23=$G$11,"Uplink Port 1",$B23=$G$13,"Uplink Port 2",$B23=$B$71,"Stack Port 1",$B23=$B$72,"Stack Port 2",1=1,"")</f>
        <v/>
      </c>
      <c r="G23" s="122" t="str" cm="1">
        <f t="array" ref="G23">IF($J23&lt;&gt;"",INDEX(SWITCH_TABLE[#Data],$J23,MATCH("Uplink 2 SFP",SWITCH_TABLE[#Headers],0)),"")</f>
        <v/>
      </c>
      <c r="H23" s="125" t="str">
        <f>IF($J23&lt;&gt;"",INDEX(SWITCH_TABLE[#Data],$J23,MATCH("Device Name",SWITCH_TABLE[#Headers],0)) &amp; " " &amp; INDEX(SWITCH_TABLE[#Data],$J23,MATCH("Uplink Port 2",SWITCH_TABLE[#Headers],0)),"")</f>
        <v/>
      </c>
      <c r="I23" s="40"/>
      <c r="J23" s="118" t="str">
        <f t="array" ref="J23">_xlfn.IFNA(MATCH(1,(SHEET_NAME=SWITCH_TABLE[Remote Device 1])*(B23=SWITCH_TABLE[Remote Port 1]),0),"")</f>
        <v/>
      </c>
      <c r="K23" s="40"/>
    </row>
    <row r="24" spans="1:11">
      <c r="A24" s="121">
        <f t="shared" si="2"/>
        <v>8</v>
      </c>
      <c r="B24" s="116" t="str">
        <f t="shared" si="0"/>
        <v>fo1/0/8</v>
      </c>
      <c r="C24" s="122" t="str">
        <f t="shared" si="3"/>
        <v>disabled</v>
      </c>
      <c r="D24" s="122" t="str">
        <f t="shared" si="1"/>
        <v/>
      </c>
      <c r="E24" s="123" t="str" cm="1">
        <f t="array" ref="E24">IF($J24&lt;&gt;"",INDEX(SWITCH_TABLE[#Data],$J24,MATCH("Remote EC",SWITCH_TABLE[#Headers],0)),"")</f>
        <v/>
      </c>
      <c r="F24" s="124" t="str" cm="1">
        <f t="array" ref="F24">_xlfn.IFS($B24="","",$B24=$G$11,"Uplink Port 1",$B24=$G$13,"Uplink Port 2",$B24=$B$71,"Stack Port 1",$B24=$B$72,"Stack Port 2",1=1,"")</f>
        <v/>
      </c>
      <c r="G24" s="122" t="str" cm="1">
        <f t="array" ref="G24">IF($J24&lt;&gt;"",INDEX(SWITCH_TABLE[#Data],$J24,MATCH("Uplink 2 SFP",SWITCH_TABLE[#Headers],0)),"")</f>
        <v/>
      </c>
      <c r="H24" s="125" t="str">
        <f>IF($J24&lt;&gt;"",INDEX(SWITCH_TABLE[#Data],$J24,MATCH("Device Name",SWITCH_TABLE[#Headers],0)) &amp; " " &amp; INDEX(SWITCH_TABLE[#Data],$J24,MATCH("Uplink Port 2",SWITCH_TABLE[#Headers],0)),"")</f>
        <v/>
      </c>
      <c r="I24" s="40"/>
      <c r="J24" s="118" t="str">
        <f t="array" ref="J24">_xlfn.IFNA(MATCH(1,(SHEET_NAME=SWITCH_TABLE[Remote Device 1])*(B24=SWITCH_TABLE[Remote Port 1]),0),"")</f>
        <v/>
      </c>
      <c r="K24" s="40"/>
    </row>
    <row r="25" spans="1:11">
      <c r="A25" s="121">
        <f t="shared" si="2"/>
        <v>9</v>
      </c>
      <c r="B25" s="116" t="str">
        <f t="shared" si="0"/>
        <v>fo1/0/9</v>
      </c>
      <c r="C25" s="122" t="str">
        <f t="shared" si="3"/>
        <v>disabled</v>
      </c>
      <c r="D25" s="122" t="str">
        <f t="shared" si="1"/>
        <v/>
      </c>
      <c r="E25" s="123" t="str" cm="1">
        <f t="array" ref="E25">IF($J25&lt;&gt;"",INDEX(SWITCH_TABLE[#Data],$J25,MATCH("Remote EC",SWITCH_TABLE[#Headers],0)),"")</f>
        <v/>
      </c>
      <c r="F25" s="124" t="str" cm="1">
        <f t="array" ref="F25">_xlfn.IFS($B25="","",$B25=$G$11,"Uplink Port 1",$B25=$G$13,"Uplink Port 2",$B25=$B$71,"Stack Port 1",$B25=$B$72,"Stack Port 2",1=1,"")</f>
        <v/>
      </c>
      <c r="G25" s="122" t="str" cm="1">
        <f t="array" ref="G25">IF($J25&lt;&gt;"",INDEX(SWITCH_TABLE[#Data],$J25,MATCH("Uplink 2 SFP",SWITCH_TABLE[#Headers],0)),"")</f>
        <v/>
      </c>
      <c r="H25" s="125" t="str">
        <f>IF($J25&lt;&gt;"",INDEX(SWITCH_TABLE[#Data],$J25,MATCH("Device Name",SWITCH_TABLE[#Headers],0)) &amp; " " &amp; INDEX(SWITCH_TABLE[#Data],$J25,MATCH("Uplink Port 2",SWITCH_TABLE[#Headers],0)),"")</f>
        <v/>
      </c>
      <c r="I25" s="40"/>
      <c r="J25" s="118" t="str">
        <f t="array" ref="J25">_xlfn.IFNA(MATCH(1,(SHEET_NAME=SWITCH_TABLE[Remote Device 1])*(B25=SWITCH_TABLE[Remote Port 1]),0),"")</f>
        <v/>
      </c>
      <c r="K25" s="40"/>
    </row>
    <row r="26" spans="1:11">
      <c r="A26" s="121">
        <f t="shared" si="2"/>
        <v>10</v>
      </c>
      <c r="B26" s="116" t="str">
        <f t="shared" si="0"/>
        <v>fo1/0/10</v>
      </c>
      <c r="C26" s="122" t="str">
        <f t="shared" si="3"/>
        <v>disabled</v>
      </c>
      <c r="D26" s="122" t="str">
        <f t="shared" si="1"/>
        <v/>
      </c>
      <c r="E26" s="123" t="str" cm="1">
        <f t="array" ref="E26">IF($J26&lt;&gt;"",INDEX(SWITCH_TABLE[#Data],$J26,MATCH("Remote EC",SWITCH_TABLE[#Headers],0)),"")</f>
        <v/>
      </c>
      <c r="F26" s="124" t="str" cm="1">
        <f t="array" ref="F26">_xlfn.IFS($B26="","",$B26=$G$11,"Uplink Port 1",$B26=$G$13,"Uplink Port 2",$B26=$B$71,"Stack Port 1",$B26=$B$72,"Stack Port 2",1=1,"")</f>
        <v/>
      </c>
      <c r="G26" s="122" t="str" cm="1">
        <f t="array" ref="G26">IF($J26&lt;&gt;"",INDEX(SWITCH_TABLE[#Data],$J26,MATCH("Uplink 2 SFP",SWITCH_TABLE[#Headers],0)),"")</f>
        <v/>
      </c>
      <c r="H26" s="125" t="str">
        <f>IF($J26&lt;&gt;"",INDEX(SWITCH_TABLE[#Data],$J26,MATCH("Device Name",SWITCH_TABLE[#Headers],0)) &amp; " " &amp; INDEX(SWITCH_TABLE[#Data],$J26,MATCH("Uplink Port 2",SWITCH_TABLE[#Headers],0)),"")</f>
        <v/>
      </c>
      <c r="I26" s="40"/>
      <c r="J26" s="118" t="str">
        <f t="array" ref="J26">_xlfn.IFNA(MATCH(1,(SHEET_NAME=SWITCH_TABLE[Remote Device 1])*(B26=SWITCH_TABLE[Remote Port 1]),0),"")</f>
        <v/>
      </c>
      <c r="K26" s="40"/>
    </row>
    <row r="27" spans="1:11">
      <c r="A27" s="121">
        <f t="shared" si="2"/>
        <v>11</v>
      </c>
      <c r="B27" s="116" t="str">
        <f t="shared" si="0"/>
        <v>fo1/0/11</v>
      </c>
      <c r="C27" s="122" t="str">
        <f t="shared" si="3"/>
        <v>disabled</v>
      </c>
      <c r="D27" s="122" t="str">
        <f t="shared" si="1"/>
        <v/>
      </c>
      <c r="E27" s="123" t="str" cm="1">
        <f t="array" ref="E27">IF($J27&lt;&gt;"",INDEX(SWITCH_TABLE[#Data],$J27,MATCH("Remote EC",SWITCH_TABLE[#Headers],0)),"")</f>
        <v/>
      </c>
      <c r="F27" s="124" t="str" cm="1">
        <f t="array" ref="F27">_xlfn.IFS($B27="","",$B27=$G$11,"Uplink Port 1",$B27=$G$13,"Uplink Port 2",$B27=$B$71,"Stack Port 1",$B27=$B$72,"Stack Port 2",1=1,"")</f>
        <v/>
      </c>
      <c r="G27" s="122" t="str" cm="1">
        <f t="array" ref="G27">IF($J27&lt;&gt;"",INDEX(SWITCH_TABLE[#Data],$J27,MATCH("Uplink 2 SFP",SWITCH_TABLE[#Headers],0)),"")</f>
        <v/>
      </c>
      <c r="H27" s="125" t="str">
        <f>IF($J27&lt;&gt;"",INDEX(SWITCH_TABLE[#Data],$J27,MATCH("Device Name",SWITCH_TABLE[#Headers],0)) &amp; " " &amp; INDEX(SWITCH_TABLE[#Data],$J27,MATCH("Uplink Port 2",SWITCH_TABLE[#Headers],0)),"")</f>
        <v/>
      </c>
      <c r="I27" s="40"/>
      <c r="J27" s="118" t="str">
        <f t="array" ref="J27">_xlfn.IFNA(MATCH(1,(SHEET_NAME=SWITCH_TABLE[Remote Device 1])*(B27=SWITCH_TABLE[Remote Port 1]),0),"")</f>
        <v/>
      </c>
      <c r="K27" s="40"/>
    </row>
    <row r="28" spans="1:11">
      <c r="A28" s="121">
        <f t="shared" si="2"/>
        <v>12</v>
      </c>
      <c r="B28" s="116" t="str">
        <f t="shared" si="0"/>
        <v>fo1/0/12</v>
      </c>
      <c r="C28" s="122" t="str">
        <f t="shared" si="3"/>
        <v>disabled</v>
      </c>
      <c r="D28" s="122" t="str">
        <f t="shared" si="1"/>
        <v/>
      </c>
      <c r="E28" s="123" t="str" cm="1">
        <f t="array" ref="E28">IF($J28&lt;&gt;"",INDEX(SWITCH_TABLE[#Data],$J28,MATCH("Remote EC",SWITCH_TABLE[#Headers],0)),"")</f>
        <v/>
      </c>
      <c r="F28" s="124" t="str" cm="1">
        <f t="array" ref="F28">_xlfn.IFS($B28="","",$B28=$G$11,"Uplink Port 1",$B28=$G$13,"Uplink Port 2",$B28=$B$71,"Stack Port 1",$B28=$B$72,"Stack Port 2",1=1,"")</f>
        <v/>
      </c>
      <c r="G28" s="122" t="str" cm="1">
        <f t="array" ref="G28">IF($J28&lt;&gt;"",INDEX(SWITCH_TABLE[#Data],$J28,MATCH("Uplink 2 SFP",SWITCH_TABLE[#Headers],0)),"")</f>
        <v/>
      </c>
      <c r="H28" s="125" t="str">
        <f>IF($J28&lt;&gt;"",INDEX(SWITCH_TABLE[#Data],$J28,MATCH("Device Name",SWITCH_TABLE[#Headers],0)) &amp; " " &amp; INDEX(SWITCH_TABLE[#Data],$J28,MATCH("Uplink Port 2",SWITCH_TABLE[#Headers],0)),"")</f>
        <v/>
      </c>
      <c r="I28" s="40"/>
      <c r="J28" s="118" t="str">
        <f t="array" ref="J28">_xlfn.IFNA(MATCH(1,(SHEET_NAME=SWITCH_TABLE[Remote Device 1])*(B28=SWITCH_TABLE[Remote Port 1]),0),"")</f>
        <v/>
      </c>
      <c r="K28" s="40"/>
    </row>
    <row r="29" spans="1:11">
      <c r="A29" s="121">
        <f t="shared" si="2"/>
        <v>13</v>
      </c>
      <c r="B29" s="116" t="str">
        <f t="shared" si="0"/>
        <v>fo1/0/13</v>
      </c>
      <c r="C29" s="122" t="str">
        <f t="shared" si="3"/>
        <v>disabled</v>
      </c>
      <c r="D29" s="122" t="str">
        <f t="shared" si="1"/>
        <v/>
      </c>
      <c r="E29" s="123" t="str" cm="1">
        <f t="array" ref="E29">IF($J29&lt;&gt;"",INDEX(SWITCH_TABLE[#Data],$J29,MATCH("Remote EC",SWITCH_TABLE[#Headers],0)),"")</f>
        <v/>
      </c>
      <c r="F29" s="124" t="str" cm="1">
        <f t="array" ref="F29">_xlfn.IFS($B29="","",$B29=$G$11,"Uplink Port 1",$B29=$G$13,"Uplink Port 2",$B29=$B$71,"Stack Port 1",$B29=$B$72,"Stack Port 2",1=1,"")</f>
        <v/>
      </c>
      <c r="G29" s="122" t="str" cm="1">
        <f t="array" ref="G29">IF($J29&lt;&gt;"",INDEX(SWITCH_TABLE[#Data],$J29,MATCH("Uplink 2 SFP",SWITCH_TABLE[#Headers],0)),"")</f>
        <v/>
      </c>
      <c r="H29" s="125" t="str">
        <f>IF($J29&lt;&gt;"",INDEX(SWITCH_TABLE[#Data],$J29,MATCH("Device Name",SWITCH_TABLE[#Headers],0)) &amp; " " &amp; INDEX(SWITCH_TABLE[#Data],$J29,MATCH("Uplink Port 2",SWITCH_TABLE[#Headers],0)),"")</f>
        <v/>
      </c>
      <c r="I29" s="40"/>
      <c r="J29" s="118" t="str">
        <f t="array" ref="J29">_xlfn.IFNA(MATCH(1,(SHEET_NAME=SWITCH_TABLE[Remote Device 1])*(B29=SWITCH_TABLE[Remote Port 1]),0),"")</f>
        <v/>
      </c>
      <c r="K29" s="40"/>
    </row>
    <row r="30" spans="1:11">
      <c r="A30" s="121">
        <f t="shared" si="2"/>
        <v>14</v>
      </c>
      <c r="B30" s="116" t="str">
        <f t="shared" si="0"/>
        <v>fo1/0/14</v>
      </c>
      <c r="C30" s="122" t="str">
        <f t="shared" si="3"/>
        <v>disabled</v>
      </c>
      <c r="D30" s="122" t="str">
        <f t="shared" si="1"/>
        <v/>
      </c>
      <c r="E30" s="123" t="str" cm="1">
        <f t="array" ref="E30">IF($J30&lt;&gt;"",INDEX(SWITCH_TABLE[#Data],$J30,MATCH("Remote EC",SWITCH_TABLE[#Headers],0)),"")</f>
        <v/>
      </c>
      <c r="F30" s="124" t="str" cm="1">
        <f t="array" ref="F30">_xlfn.IFS($B30="","",$B30=$G$11,"Uplink Port 1",$B30=$G$13,"Uplink Port 2",$B30=$B$71,"Stack Port 1",$B30=$B$72,"Stack Port 2",1=1,"")</f>
        <v/>
      </c>
      <c r="G30" s="122" t="str" cm="1">
        <f t="array" ref="G30">IF($J30&lt;&gt;"",INDEX(SWITCH_TABLE[#Data],$J30,MATCH("Uplink 2 SFP",SWITCH_TABLE[#Headers],0)),"")</f>
        <v/>
      </c>
      <c r="H30" s="125" t="str">
        <f>IF($J30&lt;&gt;"",INDEX(SWITCH_TABLE[#Data],$J30,MATCH("Device Name",SWITCH_TABLE[#Headers],0)) &amp; " " &amp; INDEX(SWITCH_TABLE[#Data],$J30,MATCH("Uplink Port 2",SWITCH_TABLE[#Headers],0)),"")</f>
        <v/>
      </c>
      <c r="I30" s="40"/>
      <c r="J30" s="118" t="str">
        <f t="array" ref="J30">_xlfn.IFNA(MATCH(1,(SHEET_NAME=SWITCH_TABLE[Remote Device 1])*(B30=SWITCH_TABLE[Remote Port 1]),0),"")</f>
        <v/>
      </c>
      <c r="K30" s="40"/>
    </row>
    <row r="31" spans="1:11">
      <c r="A31" s="121">
        <f t="shared" si="2"/>
        <v>15</v>
      </c>
      <c r="B31" s="116" t="str">
        <f t="shared" si="0"/>
        <v>fo1/0/15</v>
      </c>
      <c r="C31" s="122" t="str">
        <f t="shared" si="3"/>
        <v>disabled</v>
      </c>
      <c r="D31" s="122" t="str">
        <f t="shared" si="1"/>
        <v/>
      </c>
      <c r="E31" s="123" t="str" cm="1">
        <f t="array" ref="E31">IF($J31&lt;&gt;"",INDEX(SWITCH_TABLE[#Data],$J31,MATCH("Remote EC",SWITCH_TABLE[#Headers],0)),"")</f>
        <v/>
      </c>
      <c r="F31" s="124" t="str" cm="1">
        <f t="array" ref="F31">_xlfn.IFS($B31="","",$B31=$G$11,"Uplink Port 1",$B31=$G$13,"Uplink Port 2",$B31=$B$71,"Stack Port 1",$B31=$B$72,"Stack Port 2",1=1,"")</f>
        <v/>
      </c>
      <c r="G31" s="122" t="str" cm="1">
        <f t="array" ref="G31">IF($J31&lt;&gt;"",INDEX(SWITCH_TABLE[#Data],$J31,MATCH("Uplink 2 SFP",SWITCH_TABLE[#Headers],0)),"")</f>
        <v/>
      </c>
      <c r="H31" s="125" t="str">
        <f>IF($J31&lt;&gt;"",INDEX(SWITCH_TABLE[#Data],$J31,MATCH("Device Name",SWITCH_TABLE[#Headers],0)) &amp; " " &amp; INDEX(SWITCH_TABLE[#Data],$J31,MATCH("Uplink Port 2",SWITCH_TABLE[#Headers],0)),"")</f>
        <v/>
      </c>
      <c r="I31" s="40"/>
      <c r="J31" s="118" t="str">
        <f t="array" ref="J31">_xlfn.IFNA(MATCH(1,(SHEET_NAME=SWITCH_TABLE[Remote Device 1])*(B31=SWITCH_TABLE[Remote Port 1]),0),"")</f>
        <v/>
      </c>
      <c r="K31" s="40"/>
    </row>
    <row r="32" spans="1:11">
      <c r="A32" s="121">
        <f t="shared" si="2"/>
        <v>16</v>
      </c>
      <c r="B32" s="116" t="str">
        <f t="shared" si="0"/>
        <v>fo1/0/16</v>
      </c>
      <c r="C32" s="122" t="str">
        <f t="shared" si="3"/>
        <v>disabled</v>
      </c>
      <c r="D32" s="122" t="str">
        <f t="shared" si="1"/>
        <v/>
      </c>
      <c r="E32" s="123" t="str" cm="1">
        <f t="array" ref="E32">IF($J32&lt;&gt;"",INDEX(SWITCH_TABLE[#Data],$J32,MATCH("Remote EC",SWITCH_TABLE[#Headers],0)),"")</f>
        <v/>
      </c>
      <c r="F32" s="124" t="str" cm="1">
        <f t="array" ref="F32">_xlfn.IFS($B32="","",$B32=$G$11,"Uplink Port 1",$B32=$G$13,"Uplink Port 2",$B32=$B$71,"Stack Port 1",$B32=$B$72,"Stack Port 2",1=1,"")</f>
        <v/>
      </c>
      <c r="G32" s="122" t="str" cm="1">
        <f t="array" ref="G32">IF($J32&lt;&gt;"",INDEX(SWITCH_TABLE[#Data],$J32,MATCH("Uplink 2 SFP",SWITCH_TABLE[#Headers],0)),"")</f>
        <v/>
      </c>
      <c r="H32" s="125" t="str">
        <f>IF($J32&lt;&gt;"",INDEX(SWITCH_TABLE[#Data],$J32,MATCH("Device Name",SWITCH_TABLE[#Headers],0)) &amp; " " &amp; INDEX(SWITCH_TABLE[#Data],$J32,MATCH("Uplink Port 2",SWITCH_TABLE[#Headers],0)),"")</f>
        <v/>
      </c>
      <c r="I32" s="40"/>
      <c r="J32" s="118" t="str">
        <f t="array" ref="J32">_xlfn.IFNA(MATCH(1,(SHEET_NAME=SWITCH_TABLE[Remote Device 1])*(B32=SWITCH_TABLE[Remote Port 1]),0),"")</f>
        <v/>
      </c>
      <c r="K32" s="40"/>
    </row>
    <row r="33" spans="1:11">
      <c r="A33" s="121">
        <f t="shared" si="2"/>
        <v>17</v>
      </c>
      <c r="B33" s="116" t="str">
        <f t="shared" si="0"/>
        <v>fo1/0/17</v>
      </c>
      <c r="C33" s="122" t="str">
        <f t="shared" si="3"/>
        <v>disabled</v>
      </c>
      <c r="D33" s="122" t="str">
        <f t="shared" si="1"/>
        <v/>
      </c>
      <c r="E33" s="123" t="str" cm="1">
        <f t="array" ref="E33">IF($J33&lt;&gt;"",INDEX(SWITCH_TABLE[#Data],$J33,MATCH("Remote EC",SWITCH_TABLE[#Headers],0)),"")</f>
        <v/>
      </c>
      <c r="F33" s="124" t="str" cm="1">
        <f t="array" ref="F33">_xlfn.IFS($B33="","",$B33=$G$11,"Uplink Port 1",$B33=$G$13,"Uplink Port 2",$B33=$B$71,"Stack Port 1",$B33=$B$72,"Stack Port 2",1=1,"")</f>
        <v/>
      </c>
      <c r="G33" s="122" t="str" cm="1">
        <f t="array" ref="G33">IF($J33&lt;&gt;"",INDEX(SWITCH_TABLE[#Data],$J33,MATCH("Uplink 2 SFP",SWITCH_TABLE[#Headers],0)),"")</f>
        <v/>
      </c>
      <c r="H33" s="125" t="str">
        <f>IF($J33&lt;&gt;"",INDEX(SWITCH_TABLE[#Data],$J33,MATCH("Device Name",SWITCH_TABLE[#Headers],0)) &amp; " " &amp; INDEX(SWITCH_TABLE[#Data],$J33,MATCH("Uplink Port 2",SWITCH_TABLE[#Headers],0)),"")</f>
        <v/>
      </c>
      <c r="I33" s="40"/>
      <c r="J33" s="118" t="str">
        <f t="array" ref="J33">_xlfn.IFNA(MATCH(1,(SHEET_NAME=SWITCH_TABLE[Remote Device 1])*(B33=SWITCH_TABLE[Remote Port 1]),0),"")</f>
        <v/>
      </c>
      <c r="K33" s="40"/>
    </row>
    <row r="34" spans="1:11">
      <c r="A34" s="121">
        <f t="shared" si="2"/>
        <v>18</v>
      </c>
      <c r="B34" s="116" t="str">
        <f t="shared" si="0"/>
        <v>fo1/0/18</v>
      </c>
      <c r="C34" s="122" t="str">
        <f t="shared" si="3"/>
        <v>disabled</v>
      </c>
      <c r="D34" s="122" t="str">
        <f t="shared" si="1"/>
        <v/>
      </c>
      <c r="E34" s="123" t="str" cm="1">
        <f t="array" ref="E34">IF($J34&lt;&gt;"",INDEX(SWITCH_TABLE[#Data],$J34,MATCH("Remote EC",SWITCH_TABLE[#Headers],0)),"")</f>
        <v/>
      </c>
      <c r="F34" s="124" t="str" cm="1">
        <f t="array" ref="F34">_xlfn.IFS($B34="","",$B34=$G$11,"Uplink Port 1",$B34=$G$13,"Uplink Port 2",$B34=$B$71,"Stack Port 1",$B34=$B$72,"Stack Port 2",1=1,"")</f>
        <v/>
      </c>
      <c r="G34" s="122" t="str" cm="1">
        <f t="array" ref="G34">IF($J34&lt;&gt;"",INDEX(SWITCH_TABLE[#Data],$J34,MATCH("Uplink 2 SFP",SWITCH_TABLE[#Headers],0)),"")</f>
        <v/>
      </c>
      <c r="H34" s="125" t="str">
        <f>IF($J34&lt;&gt;"",INDEX(SWITCH_TABLE[#Data],$J34,MATCH("Device Name",SWITCH_TABLE[#Headers],0)) &amp; " " &amp; INDEX(SWITCH_TABLE[#Data],$J34,MATCH("Uplink Port 2",SWITCH_TABLE[#Headers],0)),"")</f>
        <v/>
      </c>
      <c r="I34" s="40"/>
      <c r="J34" s="118" t="str">
        <f t="array" ref="J34">_xlfn.IFNA(MATCH(1,(SHEET_NAME=SWITCH_TABLE[Remote Device 1])*(B34=SWITCH_TABLE[Remote Port 1]),0),"")</f>
        <v/>
      </c>
      <c r="K34" s="40"/>
    </row>
    <row r="35" spans="1:11">
      <c r="A35" s="121">
        <f t="shared" si="2"/>
        <v>19</v>
      </c>
      <c r="B35" s="116" t="str">
        <f t="shared" si="0"/>
        <v>fo1/0/19</v>
      </c>
      <c r="C35" s="122" t="str">
        <f t="shared" si="3"/>
        <v>reserved</v>
      </c>
      <c r="D35" s="122" t="str">
        <f t="shared" si="1"/>
        <v/>
      </c>
      <c r="E35" s="123" t="str" cm="1">
        <f t="array" ref="E35">IF($J35&lt;&gt;"",INDEX(SWITCH_TABLE[#Data],$J35,MATCH("Remote EC",SWITCH_TABLE[#Headers],0)),"")</f>
        <v/>
      </c>
      <c r="F35" s="124" t="str" cm="1">
        <f t="array" ref="F35">_xlfn.IFS($B35="","",$B35=$G$11,"Uplink Port 1",$B35=$G$13,"Uplink Port 2",$B35=$B$71,"Stack Port 1",$B35=$B$72,"Stack Port 2",1=1,"")</f>
        <v/>
      </c>
      <c r="G35" s="122" t="str" cm="1">
        <f t="array" ref="G35">IF($J35&lt;&gt;"",INDEX(SWITCH_TABLE[#Data],$J35,MATCH("Uplink 2 SFP",SWITCH_TABLE[#Headers],0)),"")</f>
        <v/>
      </c>
      <c r="H35" s="125" t="str">
        <f>IF($J35&lt;&gt;"",INDEX(SWITCH_TABLE[#Data],$J35,MATCH("Device Name",SWITCH_TABLE[#Headers],0)) &amp; " " &amp; INDEX(SWITCH_TABLE[#Data],$J35,MATCH("Uplink Port 2",SWITCH_TABLE[#Headers],0)),"")</f>
        <v/>
      </c>
      <c r="I35" s="40"/>
      <c r="J35" s="118" t="str">
        <f t="array" ref="J35">_xlfn.IFNA(MATCH(1,(SHEET_NAME=SWITCH_TABLE[Remote Device 1])*(B35=SWITCH_TABLE[Remote Port 1]),0),"")</f>
        <v/>
      </c>
      <c r="K35" s="40"/>
    </row>
    <row r="36" spans="1:11">
      <c r="A36" s="121">
        <f t="shared" si="2"/>
        <v>20</v>
      </c>
      <c r="B36" s="116" t="str">
        <f t="shared" si="0"/>
        <v>fo1/0/20</v>
      </c>
      <c r="C36" s="122" t="str">
        <f t="shared" si="3"/>
        <v>reserved</v>
      </c>
      <c r="D36" s="122" t="str">
        <f t="shared" si="1"/>
        <v/>
      </c>
      <c r="E36" s="123" t="str" cm="1">
        <f t="array" ref="E36">IF($J36&lt;&gt;"",INDEX(SWITCH_TABLE[#Data],$J36,MATCH("Remote EC",SWITCH_TABLE[#Headers],0)),"")</f>
        <v/>
      </c>
      <c r="F36" s="124" t="str" cm="1">
        <f t="array" ref="F36">_xlfn.IFS($B36="","",$B36=$G$11,"Uplink Port 1",$B36=$G$13,"Uplink Port 2",$B36=$B$71,"Stack Port 1",$B36=$B$72,"Stack Port 2",1=1,"")</f>
        <v/>
      </c>
      <c r="G36" s="122" t="str" cm="1">
        <f t="array" ref="G36">IF($J36&lt;&gt;"",INDEX(SWITCH_TABLE[#Data],$J36,MATCH("Uplink 2 SFP",SWITCH_TABLE[#Headers],0)),"")</f>
        <v/>
      </c>
      <c r="H36" s="125" t="str">
        <f>IF($J36&lt;&gt;"",INDEX(SWITCH_TABLE[#Data],$J36,MATCH("Device Name",SWITCH_TABLE[#Headers],0)) &amp; " " &amp; INDEX(SWITCH_TABLE[#Data],$J36,MATCH("Uplink Port 2",SWITCH_TABLE[#Headers],0)),"")</f>
        <v/>
      </c>
      <c r="I36" s="40"/>
      <c r="J36" s="118" t="str">
        <f t="array" ref="J36">_xlfn.IFNA(MATCH(1,(SHEET_NAME=SWITCH_TABLE[Remote Device 1])*(B36=SWITCH_TABLE[Remote Port 1]),0),"")</f>
        <v/>
      </c>
      <c r="K36" s="40"/>
    </row>
    <row r="37" spans="1:11">
      <c r="A37" s="121">
        <f t="shared" si="2"/>
        <v>21</v>
      </c>
      <c r="B37" s="116" t="str">
        <f t="shared" si="0"/>
        <v>fo1/0/21</v>
      </c>
      <c r="C37" s="122" t="str">
        <f t="shared" si="3"/>
        <v>reserved</v>
      </c>
      <c r="D37" s="122" t="str">
        <f t="shared" si="1"/>
        <v/>
      </c>
      <c r="E37" s="123" t="str" cm="1">
        <f t="array" ref="E37">IF($J37&lt;&gt;"",INDEX(SWITCH_TABLE[#Data],$J37,MATCH("Remote EC",SWITCH_TABLE[#Headers],0)),"")</f>
        <v/>
      </c>
      <c r="F37" s="124" t="str" cm="1">
        <f t="array" ref="F37">_xlfn.IFS($B37="","",$B37=$G$11,"Uplink Port 1",$B37=$G$13,"Uplink Port 2",$B37=$B$71,"Stack Port 1",$B37=$B$72,"Stack Port 2",1=1,"")</f>
        <v/>
      </c>
      <c r="G37" s="122" t="str" cm="1">
        <f t="array" ref="G37">IF($J37&lt;&gt;"",INDEX(SWITCH_TABLE[#Data],$J37,MATCH("Uplink 2 SFP",SWITCH_TABLE[#Headers],0)),"")</f>
        <v/>
      </c>
      <c r="H37" s="125" t="str">
        <f>IF($J37&lt;&gt;"",INDEX(SWITCH_TABLE[#Data],$J37,MATCH("Device Name",SWITCH_TABLE[#Headers],0)) &amp; " " &amp; INDEX(SWITCH_TABLE[#Data],$J37,MATCH("Uplink Port 2",SWITCH_TABLE[#Headers],0)),"")</f>
        <v/>
      </c>
      <c r="I37" s="40"/>
      <c r="J37" s="118" t="str">
        <f t="array" ref="J37">_xlfn.IFNA(MATCH(1,(SHEET_NAME=SWITCH_TABLE[Remote Device 1])*(B37=SWITCH_TABLE[Remote Port 1]),0),"")</f>
        <v/>
      </c>
      <c r="K37" s="40"/>
    </row>
    <row r="38" spans="1:11">
      <c r="A38" s="121">
        <f t="shared" si="2"/>
        <v>22</v>
      </c>
      <c r="B38" s="116" t="str">
        <f t="shared" si="0"/>
        <v>fo1/0/22</v>
      </c>
      <c r="C38" s="122" t="str">
        <f t="shared" si="3"/>
        <v>reserved</v>
      </c>
      <c r="D38" s="122" t="str">
        <f t="shared" si="1"/>
        <v/>
      </c>
      <c r="E38" s="123" t="str" cm="1">
        <f t="array" ref="E38">IF($J38&lt;&gt;"",INDEX(SWITCH_TABLE[#Data],$J38,MATCH("Remote EC",SWITCH_TABLE[#Headers],0)),"")</f>
        <v/>
      </c>
      <c r="F38" s="124" t="str" cm="1">
        <f t="array" ref="F38">_xlfn.IFS($B38="","",$B38=$G$11,"Uplink Port 1",$B38=$G$13,"Uplink Port 2",$B38=$B$71,"Stack Port 1",$B38=$B$72,"Stack Port 2",1=1,"")</f>
        <v/>
      </c>
      <c r="G38" s="122" t="str" cm="1">
        <f t="array" ref="G38">IF($J38&lt;&gt;"",INDEX(SWITCH_TABLE[#Data],$J38,MATCH("Uplink 2 SFP",SWITCH_TABLE[#Headers],0)),"")</f>
        <v/>
      </c>
      <c r="H38" s="125" t="str">
        <f>IF($J38&lt;&gt;"",INDEX(SWITCH_TABLE[#Data],$J38,MATCH("Device Name",SWITCH_TABLE[#Headers],0)) &amp; " " &amp; INDEX(SWITCH_TABLE[#Data],$J38,MATCH("Uplink Port 2",SWITCH_TABLE[#Headers],0)),"")</f>
        <v/>
      </c>
      <c r="I38" s="40"/>
      <c r="J38" s="118" t="str">
        <f t="array" ref="J38">_xlfn.IFNA(MATCH(1,(SHEET_NAME=SWITCH_TABLE[Remote Device 1])*(B38=SWITCH_TABLE[Remote Port 1]),0),"")</f>
        <v/>
      </c>
      <c r="K38" s="40"/>
    </row>
    <row r="39" spans="1:11">
      <c r="A39" s="121">
        <f t="shared" si="2"/>
        <v>23</v>
      </c>
      <c r="B39" s="116" t="str">
        <f t="shared" si="0"/>
        <v>fo1/0/23</v>
      </c>
      <c r="C39" s="122" t="str">
        <f t="shared" si="3"/>
        <v>reserved</v>
      </c>
      <c r="D39" s="122" t="str">
        <f t="shared" si="1"/>
        <v/>
      </c>
      <c r="E39" s="123" t="str" cm="1">
        <f t="array" ref="E39">IF($J39&lt;&gt;"",INDEX(SWITCH_TABLE[#Data],$J39,MATCH("Remote EC",SWITCH_TABLE[#Headers],0)),"")</f>
        <v/>
      </c>
      <c r="F39" s="124" t="str" cm="1">
        <f t="array" ref="F39">_xlfn.IFS($B39="","",$B39=$G$11,"Uplink Port 1",$B39=$G$13,"Uplink Port 2",$B39=$B$71,"Stack Port 1",$B39=$B$72,"Stack Port 2",1=1,"")</f>
        <v/>
      </c>
      <c r="G39" s="122" t="str" cm="1">
        <f t="array" ref="G39">IF($J39&lt;&gt;"",INDEX(SWITCH_TABLE[#Data],$J39,MATCH("Uplink 2 SFP",SWITCH_TABLE[#Headers],0)),"")</f>
        <v/>
      </c>
      <c r="H39" s="125" t="str">
        <f>IF($J39&lt;&gt;"",INDEX(SWITCH_TABLE[#Data],$J39,MATCH("Device Name",SWITCH_TABLE[#Headers],0)) &amp; " " &amp; INDEX(SWITCH_TABLE[#Data],$J39,MATCH("Uplink Port 2",SWITCH_TABLE[#Headers],0)),"")</f>
        <v/>
      </c>
      <c r="I39" s="40"/>
      <c r="J39" s="118" t="str">
        <f t="array" ref="J39">_xlfn.IFNA(MATCH(1,(SHEET_NAME=SWITCH_TABLE[Remote Device 1])*(B39=SWITCH_TABLE[Remote Port 1]),0),"")</f>
        <v/>
      </c>
      <c r="K39" s="40"/>
    </row>
    <row r="40" spans="1:11">
      <c r="A40" s="121">
        <f t="shared" si="2"/>
        <v>24</v>
      </c>
      <c r="B40" s="116" t="str">
        <f t="shared" si="0"/>
        <v>fo1/0/24</v>
      </c>
      <c r="C40" s="122" t="str">
        <f t="shared" si="3"/>
        <v>reserved</v>
      </c>
      <c r="D40" s="122" t="str">
        <f t="shared" si="1"/>
        <v/>
      </c>
      <c r="E40" s="123" t="str" cm="1">
        <f t="array" ref="E40">IF($J40&lt;&gt;"",INDEX(SWITCH_TABLE[#Data],$J40,MATCH("Remote EC",SWITCH_TABLE[#Headers],0)),"")</f>
        <v/>
      </c>
      <c r="F40" s="124" t="str" cm="1">
        <f t="array" ref="F40">_xlfn.IFS($B40="","",$B40=$G$11,"Uplink Port 1",$B40=$G$13,"Uplink Port 2",$B40=$B$71,"Stack Port 1",$B40=$B$72,"Stack Port 2",1=1,"")</f>
        <v/>
      </c>
      <c r="G40" s="122" t="str" cm="1">
        <f t="array" ref="G40">IF($J40&lt;&gt;"",INDEX(SWITCH_TABLE[#Data],$J40,MATCH("Uplink 2 SFP",SWITCH_TABLE[#Headers],0)),"")</f>
        <v/>
      </c>
      <c r="H40" s="125" t="str">
        <f>IF($J40&lt;&gt;"",INDEX(SWITCH_TABLE[#Data],$J40,MATCH("Device Name",SWITCH_TABLE[#Headers],0)) &amp; " " &amp; INDEX(SWITCH_TABLE[#Data],$J40,MATCH("Uplink Port 2",SWITCH_TABLE[#Headers],0)),"")</f>
        <v/>
      </c>
      <c r="I40" s="40"/>
      <c r="J40" s="118" t="str">
        <f t="array" ref="J40">_xlfn.IFNA(MATCH(1,(SHEET_NAME=SWITCH_TABLE[Remote Device 1])*(B40=SWITCH_TABLE[Remote Port 1]),0),"")</f>
        <v/>
      </c>
      <c r="K40" s="40"/>
    </row>
    <row r="41" spans="1:11">
      <c r="A41" s="121">
        <f t="shared" si="2"/>
        <v>25</v>
      </c>
      <c r="B41" s="116" t="str">
        <f t="shared" si="0"/>
        <v>fo1/0/25</v>
      </c>
      <c r="C41" s="122" t="str">
        <f t="shared" si="3"/>
        <v>reserved</v>
      </c>
      <c r="D41" s="122" t="str">
        <f t="shared" si="1"/>
        <v/>
      </c>
      <c r="E41" s="123" t="str" cm="1">
        <f t="array" ref="E41">IF($J41&lt;&gt;"",INDEX(SWITCH_TABLE[#Data],$J41,MATCH("Remote EC",SWITCH_TABLE[#Headers],0)),"")</f>
        <v/>
      </c>
      <c r="F41" s="124" t="str" cm="1">
        <f t="array" ref="F41">_xlfn.IFS($B41="","",$B41=$G$11,"Uplink Port 1",$B41=$G$13,"Uplink Port 2",$B41=$B$71,"Stack Port 1",$B41=$B$72,"Stack Port 2",1=1,"")</f>
        <v/>
      </c>
      <c r="G41" s="122" t="str" cm="1">
        <f t="array" ref="G41">IF($J41&lt;&gt;"",INDEX(SWITCH_TABLE[#Data],$J41,MATCH("Uplink 2 SFP",SWITCH_TABLE[#Headers],0)),"")</f>
        <v/>
      </c>
      <c r="H41" s="125" t="str">
        <f>IF($J41&lt;&gt;"",INDEX(SWITCH_TABLE[#Data],$J41,MATCH("Device Name",SWITCH_TABLE[#Headers],0)) &amp; " " &amp; INDEX(SWITCH_TABLE[#Data],$J41,MATCH("Uplink Port 2",SWITCH_TABLE[#Headers],0)),"")</f>
        <v/>
      </c>
      <c r="I41" s="40"/>
      <c r="J41" s="118" t="str">
        <f t="array" ref="J41">_xlfn.IFNA(MATCH(1,(SHEET_NAME=SWITCH_TABLE[Remote Device 1])*(B41=SWITCH_TABLE[Remote Port 1]),0),"")</f>
        <v/>
      </c>
      <c r="K41" s="40"/>
    </row>
    <row r="42" spans="1:11">
      <c r="A42" s="121">
        <f t="shared" si="2"/>
        <v>26</v>
      </c>
      <c r="B42" s="116" t="str">
        <f t="shared" si="0"/>
        <v>fo1/0/26</v>
      </c>
      <c r="C42" s="122" t="str">
        <f t="shared" si="3"/>
        <v>reserved</v>
      </c>
      <c r="D42" s="122" t="str">
        <f t="shared" si="1"/>
        <v/>
      </c>
      <c r="E42" s="123" t="str" cm="1">
        <f t="array" ref="E42">IF($J42&lt;&gt;"",INDEX(SWITCH_TABLE[#Data],$J42,MATCH("Remote EC",SWITCH_TABLE[#Headers],0)),"")</f>
        <v/>
      </c>
      <c r="F42" s="124" t="str" cm="1">
        <f t="array" ref="F42">_xlfn.IFS($B42="","",$B42=$G$11,"Uplink Port 1",$B42=$G$13,"Uplink Port 2",$B42=$B$71,"Stack Port 1",$B42=$B$72,"Stack Port 2",1=1,"")</f>
        <v/>
      </c>
      <c r="G42" s="122" t="str" cm="1">
        <f t="array" ref="G42">IF($J42&lt;&gt;"",INDEX(SWITCH_TABLE[#Data],$J42,MATCH("Uplink 2 SFP",SWITCH_TABLE[#Headers],0)),"")</f>
        <v/>
      </c>
      <c r="H42" s="125" t="str">
        <f>IF($J42&lt;&gt;"",INDEX(SWITCH_TABLE[#Data],$J42,MATCH("Device Name",SWITCH_TABLE[#Headers],0)) &amp; " " &amp; INDEX(SWITCH_TABLE[#Data],$J42,MATCH("Uplink Port 2",SWITCH_TABLE[#Headers],0)),"")</f>
        <v/>
      </c>
      <c r="I42" s="40"/>
      <c r="J42" s="118" t="str">
        <f t="array" ref="J42">_xlfn.IFNA(MATCH(1,(SHEET_NAME=SWITCH_TABLE[Remote Device 1])*(B42=SWITCH_TABLE[Remote Port 1]),0),"")</f>
        <v/>
      </c>
      <c r="K42" s="40"/>
    </row>
    <row r="43" spans="1:11">
      <c r="A43" s="121">
        <f t="shared" si="2"/>
        <v>27</v>
      </c>
      <c r="B43" s="116" t="str">
        <f t="shared" si="0"/>
        <v>fo1/0/27</v>
      </c>
      <c r="C43" s="122" t="str">
        <f t="shared" si="3"/>
        <v>reserved</v>
      </c>
      <c r="D43" s="122" t="str">
        <f t="shared" si="1"/>
        <v/>
      </c>
      <c r="E43" s="123" t="str" cm="1">
        <f t="array" ref="E43">IF($J43&lt;&gt;"",INDEX(SWITCH_TABLE[#Data],$J43,MATCH("Remote EC",SWITCH_TABLE[#Headers],0)),"")</f>
        <v/>
      </c>
      <c r="F43" s="124" t="str" cm="1">
        <f t="array" ref="F43">_xlfn.IFS($B43="","",$B43=$G$11,"Uplink Port 1",$B43=$G$13,"Uplink Port 2",$B43=$B$71,"Stack Port 1",$B43=$B$72,"Stack Port 2",1=1,"")</f>
        <v/>
      </c>
      <c r="G43" s="122" t="str" cm="1">
        <f t="array" ref="G43">IF($J43&lt;&gt;"",INDEX(SWITCH_TABLE[#Data],$J43,MATCH("Uplink 2 SFP",SWITCH_TABLE[#Headers],0)),"")</f>
        <v/>
      </c>
      <c r="H43" s="125" t="str">
        <f>IF($J43&lt;&gt;"",INDEX(SWITCH_TABLE[#Data],$J43,MATCH("Device Name",SWITCH_TABLE[#Headers],0)) &amp; " " &amp; INDEX(SWITCH_TABLE[#Data],$J43,MATCH("Uplink Port 2",SWITCH_TABLE[#Headers],0)),"")</f>
        <v/>
      </c>
      <c r="I43" s="40"/>
      <c r="J43" s="118" t="str">
        <f t="array" ref="J43">_xlfn.IFNA(MATCH(1,(SHEET_NAME=SWITCH_TABLE[Remote Device 1])*(B43=SWITCH_TABLE[Remote Port 1]),0),"")</f>
        <v/>
      </c>
      <c r="K43" s="40"/>
    </row>
    <row r="44" spans="1:11">
      <c r="A44" s="121">
        <f t="shared" si="2"/>
        <v>28</v>
      </c>
      <c r="B44" s="116" t="str">
        <f t="shared" si="0"/>
        <v>fo1/0/28</v>
      </c>
      <c r="C44" s="122" t="str">
        <f t="shared" si="3"/>
        <v>reserved</v>
      </c>
      <c r="D44" s="122" t="str">
        <f t="shared" si="1"/>
        <v/>
      </c>
      <c r="E44" s="123" t="str" cm="1">
        <f t="array" ref="E44">IF($J44&lt;&gt;"",INDEX(SWITCH_TABLE[#Data],$J44,MATCH("Remote EC",SWITCH_TABLE[#Headers],0)),"")</f>
        <v/>
      </c>
      <c r="F44" s="124" t="str" cm="1">
        <f t="array" ref="F44">_xlfn.IFS($B44="","",$B44=$G$11,"Uplink Port 1",$B44=$G$13,"Uplink Port 2",$B44=$B$71,"Stack Port 1",$B44=$B$72,"Stack Port 2",1=1,"")</f>
        <v/>
      </c>
      <c r="G44" s="122" t="str" cm="1">
        <f t="array" ref="G44">IF($J44&lt;&gt;"",INDEX(SWITCH_TABLE[#Data],$J44,MATCH("Uplink 2 SFP",SWITCH_TABLE[#Headers],0)),"")</f>
        <v/>
      </c>
      <c r="H44" s="125" t="str">
        <f>IF($J44&lt;&gt;"",INDEX(SWITCH_TABLE[#Data],$J44,MATCH("Device Name",SWITCH_TABLE[#Headers],0)) &amp; " " &amp; INDEX(SWITCH_TABLE[#Data],$J44,MATCH("Uplink Port 2",SWITCH_TABLE[#Headers],0)),"")</f>
        <v/>
      </c>
      <c r="I44" s="40"/>
      <c r="J44" s="118" t="str">
        <f t="array" ref="J44">_xlfn.IFNA(MATCH(1,(SHEET_NAME=SWITCH_TABLE[Remote Device 1])*(B44=SWITCH_TABLE[Remote Port 1]),0),"")</f>
        <v/>
      </c>
      <c r="K44" s="40"/>
    </row>
    <row r="45" spans="1:11">
      <c r="A45" s="121">
        <f t="shared" si="2"/>
        <v>29</v>
      </c>
      <c r="B45" s="116" t="str">
        <f t="shared" si="0"/>
        <v>fo1/0/29</v>
      </c>
      <c r="C45" s="122" t="str">
        <f t="shared" si="3"/>
        <v>reserved</v>
      </c>
      <c r="D45" s="122" t="str">
        <f t="shared" si="1"/>
        <v/>
      </c>
      <c r="E45" s="123" t="str" cm="1">
        <f t="array" ref="E45">IF($J45&lt;&gt;"",INDEX(SWITCH_TABLE[#Data],$J45,MATCH("Remote EC",SWITCH_TABLE[#Headers],0)),"")</f>
        <v/>
      </c>
      <c r="F45" s="124" t="str" cm="1">
        <f t="array" ref="F45">_xlfn.IFS($B45="","",$B45=$G$11,"Uplink Port 1",$B45=$G$13,"Uplink Port 2",$B45=$B$71,"Stack Port 1",$B45=$B$72,"Stack Port 2",1=1,"")</f>
        <v/>
      </c>
      <c r="G45" s="122" t="str" cm="1">
        <f t="array" ref="G45">IF($J45&lt;&gt;"",INDEX(SWITCH_TABLE[#Data],$J45,MATCH("Uplink 2 SFP",SWITCH_TABLE[#Headers],0)),"")</f>
        <v/>
      </c>
      <c r="H45" s="125" t="str">
        <f>IF($J45&lt;&gt;"",INDEX(SWITCH_TABLE[#Data],$J45,MATCH("Device Name",SWITCH_TABLE[#Headers],0)) &amp; " " &amp; INDEX(SWITCH_TABLE[#Data],$J45,MATCH("Uplink Port 2",SWITCH_TABLE[#Headers],0)),"")</f>
        <v/>
      </c>
      <c r="I45" s="40"/>
      <c r="J45" s="118" t="str">
        <f t="array" ref="J45">_xlfn.IFNA(MATCH(1,(SHEET_NAME=SWITCH_TABLE[Remote Device 1])*(B45=SWITCH_TABLE[Remote Port 1]),0),"")</f>
        <v/>
      </c>
      <c r="K45" s="40"/>
    </row>
    <row r="46" spans="1:11">
      <c r="A46" s="121">
        <f t="shared" si="2"/>
        <v>30</v>
      </c>
      <c r="B46" s="116" t="str">
        <f t="shared" si="0"/>
        <v>fo1/0/30</v>
      </c>
      <c r="C46" s="122" t="str">
        <f t="shared" si="3"/>
        <v>reserved</v>
      </c>
      <c r="D46" s="122" t="str">
        <f t="shared" si="1"/>
        <v/>
      </c>
      <c r="E46" s="123" t="str" cm="1">
        <f t="array" ref="E46">IF($J46&lt;&gt;"",INDEX(SWITCH_TABLE[#Data],$J46,MATCH("Remote EC",SWITCH_TABLE[#Headers],0)),"")</f>
        <v/>
      </c>
      <c r="F46" s="124" t="str" cm="1">
        <f t="array" ref="F46">_xlfn.IFS($B46="","",$B46=$G$11,"Uplink Port 1",$B46=$G$13,"Uplink Port 2",$B46=$B$71,"Stack Port 1",$B46=$B$72,"Stack Port 2",1=1,"")</f>
        <v/>
      </c>
      <c r="G46" s="122" t="str" cm="1">
        <f t="array" ref="G46">IF($J46&lt;&gt;"",INDEX(SWITCH_TABLE[#Data],$J46,MATCH("Uplink 2 SFP",SWITCH_TABLE[#Headers],0)),"")</f>
        <v/>
      </c>
      <c r="H46" s="125" t="str">
        <f>IF($J46&lt;&gt;"",INDEX(SWITCH_TABLE[#Data],$J46,MATCH("Device Name",SWITCH_TABLE[#Headers],0)) &amp; " " &amp; INDEX(SWITCH_TABLE[#Data],$J46,MATCH("Uplink Port 2",SWITCH_TABLE[#Headers],0)),"")</f>
        <v/>
      </c>
      <c r="I46" s="40"/>
      <c r="J46" s="118" t="str">
        <f t="array" ref="J46">_xlfn.IFNA(MATCH(1,(SHEET_NAME=SWITCH_TABLE[Remote Device 1])*(B46=SWITCH_TABLE[Remote Port 1]),0),"")</f>
        <v/>
      </c>
      <c r="K46" s="40"/>
    </row>
    <row r="47" spans="1:11">
      <c r="A47" s="121">
        <f t="shared" si="2"/>
        <v>31</v>
      </c>
      <c r="B47" s="116" t="str">
        <f t="shared" si="0"/>
        <v>fo1/0/31</v>
      </c>
      <c r="C47" s="122" t="str">
        <f t="shared" si="3"/>
        <v>reserved</v>
      </c>
      <c r="D47" s="122" t="str">
        <f t="shared" si="1"/>
        <v/>
      </c>
      <c r="E47" s="123" t="str" cm="1">
        <f t="array" ref="E47">IF($J47&lt;&gt;"",INDEX(SWITCH_TABLE[#Data],$J47,MATCH("Remote EC",SWITCH_TABLE[#Headers],0)),"")</f>
        <v/>
      </c>
      <c r="F47" s="124" t="str" cm="1">
        <f t="array" ref="F47">_xlfn.IFS($B47="","",$B47=$G$11,"Uplink Port 1",$B47=$G$13,"Uplink Port 2",$B47=$B$71,"Stack Port 1",$B47=$B$72,"Stack Port 2",1=1,"")</f>
        <v/>
      </c>
      <c r="G47" s="122" t="str" cm="1">
        <f t="array" ref="G47">IF($J47&lt;&gt;"",INDEX(SWITCH_TABLE[#Data],$J47,MATCH("Uplink 2 SFP",SWITCH_TABLE[#Headers],0)),"")</f>
        <v/>
      </c>
      <c r="H47" s="125" t="str">
        <f>IF($J47&lt;&gt;"",INDEX(SWITCH_TABLE[#Data],$J47,MATCH("Device Name",SWITCH_TABLE[#Headers],0)) &amp; " " &amp; INDEX(SWITCH_TABLE[#Data],$J47,MATCH("Uplink Port 2",SWITCH_TABLE[#Headers],0)),"")</f>
        <v/>
      </c>
      <c r="I47" s="40"/>
      <c r="J47" s="118" t="str">
        <f t="array" ref="J47">_xlfn.IFNA(MATCH(1,(SHEET_NAME=SWITCH_TABLE[Remote Device 1])*(B47=SWITCH_TABLE[Remote Port 1]),0),"")</f>
        <v/>
      </c>
      <c r="K47" s="40"/>
    </row>
    <row r="48" spans="1:11">
      <c r="A48" s="121">
        <f t="shared" si="2"/>
        <v>32</v>
      </c>
      <c r="B48" s="116" t="str">
        <f t="shared" si="0"/>
        <v>fo1/0/32</v>
      </c>
      <c r="C48" s="122" t="str">
        <f t="shared" si="3"/>
        <v>reserved</v>
      </c>
      <c r="D48" s="122" t="str">
        <f t="shared" si="1"/>
        <v/>
      </c>
      <c r="E48" s="123" t="str" cm="1">
        <f t="array" ref="E48">IF($J48&lt;&gt;"",INDEX(SWITCH_TABLE[#Data],$J48,MATCH("Remote EC",SWITCH_TABLE[#Headers],0)),"")</f>
        <v/>
      </c>
      <c r="F48" s="124" t="str" cm="1">
        <f t="array" ref="F48">_xlfn.IFS($B48="","",$B48=$G$11,"Uplink Port 1",$B48=$G$13,"Uplink Port 2",$B48=$B$71,"Stack Port 1",$B48=$B$72,"Stack Port 2",1=1,"")</f>
        <v/>
      </c>
      <c r="G48" s="122" t="str" cm="1">
        <f t="array" ref="G48">IF($J48&lt;&gt;"",INDEX(SWITCH_TABLE[#Data],$J48,MATCH("Uplink 2 SFP",SWITCH_TABLE[#Headers],0)),"")</f>
        <v/>
      </c>
      <c r="H48" s="125" t="str">
        <f>IF($J48&lt;&gt;"",INDEX(SWITCH_TABLE[#Data],$J48,MATCH("Device Name",SWITCH_TABLE[#Headers],0)) &amp; " " &amp; INDEX(SWITCH_TABLE[#Data],$J48,MATCH("Uplink Port 2",SWITCH_TABLE[#Headers],0)),"")</f>
        <v/>
      </c>
      <c r="I48" s="40"/>
      <c r="J48" s="118" t="str">
        <f t="array" ref="J48">_xlfn.IFNA(MATCH(1,(SHEET_NAME=SWITCH_TABLE[Remote Device 1])*(B48=SWITCH_TABLE[Remote Port 1]),0),"")</f>
        <v/>
      </c>
      <c r="K48" s="40"/>
    </row>
    <row r="49" spans="1:10">
      <c r="A49" s="126"/>
      <c r="B49" s="127"/>
      <c r="C49" s="127"/>
      <c r="D49" s="127"/>
      <c r="E49" s="127"/>
      <c r="F49" s="127"/>
      <c r="G49" s="127"/>
      <c r="H49" s="127"/>
      <c r="J49" s="127"/>
    </row>
    <row r="51" spans="1:10" ht="13.2">
      <c r="A51" s="121">
        <v>32</v>
      </c>
      <c r="B51" s="113" t="s">
        <v>2659</v>
      </c>
      <c r="C51" s="113" t="s">
        <v>2226</v>
      </c>
      <c r="D51" s="113" t="s">
        <v>46</v>
      </c>
      <c r="E51" s="113" t="s">
        <v>1983</v>
      </c>
      <c r="F51" s="113"/>
      <c r="G51" s="113" t="s">
        <v>45</v>
      </c>
      <c r="H51" s="113" t="s">
        <v>887</v>
      </c>
      <c r="J51" s="113" t="s">
        <v>2658</v>
      </c>
    </row>
    <row r="52" spans="1:10">
      <c r="A52" s="121">
        <f t="shared" ref="A52:A67" si="4">ROW(A52)-ROW($A$51)+$A$51</f>
        <v>33</v>
      </c>
      <c r="B52" s="116" t="str">
        <f>IF(A52&gt;$C$8+$A52,"",$D$8&amp;$C$11&amp;"/0/"&amp;A52)</f>
        <v>hu1/0/33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122" t="str">
        <f t="shared" ref="D52:D60" si="5">IF(J52&lt;&gt;"","TRUNK","")</f>
        <v/>
      </c>
      <c r="E52" s="123" t="str" cm="1">
        <f t="array" ref="E52">IF($J52&lt;&gt;"",INDEX(SWITCH_TABLE[#Data],$J52,MATCH("Remote EC",SWITCH_TABLE[#Headers],0)),"")</f>
        <v/>
      </c>
      <c r="F52" s="124" t="str" cm="1">
        <f t="array" ref="F52">_xlfn.IFS($B52="","",$B52=$G$11,"Uplink Port 1",$B52=$G$13,"Uplink Port 2",$B52=$B$71,"Stack Port 1",$B52=$B$72,"Stack Port 2",1=1,"")</f>
        <v/>
      </c>
      <c r="G52" s="122" t="str" cm="1">
        <f t="array" ref="G52">IF($J52&lt;&gt;"",INDEX(SWITCH_TABLE[#Data],$J52,MATCH("Uplink 1 SFP",SWITCH_TABLE[#Headers],0)),"")</f>
        <v/>
      </c>
      <c r="H52" s="125" t="str">
        <f>IF($J52&lt;&gt;"",INDEX(SWITCH_TABLE[#Data],$J52,MATCH("Device Name",SWITCH_TABLE[#Headers],0)) &amp; " " &amp; INDEX(SWITCH_TABLE[#Data],$J52,MATCH("Uplink Port 1",SWITCH_TABLE[#Headers],0)),"")</f>
        <v/>
      </c>
      <c r="J52" s="118" t="str">
        <f t="array" ref="J52">_xlfn.IFNA(MATCH(1,(SHEET_NAME=SWITCH_TABLE[Remote Device 1])*(B52=SWITCH_TABLE[Remote Port 1]),0),"")</f>
        <v/>
      </c>
    </row>
    <row r="53" spans="1:10">
      <c r="A53" s="121">
        <f t="shared" si="4"/>
        <v>34</v>
      </c>
      <c r="B53" s="116" t="str">
        <f t="shared" ref="B53:B67" si="6">IF(A53&gt;$C$8+$A53,"",$D$8&amp;$C$11&amp;"/0/"&amp;A53)</f>
        <v>hu1/0/34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122" t="str">
        <f t="shared" si="5"/>
        <v/>
      </c>
      <c r="E53" s="123" t="str" cm="1">
        <f t="array" ref="E53">IF($J53&lt;&gt;"",INDEX(SWITCH_TABLE[#Data],$J53,MATCH("Remote EC",SWITCH_TABLE[#Headers],0)),"")</f>
        <v/>
      </c>
      <c r="F53" s="124" t="str" cm="1">
        <f t="array" ref="F53">_xlfn.IFS($B53="","",$B53=$G$11,"Uplink Port 1",$B53=$G$13,"Uplink Port 2",$B53=$B$71,"Stack Port 1",$B53=$B$72,"Stack Port 2",1=1,"")</f>
        <v/>
      </c>
      <c r="G53" s="122" t="str" cm="1">
        <f t="array" ref="G53">IF($J53&lt;&gt;"",INDEX(SWITCH_TABLE[#Data],$J53,MATCH("Uplink 1 SFP",SWITCH_TABLE[#Headers],0)),"")</f>
        <v/>
      </c>
      <c r="H53" s="125" t="str">
        <f>IF($J53&lt;&gt;"",INDEX(SWITCH_TABLE[#Data],$J53,MATCH("Device Name",SWITCH_TABLE[#Headers],0)) &amp; " " &amp; INDEX(SWITCH_TABLE[#Data],$J53,MATCH("Uplink Port 1",SWITCH_TABLE[#Headers],0)),"")</f>
        <v/>
      </c>
      <c r="J53" s="118" t="str">
        <f t="array" ref="J53">_xlfn.IFNA(MATCH(1,(SHEET_NAME=SWITCH_TABLE[Remote Device 1])*(B53=SWITCH_TABLE[Remote Port 1]),0),"")</f>
        <v/>
      </c>
    </row>
    <row r="54" spans="1:10">
      <c r="A54" s="121">
        <f t="shared" si="4"/>
        <v>35</v>
      </c>
      <c r="B54" s="116" t="str">
        <f t="shared" si="6"/>
        <v>hu1/0/35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122" t="str">
        <f t="shared" si="5"/>
        <v/>
      </c>
      <c r="E54" s="123" t="str" cm="1">
        <f t="array" ref="E54">IF($J54&lt;&gt;"",INDEX(SWITCH_TABLE[#Data],$J54,MATCH("Remote EC",SWITCH_TABLE[#Headers],0)),"")</f>
        <v/>
      </c>
      <c r="F54" s="124" t="str" cm="1">
        <f t="array" ref="F54">_xlfn.IFS($B54="","",$B54=$G$11,"Uplink Port 1",$B54=$G$13,"Uplink Port 2",$B54=$B$71,"Stack Port 1",$B54=$B$72,"Stack Port 2",1=1,"")</f>
        <v/>
      </c>
      <c r="G54" s="122" t="str" cm="1">
        <f t="array" ref="G54">IF($J54&lt;&gt;"",INDEX(SWITCH_TABLE[#Data],$J54,MATCH("Uplink 1 SFP",SWITCH_TABLE[#Headers],0)),"")</f>
        <v/>
      </c>
      <c r="H54" s="125" t="str">
        <f>IF($J54&lt;&gt;"",INDEX(SWITCH_TABLE[#Data],$J54,MATCH("Device Name",SWITCH_TABLE[#Headers],0)) &amp; " " &amp; INDEX(SWITCH_TABLE[#Data],$J54,MATCH("Uplink Port 1",SWITCH_TABLE[#Headers],0)),"")</f>
        <v/>
      </c>
      <c r="J54" s="118" t="str">
        <f t="array" ref="J54">_xlfn.IFNA(MATCH(1,(SHEET_NAME=SWITCH_TABLE[Remote Device 1])*(B54=SWITCH_TABLE[Remote Port 1]),0),"")</f>
        <v/>
      </c>
    </row>
    <row r="55" spans="1:10">
      <c r="A55" s="128">
        <f t="shared" si="4"/>
        <v>36</v>
      </c>
      <c r="B55" s="116" t="str">
        <f t="shared" si="6"/>
        <v>hu1/0/36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122" t="str">
        <f t="shared" si="5"/>
        <v/>
      </c>
      <c r="E55" s="123" t="str" cm="1">
        <f t="array" ref="E55">IF($J55&lt;&gt;"",INDEX(SWITCH_TABLE[#Data],$J55,MATCH("Remote EC",SWITCH_TABLE[#Headers],0)),"")</f>
        <v/>
      </c>
      <c r="F55" s="124" t="str" cm="1">
        <f t="array" ref="F55">_xlfn.IFS($B55="","",$B55=$G$11,"Uplink Port 1",$B55=$G$13,"Uplink Port 2",$B55=$B$71,"Stack Port 1",$B55=$B$72,"Stack Port 2",1=1,"")</f>
        <v/>
      </c>
      <c r="G55" s="122" t="str" cm="1">
        <f t="array" ref="G55">IF($J55&lt;&gt;"",INDEX(SWITCH_TABLE[#Data],$J55,MATCH("Uplink 1 SFP",SWITCH_TABLE[#Headers],0)),"")</f>
        <v/>
      </c>
      <c r="H55" s="125" t="str">
        <f>IF($J55&lt;&gt;"",INDEX(SWITCH_TABLE[#Data],$J55,MATCH("Device Name",SWITCH_TABLE[#Headers],0)) &amp; " " &amp; INDEX(SWITCH_TABLE[#Data],$J55,MATCH("Uplink Port 1",SWITCH_TABLE[#Headers],0)),"")</f>
        <v/>
      </c>
      <c r="J55" s="118" t="str">
        <f t="array" ref="J55">_xlfn.IFNA(MATCH(1,(SHEET_NAME=SWITCH_TABLE[Remote Device 1])*(B55=SWITCH_TABLE[Remote Port 1]),0),"")</f>
        <v/>
      </c>
    </row>
    <row r="56" spans="1:10">
      <c r="A56" s="121">
        <f t="shared" si="4"/>
        <v>37</v>
      </c>
      <c r="B56" s="116" t="str">
        <f t="shared" si="6"/>
        <v>hu1/0/37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122" t="str">
        <f t="shared" si="5"/>
        <v/>
      </c>
      <c r="E56" s="123" t="str" cm="1">
        <f t="array" ref="E56">IF($J56&lt;&gt;"",INDEX(SWITCH_TABLE[#Data],$J56,MATCH("Remote EC",SWITCH_TABLE[#Headers],0)),"")</f>
        <v/>
      </c>
      <c r="F56" s="124" t="str" cm="1">
        <f t="array" ref="F56">_xlfn.IFS($B56="","",$B56=$G$11,"Uplink Port 1",$B56=$G$13,"Uplink Port 2",$B56=$B$71,"Stack Port 1",$B56=$B$72,"Stack Port 2",1=1,"")</f>
        <v/>
      </c>
      <c r="G56" s="122" t="str" cm="1">
        <f t="array" ref="G56">IF($J56&lt;&gt;"",INDEX(SWITCH_TABLE[#Data],$J56,MATCH("Uplink 1 SFP",SWITCH_TABLE[#Headers],0)),"")</f>
        <v/>
      </c>
      <c r="H56" s="125" t="str">
        <f>IF($J56&lt;&gt;"",INDEX(SWITCH_TABLE[#Data],$J56,MATCH("Device Name",SWITCH_TABLE[#Headers],0)) &amp; " " &amp; INDEX(SWITCH_TABLE[#Data],$J56,MATCH("Uplink Port 1",SWITCH_TABLE[#Headers],0)),"")</f>
        <v/>
      </c>
      <c r="J56" s="118" t="str">
        <f t="array" ref="J56">_xlfn.IFNA(MATCH(1,(SHEET_NAME=SWITCH_TABLE[Remote Device 1])*(B56=SWITCH_TABLE[Remote Port 1]),0),"")</f>
        <v/>
      </c>
    </row>
    <row r="57" spans="1:10">
      <c r="A57" s="121">
        <f t="shared" si="4"/>
        <v>38</v>
      </c>
      <c r="B57" s="116" t="str">
        <f t="shared" si="6"/>
        <v>hu1/0/38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122" t="str">
        <f t="shared" si="5"/>
        <v/>
      </c>
      <c r="E57" s="123" t="str" cm="1">
        <f t="array" ref="E57">IF($J57&lt;&gt;"",INDEX(SWITCH_TABLE[#Data],$J57,MATCH("Remote EC",SWITCH_TABLE[#Headers],0)),"")</f>
        <v/>
      </c>
      <c r="F57" s="124" t="str" cm="1">
        <f t="array" ref="F57">_xlfn.IFS($B57="","",$B57=$G$11,"Uplink Port 1",$B57=$G$13,"Uplink Port 2",$B57=$B$71,"Stack Port 1",$B57=$B$72,"Stack Port 2",1=1,"")</f>
        <v/>
      </c>
      <c r="G57" s="122" t="str" cm="1">
        <f t="array" ref="G57">IF($J57&lt;&gt;"",INDEX(SWITCH_TABLE[#Data],$J57,MATCH("Uplink 1 SFP",SWITCH_TABLE[#Headers],0)),"")</f>
        <v/>
      </c>
      <c r="H57" s="125" t="str">
        <f>IF($J57&lt;&gt;"",INDEX(SWITCH_TABLE[#Data],$J57,MATCH("Device Name",SWITCH_TABLE[#Headers],0)) &amp; " " &amp; INDEX(SWITCH_TABLE[#Data],$J57,MATCH("Uplink Port 1",SWITCH_TABLE[#Headers],0)),"")</f>
        <v/>
      </c>
      <c r="J57" s="118" t="str">
        <f t="array" ref="J57">_xlfn.IFNA(MATCH(1,(SHEET_NAME=SWITCH_TABLE[Remote Device 1])*(B57=SWITCH_TABLE[Remote Port 1]),0),"")</f>
        <v/>
      </c>
    </row>
    <row r="58" spans="1:10">
      <c r="A58" s="121">
        <f t="shared" si="4"/>
        <v>39</v>
      </c>
      <c r="B58" s="116" t="str">
        <f t="shared" si="6"/>
        <v>hu1/0/39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122" t="str">
        <f t="shared" si="5"/>
        <v/>
      </c>
      <c r="E58" s="123" t="str" cm="1">
        <f t="array" ref="E58">IF($J58&lt;&gt;"",INDEX(SWITCH_TABLE[#Data],$J58,MATCH("Remote EC",SWITCH_TABLE[#Headers],0)),"")</f>
        <v/>
      </c>
      <c r="F58" s="124" t="str" cm="1">
        <f t="array" ref="F58">_xlfn.IFS($B58="","",$B58=$G$11,"Uplink Port 1",$B58=$G$13,"Uplink Port 2",$B58=$B$71,"Stack Port 1",$B58=$B$72,"Stack Port 2",1=1,"")</f>
        <v/>
      </c>
      <c r="G58" s="122" t="str" cm="1">
        <f t="array" ref="G58">IF($J58&lt;&gt;"",INDEX(SWITCH_TABLE[#Data],$J58,MATCH("Uplink 1 SFP",SWITCH_TABLE[#Headers],0)),"")</f>
        <v/>
      </c>
      <c r="H58" s="125" t="str">
        <f>IF($J58&lt;&gt;"",INDEX(SWITCH_TABLE[#Data],$J58,MATCH("Device Name",SWITCH_TABLE[#Headers],0)) &amp; " " &amp; INDEX(SWITCH_TABLE[#Data],$J58,MATCH("Uplink Port 1",SWITCH_TABLE[#Headers],0)),"")</f>
        <v/>
      </c>
      <c r="J58" s="118" t="str">
        <f t="array" ref="J58">_xlfn.IFNA(MATCH(1,(SHEET_NAME=SWITCH_TABLE[Remote Device 1])*(B58=SWITCH_TABLE[Remote Port 1]),0),"")</f>
        <v/>
      </c>
    </row>
    <row r="59" spans="1:10">
      <c r="A59" s="121">
        <f t="shared" si="4"/>
        <v>40</v>
      </c>
      <c r="B59" s="116" t="str">
        <f t="shared" si="6"/>
        <v>hu1/0/40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122" t="str">
        <f t="shared" si="5"/>
        <v/>
      </c>
      <c r="E59" s="123" t="str" cm="1">
        <f t="array" ref="E59">IF($J59&lt;&gt;"",INDEX(SWITCH_TABLE[#Data],$J59,MATCH("Remote EC",SWITCH_TABLE[#Headers],0)),"")</f>
        <v/>
      </c>
      <c r="F59" s="124" t="str" cm="1">
        <f t="array" ref="F59">_xlfn.IFS($B59="","",$B59=$G$11,"Uplink Port 1",$B59=$G$13,"Uplink Port 2",$B59=$B$71,"Stack Port 1",$B59=$B$72,"Stack Port 2",1=1,"")</f>
        <v/>
      </c>
      <c r="G59" s="122" t="str" cm="1">
        <f t="array" ref="G59">IF($J59&lt;&gt;"",INDEX(SWITCH_TABLE[#Data],$J59,MATCH("Uplink 1 SFP",SWITCH_TABLE[#Headers],0)),"")</f>
        <v/>
      </c>
      <c r="H59" s="125" t="str">
        <f>IF($J59&lt;&gt;"",INDEX(SWITCH_TABLE[#Data],$J59,MATCH("Device Name",SWITCH_TABLE[#Headers],0)) &amp; " " &amp; INDEX(SWITCH_TABLE[#Data],$J59,MATCH("Uplink Port 1",SWITCH_TABLE[#Headers],0)),"")</f>
        <v/>
      </c>
      <c r="J59" s="118" t="str">
        <f t="array" ref="J59">_xlfn.IFNA(MATCH(1,(SHEET_NAME=SWITCH_TABLE[Remote Device 1])*(B59=SWITCH_TABLE[Remote Port 1]),0),"")</f>
        <v/>
      </c>
    </row>
    <row r="60" spans="1:10">
      <c r="A60" s="121">
        <f t="shared" si="4"/>
        <v>41</v>
      </c>
      <c r="B60" s="116" t="str">
        <f t="shared" si="6"/>
        <v>hu1/0/41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122" t="str">
        <f t="shared" si="5"/>
        <v/>
      </c>
      <c r="E60" s="123" t="str" cm="1">
        <f t="array" ref="E60">IF($J60&lt;&gt;"",INDEX(SWITCH_TABLE[#Data],$J60,MATCH("Remote EC",SWITCH_TABLE[#Headers],0)),"")</f>
        <v/>
      </c>
      <c r="F60" s="124" t="str" cm="1">
        <f t="array" ref="F60">_xlfn.IFS($B60="","",$B60=$G$11,"Uplink Port 1",$B60=$G$13,"Uplink Port 2",$B60=$B$71,"Stack Port 1",$B60=$B$72,"Stack Port 2",1=1,"")</f>
        <v/>
      </c>
      <c r="G60" s="122" t="str" cm="1">
        <f t="array" ref="G60">IF($J60&lt;&gt;"",INDEX(SWITCH_TABLE[#Data],$J60,MATCH("Uplink 1 SFP",SWITCH_TABLE[#Headers],0)),"")</f>
        <v/>
      </c>
      <c r="H60" s="125" t="str">
        <f>IF($J60&lt;&gt;"",INDEX(SWITCH_TABLE[#Data],$J60,MATCH("Device Name",SWITCH_TABLE[#Headers],0)) &amp; " " &amp; INDEX(SWITCH_TABLE[#Data],$J60,MATCH("Uplink Port 1",SWITCH_TABLE[#Headers],0)),"")</f>
        <v/>
      </c>
      <c r="J60" s="118" t="str">
        <f t="array" ref="J60">_xlfn.IFNA(MATCH(1,(SHEET_NAME=SWITCH_TABLE[Remote Device 1])*(B60=SWITCH_TABLE[Remote Port 1]),0),"")</f>
        <v/>
      </c>
    </row>
    <row r="61" spans="1:10">
      <c r="A61" s="121">
        <f t="shared" si="4"/>
        <v>42</v>
      </c>
      <c r="B61" s="116" t="str">
        <f t="shared" si="6"/>
        <v>hu1/0/42</v>
      </c>
      <c r="C61" s="122" t="s">
        <v>2608</v>
      </c>
      <c r="D61" s="122" t="s">
        <v>2075</v>
      </c>
      <c r="E61" s="123" cm="1">
        <f t="array" ref="E61">IF($J61&lt;&gt;"",INDEX(SWITCH_TABLE[#Data],$J61,MATCH("Remote EC",SWITCH_TABLE[#Headers],0)),"")</f>
        <v>42</v>
      </c>
      <c r="F61" s="124" t="s">
        <v>78</v>
      </c>
      <c r="G61" s="122" t="s">
        <v>1858</v>
      </c>
      <c r="H61" s="125" t="str">
        <f>IF($J61&lt;&gt;"",INDEX(SWITCH_TABLE[#Data],$J61,MATCH("Device Name",SWITCH_TABLE[#Headers],0)) &amp; " " &amp; INDEX(SWITCH_TABLE[#Data],$J61,MATCH("Uplink Port 1",SWITCH_TABLE[#Headers],0)),"")</f>
        <v>FGHLHN43-1 hu1/0/49</v>
      </c>
      <c r="J61" s="118">
        <f t="array" ref="J61">_xlfn.IFNA(MATCH(1,(SHEET_NAME=SWITCH_TABLE[Remote Device 1])*(B61=SWITCH_TABLE[Remote Port 1]),0),"")</f>
        <v>7</v>
      </c>
    </row>
    <row r="62" spans="1:10">
      <c r="A62" s="121">
        <f t="shared" si="4"/>
        <v>43</v>
      </c>
      <c r="B62" s="116" t="str">
        <f t="shared" si="6"/>
        <v>hu1/0/43</v>
      </c>
      <c r="C62" s="122" t="s">
        <v>2608</v>
      </c>
      <c r="D62" s="122" t="s">
        <v>2075</v>
      </c>
      <c r="E62" s="123" cm="1">
        <f t="array" ref="E62">IF($J62&lt;&gt;"",INDEX(SWITCH_TABLE[#Data],$J62,MATCH("Remote EC",SWITCH_TABLE[#Headers],0)),"")</f>
        <v>43</v>
      </c>
      <c r="F62" s="124" t="s">
        <v>78</v>
      </c>
      <c r="G62" s="122" t="s">
        <v>1855</v>
      </c>
      <c r="H62" s="125" t="str">
        <f>IF($J62&lt;&gt;"",INDEX(SWITCH_TABLE[#Data],$J62,MATCH("Device Name",SWITCH_TABLE[#Headers],0)) &amp; " " &amp; INDEX(SWITCH_TABLE[#Data],$J62,MATCH("Uplink Port 1",SWITCH_TABLE[#Headers],0)),"")</f>
        <v>FGHLHN42-1 hu1/0/49</v>
      </c>
      <c r="J62" s="118">
        <f t="array" ref="J62">_xlfn.IFNA(MATCH(1,(SHEET_NAME=SWITCH_TABLE[Remote Device 1])*(B62=SWITCH_TABLE[Remote Port 1]),0),"")</f>
        <v>5</v>
      </c>
    </row>
    <row r="63" spans="1:10">
      <c r="A63" s="121">
        <f t="shared" si="4"/>
        <v>44</v>
      </c>
      <c r="B63" s="116" t="str">
        <f t="shared" si="6"/>
        <v>hu1/0/44</v>
      </c>
      <c r="C63" s="122" t="s">
        <v>2608</v>
      </c>
      <c r="D63" s="122" t="s">
        <v>2075</v>
      </c>
      <c r="E63" s="123" cm="1">
        <f t="array" ref="E63">IF($J63&lt;&gt;"",INDEX(SWITCH_TABLE[#Data],$J63,MATCH("Remote EC",SWITCH_TABLE[#Headers],0)),"")</f>
        <v>44</v>
      </c>
      <c r="F63" s="124" t="str" cm="1">
        <f t="array" ref="F63">_xlfn.IFS($B63="","",$B63=$G$11,"Uplink Port 1",$B63=$G$13,"Uplink Port 2",$B63=$B$71,"Stack Port 1",$B63=$B$72,"Stack Port 2",1=1,"")</f>
        <v/>
      </c>
      <c r="G63" s="122" t="s">
        <v>1858</v>
      </c>
      <c r="H63" s="125" t="str">
        <f>IF($J63&lt;&gt;"",INDEX(SWITCH_TABLE[#Data],$J63,MATCH("Device Name",SWITCH_TABLE[#Headers],0)) &amp; " " &amp; INDEX(SWITCH_TABLE[#Data],$J63,MATCH("Uplink Port 1",SWITCH_TABLE[#Headers],0)),"")</f>
        <v>FGHLHN41-1 hu1/0/49</v>
      </c>
      <c r="J63" s="118">
        <f t="array" ref="J63">_xlfn.IFNA(MATCH(1,(SHEET_NAME=SWITCH_TABLE[Remote Device 1])*(B63=SWITCH_TABLE[Remote Port 1]),0),"")</f>
        <v>3</v>
      </c>
    </row>
    <row r="64" spans="1:10">
      <c r="A64" s="121">
        <f t="shared" si="4"/>
        <v>45</v>
      </c>
      <c r="B64" s="116" t="str">
        <f t="shared" si="6"/>
        <v>hu1/0/45</v>
      </c>
      <c r="C64" s="122" t="s">
        <v>2611</v>
      </c>
      <c r="D64" s="122" t="s">
        <v>78</v>
      </c>
      <c r="E64" s="123" t="str" cm="1">
        <f t="array" ref="E64">IF($J64&lt;&gt;"",INDEX(SWITCH_TABLE[#Data],$J64,MATCH("Remote EC",SWITCH_TABLE[#Headers],0)),"")</f>
        <v/>
      </c>
      <c r="F64" s="124"/>
      <c r="G64" s="122" t="s">
        <v>78</v>
      </c>
      <c r="H64" s="125" t="str">
        <f>IF($J64&lt;&gt;"",INDEX(SWITCH_TABLE[#Data],$J64,MATCH("Device Name",SWITCH_TABLE[#Headers],0)) &amp; " " &amp; INDEX(SWITCH_TABLE[#Data],$J64,MATCH("Uplink Port 1",SWITCH_TABLE[#Headers],0)),"")</f>
        <v/>
      </c>
      <c r="J64" s="118" t="str">
        <f t="array" ref="J64">_xlfn.IFNA(MATCH(1,(SHEET_NAME=SWITCH_TABLE[Remote Device 1])*(B64=SWITCH_TABLE[Remote Port 1]),0),"")</f>
        <v/>
      </c>
    </row>
    <row r="65" spans="1:10">
      <c r="A65" s="121">
        <f t="shared" si="4"/>
        <v>46</v>
      </c>
      <c r="B65" s="116" t="str">
        <f t="shared" si="6"/>
        <v>hu1/0/46</v>
      </c>
      <c r="C65" s="122" t="s">
        <v>2611</v>
      </c>
      <c r="D65" s="122" t="s">
        <v>78</v>
      </c>
      <c r="E65" s="123" t="str" cm="1">
        <f t="array" ref="E65">IF($J65&lt;&gt;"",INDEX(SWITCH_TABLE[#Data],$J65,MATCH("Remote EC",SWITCH_TABLE[#Headers],0)),"")</f>
        <v/>
      </c>
      <c r="F65" s="124"/>
      <c r="G65" s="122" t="s">
        <v>78</v>
      </c>
      <c r="H65" s="125" t="str">
        <f>IF($J65&lt;&gt;"",INDEX(SWITCH_TABLE[#Data],$J65,MATCH("Device Name",SWITCH_TABLE[#Headers],0)) &amp; " " &amp; INDEX(SWITCH_TABLE[#Data],$J65,MATCH("Uplink Port 1",SWITCH_TABLE[#Headers],0)),"")</f>
        <v/>
      </c>
      <c r="J65" s="118" t="str">
        <f t="array" ref="J65">_xlfn.IFNA(MATCH(1,(SHEET_NAME=SWITCH_TABLE[Remote Device 1])*(B65=SWITCH_TABLE[Remote Port 1]),0),"")</f>
        <v/>
      </c>
    </row>
    <row r="66" spans="1:10">
      <c r="A66" s="121">
        <f t="shared" si="4"/>
        <v>47</v>
      </c>
      <c r="B66" s="116" t="str">
        <f t="shared" si="6"/>
        <v>hu1/0/47</v>
      </c>
      <c r="C66" s="122" t="str" cm="1">
        <f t="array" ref="C66">_xlfn.IFS($B66="","",$B66=$B$71,"reserved",$B66=$B$72,"reserved",$B66=$G$11,"connect",$B66=$G$13,"connect",J66&lt;&gt;"","connect",1=1,"disabled")</f>
        <v>reserved</v>
      </c>
      <c r="D66" s="122" t="str">
        <f>IF(J66&lt;&gt;"","TRUNK","")</f>
        <v/>
      </c>
      <c r="E66" s="123" t="str" cm="1">
        <f t="array" ref="E66">IF($J66&lt;&gt;"",INDEX(SWITCH_TABLE[#Data],$J66,MATCH("Remote EC",SWITCH_TABLE[#Headers],0)),"")</f>
        <v/>
      </c>
      <c r="F66" s="124" t="str" cm="1">
        <f t="array" ref="F66">_xlfn.IFS($B66="","",$B66=$G$11,"Uplink Port 1",$B66=$G$13,"Uplink Port 2",$B66=$B$71,"Stack Port 1",$B66=$B$72,"Stack Port 2",1=1,"")</f>
        <v>Stack Port 1</v>
      </c>
      <c r="G66" s="122" t="str" cm="1">
        <f t="array" ref="G66">IF($J66&lt;&gt;"",INDEX(SWITCH_TABLE[#Data],$J66,MATCH("Uplink 1 SFP",SWITCH_TABLE[#Headers],0)),"")</f>
        <v/>
      </c>
      <c r="H66" s="125" t="str">
        <f>IF($J66&lt;&gt;"",INDEX(SWITCH_TABLE[#Data],$J66,MATCH("Device Name",SWITCH_TABLE[#Headers],0)) &amp; " " &amp; INDEX(SWITCH_TABLE[#Data],$J66,MATCH("Uplink Port 1",SWITCH_TABLE[#Headers],0)),"")</f>
        <v/>
      </c>
      <c r="J66" s="118" t="str">
        <f t="array" ref="J66">_xlfn.IFNA(MATCH(1,(SHEET_NAME=SWITCH_TABLE[Remote Device 1])*(B66=SWITCH_TABLE[Remote Port 1]),0),"")</f>
        <v/>
      </c>
    </row>
    <row r="67" spans="1:10">
      <c r="A67" s="121">
        <f t="shared" si="4"/>
        <v>48</v>
      </c>
      <c r="B67" s="116" t="str">
        <f t="shared" si="6"/>
        <v>hu1/0/48</v>
      </c>
      <c r="C67" s="122" t="str" cm="1">
        <f t="array" ref="C67">_xlfn.IFS($B67="","",$B67=$B$71,"reserved",$B67=$B$72,"reserved",$B67=$G$11,"connect",$B67=$G$13,"connect",J67&lt;&gt;"","connect",1=1,"disabled")</f>
        <v>reserved</v>
      </c>
      <c r="D67" s="122" t="str">
        <f>IF(J67&lt;&gt;"","TRUNK","")</f>
        <v/>
      </c>
      <c r="E67" s="123" t="str" cm="1">
        <f t="array" ref="E67">IF($J67&lt;&gt;"",INDEX(SWITCH_TABLE[#Data],$J67,MATCH("Remote EC",SWITCH_TABLE[#Headers],0)),"")</f>
        <v/>
      </c>
      <c r="F67" s="124" t="str" cm="1">
        <f t="array" ref="F67">_xlfn.IFS($B67="","",$B67=$G$11,"Uplink Port 1",$B67=$G$13,"Uplink Port 2",$B67=$B$71,"Stack Port 1",$B67=$B$72,"Stack Port 2",1=1,"")</f>
        <v>Stack Port 2</v>
      </c>
      <c r="G67" s="122" t="str" cm="1">
        <f t="array" ref="G67">IF($J67&lt;&gt;"",INDEX(SWITCH_TABLE[#Data],$J67,MATCH("Uplink 1 SFP",SWITCH_TABLE[#Headers],0)),"")</f>
        <v/>
      </c>
      <c r="H67" s="125" t="str">
        <f>IF($J67&lt;&gt;"",INDEX(SWITCH_TABLE[#Data],$J67,MATCH("Device Name",SWITCH_TABLE[#Headers],0)) &amp; " " &amp; INDEX(SWITCH_TABLE[#Data],$J67,MATCH("Uplink Port 1",SWITCH_TABLE[#Headers],0)),"")</f>
        <v/>
      </c>
      <c r="J67" s="118" t="str">
        <f t="array" ref="J67">_xlfn.IFNA(MATCH(1,(SHEET_NAME=SWITCH_TABLE[Remote Device 1])*(B67=SWITCH_TABLE[Remote Port 1]),0),"")</f>
        <v/>
      </c>
    </row>
    <row r="68" spans="1:10">
      <c r="A68" s="126"/>
      <c r="B68" s="127"/>
      <c r="C68" s="127" t="str" cm="1">
        <f t="array" ref="C68">_xlfn.IFS($B68="","",$B68=$B$71,"reserved",$B68=$B$72,"reserved",$B68=$G$11,"connect",$B68=$G$13,"connect",1=1,"disabled")</f>
        <v/>
      </c>
      <c r="D68" s="127" t="str" cm="1">
        <f t="array" ref="D68">_xlfn.IFS($B68="","",$B68=$G$11,"TRUNK",$B68=$G$13,"TRUNK",1=1,"")</f>
        <v/>
      </c>
      <c r="E68" s="127"/>
      <c r="F68" s="127" t="str" cm="1">
        <f t="array" ref="F68">_xlfn.IFS($B68="","",$B68=$G$11,"Uplink Port 1",$B68=$G$13,"Uplink Port 2",$B68=$B$71,"Stack Port 1",$B68=$B$72,"Stack Port 2",1=1,"")</f>
        <v/>
      </c>
      <c r="G68" s="127" t="str" cm="1">
        <f t="array" ref="G68">_xlfn.IFS($B68="","",$B68=$G$11,$H$11,$B68=$G$13,$H$13,1=1,"")</f>
        <v/>
      </c>
      <c r="H68" s="127" t="str" cm="1">
        <f t="array" ref="H68">_xlfn.IFS($B68="","",$B68=$G$11,$G$12&amp;" "&amp;#REF!,$B68=$G$13,$G$14&amp;" "&amp;$H$14,1=1,"")</f>
        <v/>
      </c>
      <c r="J68" s="127" t="str" cm="1">
        <f t="array" ref="J68">_xlfn.IFS($B68="","",$B68=$G$11,$G$12&amp;" "&amp;#REF!,$B68=$G$13,$G$14&amp;" "&amp;$H$14,1=1,"")</f>
        <v/>
      </c>
    </row>
    <row r="70" spans="1:10" ht="13.2">
      <c r="A70" s="121">
        <v>0</v>
      </c>
      <c r="B70" s="113" t="s">
        <v>2660</v>
      </c>
      <c r="C70" s="113" t="s">
        <v>2226</v>
      </c>
      <c r="D70" s="113"/>
      <c r="E70" s="113"/>
      <c r="F70" s="113"/>
      <c r="G70" s="113" t="s">
        <v>45</v>
      </c>
      <c r="H70" s="113" t="s">
        <v>2582</v>
      </c>
    </row>
    <row r="71" spans="1:10">
      <c r="A71" s="121">
        <f>ROW(A71)-ROW($A$70)+$A$70</f>
        <v>1</v>
      </c>
      <c r="B71" s="116" t="str" cm="1">
        <f t="array" ref="B71">IF($C$12="","",INDEX(SWITCH_TABLE[#Data],$H$3,MATCH("Stack Port "&amp;A71,SWITCH_TABLE[#Headers],0)))</f>
        <v>hu1/0/47</v>
      </c>
      <c r="C71" s="122" t="str">
        <f>IF(B71="","","connect")</f>
        <v>connect</v>
      </c>
      <c r="D71" s="124"/>
      <c r="E71" s="124"/>
      <c r="F71" s="124" t="str">
        <f>IF(B71="","","Stack Port 1")</f>
        <v>Stack Port 1</v>
      </c>
      <c r="G71" s="118" t="str" cm="1">
        <f t="array" ref="G71">IF($C$12="","",INDEX(SWITCH_TABLE[#Data],$H$3,MATCH("Stack Port "&amp;A71&amp;" SFP",SWITCH_TABLE[#Headers],0)))</f>
        <v>100G QSFP MPO</v>
      </c>
      <c r="H71" s="118" t="str">
        <f>C13&amp;" "&amp;D13</f>
        <v>FGHLHN01-2 hu2/0/48</v>
      </c>
    </row>
    <row r="72" spans="1:10">
      <c r="A72" s="121">
        <f>ROW(A72)-ROW($A$70)+$A$70</f>
        <v>2</v>
      </c>
      <c r="B72" s="116" t="str" cm="1">
        <f t="array" ref="B72">IF($C$12="","",INDEX(SWITCH_TABLE[#Data],$H$3,MATCH("Stack Port "&amp;A72,SWITCH_TABLE[#Headers],0)))</f>
        <v>hu1/0/48</v>
      </c>
      <c r="C72" s="122" t="str">
        <f>IF(B72="","","connect")</f>
        <v>connect</v>
      </c>
      <c r="D72" s="124"/>
      <c r="E72" s="124"/>
      <c r="F72" s="124" t="str">
        <f>IF(B72="","","Stack Port 2")</f>
        <v>Stack Port 2</v>
      </c>
      <c r="G72" s="118" t="str" cm="1">
        <f t="array" ref="G72">IF($C$12="","",INDEX(SWITCH_TABLE[#Data],$H$3,MATCH("Stack Port "&amp;A72&amp;" SFP",SWITCH_TABLE[#Headers],0)))</f>
        <v>100G QSFP MPO</v>
      </c>
      <c r="H72" s="118" t="str">
        <f>C14&amp;" "&amp;D14</f>
        <v>FGHLHN01-2 hu2/0/47</v>
      </c>
    </row>
    <row r="73" spans="1:10">
      <c r="A73" s="126"/>
      <c r="B73" s="127"/>
      <c r="C73" s="127"/>
      <c r="D73" s="127"/>
      <c r="E73" s="127"/>
      <c r="F73" s="127"/>
      <c r="G73" s="127"/>
      <c r="H73" s="127"/>
    </row>
  </sheetData>
  <conditionalFormatting sqref="C52">
    <cfRule type="cellIs" dxfId="1274" priority="21" operator="equal">
      <formula>"reserved"</formula>
    </cfRule>
    <cfRule type="cellIs" dxfId="1273" priority="22" operator="equal">
      <formula>"notconnect"</formula>
    </cfRule>
    <cfRule type="cellIs" dxfId="1272" priority="23" operator="equal">
      <formula>"disabled"</formula>
    </cfRule>
    <cfRule type="cellIs" dxfId="1271" priority="24" operator="equal">
      <formula>"connect"</formula>
    </cfRule>
  </conditionalFormatting>
  <conditionalFormatting sqref="C71:C72">
    <cfRule type="cellIs" dxfId="1270" priority="17" operator="equal">
      <formula>"reserved"</formula>
    </cfRule>
    <cfRule type="cellIs" dxfId="1269" priority="18" operator="equal">
      <formula>"notconnect"</formula>
    </cfRule>
    <cfRule type="cellIs" dxfId="1268" priority="19" operator="equal">
      <formula>"disabled"</formula>
    </cfRule>
    <cfRule type="cellIs" dxfId="1267" priority="20" operator="equal">
      <formula>"connect"</formula>
    </cfRule>
  </conditionalFormatting>
  <conditionalFormatting sqref="C18:C48">
    <cfRule type="cellIs" dxfId="1266" priority="13" operator="equal">
      <formula>"reserved"</formula>
    </cfRule>
    <cfRule type="cellIs" dxfId="1265" priority="14" operator="equal">
      <formula>"notconnect"</formula>
    </cfRule>
    <cfRule type="cellIs" dxfId="1264" priority="15" operator="equal">
      <formula>"disabled"</formula>
    </cfRule>
    <cfRule type="cellIs" dxfId="1263" priority="16" operator="equal">
      <formula>"connect"</formula>
    </cfRule>
  </conditionalFormatting>
  <conditionalFormatting sqref="C53:C63 C66:C67">
    <cfRule type="cellIs" dxfId="1262" priority="9" operator="equal">
      <formula>"reserved"</formula>
    </cfRule>
    <cfRule type="cellIs" dxfId="1261" priority="10" operator="equal">
      <formula>"notconnect"</formula>
    </cfRule>
    <cfRule type="cellIs" dxfId="1260" priority="11" operator="equal">
      <formula>"disabled"</formula>
    </cfRule>
    <cfRule type="cellIs" dxfId="1259" priority="12" operator="equal">
      <formula>"connect"</formula>
    </cfRule>
  </conditionalFormatting>
  <conditionalFormatting sqref="C64:C65">
    <cfRule type="cellIs" dxfId="1258" priority="5" operator="equal">
      <formula>"reserved"</formula>
    </cfRule>
    <cfRule type="cellIs" dxfId="1257" priority="6" operator="equal">
      <formula>"notconnect"</formula>
    </cfRule>
    <cfRule type="cellIs" dxfId="1256" priority="7" operator="equal">
      <formula>"disabled"</formula>
    </cfRule>
    <cfRule type="cellIs" dxfId="1255" priority="8" operator="equal">
      <formula>"connect"</formula>
    </cfRule>
  </conditionalFormatting>
  <conditionalFormatting sqref="C17">
    <cfRule type="cellIs" dxfId="1254" priority="1" operator="equal">
      <formula>"reserved"</formula>
    </cfRule>
    <cfRule type="cellIs" dxfId="1253" priority="2" operator="equal">
      <formula>"notconnect"</formula>
    </cfRule>
    <cfRule type="cellIs" dxfId="1252" priority="3" operator="equal">
      <formula>"disabled"</formula>
    </cfRule>
    <cfRule type="cellIs" dxfId="1251" priority="4" operator="equal">
      <formula>"connect"</formula>
    </cfRule>
  </conditionalFormatting>
  <dataValidations count="4">
    <dataValidation type="list" allowBlank="1" showInputMessage="1" sqref="G52:G67 G17:G48" xr:uid="{6449CE03-56C7-4375-85F5-2AC17FB1EDDA}">
      <formula1>PORT_TYPE_LIST</formula1>
    </dataValidation>
    <dataValidation type="list" allowBlank="1" showInputMessage="1" sqref="C52:C67 C71:C72 C17:C48" xr:uid="{07116695-C240-4D46-B9AB-5BE1ED5DF4A0}">
      <formula1>PORT_STATE_LIST</formula1>
    </dataValidation>
    <dataValidation type="list" allowBlank="1" showInputMessage="1" sqref="D52:D67 D17:D48" xr:uid="{6014F3E1-7130-415F-8C13-612FCFD87DFB}">
      <formula1>VLAN_ID_LIST</formula1>
    </dataValidation>
    <dataValidation allowBlank="1" showInputMessage="1" sqref="E52:E67 E17:E48" xr:uid="{AE3C40C6-19E4-4A95-8606-652FC5AA46BF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9" max="16383" man="1"/>
  </rowBreaks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1FA32-03E6-453A-A62B-FC553D4BBA3A}">
  <sheetPr codeName="Sheet9">
    <tabColor theme="3" tint="-0.249977111117893"/>
  </sheetPr>
  <dimension ref="A1:K73"/>
  <sheetViews>
    <sheetView topLeftCell="A13" workbookViewId="0">
      <selection activeCell="C17" sqref="C17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21875" style="111" hidden="1" customWidth="1"/>
    <col min="11" max="16384" width="9" style="111"/>
  </cols>
  <sheetData>
    <row r="1" spans="1:11" ht="24" customHeight="1">
      <c r="A1" s="108" t="s">
        <v>905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C9500-32QC</v>
      </c>
    </row>
    <row r="2" spans="1:11" ht="13.2">
      <c r="B2" s="112"/>
      <c r="C2" s="112"/>
      <c r="D2" s="112"/>
      <c r="E2" s="112"/>
      <c r="F2" s="112"/>
      <c r="G2" s="112"/>
    </row>
    <row r="3" spans="1:11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2</v>
      </c>
    </row>
    <row r="4" spans="1:11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FGHLHN01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1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Core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1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1">
      <c r="B7" s="116" t="s">
        <v>1819</v>
      </c>
      <c r="C7" s="117">
        <f>VLOOKUP($H$1,MODEL_TABLE[#Data],MATCH("Ports",MODEL_TABLE[#Headers],0),FALSE)</f>
        <v>32</v>
      </c>
      <c r="D7" s="118" t="str">
        <f>VLOOKUP($H$1,MODEL_TABLE[#Data],MATCH("Port Type",MODEL_TABLE[#Headers],0),FALSE)</f>
        <v>fo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CAT2326L1L1</v>
      </c>
    </row>
    <row r="8" spans="1:11">
      <c r="B8" s="116" t="s">
        <v>2656</v>
      </c>
      <c r="C8" s="117">
        <f>VLOOKUP($H$1,MODEL_TABLE[#Data],MATCH("Uplinks",MODEL_TABLE[#Headers],0),FALSE)</f>
        <v>16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10.224.21.254</v>
      </c>
    </row>
    <row r="9" spans="1:11">
      <c r="G9" s="111"/>
    </row>
    <row r="10" spans="1:11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1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n/a</v>
      </c>
      <c r="H11" s="118" cm="1">
        <f t="array" ref="H11">IF(G11="","",INDEX(SWITCH_TABLE[#Data],$H$3,MATCH("Uplink 1 SFP",SWITCH_TABLE[#Headers],0)))</f>
        <v>0</v>
      </c>
    </row>
    <row r="12" spans="1:11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1">
      <c r="B13" s="116" t="s">
        <v>1837</v>
      </c>
      <c r="C13" s="117" t="str">
        <f>INDEX(SWITCH_TABLE[#Data],$H$3,MATCH(B13,SWITCH_TABLE[#Headers],0))</f>
        <v>FGHLHN01-1</v>
      </c>
      <c r="D13" s="117" t="str">
        <f>INDEX(SWITCH_TABLE[#Data],$H$3,MATCH("Next Port",SWITCH_TABLE[#Headers],0))</f>
        <v>hu1/0/48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n/a</v>
      </c>
      <c r="H13" s="118" cm="1">
        <f t="array" ref="H13">IF(G13="","",INDEX(SWITCH_TABLE[#Data],$H$3,MATCH("Uplink 2 SFP",SWITCH_TABLE[#Headers],0)))</f>
        <v>0</v>
      </c>
    </row>
    <row r="14" spans="1:11">
      <c r="B14" s="116" t="s">
        <v>1842</v>
      </c>
      <c r="C14" s="117" t="str">
        <f>INDEX(SWITCH_TABLE[#Data],$H$3,MATCH(B14,SWITCH_TABLE[#Headers],0))</f>
        <v>FGHLHN01-1</v>
      </c>
      <c r="D14" s="117" t="str">
        <f>INDEX(SWITCH_TABLE[#Data],$H$3,MATCH("Prev Port",SWITCH_TABLE[#Headers],0))</f>
        <v>hu1/0/47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1">
      <c r="H15" s="114"/>
      <c r="I15" s="111" t="str">
        <f t="array" ref="I15">_xlfn.IFNA(MATCH(1,(#REF!=SWITCH_TABLE[Remote Device 1])*(#REF!=SWITCH_TABLE[Remote Port 1]),0),"")</f>
        <v/>
      </c>
      <c r="K15" s="111" t="str">
        <f t="array" ref="K15">_xlfn.IFNA(MATCH(1,(#REF!=SWITCH_TABLE[Remote Device 1])*(#REF!=SWITCH_TABLE[Remote Port 1]),0),"")</f>
        <v/>
      </c>
    </row>
    <row r="16" spans="1:11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1">
      <c r="A17" s="121">
        <f>ROW(A17)-ROW($A$16)+$A$16</f>
        <v>1</v>
      </c>
      <c r="B17" s="116" t="str">
        <f t="shared" ref="B17:B48" si="0">IF(A17&lt;=$C$7,$D$7&amp;$C$11&amp;"/0/"&amp;A17,"")</f>
        <v>fo2/0/1</v>
      </c>
      <c r="C17" s="122" t="str">
        <f t="shared" ref="C17:C48" si="1">IF(INDEX($C$52:$C$67,INT(($A17+1)/2),1)&lt;&gt;"disabled","reserved","disabled")</f>
        <v>disabled</v>
      </c>
      <c r="D17" s="122" t="str">
        <f t="shared" ref="D17:D48" si="2">IF(J17&lt;&gt;"","TRUNK","")</f>
        <v/>
      </c>
      <c r="E17" s="123" t="str" cm="1">
        <f t="array" ref="E17">IF($J17&lt;&gt;"",INDEX(SWITCH_TABLE[#Data],$J17,MATCH("Remote EC",SWITCH_TABLE[#Headers],0)),"")</f>
        <v/>
      </c>
      <c r="F17" s="124" t="str" cm="1">
        <f t="array" ref="F17">_xlfn.IFS($B17="","",$B17=$G$11,"Uplink Port 1",$B17=$G$13,"Uplink Port 2",$B17=$B$71,"Stack Port 1",$B17=$B$72,"Stack Port 2",1=1,"")</f>
        <v/>
      </c>
      <c r="G17" s="122" t="str" cm="1">
        <f t="array" ref="G17">IF($J17&lt;&gt;"",INDEX(SWITCH_TABLE[#Data],$J17,MATCH("Uplink 2 SFP",SWITCH_TABLE[#Headers],0)),"")</f>
        <v/>
      </c>
      <c r="H17" s="125" t="str">
        <f>IF($J17&lt;&gt;"",INDEX(SWITCH_TABLE[#Data],$J17,MATCH("Device Name",SWITCH_TABLE[#Headers],0)) &amp; " " &amp; INDEX(SWITCH_TABLE[#Data],$J17,MATCH("Uplink Port 2",SWITCH_TABLE[#Headers],0)),"")</f>
        <v/>
      </c>
      <c r="I17" s="40"/>
      <c r="J17" s="118" t="str">
        <f t="array" ref="J17">_xlfn.IFNA(MATCH(1,(SHEET_NAME=SWITCH_TABLE[Remote Device 1])*(B17=SWITCH_TABLE[Remote Port 1]),0),"")</f>
        <v/>
      </c>
      <c r="K17" s="40"/>
    </row>
    <row r="18" spans="1:11">
      <c r="A18" s="121">
        <f t="shared" ref="A18:A48" si="3">ROW(A18)-ROW($A$16)+$A$16</f>
        <v>2</v>
      </c>
      <c r="B18" s="116" t="str">
        <f t="shared" si="0"/>
        <v>fo2/0/2</v>
      </c>
      <c r="C18" s="122" t="str">
        <f t="shared" si="1"/>
        <v>disabled</v>
      </c>
      <c r="D18" s="122" t="str">
        <f t="shared" si="2"/>
        <v/>
      </c>
      <c r="E18" s="123" t="str" cm="1">
        <f t="array" ref="E18">IF($J18&lt;&gt;"",INDEX(SWITCH_TABLE[#Data],$J18,MATCH("Remote EC",SWITCH_TABLE[#Headers],0)),"")</f>
        <v/>
      </c>
      <c r="F18" s="124" t="str" cm="1">
        <f t="array" ref="F18">_xlfn.IFS($B18="","",$B18=$G$11,"Uplink Port 1",$B18=$G$13,"Uplink Port 2",$B18=$B$71,"Stack Port 1",$B18=$B$72,"Stack Port 2",1=1,"")</f>
        <v/>
      </c>
      <c r="G18" s="122" t="str" cm="1">
        <f t="array" ref="G18">IF($J18&lt;&gt;"",INDEX(SWITCH_TABLE[#Data],$J18,MATCH("Uplink 2 SFP",SWITCH_TABLE[#Headers],0)),"")</f>
        <v/>
      </c>
      <c r="H18" s="125" t="str">
        <f>IF($J18&lt;&gt;"",INDEX(SWITCH_TABLE[#Data],$J18,MATCH("Device Name",SWITCH_TABLE[#Headers],0)) &amp; " " &amp; INDEX(SWITCH_TABLE[#Data],$J18,MATCH("Uplink Port 2",SWITCH_TABLE[#Headers],0)),"")</f>
        <v/>
      </c>
      <c r="I18" s="40"/>
      <c r="J18" s="118" t="str">
        <f t="array" ref="J18">_xlfn.IFNA(MATCH(1,(SHEET_NAME=SWITCH_TABLE[Remote Device 1])*(B18=SWITCH_TABLE[Remote Port 1]),0),"")</f>
        <v/>
      </c>
      <c r="K18" s="40"/>
    </row>
    <row r="19" spans="1:11">
      <c r="A19" s="121">
        <f t="shared" si="3"/>
        <v>3</v>
      </c>
      <c r="B19" s="116" t="str">
        <f t="shared" si="0"/>
        <v>fo2/0/3</v>
      </c>
      <c r="C19" s="122" t="str">
        <f t="shared" si="1"/>
        <v>disabled</v>
      </c>
      <c r="D19" s="122" t="str">
        <f t="shared" si="2"/>
        <v/>
      </c>
      <c r="E19" s="123" t="str" cm="1">
        <f t="array" ref="E19">IF($J19&lt;&gt;"",INDEX(SWITCH_TABLE[#Data],$J19,MATCH("Remote EC",SWITCH_TABLE[#Headers],0)),"")</f>
        <v/>
      </c>
      <c r="F19" s="124" t="str" cm="1">
        <f t="array" ref="F19">_xlfn.IFS($B19="","",$B19=$G$11,"Uplink Port 1",$B19=$G$13,"Uplink Port 2",$B19=$B$71,"Stack Port 1",$B19=$B$72,"Stack Port 2",1=1,"")</f>
        <v/>
      </c>
      <c r="G19" s="122" t="str" cm="1">
        <f t="array" ref="G19">IF($J19&lt;&gt;"",INDEX(SWITCH_TABLE[#Data],$J19,MATCH("Uplink 2 SFP",SWITCH_TABLE[#Headers],0)),"")</f>
        <v/>
      </c>
      <c r="H19" s="125" t="str">
        <f>IF($J19&lt;&gt;"",INDEX(SWITCH_TABLE[#Data],$J19,MATCH("Device Name",SWITCH_TABLE[#Headers],0)) &amp; " " &amp; INDEX(SWITCH_TABLE[#Data],$J19,MATCH("Uplink Port 2",SWITCH_TABLE[#Headers],0)),"")</f>
        <v/>
      </c>
      <c r="I19" s="40"/>
      <c r="J19" s="118" t="str">
        <f t="array" ref="J19">_xlfn.IFNA(MATCH(1,(SHEET_NAME=SWITCH_TABLE[Remote Device 1])*(B19=SWITCH_TABLE[Remote Port 1]),0),"")</f>
        <v/>
      </c>
      <c r="K19" s="40"/>
    </row>
    <row r="20" spans="1:11">
      <c r="A20" s="121">
        <f t="shared" si="3"/>
        <v>4</v>
      </c>
      <c r="B20" s="116" t="str">
        <f t="shared" si="0"/>
        <v>fo2/0/4</v>
      </c>
      <c r="C20" s="122" t="str">
        <f t="shared" si="1"/>
        <v>disabled</v>
      </c>
      <c r="D20" s="122" t="str">
        <f t="shared" si="2"/>
        <v/>
      </c>
      <c r="E20" s="123" t="str" cm="1">
        <f t="array" ref="E20">IF($J20&lt;&gt;"",INDEX(SWITCH_TABLE[#Data],$J20,MATCH("Remote EC",SWITCH_TABLE[#Headers],0)),"")</f>
        <v/>
      </c>
      <c r="F20" s="124" t="str" cm="1">
        <f t="array" ref="F20">_xlfn.IFS($B20="","",$B20=$G$11,"Uplink Port 1",$B20=$G$13,"Uplink Port 2",$B20=$B$71,"Stack Port 1",$B20=$B$72,"Stack Port 2",1=1,"")</f>
        <v/>
      </c>
      <c r="G20" s="122" t="str" cm="1">
        <f t="array" ref="G20">IF($J20&lt;&gt;"",INDEX(SWITCH_TABLE[#Data],$J20,MATCH("Uplink 2 SFP",SWITCH_TABLE[#Headers],0)),"")</f>
        <v/>
      </c>
      <c r="H20" s="125" t="str">
        <f>IF($J20&lt;&gt;"",INDEX(SWITCH_TABLE[#Data],$J20,MATCH("Device Name",SWITCH_TABLE[#Headers],0)) &amp; " " &amp; INDEX(SWITCH_TABLE[#Data],$J20,MATCH("Uplink Port 2",SWITCH_TABLE[#Headers],0)),"")</f>
        <v/>
      </c>
      <c r="I20" s="40"/>
      <c r="J20" s="118" t="str">
        <f t="array" ref="J20">_xlfn.IFNA(MATCH(1,(SHEET_NAME=SWITCH_TABLE[Remote Device 1])*(B20=SWITCH_TABLE[Remote Port 1]),0),"")</f>
        <v/>
      </c>
      <c r="K20" s="40"/>
    </row>
    <row r="21" spans="1:11">
      <c r="A21" s="121">
        <f t="shared" si="3"/>
        <v>5</v>
      </c>
      <c r="B21" s="116" t="str">
        <f t="shared" si="0"/>
        <v>fo2/0/5</v>
      </c>
      <c r="C21" s="122" t="str">
        <f t="shared" si="1"/>
        <v>disabled</v>
      </c>
      <c r="D21" s="122" t="str">
        <f t="shared" si="2"/>
        <v/>
      </c>
      <c r="E21" s="123" t="str" cm="1">
        <f t="array" ref="E21">IF($J21&lt;&gt;"",INDEX(SWITCH_TABLE[#Data],$J21,MATCH("Remote EC",SWITCH_TABLE[#Headers],0)),"")</f>
        <v/>
      </c>
      <c r="F21" s="124" t="str" cm="1">
        <f t="array" ref="F21">_xlfn.IFS($B21="","",$B21=$G$11,"Uplink Port 1",$B21=$G$13,"Uplink Port 2",$B21=$B$71,"Stack Port 1",$B21=$B$72,"Stack Port 2",1=1,"")</f>
        <v/>
      </c>
      <c r="G21" s="122" t="str" cm="1">
        <f t="array" ref="G21">IF($J21&lt;&gt;"",INDEX(SWITCH_TABLE[#Data],$J21,MATCH("Uplink 2 SFP",SWITCH_TABLE[#Headers],0)),"")</f>
        <v/>
      </c>
      <c r="H21" s="125" t="str">
        <f>IF($J21&lt;&gt;"",INDEX(SWITCH_TABLE[#Data],$J21,MATCH("Device Name",SWITCH_TABLE[#Headers],0)) &amp; " " &amp; INDEX(SWITCH_TABLE[#Data],$J21,MATCH("Uplink Port 2",SWITCH_TABLE[#Headers],0)),"")</f>
        <v/>
      </c>
      <c r="I21" s="40"/>
      <c r="J21" s="118" t="str">
        <f t="array" ref="J21">_xlfn.IFNA(MATCH(1,(SHEET_NAME=SWITCH_TABLE[Remote Device 1])*(B21=SWITCH_TABLE[Remote Port 1]),0),"")</f>
        <v/>
      </c>
      <c r="K21" s="40"/>
    </row>
    <row r="22" spans="1:11">
      <c r="A22" s="121">
        <f t="shared" si="3"/>
        <v>6</v>
      </c>
      <c r="B22" s="116" t="str">
        <f t="shared" si="0"/>
        <v>fo2/0/6</v>
      </c>
      <c r="C22" s="122" t="str">
        <f t="shared" si="1"/>
        <v>disabled</v>
      </c>
      <c r="D22" s="122" t="str">
        <f t="shared" si="2"/>
        <v/>
      </c>
      <c r="E22" s="123" t="str" cm="1">
        <f t="array" ref="E22">IF($J22&lt;&gt;"",INDEX(SWITCH_TABLE[#Data],$J22,MATCH("Remote EC",SWITCH_TABLE[#Headers],0)),"")</f>
        <v/>
      </c>
      <c r="F22" s="124" t="str" cm="1">
        <f t="array" ref="F22">_xlfn.IFS($B22="","",$B22=$G$11,"Uplink Port 1",$B22=$G$13,"Uplink Port 2",$B22=$B$71,"Stack Port 1",$B22=$B$72,"Stack Port 2",1=1,"")</f>
        <v/>
      </c>
      <c r="G22" s="122" t="str" cm="1">
        <f t="array" ref="G22">IF($J22&lt;&gt;"",INDEX(SWITCH_TABLE[#Data],$J22,MATCH("Uplink 2 SFP",SWITCH_TABLE[#Headers],0)),"")</f>
        <v/>
      </c>
      <c r="H22" s="125" t="str">
        <f>IF($J22&lt;&gt;"",INDEX(SWITCH_TABLE[#Data],$J22,MATCH("Device Name",SWITCH_TABLE[#Headers],0)) &amp; " " &amp; INDEX(SWITCH_TABLE[#Data],$J22,MATCH("Uplink Port 2",SWITCH_TABLE[#Headers],0)),"")</f>
        <v/>
      </c>
      <c r="I22" s="40"/>
      <c r="J22" s="118" t="str">
        <f t="array" ref="J22">_xlfn.IFNA(MATCH(1,(SHEET_NAME=SWITCH_TABLE[Remote Device 1])*(B22=SWITCH_TABLE[Remote Port 1]),0),"")</f>
        <v/>
      </c>
      <c r="K22" s="40"/>
    </row>
    <row r="23" spans="1:11">
      <c r="A23" s="121">
        <f t="shared" si="3"/>
        <v>7</v>
      </c>
      <c r="B23" s="116" t="str">
        <f t="shared" si="0"/>
        <v>fo2/0/7</v>
      </c>
      <c r="C23" s="122" t="str">
        <f t="shared" si="1"/>
        <v>disabled</v>
      </c>
      <c r="D23" s="122" t="str">
        <f t="shared" si="2"/>
        <v/>
      </c>
      <c r="E23" s="123" t="str" cm="1">
        <f t="array" ref="E23">IF($J23&lt;&gt;"",INDEX(SWITCH_TABLE[#Data],$J23,MATCH("Remote EC",SWITCH_TABLE[#Headers],0)),"")</f>
        <v/>
      </c>
      <c r="F23" s="124" t="str" cm="1">
        <f t="array" ref="F23">_xlfn.IFS($B23="","",$B23=$G$11,"Uplink Port 1",$B23=$G$13,"Uplink Port 2",$B23=$B$71,"Stack Port 1",$B23=$B$72,"Stack Port 2",1=1,"")</f>
        <v/>
      </c>
      <c r="G23" s="122" t="str" cm="1">
        <f t="array" ref="G23">IF($J23&lt;&gt;"",INDEX(SWITCH_TABLE[#Data],$J23,MATCH("Uplink 2 SFP",SWITCH_TABLE[#Headers],0)),"")</f>
        <v/>
      </c>
      <c r="H23" s="125" t="str">
        <f>IF($J23&lt;&gt;"",INDEX(SWITCH_TABLE[#Data],$J23,MATCH("Device Name",SWITCH_TABLE[#Headers],0)) &amp; " " &amp; INDEX(SWITCH_TABLE[#Data],$J23,MATCH("Uplink Port 2",SWITCH_TABLE[#Headers],0)),"")</f>
        <v/>
      </c>
      <c r="I23" s="40"/>
      <c r="J23" s="118" t="str">
        <f t="array" ref="J23">_xlfn.IFNA(MATCH(1,(SHEET_NAME=SWITCH_TABLE[Remote Device 1])*(B23=SWITCH_TABLE[Remote Port 1]),0),"")</f>
        <v/>
      </c>
      <c r="K23" s="40"/>
    </row>
    <row r="24" spans="1:11">
      <c r="A24" s="121">
        <f t="shared" si="3"/>
        <v>8</v>
      </c>
      <c r="B24" s="116" t="str">
        <f t="shared" si="0"/>
        <v>fo2/0/8</v>
      </c>
      <c r="C24" s="122" t="str">
        <f t="shared" si="1"/>
        <v>disabled</v>
      </c>
      <c r="D24" s="122" t="str">
        <f t="shared" si="2"/>
        <v/>
      </c>
      <c r="E24" s="123" t="str" cm="1">
        <f t="array" ref="E24">IF($J24&lt;&gt;"",INDEX(SWITCH_TABLE[#Data],$J24,MATCH("Remote EC",SWITCH_TABLE[#Headers],0)),"")</f>
        <v/>
      </c>
      <c r="F24" s="124" t="str" cm="1">
        <f t="array" ref="F24">_xlfn.IFS($B24="","",$B24=$G$11,"Uplink Port 1",$B24=$G$13,"Uplink Port 2",$B24=$B$71,"Stack Port 1",$B24=$B$72,"Stack Port 2",1=1,"")</f>
        <v/>
      </c>
      <c r="G24" s="122" t="str" cm="1">
        <f t="array" ref="G24">IF($J24&lt;&gt;"",INDEX(SWITCH_TABLE[#Data],$J24,MATCH("Uplink 2 SFP",SWITCH_TABLE[#Headers],0)),"")</f>
        <v/>
      </c>
      <c r="H24" s="125" t="str">
        <f>IF($J24&lt;&gt;"",INDEX(SWITCH_TABLE[#Data],$J24,MATCH("Device Name",SWITCH_TABLE[#Headers],0)) &amp; " " &amp; INDEX(SWITCH_TABLE[#Data],$J24,MATCH("Uplink Port 2",SWITCH_TABLE[#Headers],0)),"")</f>
        <v/>
      </c>
      <c r="I24" s="40"/>
      <c r="J24" s="118" t="str">
        <f t="array" ref="J24">_xlfn.IFNA(MATCH(1,(SHEET_NAME=SWITCH_TABLE[Remote Device 1])*(B24=SWITCH_TABLE[Remote Port 1]),0),"")</f>
        <v/>
      </c>
      <c r="K24" s="40"/>
    </row>
    <row r="25" spans="1:11">
      <c r="A25" s="121">
        <f t="shared" si="3"/>
        <v>9</v>
      </c>
      <c r="B25" s="116" t="str">
        <f t="shared" si="0"/>
        <v>fo2/0/9</v>
      </c>
      <c r="C25" s="122" t="str">
        <f t="shared" si="1"/>
        <v>disabled</v>
      </c>
      <c r="D25" s="122" t="str">
        <f t="shared" si="2"/>
        <v/>
      </c>
      <c r="E25" s="123" t="str" cm="1">
        <f t="array" ref="E25">IF($J25&lt;&gt;"",INDEX(SWITCH_TABLE[#Data],$J25,MATCH("Remote EC",SWITCH_TABLE[#Headers],0)),"")</f>
        <v/>
      </c>
      <c r="F25" s="124" t="str" cm="1">
        <f t="array" ref="F25">_xlfn.IFS($B25="","",$B25=$G$11,"Uplink Port 1",$B25=$G$13,"Uplink Port 2",$B25=$B$71,"Stack Port 1",$B25=$B$72,"Stack Port 2",1=1,"")</f>
        <v/>
      </c>
      <c r="G25" s="122" t="str" cm="1">
        <f t="array" ref="G25">IF($J25&lt;&gt;"",INDEX(SWITCH_TABLE[#Data],$J25,MATCH("Uplink 2 SFP",SWITCH_TABLE[#Headers],0)),"")</f>
        <v/>
      </c>
      <c r="H25" s="125" t="str">
        <f>IF($J25&lt;&gt;"",INDEX(SWITCH_TABLE[#Data],$J25,MATCH("Device Name",SWITCH_TABLE[#Headers],0)) &amp; " " &amp; INDEX(SWITCH_TABLE[#Data],$J25,MATCH("Uplink Port 2",SWITCH_TABLE[#Headers],0)),"")</f>
        <v/>
      </c>
      <c r="I25" s="40"/>
      <c r="J25" s="118" t="str">
        <f t="array" ref="J25">_xlfn.IFNA(MATCH(1,(SHEET_NAME=SWITCH_TABLE[Remote Device 1])*(B25=SWITCH_TABLE[Remote Port 1]),0),"")</f>
        <v/>
      </c>
      <c r="K25" s="40"/>
    </row>
    <row r="26" spans="1:11">
      <c r="A26" s="121">
        <f t="shared" si="3"/>
        <v>10</v>
      </c>
      <c r="B26" s="116" t="str">
        <f t="shared" si="0"/>
        <v>fo2/0/10</v>
      </c>
      <c r="C26" s="122" t="str">
        <f t="shared" si="1"/>
        <v>disabled</v>
      </c>
      <c r="D26" s="122" t="str">
        <f t="shared" si="2"/>
        <v/>
      </c>
      <c r="E26" s="123" t="str" cm="1">
        <f t="array" ref="E26">IF($J26&lt;&gt;"",INDEX(SWITCH_TABLE[#Data],$J26,MATCH("Remote EC",SWITCH_TABLE[#Headers],0)),"")</f>
        <v/>
      </c>
      <c r="F26" s="124" t="str" cm="1">
        <f t="array" ref="F26">_xlfn.IFS($B26="","",$B26=$G$11,"Uplink Port 1",$B26=$G$13,"Uplink Port 2",$B26=$B$71,"Stack Port 1",$B26=$B$72,"Stack Port 2",1=1,"")</f>
        <v/>
      </c>
      <c r="G26" s="122" t="str" cm="1">
        <f t="array" ref="G26">IF($J26&lt;&gt;"",INDEX(SWITCH_TABLE[#Data],$J26,MATCH("Uplink 2 SFP",SWITCH_TABLE[#Headers],0)),"")</f>
        <v/>
      </c>
      <c r="H26" s="125" t="str">
        <f>IF($J26&lt;&gt;"",INDEX(SWITCH_TABLE[#Data],$J26,MATCH("Device Name",SWITCH_TABLE[#Headers],0)) &amp; " " &amp; INDEX(SWITCH_TABLE[#Data],$J26,MATCH("Uplink Port 2",SWITCH_TABLE[#Headers],0)),"")</f>
        <v/>
      </c>
      <c r="I26" s="40"/>
      <c r="J26" s="118" t="str">
        <f t="array" ref="J26">_xlfn.IFNA(MATCH(1,(SHEET_NAME=SWITCH_TABLE[Remote Device 1])*(B26=SWITCH_TABLE[Remote Port 1]),0),"")</f>
        <v/>
      </c>
      <c r="K26" s="40"/>
    </row>
    <row r="27" spans="1:11">
      <c r="A27" s="121">
        <f t="shared" si="3"/>
        <v>11</v>
      </c>
      <c r="B27" s="116" t="str">
        <f t="shared" si="0"/>
        <v>fo2/0/11</v>
      </c>
      <c r="C27" s="122" t="str">
        <f t="shared" si="1"/>
        <v>disabled</v>
      </c>
      <c r="D27" s="122" t="str">
        <f t="shared" si="2"/>
        <v/>
      </c>
      <c r="E27" s="123" t="str" cm="1">
        <f t="array" ref="E27">IF($J27&lt;&gt;"",INDEX(SWITCH_TABLE[#Data],$J27,MATCH("Remote EC",SWITCH_TABLE[#Headers],0)),"")</f>
        <v/>
      </c>
      <c r="F27" s="124" t="str" cm="1">
        <f t="array" ref="F27">_xlfn.IFS($B27="","",$B27=$G$11,"Uplink Port 1",$B27=$G$13,"Uplink Port 2",$B27=$B$71,"Stack Port 1",$B27=$B$72,"Stack Port 2",1=1,"")</f>
        <v/>
      </c>
      <c r="G27" s="122" t="str" cm="1">
        <f t="array" ref="G27">IF($J27&lt;&gt;"",INDEX(SWITCH_TABLE[#Data],$J27,MATCH("Uplink 2 SFP",SWITCH_TABLE[#Headers],0)),"")</f>
        <v/>
      </c>
      <c r="H27" s="125" t="str">
        <f>IF($J27&lt;&gt;"",INDEX(SWITCH_TABLE[#Data],$J27,MATCH("Device Name",SWITCH_TABLE[#Headers],0)) &amp; " " &amp; INDEX(SWITCH_TABLE[#Data],$J27,MATCH("Uplink Port 2",SWITCH_TABLE[#Headers],0)),"")</f>
        <v/>
      </c>
      <c r="I27" s="40"/>
      <c r="J27" s="118" t="str">
        <f t="array" ref="J27">_xlfn.IFNA(MATCH(1,(SHEET_NAME=SWITCH_TABLE[Remote Device 1])*(B27=SWITCH_TABLE[Remote Port 1]),0),"")</f>
        <v/>
      </c>
      <c r="K27" s="40"/>
    </row>
    <row r="28" spans="1:11">
      <c r="A28" s="121">
        <f t="shared" si="3"/>
        <v>12</v>
      </c>
      <c r="B28" s="116" t="str">
        <f t="shared" si="0"/>
        <v>fo2/0/12</v>
      </c>
      <c r="C28" s="122" t="str">
        <f t="shared" si="1"/>
        <v>disabled</v>
      </c>
      <c r="D28" s="122" t="str">
        <f t="shared" si="2"/>
        <v/>
      </c>
      <c r="E28" s="123" t="str" cm="1">
        <f t="array" ref="E28">IF($J28&lt;&gt;"",INDEX(SWITCH_TABLE[#Data],$J28,MATCH("Remote EC",SWITCH_TABLE[#Headers],0)),"")</f>
        <v/>
      </c>
      <c r="F28" s="124" t="str" cm="1">
        <f t="array" ref="F28">_xlfn.IFS($B28="","",$B28=$G$11,"Uplink Port 1",$B28=$G$13,"Uplink Port 2",$B28=$B$71,"Stack Port 1",$B28=$B$72,"Stack Port 2",1=1,"")</f>
        <v/>
      </c>
      <c r="G28" s="122" t="str" cm="1">
        <f t="array" ref="G28">IF($J28&lt;&gt;"",INDEX(SWITCH_TABLE[#Data],$J28,MATCH("Uplink 2 SFP",SWITCH_TABLE[#Headers],0)),"")</f>
        <v/>
      </c>
      <c r="H28" s="125" t="str">
        <f>IF($J28&lt;&gt;"",INDEX(SWITCH_TABLE[#Data],$J28,MATCH("Device Name",SWITCH_TABLE[#Headers],0)) &amp; " " &amp; INDEX(SWITCH_TABLE[#Data],$J28,MATCH("Uplink Port 2",SWITCH_TABLE[#Headers],0)),"")</f>
        <v/>
      </c>
      <c r="I28" s="40"/>
      <c r="J28" s="118" t="str">
        <f t="array" ref="J28">_xlfn.IFNA(MATCH(1,(SHEET_NAME=SWITCH_TABLE[Remote Device 1])*(B28=SWITCH_TABLE[Remote Port 1]),0),"")</f>
        <v/>
      </c>
      <c r="K28" s="40"/>
    </row>
    <row r="29" spans="1:11">
      <c r="A29" s="121">
        <f t="shared" si="3"/>
        <v>13</v>
      </c>
      <c r="B29" s="116" t="str">
        <f t="shared" si="0"/>
        <v>fo2/0/13</v>
      </c>
      <c r="C29" s="122" t="str">
        <f t="shared" si="1"/>
        <v>disabled</v>
      </c>
      <c r="D29" s="122" t="str">
        <f t="shared" si="2"/>
        <v/>
      </c>
      <c r="E29" s="123" t="str" cm="1">
        <f t="array" ref="E29">IF($J29&lt;&gt;"",INDEX(SWITCH_TABLE[#Data],$J29,MATCH("Remote EC",SWITCH_TABLE[#Headers],0)),"")</f>
        <v/>
      </c>
      <c r="F29" s="124" t="str" cm="1">
        <f t="array" ref="F29">_xlfn.IFS($B29="","",$B29=$G$11,"Uplink Port 1",$B29=$G$13,"Uplink Port 2",$B29=$B$71,"Stack Port 1",$B29=$B$72,"Stack Port 2",1=1,"")</f>
        <v/>
      </c>
      <c r="G29" s="122" t="str" cm="1">
        <f t="array" ref="G29">IF($J29&lt;&gt;"",INDEX(SWITCH_TABLE[#Data],$J29,MATCH("Uplink 2 SFP",SWITCH_TABLE[#Headers],0)),"")</f>
        <v/>
      </c>
      <c r="H29" s="125" t="str">
        <f>IF($J29&lt;&gt;"",INDEX(SWITCH_TABLE[#Data],$J29,MATCH("Device Name",SWITCH_TABLE[#Headers],0)) &amp; " " &amp; INDEX(SWITCH_TABLE[#Data],$J29,MATCH("Uplink Port 2",SWITCH_TABLE[#Headers],0)),"")</f>
        <v/>
      </c>
      <c r="I29" s="40"/>
      <c r="J29" s="118" t="str">
        <f t="array" ref="J29">_xlfn.IFNA(MATCH(1,(SHEET_NAME=SWITCH_TABLE[Remote Device 1])*(B29=SWITCH_TABLE[Remote Port 1]),0),"")</f>
        <v/>
      </c>
      <c r="K29" s="40"/>
    </row>
    <row r="30" spans="1:11">
      <c r="A30" s="121">
        <f t="shared" si="3"/>
        <v>14</v>
      </c>
      <c r="B30" s="116" t="str">
        <f t="shared" si="0"/>
        <v>fo2/0/14</v>
      </c>
      <c r="C30" s="122" t="str">
        <f t="shared" si="1"/>
        <v>disabled</v>
      </c>
      <c r="D30" s="122" t="str">
        <f t="shared" si="2"/>
        <v/>
      </c>
      <c r="E30" s="123" t="str" cm="1">
        <f t="array" ref="E30">IF($J30&lt;&gt;"",INDEX(SWITCH_TABLE[#Data],$J30,MATCH("Remote EC",SWITCH_TABLE[#Headers],0)),"")</f>
        <v/>
      </c>
      <c r="F30" s="124" t="str" cm="1">
        <f t="array" ref="F30">_xlfn.IFS($B30="","",$B30=$G$11,"Uplink Port 1",$B30=$G$13,"Uplink Port 2",$B30=$B$71,"Stack Port 1",$B30=$B$72,"Stack Port 2",1=1,"")</f>
        <v/>
      </c>
      <c r="G30" s="122" t="str" cm="1">
        <f t="array" ref="G30">IF($J30&lt;&gt;"",INDEX(SWITCH_TABLE[#Data],$J30,MATCH("Uplink 2 SFP",SWITCH_TABLE[#Headers],0)),"")</f>
        <v/>
      </c>
      <c r="H30" s="125" t="str">
        <f>IF($J30&lt;&gt;"",INDEX(SWITCH_TABLE[#Data],$J30,MATCH("Device Name",SWITCH_TABLE[#Headers],0)) &amp; " " &amp; INDEX(SWITCH_TABLE[#Data],$J30,MATCH("Uplink Port 2",SWITCH_TABLE[#Headers],0)),"")</f>
        <v/>
      </c>
      <c r="I30" s="40"/>
      <c r="J30" s="118" t="str">
        <f t="array" ref="J30">_xlfn.IFNA(MATCH(1,(SHEET_NAME=SWITCH_TABLE[Remote Device 1])*(B30=SWITCH_TABLE[Remote Port 1]),0),"")</f>
        <v/>
      </c>
      <c r="K30" s="40"/>
    </row>
    <row r="31" spans="1:11">
      <c r="A31" s="121">
        <f t="shared" si="3"/>
        <v>15</v>
      </c>
      <c r="B31" s="116" t="str">
        <f t="shared" si="0"/>
        <v>fo2/0/15</v>
      </c>
      <c r="C31" s="122" t="str">
        <f t="shared" si="1"/>
        <v>disabled</v>
      </c>
      <c r="D31" s="122" t="str">
        <f t="shared" si="2"/>
        <v/>
      </c>
      <c r="E31" s="123" t="str" cm="1">
        <f t="array" ref="E31">IF($J31&lt;&gt;"",INDEX(SWITCH_TABLE[#Data],$J31,MATCH("Remote EC",SWITCH_TABLE[#Headers],0)),"")</f>
        <v/>
      </c>
      <c r="F31" s="124" t="str" cm="1">
        <f t="array" ref="F31">_xlfn.IFS($B31="","",$B31=$G$11,"Uplink Port 1",$B31=$G$13,"Uplink Port 2",$B31=$B$71,"Stack Port 1",$B31=$B$72,"Stack Port 2",1=1,"")</f>
        <v/>
      </c>
      <c r="G31" s="122" t="str" cm="1">
        <f t="array" ref="G31">IF($J31&lt;&gt;"",INDEX(SWITCH_TABLE[#Data],$J31,MATCH("Uplink 2 SFP",SWITCH_TABLE[#Headers],0)),"")</f>
        <v/>
      </c>
      <c r="H31" s="125" t="str">
        <f>IF($J31&lt;&gt;"",INDEX(SWITCH_TABLE[#Data],$J31,MATCH("Device Name",SWITCH_TABLE[#Headers],0)) &amp; " " &amp; INDEX(SWITCH_TABLE[#Data],$J31,MATCH("Uplink Port 2",SWITCH_TABLE[#Headers],0)),"")</f>
        <v/>
      </c>
      <c r="I31" s="40"/>
      <c r="J31" s="118" t="str">
        <f t="array" ref="J31">_xlfn.IFNA(MATCH(1,(SHEET_NAME=SWITCH_TABLE[Remote Device 1])*(B31=SWITCH_TABLE[Remote Port 1]),0),"")</f>
        <v/>
      </c>
      <c r="K31" s="40"/>
    </row>
    <row r="32" spans="1:11">
      <c r="A32" s="121">
        <f t="shared" si="3"/>
        <v>16</v>
      </c>
      <c r="B32" s="116" t="str">
        <f t="shared" si="0"/>
        <v>fo2/0/16</v>
      </c>
      <c r="C32" s="122" t="str">
        <f t="shared" si="1"/>
        <v>disabled</v>
      </c>
      <c r="D32" s="122" t="str">
        <f t="shared" si="2"/>
        <v/>
      </c>
      <c r="E32" s="123" t="str" cm="1">
        <f t="array" ref="E32">IF($J32&lt;&gt;"",INDEX(SWITCH_TABLE[#Data],$J32,MATCH("Remote EC",SWITCH_TABLE[#Headers],0)),"")</f>
        <v/>
      </c>
      <c r="F32" s="124" t="str" cm="1">
        <f t="array" ref="F32">_xlfn.IFS($B32="","",$B32=$G$11,"Uplink Port 1",$B32=$G$13,"Uplink Port 2",$B32=$B$71,"Stack Port 1",$B32=$B$72,"Stack Port 2",1=1,"")</f>
        <v/>
      </c>
      <c r="G32" s="122" t="str" cm="1">
        <f t="array" ref="G32">IF($J32&lt;&gt;"",INDEX(SWITCH_TABLE[#Data],$J32,MATCH("Uplink 2 SFP",SWITCH_TABLE[#Headers],0)),"")</f>
        <v/>
      </c>
      <c r="H32" s="125" t="str">
        <f>IF($J32&lt;&gt;"",INDEX(SWITCH_TABLE[#Data],$J32,MATCH("Device Name",SWITCH_TABLE[#Headers],0)) &amp; " " &amp; INDEX(SWITCH_TABLE[#Data],$J32,MATCH("Uplink Port 2",SWITCH_TABLE[#Headers],0)),"")</f>
        <v/>
      </c>
      <c r="I32" s="40"/>
      <c r="J32" s="118" t="str">
        <f t="array" ref="J32">_xlfn.IFNA(MATCH(1,(SHEET_NAME=SWITCH_TABLE[Remote Device 1])*(B32=SWITCH_TABLE[Remote Port 1]),0),"")</f>
        <v/>
      </c>
      <c r="K32" s="40"/>
    </row>
    <row r="33" spans="1:11">
      <c r="A33" s="121">
        <f t="shared" si="3"/>
        <v>17</v>
      </c>
      <c r="B33" s="116" t="str">
        <f t="shared" si="0"/>
        <v>fo2/0/17</v>
      </c>
      <c r="C33" s="122" t="str">
        <f t="shared" si="1"/>
        <v>disabled</v>
      </c>
      <c r="D33" s="122" t="str">
        <f t="shared" si="2"/>
        <v/>
      </c>
      <c r="E33" s="123" t="str" cm="1">
        <f t="array" ref="E33">IF($J33&lt;&gt;"",INDEX(SWITCH_TABLE[#Data],$J33,MATCH("Remote EC",SWITCH_TABLE[#Headers],0)),"")</f>
        <v/>
      </c>
      <c r="F33" s="124" t="str" cm="1">
        <f t="array" ref="F33">_xlfn.IFS($B33="","",$B33=$G$11,"Uplink Port 1",$B33=$G$13,"Uplink Port 2",$B33=$B$71,"Stack Port 1",$B33=$B$72,"Stack Port 2",1=1,"")</f>
        <v/>
      </c>
      <c r="G33" s="122" t="str" cm="1">
        <f t="array" ref="G33">IF($J33&lt;&gt;"",INDEX(SWITCH_TABLE[#Data],$J33,MATCH("Uplink 2 SFP",SWITCH_TABLE[#Headers],0)),"")</f>
        <v/>
      </c>
      <c r="H33" s="125" t="str">
        <f>IF($J33&lt;&gt;"",INDEX(SWITCH_TABLE[#Data],$J33,MATCH("Device Name",SWITCH_TABLE[#Headers],0)) &amp; " " &amp; INDEX(SWITCH_TABLE[#Data],$J33,MATCH("Uplink Port 2",SWITCH_TABLE[#Headers],0)),"")</f>
        <v/>
      </c>
      <c r="I33" s="40"/>
      <c r="J33" s="118" t="str">
        <f t="array" ref="J33">_xlfn.IFNA(MATCH(1,(SHEET_NAME=SWITCH_TABLE[Remote Device 1])*(B33=SWITCH_TABLE[Remote Port 1]),0),"")</f>
        <v/>
      </c>
      <c r="K33" s="40"/>
    </row>
    <row r="34" spans="1:11">
      <c r="A34" s="121">
        <f t="shared" si="3"/>
        <v>18</v>
      </c>
      <c r="B34" s="116" t="str">
        <f t="shared" si="0"/>
        <v>fo2/0/18</v>
      </c>
      <c r="C34" s="122" t="str">
        <f t="shared" si="1"/>
        <v>disabled</v>
      </c>
      <c r="D34" s="122" t="str">
        <f t="shared" si="2"/>
        <v/>
      </c>
      <c r="E34" s="123" t="str" cm="1">
        <f t="array" ref="E34">IF($J34&lt;&gt;"",INDEX(SWITCH_TABLE[#Data],$J34,MATCH("Remote EC",SWITCH_TABLE[#Headers],0)),"")</f>
        <v/>
      </c>
      <c r="F34" s="124" t="str" cm="1">
        <f t="array" ref="F34">_xlfn.IFS($B34="","",$B34=$G$11,"Uplink Port 1",$B34=$G$13,"Uplink Port 2",$B34=$B$71,"Stack Port 1",$B34=$B$72,"Stack Port 2",1=1,"")</f>
        <v/>
      </c>
      <c r="G34" s="122" t="str" cm="1">
        <f t="array" ref="G34">IF($J34&lt;&gt;"",INDEX(SWITCH_TABLE[#Data],$J34,MATCH("Uplink 2 SFP",SWITCH_TABLE[#Headers],0)),"")</f>
        <v/>
      </c>
      <c r="H34" s="125" t="str">
        <f>IF($J34&lt;&gt;"",INDEX(SWITCH_TABLE[#Data],$J34,MATCH("Device Name",SWITCH_TABLE[#Headers],0)) &amp; " " &amp; INDEX(SWITCH_TABLE[#Data],$J34,MATCH("Uplink Port 2",SWITCH_TABLE[#Headers],0)),"")</f>
        <v/>
      </c>
      <c r="I34" s="40"/>
      <c r="J34" s="118" t="str">
        <f t="array" ref="J34">_xlfn.IFNA(MATCH(1,(SHEET_NAME=SWITCH_TABLE[Remote Device 1])*(B34=SWITCH_TABLE[Remote Port 1]),0),"")</f>
        <v/>
      </c>
      <c r="K34" s="40"/>
    </row>
    <row r="35" spans="1:11">
      <c r="A35" s="121">
        <f t="shared" si="3"/>
        <v>19</v>
      </c>
      <c r="B35" s="116" t="str">
        <f t="shared" si="0"/>
        <v>fo2/0/19</v>
      </c>
      <c r="C35" s="122" t="str">
        <f t="shared" si="1"/>
        <v>reserved</v>
      </c>
      <c r="D35" s="122" t="str">
        <f t="shared" si="2"/>
        <v/>
      </c>
      <c r="E35" s="123" t="str" cm="1">
        <f t="array" ref="E35">IF($J35&lt;&gt;"",INDEX(SWITCH_TABLE[#Data],$J35,MATCH("Remote EC",SWITCH_TABLE[#Headers],0)),"")</f>
        <v/>
      </c>
      <c r="F35" s="124" t="str" cm="1">
        <f t="array" ref="F35">_xlfn.IFS($B35="","",$B35=$G$11,"Uplink Port 1",$B35=$G$13,"Uplink Port 2",$B35=$B$71,"Stack Port 1",$B35=$B$72,"Stack Port 2",1=1,"")</f>
        <v/>
      </c>
      <c r="G35" s="122" t="str" cm="1">
        <f t="array" ref="G35">IF($J35&lt;&gt;"",INDEX(SWITCH_TABLE[#Data],$J35,MATCH("Uplink 2 SFP",SWITCH_TABLE[#Headers],0)),"")</f>
        <v/>
      </c>
      <c r="H35" s="125" t="str">
        <f>IF($J35&lt;&gt;"",INDEX(SWITCH_TABLE[#Data],$J35,MATCH("Device Name",SWITCH_TABLE[#Headers],0)) &amp; " " &amp; INDEX(SWITCH_TABLE[#Data],$J35,MATCH("Uplink Port 2",SWITCH_TABLE[#Headers],0)),"")</f>
        <v/>
      </c>
      <c r="I35" s="40"/>
      <c r="J35" s="118" t="str">
        <f t="array" ref="J35">_xlfn.IFNA(MATCH(1,(SHEET_NAME=SWITCH_TABLE[Remote Device 1])*(B35=SWITCH_TABLE[Remote Port 1]),0),"")</f>
        <v/>
      </c>
      <c r="K35" s="40"/>
    </row>
    <row r="36" spans="1:11">
      <c r="A36" s="121">
        <f t="shared" si="3"/>
        <v>20</v>
      </c>
      <c r="B36" s="116" t="str">
        <f t="shared" si="0"/>
        <v>fo2/0/20</v>
      </c>
      <c r="C36" s="122" t="str">
        <f t="shared" si="1"/>
        <v>reserved</v>
      </c>
      <c r="D36" s="122" t="str">
        <f t="shared" si="2"/>
        <v/>
      </c>
      <c r="E36" s="123" t="str" cm="1">
        <f t="array" ref="E36">IF($J36&lt;&gt;"",INDEX(SWITCH_TABLE[#Data],$J36,MATCH("Remote EC",SWITCH_TABLE[#Headers],0)),"")</f>
        <v/>
      </c>
      <c r="F36" s="124" t="str" cm="1">
        <f t="array" ref="F36">_xlfn.IFS($B36="","",$B36=$G$11,"Uplink Port 1",$B36=$G$13,"Uplink Port 2",$B36=$B$71,"Stack Port 1",$B36=$B$72,"Stack Port 2",1=1,"")</f>
        <v/>
      </c>
      <c r="G36" s="122" t="str" cm="1">
        <f t="array" ref="G36">IF($J36&lt;&gt;"",INDEX(SWITCH_TABLE[#Data],$J36,MATCH("Uplink 2 SFP",SWITCH_TABLE[#Headers],0)),"")</f>
        <v/>
      </c>
      <c r="H36" s="125" t="str">
        <f>IF($J36&lt;&gt;"",INDEX(SWITCH_TABLE[#Data],$J36,MATCH("Device Name",SWITCH_TABLE[#Headers],0)) &amp; " " &amp; INDEX(SWITCH_TABLE[#Data],$J36,MATCH("Uplink Port 2",SWITCH_TABLE[#Headers],0)),"")</f>
        <v/>
      </c>
      <c r="I36" s="40"/>
      <c r="J36" s="118" t="str">
        <f t="array" ref="J36">_xlfn.IFNA(MATCH(1,(SHEET_NAME=SWITCH_TABLE[Remote Device 1])*(B36=SWITCH_TABLE[Remote Port 1]),0),"")</f>
        <v/>
      </c>
      <c r="K36" s="40"/>
    </row>
    <row r="37" spans="1:11">
      <c r="A37" s="121">
        <f t="shared" si="3"/>
        <v>21</v>
      </c>
      <c r="B37" s="116" t="str">
        <f t="shared" si="0"/>
        <v>fo2/0/21</v>
      </c>
      <c r="C37" s="122" t="str">
        <f t="shared" si="1"/>
        <v>reserved</v>
      </c>
      <c r="D37" s="122" t="str">
        <f t="shared" si="2"/>
        <v/>
      </c>
      <c r="E37" s="123" t="str" cm="1">
        <f t="array" ref="E37">IF($J37&lt;&gt;"",INDEX(SWITCH_TABLE[#Data],$J37,MATCH("Remote EC",SWITCH_TABLE[#Headers],0)),"")</f>
        <v/>
      </c>
      <c r="F37" s="124" t="str" cm="1">
        <f t="array" ref="F37">_xlfn.IFS($B37="","",$B37=$G$11,"Uplink Port 1",$B37=$G$13,"Uplink Port 2",$B37=$B$71,"Stack Port 1",$B37=$B$72,"Stack Port 2",1=1,"")</f>
        <v/>
      </c>
      <c r="G37" s="122" t="str" cm="1">
        <f t="array" ref="G37">IF($J37&lt;&gt;"",INDEX(SWITCH_TABLE[#Data],$J37,MATCH("Uplink 2 SFP",SWITCH_TABLE[#Headers],0)),"")</f>
        <v/>
      </c>
      <c r="H37" s="125" t="str">
        <f>IF($J37&lt;&gt;"",INDEX(SWITCH_TABLE[#Data],$J37,MATCH("Device Name",SWITCH_TABLE[#Headers],0)) &amp; " " &amp; INDEX(SWITCH_TABLE[#Data],$J37,MATCH("Uplink Port 2",SWITCH_TABLE[#Headers],0)),"")</f>
        <v/>
      </c>
      <c r="I37" s="40"/>
      <c r="J37" s="118" t="str">
        <f t="array" ref="J37">_xlfn.IFNA(MATCH(1,(SHEET_NAME=SWITCH_TABLE[Remote Device 1])*(B37=SWITCH_TABLE[Remote Port 1]),0),"")</f>
        <v/>
      </c>
      <c r="K37" s="40"/>
    </row>
    <row r="38" spans="1:11">
      <c r="A38" s="121">
        <f t="shared" si="3"/>
        <v>22</v>
      </c>
      <c r="B38" s="116" t="str">
        <f t="shared" si="0"/>
        <v>fo2/0/22</v>
      </c>
      <c r="C38" s="122" t="str">
        <f t="shared" si="1"/>
        <v>reserved</v>
      </c>
      <c r="D38" s="122" t="str">
        <f t="shared" si="2"/>
        <v/>
      </c>
      <c r="E38" s="123" t="str" cm="1">
        <f t="array" ref="E38">IF($J38&lt;&gt;"",INDEX(SWITCH_TABLE[#Data],$J38,MATCH("Remote EC",SWITCH_TABLE[#Headers],0)),"")</f>
        <v/>
      </c>
      <c r="F38" s="124" t="str" cm="1">
        <f t="array" ref="F38">_xlfn.IFS($B38="","",$B38=$G$11,"Uplink Port 1",$B38=$G$13,"Uplink Port 2",$B38=$B$71,"Stack Port 1",$B38=$B$72,"Stack Port 2",1=1,"")</f>
        <v/>
      </c>
      <c r="G38" s="122" t="str" cm="1">
        <f t="array" ref="G38">IF($J38&lt;&gt;"",INDEX(SWITCH_TABLE[#Data],$J38,MATCH("Uplink 2 SFP",SWITCH_TABLE[#Headers],0)),"")</f>
        <v/>
      </c>
      <c r="H38" s="125" t="str">
        <f>IF($J38&lt;&gt;"",INDEX(SWITCH_TABLE[#Data],$J38,MATCH("Device Name",SWITCH_TABLE[#Headers],0)) &amp; " " &amp; INDEX(SWITCH_TABLE[#Data],$J38,MATCH("Uplink Port 2",SWITCH_TABLE[#Headers],0)),"")</f>
        <v/>
      </c>
      <c r="I38" s="40"/>
      <c r="J38" s="118" t="str">
        <f t="array" ref="J38">_xlfn.IFNA(MATCH(1,(SHEET_NAME=SWITCH_TABLE[Remote Device 1])*(B38=SWITCH_TABLE[Remote Port 1]),0),"")</f>
        <v/>
      </c>
      <c r="K38" s="40"/>
    </row>
    <row r="39" spans="1:11">
      <c r="A39" s="121">
        <f t="shared" si="3"/>
        <v>23</v>
      </c>
      <c r="B39" s="116" t="str">
        <f t="shared" si="0"/>
        <v>fo2/0/23</v>
      </c>
      <c r="C39" s="122" t="str">
        <f t="shared" si="1"/>
        <v>reserved</v>
      </c>
      <c r="D39" s="122" t="str">
        <f t="shared" si="2"/>
        <v/>
      </c>
      <c r="E39" s="123" t="str" cm="1">
        <f t="array" ref="E39">IF($J39&lt;&gt;"",INDEX(SWITCH_TABLE[#Data],$J39,MATCH("Remote EC",SWITCH_TABLE[#Headers],0)),"")</f>
        <v/>
      </c>
      <c r="F39" s="124" t="str" cm="1">
        <f t="array" ref="F39">_xlfn.IFS($B39="","",$B39=$G$11,"Uplink Port 1",$B39=$G$13,"Uplink Port 2",$B39=$B$71,"Stack Port 1",$B39=$B$72,"Stack Port 2",1=1,"")</f>
        <v/>
      </c>
      <c r="G39" s="122" t="str" cm="1">
        <f t="array" ref="G39">IF($J39&lt;&gt;"",INDEX(SWITCH_TABLE[#Data],$J39,MATCH("Uplink 2 SFP",SWITCH_TABLE[#Headers],0)),"")</f>
        <v/>
      </c>
      <c r="H39" s="125" t="str">
        <f>IF($J39&lt;&gt;"",INDEX(SWITCH_TABLE[#Data],$J39,MATCH("Device Name",SWITCH_TABLE[#Headers],0)) &amp; " " &amp; INDEX(SWITCH_TABLE[#Data],$J39,MATCH("Uplink Port 2",SWITCH_TABLE[#Headers],0)),"")</f>
        <v/>
      </c>
      <c r="I39" s="40"/>
      <c r="J39" s="118" t="str">
        <f t="array" ref="J39">_xlfn.IFNA(MATCH(1,(SHEET_NAME=SWITCH_TABLE[Remote Device 1])*(B39=SWITCH_TABLE[Remote Port 1]),0),"")</f>
        <v/>
      </c>
      <c r="K39" s="40"/>
    </row>
    <row r="40" spans="1:11">
      <c r="A40" s="121">
        <f t="shared" si="3"/>
        <v>24</v>
      </c>
      <c r="B40" s="116" t="str">
        <f t="shared" si="0"/>
        <v>fo2/0/24</v>
      </c>
      <c r="C40" s="122" t="str">
        <f t="shared" si="1"/>
        <v>reserved</v>
      </c>
      <c r="D40" s="122" t="str">
        <f t="shared" si="2"/>
        <v/>
      </c>
      <c r="E40" s="123" t="str" cm="1">
        <f t="array" ref="E40">IF($J40&lt;&gt;"",INDEX(SWITCH_TABLE[#Data],$J40,MATCH("Remote EC",SWITCH_TABLE[#Headers],0)),"")</f>
        <v/>
      </c>
      <c r="F40" s="124" t="str" cm="1">
        <f t="array" ref="F40">_xlfn.IFS($B40="","",$B40=$G$11,"Uplink Port 1",$B40=$G$13,"Uplink Port 2",$B40=$B$71,"Stack Port 1",$B40=$B$72,"Stack Port 2",1=1,"")</f>
        <v/>
      </c>
      <c r="G40" s="122" t="str" cm="1">
        <f t="array" ref="G40">IF($J40&lt;&gt;"",INDEX(SWITCH_TABLE[#Data],$J40,MATCH("Uplink 2 SFP",SWITCH_TABLE[#Headers],0)),"")</f>
        <v/>
      </c>
      <c r="H40" s="125" t="str">
        <f>IF($J40&lt;&gt;"",INDEX(SWITCH_TABLE[#Data],$J40,MATCH("Device Name",SWITCH_TABLE[#Headers],0)) &amp; " " &amp; INDEX(SWITCH_TABLE[#Data],$J40,MATCH("Uplink Port 2",SWITCH_TABLE[#Headers],0)),"")</f>
        <v/>
      </c>
      <c r="I40" s="40"/>
      <c r="J40" s="118" t="str">
        <f t="array" ref="J40">_xlfn.IFNA(MATCH(1,(SHEET_NAME=SWITCH_TABLE[Remote Device 1])*(B40=SWITCH_TABLE[Remote Port 1]),0),"")</f>
        <v/>
      </c>
      <c r="K40" s="40"/>
    </row>
    <row r="41" spans="1:11">
      <c r="A41" s="121">
        <f t="shared" si="3"/>
        <v>25</v>
      </c>
      <c r="B41" s="116" t="str">
        <f t="shared" si="0"/>
        <v>fo2/0/25</v>
      </c>
      <c r="C41" s="122" t="str">
        <f t="shared" si="1"/>
        <v>reserved</v>
      </c>
      <c r="D41" s="122" t="str">
        <f t="shared" si="2"/>
        <v/>
      </c>
      <c r="E41" s="123" t="str" cm="1">
        <f t="array" ref="E41">IF($J41&lt;&gt;"",INDEX(SWITCH_TABLE[#Data],$J41,MATCH("Remote EC",SWITCH_TABLE[#Headers],0)),"")</f>
        <v/>
      </c>
      <c r="F41" s="124" t="str" cm="1">
        <f t="array" ref="F41">_xlfn.IFS($B41="","",$B41=$G$11,"Uplink Port 1",$B41=$G$13,"Uplink Port 2",$B41=$B$71,"Stack Port 1",$B41=$B$72,"Stack Port 2",1=1,"")</f>
        <v/>
      </c>
      <c r="G41" s="122" t="str" cm="1">
        <f t="array" ref="G41">IF($J41&lt;&gt;"",INDEX(SWITCH_TABLE[#Data],$J41,MATCH("Uplink 2 SFP",SWITCH_TABLE[#Headers],0)),"")</f>
        <v/>
      </c>
      <c r="H41" s="125" t="str">
        <f>IF($J41&lt;&gt;"",INDEX(SWITCH_TABLE[#Data],$J41,MATCH("Device Name",SWITCH_TABLE[#Headers],0)) &amp; " " &amp; INDEX(SWITCH_TABLE[#Data],$J41,MATCH("Uplink Port 2",SWITCH_TABLE[#Headers],0)),"")</f>
        <v/>
      </c>
      <c r="I41" s="40"/>
      <c r="J41" s="118" t="str">
        <f t="array" ref="J41">_xlfn.IFNA(MATCH(1,(SHEET_NAME=SWITCH_TABLE[Remote Device 1])*(B41=SWITCH_TABLE[Remote Port 1]),0),"")</f>
        <v/>
      </c>
      <c r="K41" s="40"/>
    </row>
    <row r="42" spans="1:11">
      <c r="A42" s="121">
        <f t="shared" si="3"/>
        <v>26</v>
      </c>
      <c r="B42" s="116" t="str">
        <f t="shared" si="0"/>
        <v>fo2/0/26</v>
      </c>
      <c r="C42" s="122" t="str">
        <f t="shared" si="1"/>
        <v>reserved</v>
      </c>
      <c r="D42" s="122" t="str">
        <f t="shared" si="2"/>
        <v/>
      </c>
      <c r="E42" s="123" t="str" cm="1">
        <f t="array" ref="E42">IF($J42&lt;&gt;"",INDEX(SWITCH_TABLE[#Data],$J42,MATCH("Remote EC",SWITCH_TABLE[#Headers],0)),"")</f>
        <v/>
      </c>
      <c r="F42" s="124" t="str" cm="1">
        <f t="array" ref="F42">_xlfn.IFS($B42="","",$B42=$G$11,"Uplink Port 1",$B42=$G$13,"Uplink Port 2",$B42=$B$71,"Stack Port 1",$B42=$B$72,"Stack Port 2",1=1,"")</f>
        <v/>
      </c>
      <c r="G42" s="122" t="str" cm="1">
        <f t="array" ref="G42">IF($J42&lt;&gt;"",INDEX(SWITCH_TABLE[#Data],$J42,MATCH("Uplink 2 SFP",SWITCH_TABLE[#Headers],0)),"")</f>
        <v/>
      </c>
      <c r="H42" s="125" t="str">
        <f>IF($J42&lt;&gt;"",INDEX(SWITCH_TABLE[#Data],$J42,MATCH("Device Name",SWITCH_TABLE[#Headers],0)) &amp; " " &amp; INDEX(SWITCH_TABLE[#Data],$J42,MATCH("Uplink Port 2",SWITCH_TABLE[#Headers],0)),"")</f>
        <v/>
      </c>
      <c r="I42" s="40"/>
      <c r="J42" s="118" t="str">
        <f t="array" ref="J42">_xlfn.IFNA(MATCH(1,(SHEET_NAME=SWITCH_TABLE[Remote Device 1])*(B42=SWITCH_TABLE[Remote Port 1]),0),"")</f>
        <v/>
      </c>
      <c r="K42" s="40"/>
    </row>
    <row r="43" spans="1:11">
      <c r="A43" s="121">
        <f t="shared" si="3"/>
        <v>27</v>
      </c>
      <c r="B43" s="116" t="str">
        <f t="shared" si="0"/>
        <v>fo2/0/27</v>
      </c>
      <c r="C43" s="122" t="str">
        <f t="shared" si="1"/>
        <v>reserved</v>
      </c>
      <c r="D43" s="122" t="str">
        <f t="shared" si="2"/>
        <v/>
      </c>
      <c r="E43" s="123" t="str" cm="1">
        <f t="array" ref="E43">IF($J43&lt;&gt;"",INDEX(SWITCH_TABLE[#Data],$J43,MATCH("Remote EC",SWITCH_TABLE[#Headers],0)),"")</f>
        <v/>
      </c>
      <c r="F43" s="124" t="str" cm="1">
        <f t="array" ref="F43">_xlfn.IFS($B43="","",$B43=$G$11,"Uplink Port 1",$B43=$G$13,"Uplink Port 2",$B43=$B$71,"Stack Port 1",$B43=$B$72,"Stack Port 2",1=1,"")</f>
        <v/>
      </c>
      <c r="G43" s="122" t="str" cm="1">
        <f t="array" ref="G43">IF($J43&lt;&gt;"",INDEX(SWITCH_TABLE[#Data],$J43,MATCH("Uplink 2 SFP",SWITCH_TABLE[#Headers],0)),"")</f>
        <v/>
      </c>
      <c r="H43" s="125" t="str">
        <f>IF($J43&lt;&gt;"",INDEX(SWITCH_TABLE[#Data],$J43,MATCH("Device Name",SWITCH_TABLE[#Headers],0)) &amp; " " &amp; INDEX(SWITCH_TABLE[#Data],$J43,MATCH("Uplink Port 2",SWITCH_TABLE[#Headers],0)),"")</f>
        <v/>
      </c>
      <c r="I43" s="40"/>
      <c r="J43" s="118" t="str">
        <f t="array" ref="J43">_xlfn.IFNA(MATCH(1,(SHEET_NAME=SWITCH_TABLE[Remote Device 1])*(B43=SWITCH_TABLE[Remote Port 1]),0),"")</f>
        <v/>
      </c>
      <c r="K43" s="40"/>
    </row>
    <row r="44" spans="1:11">
      <c r="A44" s="121">
        <f t="shared" si="3"/>
        <v>28</v>
      </c>
      <c r="B44" s="116" t="str">
        <f t="shared" si="0"/>
        <v>fo2/0/28</v>
      </c>
      <c r="C44" s="122" t="str">
        <f t="shared" si="1"/>
        <v>reserved</v>
      </c>
      <c r="D44" s="122" t="str">
        <f t="shared" si="2"/>
        <v/>
      </c>
      <c r="E44" s="123" t="str" cm="1">
        <f t="array" ref="E44">IF($J44&lt;&gt;"",INDEX(SWITCH_TABLE[#Data],$J44,MATCH("Remote EC",SWITCH_TABLE[#Headers],0)),"")</f>
        <v/>
      </c>
      <c r="F44" s="124" t="str" cm="1">
        <f t="array" ref="F44">_xlfn.IFS($B44="","",$B44=$G$11,"Uplink Port 1",$B44=$G$13,"Uplink Port 2",$B44=$B$71,"Stack Port 1",$B44=$B$72,"Stack Port 2",1=1,"")</f>
        <v/>
      </c>
      <c r="G44" s="122" t="str" cm="1">
        <f t="array" ref="G44">IF($J44&lt;&gt;"",INDEX(SWITCH_TABLE[#Data],$J44,MATCH("Uplink 2 SFP",SWITCH_TABLE[#Headers],0)),"")</f>
        <v/>
      </c>
      <c r="H44" s="125" t="str">
        <f>IF($J44&lt;&gt;"",INDEX(SWITCH_TABLE[#Data],$J44,MATCH("Device Name",SWITCH_TABLE[#Headers],0)) &amp; " " &amp; INDEX(SWITCH_TABLE[#Data],$J44,MATCH("Uplink Port 2",SWITCH_TABLE[#Headers],0)),"")</f>
        <v/>
      </c>
      <c r="I44" s="40"/>
      <c r="J44" s="118" t="str">
        <f t="array" ref="J44">_xlfn.IFNA(MATCH(1,(SHEET_NAME=SWITCH_TABLE[Remote Device 1])*(B44=SWITCH_TABLE[Remote Port 1]),0),"")</f>
        <v/>
      </c>
      <c r="K44" s="40"/>
    </row>
    <row r="45" spans="1:11">
      <c r="A45" s="121">
        <f t="shared" si="3"/>
        <v>29</v>
      </c>
      <c r="B45" s="116" t="str">
        <f t="shared" si="0"/>
        <v>fo2/0/29</v>
      </c>
      <c r="C45" s="122" t="str">
        <f t="shared" si="1"/>
        <v>reserved</v>
      </c>
      <c r="D45" s="122" t="str">
        <f t="shared" si="2"/>
        <v/>
      </c>
      <c r="E45" s="123" t="str" cm="1">
        <f t="array" ref="E45">IF($J45&lt;&gt;"",INDEX(SWITCH_TABLE[#Data],$J45,MATCH("Remote EC",SWITCH_TABLE[#Headers],0)),"")</f>
        <v/>
      </c>
      <c r="F45" s="124" t="str" cm="1">
        <f t="array" ref="F45">_xlfn.IFS($B45="","",$B45=$G$11,"Uplink Port 1",$B45=$G$13,"Uplink Port 2",$B45=$B$71,"Stack Port 1",$B45=$B$72,"Stack Port 2",1=1,"")</f>
        <v/>
      </c>
      <c r="G45" s="122" t="str" cm="1">
        <f t="array" ref="G45">IF($J45&lt;&gt;"",INDEX(SWITCH_TABLE[#Data],$J45,MATCH("Uplink 2 SFP",SWITCH_TABLE[#Headers],0)),"")</f>
        <v/>
      </c>
      <c r="H45" s="125" t="str">
        <f>IF($J45&lt;&gt;"",INDEX(SWITCH_TABLE[#Data],$J45,MATCH("Device Name",SWITCH_TABLE[#Headers],0)) &amp; " " &amp; INDEX(SWITCH_TABLE[#Data],$J45,MATCH("Uplink Port 2",SWITCH_TABLE[#Headers],0)),"")</f>
        <v/>
      </c>
      <c r="I45" s="40"/>
      <c r="J45" s="118" t="str">
        <f t="array" ref="J45">_xlfn.IFNA(MATCH(1,(SHEET_NAME=SWITCH_TABLE[Remote Device 1])*(B45=SWITCH_TABLE[Remote Port 1]),0),"")</f>
        <v/>
      </c>
      <c r="K45" s="40"/>
    </row>
    <row r="46" spans="1:11">
      <c r="A46" s="121">
        <f t="shared" si="3"/>
        <v>30</v>
      </c>
      <c r="B46" s="116" t="str">
        <f t="shared" si="0"/>
        <v>fo2/0/30</v>
      </c>
      <c r="C46" s="122" t="str">
        <f t="shared" si="1"/>
        <v>reserved</v>
      </c>
      <c r="D46" s="122" t="str">
        <f t="shared" si="2"/>
        <v/>
      </c>
      <c r="E46" s="123" t="str" cm="1">
        <f t="array" ref="E46">IF($J46&lt;&gt;"",INDEX(SWITCH_TABLE[#Data],$J46,MATCH("Remote EC",SWITCH_TABLE[#Headers],0)),"")</f>
        <v/>
      </c>
      <c r="F46" s="124" t="str" cm="1">
        <f t="array" ref="F46">_xlfn.IFS($B46="","",$B46=$G$11,"Uplink Port 1",$B46=$G$13,"Uplink Port 2",$B46=$B$71,"Stack Port 1",$B46=$B$72,"Stack Port 2",1=1,"")</f>
        <v/>
      </c>
      <c r="G46" s="122" t="str" cm="1">
        <f t="array" ref="G46">IF($J46&lt;&gt;"",INDEX(SWITCH_TABLE[#Data],$J46,MATCH("Uplink 2 SFP",SWITCH_TABLE[#Headers],0)),"")</f>
        <v/>
      </c>
      <c r="H46" s="125" t="str">
        <f>IF($J46&lt;&gt;"",INDEX(SWITCH_TABLE[#Data],$J46,MATCH("Device Name",SWITCH_TABLE[#Headers],0)) &amp; " " &amp; INDEX(SWITCH_TABLE[#Data],$J46,MATCH("Uplink Port 2",SWITCH_TABLE[#Headers],0)),"")</f>
        <v/>
      </c>
      <c r="I46" s="40"/>
      <c r="J46" s="118" t="str">
        <f t="array" ref="J46">_xlfn.IFNA(MATCH(1,(SHEET_NAME=SWITCH_TABLE[Remote Device 1])*(B46=SWITCH_TABLE[Remote Port 1]),0),"")</f>
        <v/>
      </c>
      <c r="K46" s="40"/>
    </row>
    <row r="47" spans="1:11">
      <c r="A47" s="121">
        <f t="shared" si="3"/>
        <v>31</v>
      </c>
      <c r="B47" s="116" t="str">
        <f t="shared" si="0"/>
        <v>fo2/0/31</v>
      </c>
      <c r="C47" s="122" t="str">
        <f t="shared" si="1"/>
        <v>reserved</v>
      </c>
      <c r="D47" s="122" t="str">
        <f t="shared" si="2"/>
        <v/>
      </c>
      <c r="E47" s="123" t="str" cm="1">
        <f t="array" ref="E47">IF($J47&lt;&gt;"",INDEX(SWITCH_TABLE[#Data],$J47,MATCH("Remote EC",SWITCH_TABLE[#Headers],0)),"")</f>
        <v/>
      </c>
      <c r="F47" s="124" t="str" cm="1">
        <f t="array" ref="F47">_xlfn.IFS($B47="","",$B47=$G$11,"Uplink Port 1",$B47=$G$13,"Uplink Port 2",$B47=$B$71,"Stack Port 1",$B47=$B$72,"Stack Port 2",1=1,"")</f>
        <v/>
      </c>
      <c r="G47" s="122" t="str" cm="1">
        <f t="array" ref="G47">IF($J47&lt;&gt;"",INDEX(SWITCH_TABLE[#Data],$J47,MATCH("Uplink 2 SFP",SWITCH_TABLE[#Headers],0)),"")</f>
        <v/>
      </c>
      <c r="H47" s="125" t="str">
        <f>IF($J47&lt;&gt;"",INDEX(SWITCH_TABLE[#Data],$J47,MATCH("Device Name",SWITCH_TABLE[#Headers],0)) &amp; " " &amp; INDEX(SWITCH_TABLE[#Data],$J47,MATCH("Uplink Port 2",SWITCH_TABLE[#Headers],0)),"")</f>
        <v/>
      </c>
      <c r="I47" s="40"/>
      <c r="J47" s="118" t="str">
        <f t="array" ref="J47">_xlfn.IFNA(MATCH(1,(SHEET_NAME=SWITCH_TABLE[Remote Device 1])*(B47=SWITCH_TABLE[Remote Port 1]),0),"")</f>
        <v/>
      </c>
      <c r="K47" s="40"/>
    </row>
    <row r="48" spans="1:11">
      <c r="A48" s="121">
        <f t="shared" si="3"/>
        <v>32</v>
      </c>
      <c r="B48" s="116" t="str">
        <f t="shared" si="0"/>
        <v>fo2/0/32</v>
      </c>
      <c r="C48" s="122" t="str">
        <f t="shared" si="1"/>
        <v>reserved</v>
      </c>
      <c r="D48" s="122" t="str">
        <f t="shared" si="2"/>
        <v/>
      </c>
      <c r="E48" s="123" t="str" cm="1">
        <f t="array" ref="E48">IF($J48&lt;&gt;"",INDEX(SWITCH_TABLE[#Data],$J48,MATCH("Remote EC",SWITCH_TABLE[#Headers],0)),"")</f>
        <v/>
      </c>
      <c r="F48" s="124" t="str" cm="1">
        <f t="array" ref="F48">_xlfn.IFS($B48="","",$B48=$G$11,"Uplink Port 1",$B48=$G$13,"Uplink Port 2",$B48=$B$71,"Stack Port 1",$B48=$B$72,"Stack Port 2",1=1,"")</f>
        <v/>
      </c>
      <c r="G48" s="122" t="str" cm="1">
        <f t="array" ref="G48">IF($J48&lt;&gt;"",INDEX(SWITCH_TABLE[#Data],$J48,MATCH("Uplink 2 SFP",SWITCH_TABLE[#Headers],0)),"")</f>
        <v/>
      </c>
      <c r="H48" s="125" t="str">
        <f>IF($J48&lt;&gt;"",INDEX(SWITCH_TABLE[#Data],$J48,MATCH("Device Name",SWITCH_TABLE[#Headers],0)) &amp; " " &amp; INDEX(SWITCH_TABLE[#Data],$J48,MATCH("Uplink Port 2",SWITCH_TABLE[#Headers],0)),"")</f>
        <v/>
      </c>
      <c r="I48" s="40"/>
      <c r="J48" s="118" t="str">
        <f t="array" ref="J48">_xlfn.IFNA(MATCH(1,(SHEET_NAME=SWITCH_TABLE[Remote Device 1])*(B48=SWITCH_TABLE[Remote Port 1]),0),"")</f>
        <v/>
      </c>
      <c r="K48" s="40"/>
    </row>
    <row r="49" spans="1:10">
      <c r="A49" s="126"/>
      <c r="B49" s="127"/>
      <c r="C49" s="127"/>
      <c r="D49" s="127"/>
      <c r="E49" s="127"/>
      <c r="F49" s="127"/>
      <c r="G49" s="127"/>
      <c r="H49" s="127"/>
      <c r="J49" s="127"/>
    </row>
    <row r="51" spans="1:10" ht="13.2">
      <c r="A51" s="121">
        <v>32</v>
      </c>
      <c r="B51" s="113" t="s">
        <v>2659</v>
      </c>
      <c r="C51" s="113" t="s">
        <v>2226</v>
      </c>
      <c r="D51" s="113" t="s">
        <v>46</v>
      </c>
      <c r="E51" s="113" t="s">
        <v>1983</v>
      </c>
      <c r="F51" s="113"/>
      <c r="G51" s="113" t="s">
        <v>45</v>
      </c>
      <c r="H51" s="113" t="s">
        <v>887</v>
      </c>
      <c r="J51" s="113" t="s">
        <v>2658</v>
      </c>
    </row>
    <row r="52" spans="1:10">
      <c r="A52" s="121">
        <f t="shared" ref="A52:A67" si="4">ROW(A52)-ROW($A$51)+$A$51</f>
        <v>33</v>
      </c>
      <c r="B52" s="116" t="str">
        <f>IF(A52&gt;$C$8+$A52,"",$D$8&amp;$C$11&amp;"/0/"&amp;A52)</f>
        <v>hu2/0/33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122" t="str">
        <f t="shared" ref="D52:D67" si="5">IF(J52&lt;&gt;"","TRUNK","")</f>
        <v/>
      </c>
      <c r="E52" s="123" t="str" cm="1">
        <f t="array" ref="E52">IF($J52&lt;&gt;"",INDEX(SWITCH_TABLE[#Data],$J52,MATCH("Remote EC",SWITCH_TABLE[#Headers],0)),"")</f>
        <v/>
      </c>
      <c r="F52" s="124" t="str" cm="1">
        <f t="array" ref="F52">_xlfn.IFS($B52="","",$B52=$G$11,"Uplink Port 1",$B52=$G$13,"Uplink Port 2",$B52=$B$71,"Stack Port 1",$B52=$B$72,"Stack Port 2",1=1,"")</f>
        <v/>
      </c>
      <c r="G52" s="122" t="str" cm="1">
        <f t="array" ref="G52">IF($J52&lt;&gt;"",INDEX(SWITCH_TABLE[#Data],$J52,MATCH("Uplink 2 SFP",SWITCH_TABLE[#Headers],0)),"")</f>
        <v/>
      </c>
      <c r="H52" s="125" t="str">
        <f>IF($J52&lt;&gt;"",INDEX(SWITCH_TABLE[#Data],$J52,MATCH("Device Name",SWITCH_TABLE[#Headers],0)) &amp; " " &amp; INDEX(SWITCH_TABLE[#Data],$J52,MATCH("Uplink Port 2",SWITCH_TABLE[#Headers],0)),"")</f>
        <v/>
      </c>
      <c r="J52" s="118" t="str">
        <f t="array" ref="J52">_xlfn.IFNA(MATCH(1,(SHEET_NAME=SWITCH_TABLE[Remote Device 2])*(B52=SWITCH_TABLE[Remote Port 2]),0),"")</f>
        <v/>
      </c>
    </row>
    <row r="53" spans="1:10">
      <c r="A53" s="121">
        <f t="shared" si="4"/>
        <v>34</v>
      </c>
      <c r="B53" s="116" t="str">
        <f t="shared" ref="B53:B67" si="6">IF(A53&gt;$C$8+$A53,"",$D$8&amp;$C$11&amp;"/0/"&amp;A53)</f>
        <v>hu2/0/34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122" t="str">
        <f t="shared" si="5"/>
        <v/>
      </c>
      <c r="E53" s="123" t="str" cm="1">
        <f t="array" ref="E53">IF($J53&lt;&gt;"",INDEX(SWITCH_TABLE[#Data],$J53,MATCH("Remote EC",SWITCH_TABLE[#Headers],0)),"")</f>
        <v/>
      </c>
      <c r="F53" s="124" t="str" cm="1">
        <f t="array" ref="F53">_xlfn.IFS($B53="","",$B53=$G$11,"Uplink Port 1",$B53=$G$13,"Uplink Port 2",$B53=$B$71,"Stack Port 1",$B53=$B$72,"Stack Port 2",1=1,"")</f>
        <v/>
      </c>
      <c r="G53" s="122" t="str" cm="1">
        <f t="array" ref="G53">IF($J53&lt;&gt;"",INDEX(SWITCH_TABLE[#Data],$J53,MATCH("Uplink 2 SFP",SWITCH_TABLE[#Headers],0)),"")</f>
        <v/>
      </c>
      <c r="H53" s="125" t="str">
        <f>IF($J53&lt;&gt;"",INDEX(SWITCH_TABLE[#Data],$J53,MATCH("Device Name",SWITCH_TABLE[#Headers],0)) &amp; " " &amp; INDEX(SWITCH_TABLE[#Data],$J53,MATCH("Uplink Port 2",SWITCH_TABLE[#Headers],0)),"")</f>
        <v/>
      </c>
      <c r="J53" s="118" t="str">
        <f t="array" ref="J53">_xlfn.IFNA(MATCH(1,(SHEET_NAME=SWITCH_TABLE[Remote Device 2])*(B53=SWITCH_TABLE[Remote Port 2]),0),"")</f>
        <v/>
      </c>
    </row>
    <row r="54" spans="1:10">
      <c r="A54" s="121">
        <f t="shared" si="4"/>
        <v>35</v>
      </c>
      <c r="B54" s="116" t="str">
        <f t="shared" si="6"/>
        <v>hu2/0/35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122" t="str">
        <f t="shared" si="5"/>
        <v/>
      </c>
      <c r="E54" s="123" t="str" cm="1">
        <f t="array" ref="E54">IF($J54&lt;&gt;"",INDEX(SWITCH_TABLE[#Data],$J54,MATCH("Remote EC",SWITCH_TABLE[#Headers],0)),"")</f>
        <v/>
      </c>
      <c r="F54" s="124" t="str" cm="1">
        <f t="array" ref="F54">_xlfn.IFS($B54="","",$B54=$G$11,"Uplink Port 1",$B54=$G$13,"Uplink Port 2",$B54=$B$71,"Stack Port 1",$B54=$B$72,"Stack Port 2",1=1,"")</f>
        <v/>
      </c>
      <c r="G54" s="122" t="str" cm="1">
        <f t="array" ref="G54">IF($J54&lt;&gt;"",INDEX(SWITCH_TABLE[#Data],$J54,MATCH("Uplink 2 SFP",SWITCH_TABLE[#Headers],0)),"")</f>
        <v/>
      </c>
      <c r="H54" s="125" t="str">
        <f>IF($J54&lt;&gt;"",INDEX(SWITCH_TABLE[#Data],$J54,MATCH("Device Name",SWITCH_TABLE[#Headers],0)) &amp; " " &amp; INDEX(SWITCH_TABLE[#Data],$J54,MATCH("Uplink Port 2",SWITCH_TABLE[#Headers],0)),"")</f>
        <v/>
      </c>
      <c r="J54" s="118" t="str">
        <f t="array" ref="J54">_xlfn.IFNA(MATCH(1,(SHEET_NAME=SWITCH_TABLE[Remote Device 2])*(B54=SWITCH_TABLE[Remote Port 2]),0),"")</f>
        <v/>
      </c>
    </row>
    <row r="55" spans="1:10">
      <c r="A55" s="128">
        <f t="shared" si="4"/>
        <v>36</v>
      </c>
      <c r="B55" s="116" t="str">
        <f t="shared" si="6"/>
        <v>hu2/0/36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122" t="str">
        <f t="shared" si="5"/>
        <v/>
      </c>
      <c r="E55" s="123" t="str" cm="1">
        <f t="array" ref="E55">IF($J55&lt;&gt;"",INDEX(SWITCH_TABLE[#Data],$J55,MATCH("Remote EC",SWITCH_TABLE[#Headers],0)),"")</f>
        <v/>
      </c>
      <c r="F55" s="124" t="str" cm="1">
        <f t="array" ref="F55">_xlfn.IFS($B55="","",$B55=$G$11,"Uplink Port 1",$B55=$G$13,"Uplink Port 2",$B55=$B$71,"Stack Port 1",$B55=$B$72,"Stack Port 2",1=1,"")</f>
        <v/>
      </c>
      <c r="G55" s="122" t="str" cm="1">
        <f t="array" ref="G55">IF($J55&lt;&gt;"",INDEX(SWITCH_TABLE[#Data],$J55,MATCH("Uplink 2 SFP",SWITCH_TABLE[#Headers],0)),"")</f>
        <v/>
      </c>
      <c r="H55" s="125" t="str">
        <f>IF($J55&lt;&gt;"",INDEX(SWITCH_TABLE[#Data],$J55,MATCH("Device Name",SWITCH_TABLE[#Headers],0)) &amp; " " &amp; INDEX(SWITCH_TABLE[#Data],$J55,MATCH("Uplink Port 2",SWITCH_TABLE[#Headers],0)),"")</f>
        <v/>
      </c>
      <c r="J55" s="118" t="str">
        <f t="array" ref="J55">_xlfn.IFNA(MATCH(1,(SHEET_NAME=SWITCH_TABLE[Remote Device 2])*(B55=SWITCH_TABLE[Remote Port 2]),0),"")</f>
        <v/>
      </c>
    </row>
    <row r="56" spans="1:10">
      <c r="A56" s="121">
        <f t="shared" si="4"/>
        <v>37</v>
      </c>
      <c r="B56" s="116" t="str">
        <f t="shared" si="6"/>
        <v>hu2/0/37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122" t="str">
        <f t="shared" si="5"/>
        <v/>
      </c>
      <c r="E56" s="123" t="str" cm="1">
        <f t="array" ref="E56">IF($J56&lt;&gt;"",INDEX(SWITCH_TABLE[#Data],$J56,MATCH("Remote EC",SWITCH_TABLE[#Headers],0)),"")</f>
        <v/>
      </c>
      <c r="F56" s="124" t="str" cm="1">
        <f t="array" ref="F56">_xlfn.IFS($B56="","",$B56=$G$11,"Uplink Port 1",$B56=$G$13,"Uplink Port 2",$B56=$B$71,"Stack Port 1",$B56=$B$72,"Stack Port 2",1=1,"")</f>
        <v/>
      </c>
      <c r="G56" s="122" t="str" cm="1">
        <f t="array" ref="G56">IF($J56&lt;&gt;"",INDEX(SWITCH_TABLE[#Data],$J56,MATCH("Uplink 2 SFP",SWITCH_TABLE[#Headers],0)),"")</f>
        <v/>
      </c>
      <c r="H56" s="125" t="str">
        <f>IF($J56&lt;&gt;"",INDEX(SWITCH_TABLE[#Data],$J56,MATCH("Device Name",SWITCH_TABLE[#Headers],0)) &amp; " " &amp; INDEX(SWITCH_TABLE[#Data],$J56,MATCH("Uplink Port 2",SWITCH_TABLE[#Headers],0)),"")</f>
        <v/>
      </c>
      <c r="J56" s="118" t="str">
        <f t="array" ref="J56">_xlfn.IFNA(MATCH(1,(SHEET_NAME=SWITCH_TABLE[Remote Device 2])*(B56=SWITCH_TABLE[Remote Port 2]),0),"")</f>
        <v/>
      </c>
    </row>
    <row r="57" spans="1:10">
      <c r="A57" s="121">
        <f t="shared" si="4"/>
        <v>38</v>
      </c>
      <c r="B57" s="116" t="str">
        <f t="shared" si="6"/>
        <v>hu2/0/38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122" t="str">
        <f t="shared" si="5"/>
        <v/>
      </c>
      <c r="E57" s="123" t="str" cm="1">
        <f t="array" ref="E57">IF($J57&lt;&gt;"",INDEX(SWITCH_TABLE[#Data],$J57,MATCH("Remote EC",SWITCH_TABLE[#Headers],0)),"")</f>
        <v/>
      </c>
      <c r="F57" s="124" t="str" cm="1">
        <f t="array" ref="F57">_xlfn.IFS($B57="","",$B57=$G$11,"Uplink Port 1",$B57=$G$13,"Uplink Port 2",$B57=$B$71,"Stack Port 1",$B57=$B$72,"Stack Port 2",1=1,"")</f>
        <v/>
      </c>
      <c r="G57" s="122" t="str" cm="1">
        <f t="array" ref="G57">IF($J57&lt;&gt;"",INDEX(SWITCH_TABLE[#Data],$J57,MATCH("Uplink 2 SFP",SWITCH_TABLE[#Headers],0)),"")</f>
        <v/>
      </c>
      <c r="H57" s="125" t="str">
        <f>IF($J57&lt;&gt;"",INDEX(SWITCH_TABLE[#Data],$J57,MATCH("Device Name",SWITCH_TABLE[#Headers],0)) &amp; " " &amp; INDEX(SWITCH_TABLE[#Data],$J57,MATCH("Uplink Port 2",SWITCH_TABLE[#Headers],0)),"")</f>
        <v/>
      </c>
      <c r="J57" s="118" t="str">
        <f t="array" ref="J57">_xlfn.IFNA(MATCH(1,(SHEET_NAME=SWITCH_TABLE[Remote Device 2])*(B57=SWITCH_TABLE[Remote Port 2]),0),"")</f>
        <v/>
      </c>
    </row>
    <row r="58" spans="1:10">
      <c r="A58" s="121">
        <f t="shared" si="4"/>
        <v>39</v>
      </c>
      <c r="B58" s="116" t="str">
        <f t="shared" si="6"/>
        <v>hu2/0/39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122" t="str">
        <f t="shared" si="5"/>
        <v/>
      </c>
      <c r="E58" s="123" t="str" cm="1">
        <f t="array" ref="E58">IF($J58&lt;&gt;"",INDEX(SWITCH_TABLE[#Data],$J58,MATCH("Remote EC",SWITCH_TABLE[#Headers],0)),"")</f>
        <v/>
      </c>
      <c r="F58" s="124" t="str" cm="1">
        <f t="array" ref="F58">_xlfn.IFS($B58="","",$B58=$G$11,"Uplink Port 1",$B58=$G$13,"Uplink Port 2",$B58=$B$71,"Stack Port 1",$B58=$B$72,"Stack Port 2",1=1,"")</f>
        <v/>
      </c>
      <c r="G58" s="122" t="str" cm="1">
        <f t="array" ref="G58">IF($J58&lt;&gt;"",INDEX(SWITCH_TABLE[#Data],$J58,MATCH("Uplink 2 SFP",SWITCH_TABLE[#Headers],0)),"")</f>
        <v/>
      </c>
      <c r="H58" s="125" t="str">
        <f>IF($J58&lt;&gt;"",INDEX(SWITCH_TABLE[#Data],$J58,MATCH("Device Name",SWITCH_TABLE[#Headers],0)) &amp; " " &amp; INDEX(SWITCH_TABLE[#Data],$J58,MATCH("Uplink Port 2",SWITCH_TABLE[#Headers],0)),"")</f>
        <v/>
      </c>
      <c r="J58" s="118" t="str">
        <f t="array" ref="J58">_xlfn.IFNA(MATCH(1,(SHEET_NAME=SWITCH_TABLE[Remote Device 2])*(B58=SWITCH_TABLE[Remote Port 2]),0),"")</f>
        <v/>
      </c>
    </row>
    <row r="59" spans="1:10">
      <c r="A59" s="121">
        <f t="shared" si="4"/>
        <v>40</v>
      </c>
      <c r="B59" s="116" t="str">
        <f t="shared" si="6"/>
        <v>hu2/0/40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122" t="str">
        <f t="shared" si="5"/>
        <v/>
      </c>
      <c r="E59" s="123" t="str" cm="1">
        <f t="array" ref="E59">IF($J59&lt;&gt;"",INDEX(SWITCH_TABLE[#Data],$J59,MATCH("Remote EC",SWITCH_TABLE[#Headers],0)),"")</f>
        <v/>
      </c>
      <c r="F59" s="124" t="str" cm="1">
        <f t="array" ref="F59">_xlfn.IFS($B59="","",$B59=$G$11,"Uplink Port 1",$B59=$G$13,"Uplink Port 2",$B59=$B$71,"Stack Port 1",$B59=$B$72,"Stack Port 2",1=1,"")</f>
        <v/>
      </c>
      <c r="G59" s="122" t="str" cm="1">
        <f t="array" ref="G59">IF($J59&lt;&gt;"",INDEX(SWITCH_TABLE[#Data],$J59,MATCH("Uplink 2 SFP",SWITCH_TABLE[#Headers],0)),"")</f>
        <v/>
      </c>
      <c r="H59" s="125" t="str">
        <f>IF($J59&lt;&gt;"",INDEX(SWITCH_TABLE[#Data],$J59,MATCH("Device Name",SWITCH_TABLE[#Headers],0)) &amp; " " &amp; INDEX(SWITCH_TABLE[#Data],$J59,MATCH("Uplink Port 2",SWITCH_TABLE[#Headers],0)),"")</f>
        <v/>
      </c>
      <c r="J59" s="118" t="str">
        <f t="array" ref="J59">_xlfn.IFNA(MATCH(1,(SHEET_NAME=SWITCH_TABLE[Remote Device 2])*(B59=SWITCH_TABLE[Remote Port 2]),0),"")</f>
        <v/>
      </c>
    </row>
    <row r="60" spans="1:10">
      <c r="A60" s="121">
        <f t="shared" si="4"/>
        <v>41</v>
      </c>
      <c r="B60" s="116" t="str">
        <f t="shared" si="6"/>
        <v>hu2/0/41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122" t="str">
        <f t="shared" si="5"/>
        <v/>
      </c>
      <c r="E60" s="123" t="str" cm="1">
        <f t="array" ref="E60">IF($J60&lt;&gt;"",INDEX(SWITCH_TABLE[#Data],$J60,MATCH("Remote EC",SWITCH_TABLE[#Headers],0)),"")</f>
        <v/>
      </c>
      <c r="F60" s="124" t="str" cm="1">
        <f t="array" ref="F60">_xlfn.IFS($B60="","",$B60=$G$11,"Uplink Port 1",$B60=$G$13,"Uplink Port 2",$B60=$B$71,"Stack Port 1",$B60=$B$72,"Stack Port 2",1=1,"")</f>
        <v/>
      </c>
      <c r="G60" s="122" t="str" cm="1">
        <f t="array" ref="G60">IF($J60&lt;&gt;"",INDEX(SWITCH_TABLE[#Data],$J60,MATCH("Uplink 2 SFP",SWITCH_TABLE[#Headers],0)),"")</f>
        <v/>
      </c>
      <c r="H60" s="125" t="str">
        <f>IF($J60&lt;&gt;"",INDEX(SWITCH_TABLE[#Data],$J60,MATCH("Device Name",SWITCH_TABLE[#Headers],0)) &amp; " " &amp; INDEX(SWITCH_TABLE[#Data],$J60,MATCH("Uplink Port 2",SWITCH_TABLE[#Headers],0)),"")</f>
        <v/>
      </c>
      <c r="J60" s="118" t="str">
        <f t="array" ref="J60">_xlfn.IFNA(MATCH(1,(SHEET_NAME=SWITCH_TABLE[Remote Device 2])*(B60=SWITCH_TABLE[Remote Port 2]),0),"")</f>
        <v/>
      </c>
    </row>
    <row r="61" spans="1:10">
      <c r="A61" s="121">
        <f t="shared" si="4"/>
        <v>42</v>
      </c>
      <c r="B61" s="116" t="str">
        <f t="shared" si="6"/>
        <v>hu2/0/42</v>
      </c>
      <c r="C61" s="122" t="str" cm="1">
        <f t="array" ref="C61">_xlfn.IFS($B61="","",$B61=$B$71,"reserved",$B61=$B$72,"reserved",$B61=$G$11,"connect",$B61=$G$13,"connect",J61&lt;&gt;"","connect",1=1,"disabled")</f>
        <v>connect</v>
      </c>
      <c r="D61" s="122" t="str">
        <f t="shared" si="5"/>
        <v>TRUNK</v>
      </c>
      <c r="E61" s="123" cm="1">
        <f t="array" ref="E61">IF($J61&lt;&gt;"",INDEX(SWITCH_TABLE[#Data],$J61,MATCH("Remote EC",SWITCH_TABLE[#Headers],0)),"")</f>
        <v>42</v>
      </c>
      <c r="F61" s="124" t="str" cm="1">
        <f t="array" ref="F61">_xlfn.IFS($B61="","",$B61=$G$11,"Uplink Port 1",$B61=$G$13,"Uplink Port 2",$B61=$B$71,"Stack Port 1",$B61=$B$72,"Stack Port 2",1=1,"")</f>
        <v/>
      </c>
      <c r="G61" s="122" t="str" cm="1">
        <f t="array" ref="G61">IF($J61&lt;&gt;"",INDEX(SWITCH_TABLE[#Data],$J61,MATCH("Uplink 2 SFP",SWITCH_TABLE[#Headers],0)),"")</f>
        <v>100G QSFP MPO</v>
      </c>
      <c r="H61" s="125" t="str">
        <f>IF($J61&lt;&gt;"",INDEX(SWITCH_TABLE[#Data],$J61,MATCH("Device Name",SWITCH_TABLE[#Headers],0)) &amp; " " &amp; INDEX(SWITCH_TABLE[#Data],$J61,MATCH("Uplink Port 2",SWITCH_TABLE[#Headers],0)),"")</f>
        <v>FGHLHN43-2 hu2/0/49</v>
      </c>
      <c r="J61" s="118">
        <f t="array" ref="J61">_xlfn.IFNA(MATCH(1,(SHEET_NAME=SWITCH_TABLE[Remote Device 2])*(B61=SWITCH_TABLE[Remote Port 2]),0),"")</f>
        <v>8</v>
      </c>
    </row>
    <row r="62" spans="1:10">
      <c r="A62" s="121">
        <f t="shared" si="4"/>
        <v>43</v>
      </c>
      <c r="B62" s="116" t="str">
        <f t="shared" si="6"/>
        <v>hu2/0/43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122" t="str">
        <f t="shared" si="5"/>
        <v>TRUNK</v>
      </c>
      <c r="E62" s="123" cm="1">
        <f t="array" ref="E62">IF($J62&lt;&gt;"",INDEX(SWITCH_TABLE[#Data],$J62,MATCH("Remote EC",SWITCH_TABLE[#Headers],0)),"")</f>
        <v>43</v>
      </c>
      <c r="F62" s="124" t="str" cm="1">
        <f t="array" ref="F62">_xlfn.IFS($B62="","",$B62=$G$11,"Uplink Port 1",$B62=$G$13,"Uplink Port 2",$B62=$B$71,"Stack Port 1",$B62=$B$72,"Stack Port 2",1=1,"")</f>
        <v/>
      </c>
      <c r="G62" s="122" t="str" cm="1">
        <f t="array" ref="G62">IF($J62&lt;&gt;"",INDEX(SWITCH_TABLE[#Data],$J62,MATCH("Uplink 2 SFP",SWITCH_TABLE[#Headers],0)),"")</f>
        <v>100G QSFP DAC</v>
      </c>
      <c r="H62" s="125" t="str">
        <f>IF($J62&lt;&gt;"",INDEX(SWITCH_TABLE[#Data],$J62,MATCH("Device Name",SWITCH_TABLE[#Headers],0)) &amp; " " &amp; INDEX(SWITCH_TABLE[#Data],$J62,MATCH("Uplink Port 2",SWITCH_TABLE[#Headers],0)),"")</f>
        <v>FGHLHN42-2 hu2/0/49</v>
      </c>
      <c r="J62" s="118">
        <f t="array" ref="J62">_xlfn.IFNA(MATCH(1,(SHEET_NAME=SWITCH_TABLE[Remote Device 2])*(B62=SWITCH_TABLE[Remote Port 2]),0),"")</f>
        <v>6</v>
      </c>
    </row>
    <row r="63" spans="1:10">
      <c r="A63" s="121">
        <f t="shared" si="4"/>
        <v>44</v>
      </c>
      <c r="B63" s="116" t="str">
        <f t="shared" si="6"/>
        <v>hu2/0/44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122" t="str">
        <f t="shared" si="5"/>
        <v>TRUNK</v>
      </c>
      <c r="E63" s="123" cm="1">
        <f t="array" ref="E63">IF($J63&lt;&gt;"",INDEX(SWITCH_TABLE[#Data],$J63,MATCH("Remote EC",SWITCH_TABLE[#Headers],0)),"")</f>
        <v>44</v>
      </c>
      <c r="F63" s="124" t="str" cm="1">
        <f t="array" ref="F63">_xlfn.IFS($B63="","",$B63=$G$11,"Uplink Port 1",$B63=$G$13,"Uplink Port 2",$B63=$B$71,"Stack Port 1",$B63=$B$72,"Stack Port 2",1=1,"")</f>
        <v/>
      </c>
      <c r="G63" s="122" t="str" cm="1">
        <f t="array" ref="G63">IF($J63&lt;&gt;"",INDEX(SWITCH_TABLE[#Data],$J63,MATCH("Uplink 2 SFP",SWITCH_TABLE[#Headers],0)),"")</f>
        <v>100G QSFP MPO</v>
      </c>
      <c r="H63" s="125" t="str">
        <f>IF($J63&lt;&gt;"",INDEX(SWITCH_TABLE[#Data],$J63,MATCH("Device Name",SWITCH_TABLE[#Headers],0)) &amp; " " &amp; INDEX(SWITCH_TABLE[#Data],$J63,MATCH("Uplink Port 2",SWITCH_TABLE[#Headers],0)),"")</f>
        <v>FGHLHN41-2 hu2/0/49</v>
      </c>
      <c r="J63" s="118">
        <f t="array" ref="J63">_xlfn.IFNA(MATCH(1,(SHEET_NAME=SWITCH_TABLE[Remote Device 2])*(B63=SWITCH_TABLE[Remote Port 2]),0),"")</f>
        <v>4</v>
      </c>
    </row>
    <row r="64" spans="1:10">
      <c r="A64" s="121">
        <f t="shared" si="4"/>
        <v>45</v>
      </c>
      <c r="B64" s="116" t="str">
        <f t="shared" si="6"/>
        <v>hu2/0/45</v>
      </c>
      <c r="C64" s="122" t="s">
        <v>2611</v>
      </c>
      <c r="D64" s="122" t="str">
        <f t="shared" si="5"/>
        <v/>
      </c>
      <c r="E64" s="123" t="str" cm="1">
        <f t="array" ref="E64">IF($J64&lt;&gt;"",INDEX(SWITCH_TABLE[#Data],$J64,MATCH("Remote EC",SWITCH_TABLE[#Headers],0)),"")</f>
        <v/>
      </c>
      <c r="F64" s="124" t="str" cm="1">
        <f t="array" ref="F64">_xlfn.IFS($B64="","",$B64=$G$11,"Uplink Port 1",$B64=$G$13,"Uplink Port 2",$B64=$B$71,"Stack Port 1",$B64=$B$72,"Stack Port 2",1=1,"")</f>
        <v/>
      </c>
      <c r="G64" s="122" t="str" cm="1">
        <f t="array" ref="G64">IF($J64&lt;&gt;"",INDEX(SWITCH_TABLE[#Data],$J64,MATCH("Uplink 2 SFP",SWITCH_TABLE[#Headers],0)),"")</f>
        <v/>
      </c>
      <c r="H64" s="125" t="str">
        <f>IF($J64&lt;&gt;"",INDEX(SWITCH_TABLE[#Data],$J64,MATCH("Device Name",SWITCH_TABLE[#Headers],0)) &amp; " " &amp; INDEX(SWITCH_TABLE[#Data],$J64,MATCH("Uplink Port 2",SWITCH_TABLE[#Headers],0)),"")</f>
        <v/>
      </c>
      <c r="J64" s="118" t="str">
        <f t="array" ref="J64">_xlfn.IFNA(MATCH(1,(SHEET_NAME=SWITCH_TABLE[Remote Device 2])*(B64=SWITCH_TABLE[Remote Port 2]),0),"")</f>
        <v/>
      </c>
    </row>
    <row r="65" spans="1:10">
      <c r="A65" s="121">
        <f t="shared" si="4"/>
        <v>46</v>
      </c>
      <c r="B65" s="116" t="str">
        <f t="shared" si="6"/>
        <v>hu2/0/46</v>
      </c>
      <c r="C65" s="122" t="s">
        <v>2611</v>
      </c>
      <c r="D65" s="122" t="str">
        <f t="shared" si="5"/>
        <v/>
      </c>
      <c r="E65" s="123" t="str" cm="1">
        <f t="array" ref="E65">IF($J65&lt;&gt;"",INDEX(SWITCH_TABLE[#Data],$J65,MATCH("Remote EC",SWITCH_TABLE[#Headers],0)),"")</f>
        <v/>
      </c>
      <c r="F65" s="124" t="str" cm="1">
        <f t="array" ref="F65">_xlfn.IFS($B65="","",$B65=$G$11,"Uplink Port 1",$B65=$G$13,"Uplink Port 2",$B65=$B$71,"Stack Port 1",$B65=$B$72,"Stack Port 2",1=1,"")</f>
        <v/>
      </c>
      <c r="G65" s="122" t="str" cm="1">
        <f t="array" ref="G65">IF($J65&lt;&gt;"",INDEX(SWITCH_TABLE[#Data],$J65,MATCH("Uplink 2 SFP",SWITCH_TABLE[#Headers],0)),"")</f>
        <v/>
      </c>
      <c r="H65" s="125" t="str">
        <f>IF($J65&lt;&gt;"",INDEX(SWITCH_TABLE[#Data],$J65,MATCH("Device Name",SWITCH_TABLE[#Headers],0)) &amp; " " &amp; INDEX(SWITCH_TABLE[#Data],$J65,MATCH("Uplink Port 2",SWITCH_TABLE[#Headers],0)),"")</f>
        <v/>
      </c>
      <c r="J65" s="118" t="str">
        <f t="array" ref="J65">_xlfn.IFNA(MATCH(1,(SHEET_NAME=SWITCH_TABLE[Remote Device 2])*(B65=SWITCH_TABLE[Remote Port 2]),0),"")</f>
        <v/>
      </c>
    </row>
    <row r="66" spans="1:10">
      <c r="A66" s="121">
        <f t="shared" si="4"/>
        <v>47</v>
      </c>
      <c r="B66" s="116" t="str">
        <f t="shared" si="6"/>
        <v>hu2/0/47</v>
      </c>
      <c r="C66" s="122" t="str" cm="1">
        <f t="array" ref="C66">_xlfn.IFS($B66="","",$B66=$B$71,"reserved",$B66=$B$72,"reserved",$B66=$G$11,"connect",$B66=$G$13,"connect",J66&lt;&gt;"","connect",1=1,"disabled")</f>
        <v>reserved</v>
      </c>
      <c r="D66" s="122" t="str">
        <f t="shared" si="5"/>
        <v/>
      </c>
      <c r="E66" s="123" t="str" cm="1">
        <f t="array" ref="E66">IF($J66&lt;&gt;"",INDEX(SWITCH_TABLE[#Data],$J66,MATCH("Remote EC",SWITCH_TABLE[#Headers],0)),"")</f>
        <v/>
      </c>
      <c r="F66" s="124" t="str" cm="1">
        <f t="array" ref="F66">_xlfn.IFS($B66="","",$B66=$G$11,"Uplink Port 1",$B66=$G$13,"Uplink Port 2",$B66=$B$71,"Stack Port 1",$B66=$B$72,"Stack Port 2",1=1,"")</f>
        <v>Stack Port 1</v>
      </c>
      <c r="G66" s="122" t="str" cm="1">
        <f t="array" ref="G66">IF($J66&lt;&gt;"",INDEX(SWITCH_TABLE[#Data],$J66,MATCH("Uplink 2 SFP",SWITCH_TABLE[#Headers],0)),"")</f>
        <v/>
      </c>
      <c r="H66" s="125" t="str">
        <f>IF($J66&lt;&gt;"",INDEX(SWITCH_TABLE[#Data],$J66,MATCH("Device Name",SWITCH_TABLE[#Headers],0)) &amp; " " &amp; INDEX(SWITCH_TABLE[#Data],$J66,MATCH("Uplink Port 2",SWITCH_TABLE[#Headers],0)),"")</f>
        <v/>
      </c>
      <c r="J66" s="118" t="str">
        <f t="array" ref="J66">_xlfn.IFNA(MATCH(1,(SHEET_NAME=SWITCH_TABLE[Remote Device 2])*(B66=SWITCH_TABLE[Remote Port 2]),0),"")</f>
        <v/>
      </c>
    </row>
    <row r="67" spans="1:10">
      <c r="A67" s="121">
        <f t="shared" si="4"/>
        <v>48</v>
      </c>
      <c r="B67" s="116" t="str">
        <f t="shared" si="6"/>
        <v>hu2/0/48</v>
      </c>
      <c r="C67" s="122" t="str" cm="1">
        <f t="array" ref="C67">_xlfn.IFS($B67="","",$B67=$B$71,"reserved",$B67=$B$72,"reserved",$B67=$G$11,"connect",$B67=$G$13,"connect",J67&lt;&gt;"","connect",1=1,"disabled")</f>
        <v>reserved</v>
      </c>
      <c r="D67" s="122" t="str">
        <f t="shared" si="5"/>
        <v/>
      </c>
      <c r="E67" s="123" t="str" cm="1">
        <f t="array" ref="E67">IF($J67&lt;&gt;"",INDEX(SWITCH_TABLE[#Data],$J67,MATCH("Remote EC",SWITCH_TABLE[#Headers],0)),"")</f>
        <v/>
      </c>
      <c r="F67" s="124" t="str" cm="1">
        <f t="array" ref="F67">_xlfn.IFS($B67="","",$B67=$G$11,"Uplink Port 1",$B67=$G$13,"Uplink Port 2",$B67=$B$71,"Stack Port 1",$B67=$B$72,"Stack Port 2",1=1,"")</f>
        <v>Stack Port 2</v>
      </c>
      <c r="G67" s="122" t="str" cm="1">
        <f t="array" ref="G67">IF($J67&lt;&gt;"",INDEX(SWITCH_TABLE[#Data],$J67,MATCH("Uplink 2 SFP",SWITCH_TABLE[#Headers],0)),"")</f>
        <v/>
      </c>
      <c r="H67" s="125" t="str">
        <f>IF($J67&lt;&gt;"",INDEX(SWITCH_TABLE[#Data],$J67,MATCH("Device Name",SWITCH_TABLE[#Headers],0)) &amp; " " &amp; INDEX(SWITCH_TABLE[#Data],$J67,MATCH("Uplink Port 2",SWITCH_TABLE[#Headers],0)),"")</f>
        <v/>
      </c>
      <c r="J67" s="118" t="str">
        <f t="array" ref="J67">_xlfn.IFNA(MATCH(1,(SHEET_NAME=SWITCH_TABLE[Remote Device 2])*(B67=SWITCH_TABLE[Remote Port 2]),0),"")</f>
        <v/>
      </c>
    </row>
    <row r="68" spans="1:10">
      <c r="A68" s="126"/>
      <c r="B68" s="127"/>
      <c r="C68" s="127" t="str" cm="1">
        <f t="array" ref="C68">_xlfn.IFS($B68="","",$B68=$B$71,"reserved",$B68=$B$72,"reserved",$B68=$G$11,"connect",$B68=$G$13,"connect",1=1,"disabled")</f>
        <v/>
      </c>
      <c r="D68" s="127" t="str" cm="1">
        <f t="array" ref="D68">_xlfn.IFS($B68="","",$B68=$G$11,"TRUNK",$B68=$G$13,"TRUNK",1=1,"")</f>
        <v/>
      </c>
      <c r="E68" s="127"/>
      <c r="F68" s="127" t="str" cm="1">
        <f t="array" ref="F68">_xlfn.IFS($B68="","",$B68=$G$11,"Uplink Port 1",$B68=$G$13,"Uplink Port 2",$B68=$B$71,"Stack Port 1",$B68=$B$72,"Stack Port 2",1=1,"")</f>
        <v/>
      </c>
      <c r="G68" s="127" t="str" cm="1">
        <f t="array" ref="G68">_xlfn.IFS($B68="","",$B68=$G$11,$H$11,$B68=$G$13,$H$13,1=1,"")</f>
        <v/>
      </c>
      <c r="H68" s="127" t="str" cm="1">
        <f t="array" ref="H68">_xlfn.IFS($B68="","",$B68=$G$11,$G$12&amp;" "&amp;#REF!,$B68=$G$13,$G$14&amp;" "&amp;$H$14,1=1,"")</f>
        <v/>
      </c>
      <c r="J68" s="127" t="str" cm="1">
        <f t="array" ref="J68">_xlfn.IFS($B68="","",$B68=$G$11,$G$12&amp;" "&amp;#REF!,$B68=$G$13,$G$14&amp;" "&amp;$H$14,1=1,"")</f>
        <v/>
      </c>
    </row>
    <row r="70" spans="1:10" ht="13.2">
      <c r="A70" s="121">
        <v>0</v>
      </c>
      <c r="B70" s="113" t="s">
        <v>2660</v>
      </c>
      <c r="C70" s="113" t="s">
        <v>2226</v>
      </c>
      <c r="D70" s="113"/>
      <c r="E70" s="113"/>
      <c r="F70" s="113"/>
      <c r="G70" s="113" t="s">
        <v>45</v>
      </c>
      <c r="H70" s="113" t="s">
        <v>2582</v>
      </c>
    </row>
    <row r="71" spans="1:10">
      <c r="A71" s="121">
        <f>ROW(A71)-ROW($A$70)+$A$70</f>
        <v>1</v>
      </c>
      <c r="B71" s="116" t="str" cm="1">
        <f t="array" ref="B71">IF($C$12="","",INDEX(SWITCH_TABLE[#Data],$H$3,MATCH("Stack Port "&amp;A71,SWITCH_TABLE[#Headers],0)))</f>
        <v>hu2/0/47</v>
      </c>
      <c r="C71" s="122" t="str">
        <f>IF(B71="","","connect")</f>
        <v>connect</v>
      </c>
      <c r="D71" s="124"/>
      <c r="E71" s="124"/>
      <c r="F71" s="124" t="str">
        <f>IF(B71="","","Stack Port 1")</f>
        <v>Stack Port 1</v>
      </c>
      <c r="G71" s="118" t="str" cm="1">
        <f t="array" ref="G71">IF($C$12="","",INDEX(SWITCH_TABLE[#Data],$H$3,MATCH("Stack Port "&amp;A71&amp;" SFP",SWITCH_TABLE[#Headers],0)))</f>
        <v>100G QSFP MPO</v>
      </c>
      <c r="H71" s="118" t="str">
        <f>C13&amp;" "&amp;D13</f>
        <v>FGHLHN01-1 hu1/0/48</v>
      </c>
    </row>
    <row r="72" spans="1:10">
      <c r="A72" s="121">
        <f>ROW(A72)-ROW($A$70)+$A$70</f>
        <v>2</v>
      </c>
      <c r="B72" s="116" t="str" cm="1">
        <f t="array" ref="B72">IF($C$12="","",INDEX(SWITCH_TABLE[#Data],$H$3,MATCH("Stack Port "&amp;A72,SWITCH_TABLE[#Headers],0)))</f>
        <v>hu2/0/48</v>
      </c>
      <c r="C72" s="122" t="str">
        <f>IF(B72="","","connect")</f>
        <v>connect</v>
      </c>
      <c r="D72" s="124"/>
      <c r="E72" s="124"/>
      <c r="F72" s="124" t="str">
        <f>IF(B72="","","Stack Port 2")</f>
        <v>Stack Port 2</v>
      </c>
      <c r="G72" s="118" t="str" cm="1">
        <f t="array" ref="G72">IF($C$12="","",INDEX(SWITCH_TABLE[#Data],$H$3,MATCH("Stack Port "&amp;A72&amp;" SFP",SWITCH_TABLE[#Headers],0)))</f>
        <v>100G QSFP MPO</v>
      </c>
      <c r="H72" s="118" t="str">
        <f>C14&amp;" "&amp;D14</f>
        <v>FGHLHN01-1 hu1/0/47</v>
      </c>
    </row>
    <row r="73" spans="1:10">
      <c r="A73" s="126"/>
      <c r="B73" s="127"/>
      <c r="C73" s="127"/>
      <c r="D73" s="127"/>
      <c r="E73" s="127"/>
      <c r="F73" s="127"/>
      <c r="G73" s="127"/>
      <c r="H73" s="127"/>
    </row>
  </sheetData>
  <conditionalFormatting sqref="C52">
    <cfRule type="cellIs" dxfId="1250" priority="17" operator="equal">
      <formula>"reserved"</formula>
    </cfRule>
    <cfRule type="cellIs" dxfId="1249" priority="18" operator="equal">
      <formula>"notconnect"</formula>
    </cfRule>
    <cfRule type="cellIs" dxfId="1248" priority="19" operator="equal">
      <formula>"disabled"</formula>
    </cfRule>
    <cfRule type="cellIs" dxfId="1247" priority="20" operator="equal">
      <formula>"connect"</formula>
    </cfRule>
  </conditionalFormatting>
  <conditionalFormatting sqref="C71:C72">
    <cfRule type="cellIs" dxfId="1246" priority="13" operator="equal">
      <formula>"reserved"</formula>
    </cfRule>
    <cfRule type="cellIs" dxfId="1245" priority="14" operator="equal">
      <formula>"notconnect"</formula>
    </cfRule>
    <cfRule type="cellIs" dxfId="1244" priority="15" operator="equal">
      <formula>"disabled"</formula>
    </cfRule>
    <cfRule type="cellIs" dxfId="1243" priority="16" operator="equal">
      <formula>"connect"</formula>
    </cfRule>
  </conditionalFormatting>
  <conditionalFormatting sqref="C53:C67">
    <cfRule type="cellIs" dxfId="1242" priority="5" operator="equal">
      <formula>"reserved"</formula>
    </cfRule>
    <cfRule type="cellIs" dxfId="1241" priority="6" operator="equal">
      <formula>"notconnect"</formula>
    </cfRule>
    <cfRule type="cellIs" dxfId="1240" priority="7" operator="equal">
      <formula>"disabled"</formula>
    </cfRule>
    <cfRule type="cellIs" dxfId="1239" priority="8" operator="equal">
      <formula>"connect"</formula>
    </cfRule>
  </conditionalFormatting>
  <conditionalFormatting sqref="C17:C48">
    <cfRule type="cellIs" dxfId="1238" priority="1" operator="equal">
      <formula>"reserved"</formula>
    </cfRule>
    <cfRule type="cellIs" dxfId="1237" priority="2" operator="equal">
      <formula>"notconnect"</formula>
    </cfRule>
    <cfRule type="cellIs" dxfId="1236" priority="3" operator="equal">
      <formula>"disabled"</formula>
    </cfRule>
    <cfRule type="cellIs" dxfId="1235" priority="4" operator="equal">
      <formula>"connect"</formula>
    </cfRule>
  </conditionalFormatting>
  <dataValidations count="4">
    <dataValidation allowBlank="1" showInputMessage="1" sqref="E52:E67 E17:E48" xr:uid="{E95713A8-C759-481B-9442-6F85E30C62A8}"/>
    <dataValidation type="list" allowBlank="1" showInputMessage="1" sqref="D52:D67 D17:D48" xr:uid="{E4CADDBF-D9EB-49ED-B898-7702A40BACFB}">
      <formula1>VLAN_ID_LIST</formula1>
    </dataValidation>
    <dataValidation type="list" allowBlank="1" showInputMessage="1" sqref="C52:C67 C71:C72 C17:C48" xr:uid="{44CEBF0C-BF29-458A-B99B-2D13AC18F55B}">
      <formula1>PORT_STATE_LIST</formula1>
    </dataValidation>
    <dataValidation type="list" allowBlank="1" showInputMessage="1" sqref="G52:G67 G17:G48" xr:uid="{25E355FD-8A48-493F-8C51-6F1A497CAD18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9" max="16383" man="1"/>
  </rowBreaks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05D3-E50E-40C9-8AAB-40B14A26CD7C}">
  <dimension ref="A1:L81"/>
  <sheetViews>
    <sheetView topLeftCell="A4" workbookViewId="0">
      <selection activeCell="F35" sqref="F35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1048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C9200-24P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43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FGHLHN32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Commissioned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JAE23260672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10.224.21.32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 SFP SX</v>
      </c>
    </row>
    <row r="12" spans="1:10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FGHLHN43-1</v>
      </c>
      <c r="H12" s="118" t="str" cm="1">
        <f t="array" ref="H12">IF(G12="","",INDEX(SWITCH_TABLE[#Data],$H$3,MATCH("Remote Port 1",SWITCH_TABLE[#Headers],0)))</f>
        <v>twe1/0/22</v>
      </c>
    </row>
    <row r="13" spans="1:10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 SFP SX</v>
      </c>
    </row>
    <row r="14" spans="1:10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FGHLHN43-2</v>
      </c>
      <c r="H14" s="118" t="str" cm="1">
        <f t="array" ref="H14">IF(G14="","",INDEX(SWITCH_TABLE[#Data],$H$3,MATCH("Remote Port 2",SWITCH_TABLE[#Headers],0)))</f>
        <v>twe2/0/22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220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SAS01 /Mgmt (Physical Server)</v>
      </c>
      <c r="J17" s="118">
        <f>_xlfn.IFNA(MATCH(SHEET_NAME&amp;" "&amp;B17,Connections!$L$4:$L$345,0),"")</f>
        <v>257</v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230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SAS01 /data 1 (Physical Server)</v>
      </c>
      <c r="J18" s="118">
        <f>_xlfn.IFNA(MATCH(SHEET_NAME&amp;" "&amp;B18,Connections!$L$4:$L$345,0),"")</f>
        <v>258</v>
      </c>
    </row>
    <row r="19" spans="1:12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230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SAS01 /data 2 (Physical Server)</v>
      </c>
      <c r="J19" s="118">
        <f>_xlfn.IFNA(MATCH(SHEET_NAME&amp;" "&amp;B19,Connections!$L$4:$L$345,0),"")</f>
        <v>259</v>
      </c>
    </row>
    <row r="20" spans="1:12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reserved</v>
      </c>
      <c r="D20" s="46" cm="1">
        <f t="array" ref="D20">IF($J20&lt;&gt;"",INDEX(Connections!$B$4:$V$345,$J20,MATCH(D$16,Connections!$B$3:$V$3,0)),"")</f>
        <v>220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SAS03/Mgmt (Physical Server)</v>
      </c>
      <c r="J20" s="118">
        <f>_xlfn.IFNA(MATCH(SHEET_NAME&amp;" "&amp;B20,Connections!$L$4:$L$345,0),"")</f>
        <v>263</v>
      </c>
    </row>
    <row r="21" spans="1:12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230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SAS03/data 1 (Physical Server)</v>
      </c>
      <c r="J21" s="118">
        <f>_xlfn.IFNA(MATCH(SHEET_NAME&amp;" "&amp;B21,Connections!$L$4:$L$345,0),"")</f>
        <v>264</v>
      </c>
    </row>
    <row r="22" spans="1:12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cm="1">
        <f t="array" ref="D22">IF($J22&lt;&gt;"",INDEX(Connections!$B$4:$V$345,$J22,MATCH(D$16,Connections!$B$3:$V$3,0)),"")</f>
        <v>230</v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>auto</v>
      </c>
      <c r="G22" s="46" t="str" cm="1">
        <f t="array" ref="G22">IF($J22&lt;&gt;"",INDEX(Connections!$B$4:$V$345,$J22,MATCH(G$16,Connections!$B$3:$V$3,0)),"")</f>
        <v>1GB COPPER</v>
      </c>
      <c r="H22" s="46" t="str" cm="1">
        <f t="array" ref="H22">IF($J22&lt;&gt;"",INDEX(Connections!$B$4:$V$345,$J22,MATCH(H$16,Connections!$B$3:$V$3,0)),"")</f>
        <v>SAS03/data 2 (Physical Server)</v>
      </c>
      <c r="J22" s="118">
        <f>_xlfn.IFNA(MATCH(SHEET_NAME&amp;" "&amp;B22,Connections!$L$4:$L$345,0),"")</f>
        <v>265</v>
      </c>
    </row>
    <row r="23" spans="1:12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cm="1">
        <f t="array" ref="D23">IF($J23&lt;&gt;"",INDEX(Connections!$B$4:$V$345,$J23,MATCH(D$16,Connections!$B$3:$V$3,0)),"")</f>
        <v>220</v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>auto</v>
      </c>
      <c r="G23" s="46" t="str" cm="1">
        <f t="array" ref="G23">IF($J23&lt;&gt;"",INDEX(Connections!$B$4:$V$345,$J23,MATCH(G$16,Connections!$B$3:$V$3,0)),"")</f>
        <v>1GB COPPER</v>
      </c>
      <c r="H23" s="46" t="str" cm="1">
        <f t="array" ref="H23">IF($J23&lt;&gt;"",INDEX(Connections!$B$4:$V$345,$J23,MATCH(H$16,Connections!$B$3:$V$3,0)),"")</f>
        <v>SAS05/Mgmt (Physical Server)</v>
      </c>
      <c r="J23" s="118">
        <f>_xlfn.IFNA(MATCH(SHEET_NAME&amp;" "&amp;B23,Connections!$L$4:$L$345,0),"")</f>
        <v>269</v>
      </c>
    </row>
    <row r="24" spans="1:12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cm="1">
        <f t="array" ref="D24">IF($J24&lt;&gt;"",INDEX(Connections!$B$4:$V$345,$J24,MATCH(D$16,Connections!$B$3:$V$3,0)),"")</f>
        <v>230</v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>auto</v>
      </c>
      <c r="G24" s="46" t="str" cm="1">
        <f t="array" ref="G24">IF($J24&lt;&gt;"",INDEX(Connections!$B$4:$V$345,$J24,MATCH(G$16,Connections!$B$3:$V$3,0)),"")</f>
        <v>1GB COPPER</v>
      </c>
      <c r="H24" s="46" t="str" cm="1">
        <f t="array" ref="H24">IF($J24&lt;&gt;"",INDEX(Connections!$B$4:$V$345,$J24,MATCH(H$16,Connections!$B$3:$V$3,0)),"")</f>
        <v>SAS05/data 1 (Physical Server)</v>
      </c>
      <c r="J24" s="118">
        <f>_xlfn.IFNA(MATCH(SHEET_NAME&amp;" "&amp;B24,Connections!$L$4:$L$345,0),"")</f>
        <v>270</v>
      </c>
    </row>
    <row r="25" spans="1:12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connect</v>
      </c>
      <c r="D25" s="46" cm="1">
        <f t="array" ref="D25">IF($J25&lt;&gt;"",INDEX(Connections!$B$4:$V$345,$J25,MATCH(D$16,Connections!$B$3:$V$3,0)),"")</f>
        <v>230</v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>auto</v>
      </c>
      <c r="G25" s="46" t="str" cm="1">
        <f t="array" ref="G25">IF($J25&lt;&gt;"",INDEX(Connections!$B$4:$V$345,$J25,MATCH(G$16,Connections!$B$3:$V$3,0)),"")</f>
        <v>1GB COPPER</v>
      </c>
      <c r="H25" s="46" t="str" cm="1">
        <f t="array" ref="H25">IF($J25&lt;&gt;"",INDEX(Connections!$B$4:$V$345,$J25,MATCH(H$16,Connections!$B$3:$V$3,0)),"")</f>
        <v>SAS05/data 2 (Physical Server)</v>
      </c>
      <c r="J25" s="118">
        <f>_xlfn.IFNA(MATCH(SHEET_NAME&amp;" "&amp;B25,Connections!$L$4:$L$345,0),"")</f>
        <v>271</v>
      </c>
    </row>
    <row r="26" spans="1:12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cm="1">
        <f t="array" ref="D26">IF($J26&lt;&gt;"",INDEX(Connections!$B$4:$V$345,$J26,MATCH(D$16,Connections!$B$3:$V$3,0)),"")</f>
        <v>220</v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>auto</v>
      </c>
      <c r="G26" s="46" t="str" cm="1">
        <f t="array" ref="G26">IF($J26&lt;&gt;"",INDEX(Connections!$B$4:$V$345,$J26,MATCH(G$16,Connections!$B$3:$V$3,0)),"")</f>
        <v>1GB COPPER</v>
      </c>
      <c r="H26" s="46" t="str" cm="1">
        <f t="array" ref="H26">IF($J26&lt;&gt;"",INDEX(Connections!$B$4:$V$345,$J26,MATCH(H$16,Connections!$B$3:$V$3,0)),"")</f>
        <v>SAS07/Mgmt (Physical Server)</v>
      </c>
      <c r="J26" s="118">
        <f>_xlfn.IFNA(MATCH(SHEET_NAME&amp;" "&amp;B26,Connections!$L$4:$L$345,0),"")</f>
        <v>275</v>
      </c>
    </row>
    <row r="27" spans="1:12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230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SAS07/data 1 (Physical Server)</v>
      </c>
      <c r="J27" s="118">
        <f>_xlfn.IFNA(MATCH(SHEET_NAME&amp;" "&amp;B27,Connections!$L$4:$L$345,0),"")</f>
        <v>276</v>
      </c>
    </row>
    <row r="28" spans="1:12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230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SAS07/data 2 (Physical Server)</v>
      </c>
      <c r="J28" s="118">
        <f>_xlfn.IFNA(MATCH(SHEET_NAME&amp;" "&amp;B28,Connections!$L$4:$L$345,0),"")</f>
        <v>277</v>
      </c>
    </row>
    <row r="29" spans="1:12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220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SAS09/Mgmt (Physical Server)</v>
      </c>
      <c r="J29" s="118">
        <f>_xlfn.IFNA(MATCH(SHEET_NAME&amp;" "&amp;B29,Connections!$L$4:$L$345,0),"")</f>
        <v>278</v>
      </c>
    </row>
    <row r="30" spans="1:12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230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SAS09/data 1 (Physical Server)</v>
      </c>
      <c r="J30" s="118">
        <f>_xlfn.IFNA(MATCH(SHEET_NAME&amp;" "&amp;B30,Connections!$L$4:$L$345,0),"")</f>
        <v>279</v>
      </c>
    </row>
    <row r="31" spans="1:12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230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SAS09/data 2 (Physical Server)</v>
      </c>
      <c r="J31" s="118">
        <f>_xlfn.IFNA(MATCH(SHEET_NAME&amp;" "&amp;B31,Connections!$L$4:$L$345,0),"")</f>
        <v>280</v>
      </c>
    </row>
    <row r="32" spans="1:12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220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1GB COPPER</v>
      </c>
      <c r="H32" s="46" t="str" cm="1">
        <f t="array" ref="H32">IF($J32&lt;&gt;"",INDEX(Connections!$B$4:$V$345,$J32,MATCH(H$16,Connections!$B$3:$V$3,0)),"")</f>
        <v>SAS11/Mgmt (Physical Server)</v>
      </c>
      <c r="J32" s="118">
        <f>_xlfn.IFNA(MATCH(SHEET_NAME&amp;" "&amp;B32,Connections!$L$4:$L$345,0),"")</f>
        <v>284</v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230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1GB COPPER</v>
      </c>
      <c r="H33" s="46" t="str" cm="1">
        <f t="array" ref="H33">IF($J33&lt;&gt;"",INDEX(Connections!$B$4:$V$345,$J33,MATCH(H$16,Connections!$B$3:$V$3,0)),"")</f>
        <v>SAS11/data 1 (Physical Server)</v>
      </c>
      <c r="J33" s="118">
        <f>_xlfn.IFNA(MATCH(SHEET_NAME&amp;" "&amp;B33,Connections!$L$4:$L$345,0),"")</f>
        <v>285</v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2611</v>
      </c>
      <c r="D34" s="46" cm="1">
        <f t="array" ref="D34">IF($J34&lt;&gt;"",INDEX(Connections!$B$4:$V$345,$J34,MATCH(D$16,Connections!$B$3:$V$3,0)),"")</f>
        <v>230</v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>auto</v>
      </c>
      <c r="G34" s="46" t="str" cm="1">
        <f t="array" ref="G34">IF($J34&lt;&gt;"",INDEX(Connections!$B$4:$V$345,$J34,MATCH(G$16,Connections!$B$3:$V$3,0)),"")</f>
        <v>1GB COPPER</v>
      </c>
      <c r="H34" s="46" t="str" cm="1">
        <f t="array" ref="H34">IF($J34&lt;&gt;"",INDEX(Connections!$B$4:$V$345,$J34,MATCH(H$16,Connections!$B$3:$V$3,0)),"")</f>
        <v>SAS11/data 2 (Physical Server)</v>
      </c>
      <c r="J34" s="118">
        <f>_xlfn.IFNA(MATCH(SHEET_NAME&amp;" "&amp;B34,Connections!$L$4:$L$345,0),"")</f>
        <v>286</v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46" t="str" cm="1">
        <f t="array" ref="D37">IF($J37&lt;&gt;"",INDEX(Connections!$B$4:$V$345,$J37,MATCH(D$16,Connections!$B$3:$V$3,0)),"")</f>
        <v/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/>
      </c>
      <c r="G37" s="46" t="str" cm="1">
        <f t="array" ref="G37">IF($J37&lt;&gt;"",INDEX(Connections!$B$4:$V$345,$J37,MATCH(G$16,Connections!$B$3:$V$3,0)),"")</f>
        <v/>
      </c>
      <c r="H37" s="46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46" t="str" cm="1">
        <f t="array" ref="D38">IF($J38&lt;&gt;"",INDEX(Connections!$B$4:$V$345,$J38,MATCH(D$16,Connections!$B$3:$V$3,0)),"")</f>
        <v/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/>
      </c>
      <c r="G38" s="46" t="str" cm="1">
        <f t="array" ref="G38">IF($J38&lt;&gt;"",INDEX(Connections!$B$4:$V$345,$J38,MATCH(G$16,Connections!$B$3:$V$3,0)),"")</f>
        <v/>
      </c>
      <c r="H38" s="46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46" t="str" cm="1">
        <f t="array" ref="D39">IF($J39&lt;&gt;"",INDEX(Connections!$B$4:$V$345,$J39,MATCH(D$16,Connections!$B$3:$V$3,0)),"")</f>
        <v/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/>
      </c>
      <c r="G39" s="46" t="str" cm="1">
        <f t="array" ref="G39">IF($J39&lt;&gt;"",INDEX(Connections!$B$4:$V$345,$J39,MATCH(G$16,Connections!$B$3:$V$3,0)),"")</f>
        <v/>
      </c>
      <c r="H39" s="46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46" t="str" cm="1">
        <f t="array" ref="D56">IF($J56&lt;&gt;"",INDEX(Connections!$B$4:$V$345,$J56,MATCH(D$16,Connections!$B$3:$V$3,0)),"")</f>
        <v/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/>
      </c>
      <c r="G56" s="46" t="str" cm="1">
        <f t="array" ref="G56">IF($J56&lt;&gt;"",INDEX(Connections!$B$4:$V$345,$J56,MATCH(G$16,Connections!$B$3:$V$3,0)),"")</f>
        <v/>
      </c>
      <c r="H56" s="46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46" t="str" cm="1">
        <f t="array" ref="D58">IF($J58&lt;&gt;"",INDEX(Connections!$B$4:$V$345,$J58,MATCH(D$16,Connections!$B$3:$V$3,0)),"")</f>
        <v/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/>
      </c>
      <c r="G58" s="46" t="str" cm="1">
        <f t="array" ref="G58">IF($J58&lt;&gt;"",INDEX(Connections!$B$4:$V$345,$J58,MATCH(G$16,Connections!$B$3:$V$3,0)),"")</f>
        <v/>
      </c>
      <c r="H58" s="46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46" t="str" cm="1">
        <f t="array" ref="D59">IF($J59&lt;&gt;"",INDEX(Connections!$B$4:$V$345,$J59,MATCH(D$16,Connections!$B$3:$V$3,0)),"")</f>
        <v/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/>
      </c>
      <c r="G59" s="46" t="str" cm="1">
        <f t="array" ref="G59">IF($J59&lt;&gt;"",INDEX(Connections!$B$4:$V$345,$J59,MATCH(G$16,Connections!$B$3:$V$3,0)),"")</f>
        <v/>
      </c>
      <c r="H59" s="46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">
        <v>2608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89" t="str">
        <f>IF(J62&lt;&gt;"","TRUNK","")</f>
        <v/>
      </c>
      <c r="E62" s="190" t="str" cm="1">
        <f t="array" ref="E62">IF($J62&lt;&gt;"",INDEX(SWITCH_TABLE[#Data],$J62,MATCH("Remote EC",SWITCH_TABLE[#Headers],0)),"")</f>
        <v/>
      </c>
      <c r="F62" s="189"/>
      <c r="G62" s="189" t="str" cm="1">
        <f t="array" ref="G62">IF($J62&lt;&gt;"",INDEX(SWITCH_TABLE[#Data],$J62,MATCH("Uplink 1 SFP",SWITCH_TABLE[#Headers],0)),"")</f>
        <v/>
      </c>
      <c r="H62" s="189" t="str">
        <f>IF($J62&lt;&gt;"",INDEX(SWITCH_TABLE[#Data],$J62,MATCH("Device Name",SWITCH_TABLE[#Headers],0)) &amp; " " &amp; INDEX(SWITCH_TABLE[#Data],$J62,MATCH("Uplink Port 1",SWITCH_TABLE[#Headers],0)),"")</f>
        <v/>
      </c>
      <c r="J62" s="127" t="str">
        <f t="array" ref="J62">_xlfn.IFNA(MATCH(1,(SHEET_NAME=SWITCH_TABLE[Remote Device 1])*(B62=SWITCH_TABLE[Remote Port 1]),0),"")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89" t="str">
        <f t="shared" ref="D63:D64" si="2">IF(J63&lt;&gt;"","TRUNK","")</f>
        <v/>
      </c>
      <c r="E63" s="190" t="str" cm="1">
        <f t="array" ref="E63">IF($J63&lt;&gt;"",INDEX(SWITCH_TABLE[#Data],$J63,MATCH("Remote EC",SWITCH_TABLE[#Headers],0)),"")</f>
        <v/>
      </c>
      <c r="F63" s="189"/>
      <c r="G63" s="189" t="str" cm="1">
        <f t="array" ref="G63">IF($J63&lt;&gt;"",INDEX(SWITCH_TABLE[#Data],$J63,MATCH("Uplink 1 SFP",SWITCH_TABLE[#Headers],0)),"")</f>
        <v/>
      </c>
      <c r="H63" s="189" t="str">
        <f>IF($J63&lt;&gt;"",INDEX(SWITCH_TABLE[#Data],$J63,MATCH("Device Name",SWITCH_TABLE[#Headers],0)) &amp; " " &amp; INDEX(SWITCH_TABLE[#Data],$J63,MATCH("Uplink Port 1",SWITCH_TABLE[#Headers],0)),"")</f>
        <v/>
      </c>
      <c r="J63" s="127" t="str">
        <f t="array" ref="J63">_xlfn.IFNA(MATCH(1,(SHEET_NAME=SWITCH_TABLE[Remote Device 1])*(B63=SWITCH_TABLE[Remote Port 1]),0),"")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89" t="str">
        <f t="shared" si="2"/>
        <v/>
      </c>
      <c r="E64" s="190" t="str" cm="1">
        <f t="array" ref="E64">IF($J64&lt;&gt;"",INDEX(SWITCH_TABLE[#Data],$J64,MATCH("Remote EC",SWITCH_TABLE[#Headers],0)),"")</f>
        <v/>
      </c>
      <c r="F64" s="189"/>
      <c r="G64" s="189" t="str" cm="1">
        <f t="array" ref="G64">IF($J64&lt;&gt;"",INDEX(SWITCH_TABLE[#Data],$J64,MATCH("Uplink 1 SFP",SWITCH_TABLE[#Headers],0)),"")</f>
        <v/>
      </c>
      <c r="H64" s="189" t="str">
        <f>IF($J64&lt;&gt;"",INDEX(SWITCH_TABLE[#Data],$J64,MATCH("Device Name",SWITCH_TABLE[#Headers],0)) &amp; " " &amp; INDEX(SWITCH_TABLE[#Data],$J64,MATCH("Uplink Port 1",SWITCH_TABLE[#Headers],0)),"")</f>
        <v/>
      </c>
      <c r="J64" s="127" t="str">
        <f t="array" ref="J64">_xlfn.IFNA(MATCH(1,(SHEET_NAME=SWITCH_TABLE[Remote Device 1])*(B64=SWITCH_TABLE[Remote Port 1]),0),"")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0">
      <c r="B66" s="130"/>
    </row>
    <row r="67" spans="1:10" ht="13.2">
      <c r="A67" s="121">
        <f>VLOOKUP($H$1,MODEL_TABLE[#Data],MATCH("Uplink Port",MODEL_TABLE[#Headers],0),FALSE)-1</f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3">ROW(A68)-ROW($A$67)+$A$67</f>
        <v>1</v>
      </c>
      <c r="B68" s="116" t="str">
        <f t="shared" ref="B68:B75" si="4">IF(A68&gt;$C$8+$A$67,"",$D$8&amp;$C$11&amp;"/0/"&amp;A68)</f>
        <v>gi1/0/1</v>
      </c>
      <c r="C68" s="122" t="str" cm="1">
        <f t="array" ref="C68">_xlfn.IFS($B68="","",$B68=$B$79,"reserved",$B68=$B$80,"reserved",$B68=$G$11,"connect",$B68=$G$13,"connect",1=1,"disabled")</f>
        <v>disabled</v>
      </c>
      <c r="D68" s="191" t="str" cm="1">
        <f t="array" ref="D68">_xlfn.IFS($B68="","",$B68=$G$11,"TRUNK",$B68=$G$13,"TRUNK",1=1,"")</f>
        <v/>
      </c>
      <c r="E68" s="190" t="str" cm="1">
        <f t="array" ref="E68">_xlfn.IFS($B68="","",OR($B68=$G$11,$B68=$G$13),INDEX(SWITCH_TABLE[#Data],$H$3,MATCH("Local EC",SWITCH_TABLE[#Headers],0)),1=1,"")</f>
        <v/>
      </c>
      <c r="F68" s="191" t="str" cm="1">
        <f t="array" ref="F68">_xlfn.IFS($B68="","",$B68=$G$11,"Uplink Port 1",$B68=$G$13,"Uplink Port 2",$B68=$B$79,"Stack Port 1",$B68=$B$80,"Stack Port 2",1=1,"")</f>
        <v/>
      </c>
      <c r="G68" s="191" t="str" cm="1">
        <f t="array" ref="G68">_xlfn.IFS($B68="","",$B68=$G$11,$H$11,$B68=$G$13,$H$13,1=1,"")</f>
        <v/>
      </c>
      <c r="H68" s="191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3"/>
        <v>2</v>
      </c>
      <c r="B69" s="116" t="str">
        <f t="shared" si="4"/>
        <v>gi1/0/2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3"/>
        <v>3</v>
      </c>
      <c r="B70" s="116" t="str">
        <f t="shared" si="4"/>
        <v>gi1/0/3</v>
      </c>
      <c r="C70" s="122" t="str" cm="1">
        <f t="array" ref="C70">_xlfn.IFS($B70="","",$B70=$B$79,"reserved",$B70=$B$80,"reserved",$B70=$G$11,"connect",$B70=$G$13,"connect",1=1,"disabled")</f>
        <v>disabled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/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3"/>
        <v>4</v>
      </c>
      <c r="B71" s="116" t="str">
        <f t="shared" si="4"/>
        <v>gi1/0/4</v>
      </c>
      <c r="C71" s="122" t="str" cm="1">
        <f t="array" ref="C71">_xlfn.IFS($B71="","",$B71=$B$79,"reserved",$B71=$B$80,"reserved",$B71=$G$11,"connect",$B71=$G$13,"connect",1=1,"disabled")</f>
        <v>disabled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/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3"/>
        <v>5</v>
      </c>
      <c r="B72" s="116" t="str">
        <f t="shared" si="4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3"/>
        <v>6</v>
      </c>
      <c r="B73" s="116" t="str">
        <f t="shared" si="4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3"/>
        <v>7</v>
      </c>
      <c r="B74" s="116" t="str">
        <f t="shared" si="4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3"/>
        <v>8</v>
      </c>
      <c r="B75" s="116" t="str">
        <f t="shared" si="4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16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2")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234" priority="13" operator="equal">
      <formula>"reserved"</formula>
    </cfRule>
    <cfRule type="cellIs" dxfId="1233" priority="14" operator="equal">
      <formula>"notconnect"</formula>
    </cfRule>
    <cfRule type="cellIs" dxfId="1232" priority="15" operator="equal">
      <formula>"disabled"</formula>
    </cfRule>
    <cfRule type="cellIs" dxfId="1231" priority="16" operator="equal">
      <formula>"connect"</formula>
    </cfRule>
  </conditionalFormatting>
  <conditionalFormatting sqref="C79:C80">
    <cfRule type="cellIs" dxfId="1230" priority="9" operator="equal">
      <formula>"reserved"</formula>
    </cfRule>
    <cfRule type="cellIs" dxfId="1229" priority="10" operator="equal">
      <formula>"notconnect"</formula>
    </cfRule>
    <cfRule type="cellIs" dxfId="1228" priority="11" operator="equal">
      <formula>"disabled"</formula>
    </cfRule>
    <cfRule type="cellIs" dxfId="1227" priority="12" operator="equal">
      <formula>"connect"</formula>
    </cfRule>
  </conditionalFormatting>
  <conditionalFormatting sqref="C64">
    <cfRule type="cellIs" dxfId="1226" priority="5" operator="equal">
      <formula>"reserved"</formula>
    </cfRule>
    <cfRule type="cellIs" dxfId="1225" priority="6" operator="equal">
      <formula>"notconnect"</formula>
    </cfRule>
    <cfRule type="cellIs" dxfId="1224" priority="7" operator="equal">
      <formula>"disabled"</formula>
    </cfRule>
    <cfRule type="cellIs" dxfId="1223" priority="8" operator="equal">
      <formula>"connect"</formula>
    </cfRule>
  </conditionalFormatting>
  <conditionalFormatting sqref="C17:C63">
    <cfRule type="cellIs" dxfId="1222" priority="1" operator="equal">
      <formula>"reserved"</formula>
    </cfRule>
    <cfRule type="cellIs" dxfId="1221" priority="2" operator="equal">
      <formula>"notconnect"</formula>
    </cfRule>
    <cfRule type="cellIs" dxfId="1220" priority="3" operator="equal">
      <formula>"disabled"</formula>
    </cfRule>
    <cfRule type="cellIs" dxfId="1219" priority="4" operator="equal">
      <formula>"connect"</formula>
    </cfRule>
  </conditionalFormatting>
  <dataValidations count="5">
    <dataValidation type="list" allowBlank="1" showInputMessage="1" sqref="C68:C75 C79:C80 C17:C64" xr:uid="{F237C497-A51C-4CC4-B75F-E6D3B5697CCC}">
      <formula1>PORT_STATE_LIST</formula1>
    </dataValidation>
    <dataValidation allowBlank="1" showInputMessage="1" sqref="E68:E75 E17:E64" xr:uid="{D234E523-79B7-4764-8943-B52D38C422B7}"/>
    <dataValidation type="list" allowBlank="1" showInputMessage="1" sqref="F17:F64" xr:uid="{D64BAB66-DC38-49B0-B7D2-E4EAC9C8A091}">
      <formula1>SPEED_DUPLEX_LIST</formula1>
    </dataValidation>
    <dataValidation type="list" allowBlank="1" showInputMessage="1" sqref="G68:G75 G17:G64" xr:uid="{66B1EF95-4292-40DC-BDAE-9F110945BA94}">
      <formula1>PORT_TYPE_LIST</formula1>
    </dataValidation>
    <dataValidation type="list" allowBlank="1" showInputMessage="1" sqref="D62:D64 D68:D75" xr:uid="{30084065-D662-47F2-A481-E00E3FBA0635}">
      <formula1>VLAN_ID_LIST</formula1>
    </dataValidation>
  </dataValidation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1A1-1079-497E-9014-B58D31AB93C1}">
  <dimension ref="A1:L81"/>
  <sheetViews>
    <sheetView workbookViewId="0">
      <selection activeCell="O28" sqref="O28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1051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C9200-24P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44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FGHLHN33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Training Room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Commissioned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JAE2326070A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10.224.21.33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 SFP SX</v>
      </c>
    </row>
    <row r="12" spans="1:10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FGHLHN43-1</v>
      </c>
      <c r="H12" s="118" t="str" cm="1">
        <f t="array" ref="H12">IF(G12="","",INDEX(SWITCH_TABLE[#Data],$H$3,MATCH("Remote Port 1",SWITCH_TABLE[#Headers],0)))</f>
        <v>twe1/0/23</v>
      </c>
    </row>
    <row r="13" spans="1:10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 SFP SX</v>
      </c>
    </row>
    <row r="14" spans="1:10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FGHLHN43-2</v>
      </c>
      <c r="H14" s="118" t="str" cm="1">
        <f t="array" ref="H14">IF(G14="","",INDEX(SWITCH_TABLE[#Data],$H$3,MATCH("Remote Port 2",SWITCH_TABLE[#Headers],0)))</f>
        <v>twe2/0/23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disabled</v>
      </c>
      <c r="D17" s="46" t="str" cm="1">
        <f t="array" ref="D17">IF($J17&lt;&gt;"",INDEX(Connections!$B$4:$V$345,$J17,MATCH(D$16,Connections!$B$3:$V$3,0)),"")</f>
        <v/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/>
      </c>
      <c r="G17" s="46" t="str" cm="1">
        <f t="array" ref="G17">IF($J17&lt;&gt;"",INDEX(Connections!$B$4:$V$345,$J17,MATCH(G$16,Connections!$B$3:$V$3,0)),"")</f>
        <v/>
      </c>
      <c r="H17" s="46" t="str" cm="1">
        <f t="array" ref="H17">IF($J17&lt;&gt;"",INDEX(Connections!$B$4:$V$345,$J17,MATCH(H$16,Connections!$B$3:$V$3,0)),"")</f>
        <v/>
      </c>
      <c r="J17" s="118" t="str">
        <f>_xlfn.IFNA(MATCH(SHEET_NAME&amp;" "&amp;B17,Connections!$L$4:$L$345,0),"")</f>
        <v/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46" t="str" cm="1">
        <f t="array" ref="D18">IF($J18&lt;&gt;"",INDEX(Connections!$B$4:$V$345,$J18,MATCH(D$16,Connections!$B$3:$V$3,0)),"")</f>
        <v/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/>
      </c>
      <c r="G18" s="46" t="str" cm="1">
        <f t="array" ref="G18">IF($J18&lt;&gt;"",INDEX(Connections!$B$4:$V$345,$J18,MATCH(G$16,Connections!$B$3:$V$3,0)),"")</f>
        <v/>
      </c>
      <c r="H18" s="46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2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46" t="str" cm="1">
        <f t="array" ref="D19">IF($J19&lt;&gt;"",INDEX(Connections!$B$4:$V$345,$J19,MATCH(D$16,Connections!$B$3:$V$3,0)),"")</f>
        <v/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/>
      </c>
      <c r="G19" s="46" t="str" cm="1">
        <f t="array" ref="G19">IF($J19&lt;&gt;"",INDEX(Connections!$B$4:$V$345,$J19,MATCH(G$16,Connections!$B$3:$V$3,0)),"")</f>
        <v/>
      </c>
      <c r="H19" s="46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2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reserved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2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2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2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2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2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2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2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46" t="str" cm="1">
        <f t="array" ref="D27">IF($J27&lt;&gt;"",INDEX(Connections!$B$4:$V$345,$J27,MATCH(D$16,Connections!$B$3:$V$3,0)),"")</f>
        <v/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/>
      </c>
      <c r="G27" s="46" t="str" cm="1">
        <f t="array" ref="G27">IF($J27&lt;&gt;"",INDEX(Connections!$B$4:$V$345,$J27,MATCH(G$16,Connections!$B$3:$V$3,0)),"")</f>
        <v/>
      </c>
      <c r="H27" s="46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2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46" t="str" cm="1">
        <f t="array" ref="D28">IF($J28&lt;&gt;"",INDEX(Connections!$B$4:$V$345,$J28,MATCH(D$16,Connections!$B$3:$V$3,0)),"")</f>
        <v/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/>
      </c>
      <c r="G28" s="46" t="str" cm="1">
        <f t="array" ref="G28">IF($J28&lt;&gt;"",INDEX(Connections!$B$4:$V$345,$J28,MATCH(G$16,Connections!$B$3:$V$3,0)),"")</f>
        <v/>
      </c>
      <c r="H28" s="46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2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46" t="str" cm="1">
        <f t="array" ref="D29">IF($J29&lt;&gt;"",INDEX(Connections!$B$4:$V$345,$J29,MATCH(D$16,Connections!$B$3:$V$3,0)),"")</f>
        <v/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/>
      </c>
      <c r="G29" s="46" t="str" cm="1">
        <f t="array" ref="G29">IF($J29&lt;&gt;"",INDEX(Connections!$B$4:$V$345,$J29,MATCH(G$16,Connections!$B$3:$V$3,0)),"")</f>
        <v/>
      </c>
      <c r="H29" s="46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2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46" t="str" cm="1">
        <f t="array" ref="D30">IF($J30&lt;&gt;"",INDEX(Connections!$B$4:$V$345,$J30,MATCH(D$16,Connections!$B$3:$V$3,0)),"")</f>
        <v/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/>
      </c>
      <c r="G30" s="46" t="str" cm="1">
        <f t="array" ref="G30">IF($J30&lt;&gt;"",INDEX(Connections!$B$4:$V$345,$J30,MATCH(G$16,Connections!$B$3:$V$3,0)),"")</f>
        <v/>
      </c>
      <c r="H30" s="46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2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46" t="str" cm="1">
        <f t="array" ref="D31">IF($J31&lt;&gt;"",INDEX(Connections!$B$4:$V$345,$J31,MATCH(D$16,Connections!$B$3:$V$3,0)),"")</f>
        <v/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/>
      </c>
      <c r="G31" s="46" t="str" cm="1">
        <f t="array" ref="G31">IF($J31&lt;&gt;"",INDEX(Connections!$B$4:$V$345,$J31,MATCH(G$16,Connections!$B$3:$V$3,0)),"")</f>
        <v/>
      </c>
      <c r="H31" s="46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2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46" t="str" cm="1">
        <f t="array" ref="D32">IF($J32&lt;&gt;"",INDEX(Connections!$B$4:$V$345,$J32,MATCH(D$16,Connections!$B$3:$V$3,0)),"")</f>
        <v/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/>
      </c>
      <c r="G32" s="46" t="str" cm="1">
        <f t="array" ref="G32">IF($J32&lt;&gt;"",INDEX(Connections!$B$4:$V$345,$J32,MATCH(G$16,Connections!$B$3:$V$3,0)),"")</f>
        <v/>
      </c>
      <c r="H32" s="46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46" t="str" cm="1">
        <f t="array" ref="D33">IF($J33&lt;&gt;"",INDEX(Connections!$B$4:$V$345,$J33,MATCH(D$16,Connections!$B$3:$V$3,0)),"")</f>
        <v/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/>
      </c>
      <c r="G33" s="46" t="str" cm="1">
        <f t="array" ref="G33">IF($J33&lt;&gt;"",INDEX(Connections!$B$4:$V$345,$J33,MATCH(G$16,Connections!$B$3:$V$3,0)),"")</f>
        <v/>
      </c>
      <c r="H33" s="46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46" t="str" cm="1">
        <f t="array" ref="D37">IF($J37&lt;&gt;"",INDEX(Connections!$B$4:$V$345,$J37,MATCH(D$16,Connections!$B$3:$V$3,0)),"")</f>
        <v/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/>
      </c>
      <c r="G37" s="46" t="str" cm="1">
        <f t="array" ref="G37">IF($J37&lt;&gt;"",INDEX(Connections!$B$4:$V$345,$J37,MATCH(G$16,Connections!$B$3:$V$3,0)),"")</f>
        <v/>
      </c>
      <c r="H37" s="46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46" t="str" cm="1">
        <f t="array" ref="D38">IF($J38&lt;&gt;"",INDEX(Connections!$B$4:$V$345,$J38,MATCH(D$16,Connections!$B$3:$V$3,0)),"")</f>
        <v/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/>
      </c>
      <c r="G38" s="46" t="str" cm="1">
        <f t="array" ref="G38">IF($J38&lt;&gt;"",INDEX(Connections!$B$4:$V$345,$J38,MATCH(G$16,Connections!$B$3:$V$3,0)),"")</f>
        <v/>
      </c>
      <c r="H38" s="46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46" t="str" cm="1">
        <f t="array" ref="D39">IF($J39&lt;&gt;"",INDEX(Connections!$B$4:$V$345,$J39,MATCH(D$16,Connections!$B$3:$V$3,0)),"")</f>
        <v/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/>
      </c>
      <c r="G39" s="46" t="str" cm="1">
        <f t="array" ref="G39">IF($J39&lt;&gt;"",INDEX(Connections!$B$4:$V$345,$J39,MATCH(G$16,Connections!$B$3:$V$3,0)),"")</f>
        <v/>
      </c>
      <c r="H39" s="46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46" t="str" cm="1">
        <f t="array" ref="D56">IF($J56&lt;&gt;"",INDEX(Connections!$B$4:$V$345,$J56,MATCH(D$16,Connections!$B$3:$V$3,0)),"")</f>
        <v/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/>
      </c>
      <c r="G56" s="46" t="str" cm="1">
        <f t="array" ref="G56">IF($J56&lt;&gt;"",INDEX(Connections!$B$4:$V$345,$J56,MATCH(G$16,Connections!$B$3:$V$3,0)),"")</f>
        <v/>
      </c>
      <c r="H56" s="46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46" t="str" cm="1">
        <f t="array" ref="D58">IF($J58&lt;&gt;"",INDEX(Connections!$B$4:$V$345,$J58,MATCH(D$16,Connections!$B$3:$V$3,0)),"")</f>
        <v/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/>
      </c>
      <c r="G58" s="46" t="str" cm="1">
        <f t="array" ref="G58">IF($J58&lt;&gt;"",INDEX(Connections!$B$4:$V$345,$J58,MATCH(G$16,Connections!$B$3:$V$3,0)),"")</f>
        <v/>
      </c>
      <c r="H58" s="46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46" t="str" cm="1">
        <f t="array" ref="D59">IF($J59&lt;&gt;"",INDEX(Connections!$B$4:$V$345,$J59,MATCH(D$16,Connections!$B$3:$V$3,0)),"")</f>
        <v/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/>
      </c>
      <c r="G59" s="46" t="str" cm="1">
        <f t="array" ref="G59">IF($J59&lt;&gt;"",INDEX(Connections!$B$4:$V$345,$J59,MATCH(G$16,Connections!$B$3:$V$3,0)),"")</f>
        <v/>
      </c>
      <c r="H59" s="46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">
        <v>2608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89" t="str">
        <f>IF(J62&lt;&gt;"","TRUNK","")</f>
        <v/>
      </c>
      <c r="E62" s="190" t="str" cm="1">
        <f t="array" ref="E62">IF($J62&lt;&gt;"",INDEX(SWITCH_TABLE[#Data],$J62,MATCH("Remote EC",SWITCH_TABLE[#Headers],0)),"")</f>
        <v/>
      </c>
      <c r="F62" s="189"/>
      <c r="G62" s="189" t="str" cm="1">
        <f t="array" ref="G62">IF($J62&lt;&gt;"",INDEX(SWITCH_TABLE[#Data],$J62,MATCH("Uplink 1 SFP",SWITCH_TABLE[#Headers],0)),"")</f>
        <v/>
      </c>
      <c r="H62" s="189" t="str">
        <f>IF($J62&lt;&gt;"",INDEX(SWITCH_TABLE[#Data],$J62,MATCH("Device Name",SWITCH_TABLE[#Headers],0)) &amp; " " &amp; INDEX(SWITCH_TABLE[#Data],$J62,MATCH("Uplink Port 1",SWITCH_TABLE[#Headers],0)),"")</f>
        <v/>
      </c>
      <c r="J62" s="127" t="str">
        <f t="array" ref="J62">_xlfn.IFNA(MATCH(1,(SHEET_NAME=SWITCH_TABLE[Remote Device 1])*(B62=SWITCH_TABLE[Remote Port 1]),0),"")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89" t="str">
        <f t="shared" ref="D63:D64" si="2">IF(J63&lt;&gt;"","TRUNK","")</f>
        <v/>
      </c>
      <c r="E63" s="190" t="str" cm="1">
        <f t="array" ref="E63">IF($J63&lt;&gt;"",INDEX(SWITCH_TABLE[#Data],$J63,MATCH("Remote EC",SWITCH_TABLE[#Headers],0)),"")</f>
        <v/>
      </c>
      <c r="F63" s="189"/>
      <c r="G63" s="189" t="str" cm="1">
        <f t="array" ref="G63">IF($J63&lt;&gt;"",INDEX(SWITCH_TABLE[#Data],$J63,MATCH("Uplink 1 SFP",SWITCH_TABLE[#Headers],0)),"")</f>
        <v/>
      </c>
      <c r="H63" s="189" t="str">
        <f>IF($J63&lt;&gt;"",INDEX(SWITCH_TABLE[#Data],$J63,MATCH("Device Name",SWITCH_TABLE[#Headers],0)) &amp; " " &amp; INDEX(SWITCH_TABLE[#Data],$J63,MATCH("Uplink Port 1",SWITCH_TABLE[#Headers],0)),"")</f>
        <v/>
      </c>
      <c r="J63" s="127" t="str">
        <f t="array" ref="J63">_xlfn.IFNA(MATCH(1,(SHEET_NAME=SWITCH_TABLE[Remote Device 1])*(B63=SWITCH_TABLE[Remote Port 1]),0),"")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89" t="str">
        <f t="shared" si="2"/>
        <v/>
      </c>
      <c r="E64" s="190" t="str" cm="1">
        <f t="array" ref="E64">IF($J64&lt;&gt;"",INDEX(SWITCH_TABLE[#Data],$J64,MATCH("Remote EC",SWITCH_TABLE[#Headers],0)),"")</f>
        <v/>
      </c>
      <c r="F64" s="189"/>
      <c r="G64" s="189" t="str" cm="1">
        <f t="array" ref="G64">IF($J64&lt;&gt;"",INDEX(SWITCH_TABLE[#Data],$J64,MATCH("Uplink 1 SFP",SWITCH_TABLE[#Headers],0)),"")</f>
        <v/>
      </c>
      <c r="H64" s="189" t="str">
        <f>IF($J64&lt;&gt;"",INDEX(SWITCH_TABLE[#Data],$J64,MATCH("Device Name",SWITCH_TABLE[#Headers],0)) &amp; " " &amp; INDEX(SWITCH_TABLE[#Data],$J64,MATCH("Uplink Port 1",SWITCH_TABLE[#Headers],0)),"")</f>
        <v/>
      </c>
      <c r="J64" s="127" t="str">
        <f t="array" ref="J64">_xlfn.IFNA(MATCH(1,(SHEET_NAME=SWITCH_TABLE[Remote Device 1])*(B64=SWITCH_TABLE[Remote Port 1]),0),"")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0">
      <c r="B66" s="130"/>
    </row>
    <row r="67" spans="1:10" ht="13.2">
      <c r="A67" s="121">
        <f>VLOOKUP($H$1,MODEL_TABLE[#Data],MATCH("Uplink Port",MODEL_TABLE[#Headers],0),FALSE)-1</f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3">ROW(A68)-ROW($A$67)+$A$67</f>
        <v>1</v>
      </c>
      <c r="B68" s="116" t="str">
        <f t="shared" ref="B68:B75" si="4">IF(A68&gt;$C$8+$A$67,"",$D$8&amp;$C$11&amp;"/0/"&amp;A68)</f>
        <v>gi1/0/1</v>
      </c>
      <c r="C68" s="122" t="str" cm="1">
        <f t="array" ref="C68">_xlfn.IFS($B68="","",$B68=$B$79,"reserved",$B68=$B$80,"reserved",$B68=$G$11,"connect",$B68=$G$13,"connect",1=1,"disabled")</f>
        <v>disabled</v>
      </c>
      <c r="D68" s="191" t="str" cm="1">
        <f t="array" ref="D68">_xlfn.IFS($B68="","",$B68=$G$11,"TRUNK",$B68=$G$13,"TRUNK",1=1,"")</f>
        <v/>
      </c>
      <c r="E68" s="190" t="str" cm="1">
        <f t="array" ref="E68">_xlfn.IFS($B68="","",OR($B68=$G$11,$B68=$G$13),INDEX(SWITCH_TABLE[#Data],$H$3,MATCH("Local EC",SWITCH_TABLE[#Headers],0)),1=1,"")</f>
        <v/>
      </c>
      <c r="F68" s="191" t="str" cm="1">
        <f t="array" ref="F68">_xlfn.IFS($B68="","",$B68=$G$11,"Uplink Port 1",$B68=$G$13,"Uplink Port 2",$B68=$B$79,"Stack Port 1",$B68=$B$80,"Stack Port 2",1=1,"")</f>
        <v/>
      </c>
      <c r="G68" s="191" t="str" cm="1">
        <f t="array" ref="G68">_xlfn.IFS($B68="","",$B68=$G$11,$H$11,$B68=$G$13,$H$13,1=1,"")</f>
        <v/>
      </c>
      <c r="H68" s="191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3"/>
        <v>2</v>
      </c>
      <c r="B69" s="116" t="str">
        <f t="shared" si="4"/>
        <v>gi1/0/2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3"/>
        <v>3</v>
      </c>
      <c r="B70" s="116" t="str">
        <f t="shared" si="4"/>
        <v>gi1/0/3</v>
      </c>
      <c r="C70" s="122" t="str" cm="1">
        <f t="array" ref="C70">_xlfn.IFS($B70="","",$B70=$B$79,"reserved",$B70=$B$80,"reserved",$B70=$G$11,"connect",$B70=$G$13,"connect",1=1,"disabled")</f>
        <v>disabled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/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3"/>
        <v>4</v>
      </c>
      <c r="B71" s="116" t="str">
        <f t="shared" si="4"/>
        <v>gi1/0/4</v>
      </c>
      <c r="C71" s="122" t="str" cm="1">
        <f t="array" ref="C71">_xlfn.IFS($B71="","",$B71=$B$79,"reserved",$B71=$B$80,"reserved",$B71=$G$11,"connect",$B71=$G$13,"connect",1=1,"disabled")</f>
        <v>disabled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/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3"/>
        <v>5</v>
      </c>
      <c r="B72" s="116" t="str">
        <f t="shared" si="4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3"/>
        <v>6</v>
      </c>
      <c r="B73" s="116" t="str">
        <f t="shared" si="4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3"/>
        <v>7</v>
      </c>
      <c r="B74" s="116" t="str">
        <f t="shared" si="4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3"/>
        <v>8</v>
      </c>
      <c r="B75" s="116" t="str">
        <f t="shared" si="4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16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2")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218" priority="13" operator="equal">
      <formula>"reserved"</formula>
    </cfRule>
    <cfRule type="cellIs" dxfId="1217" priority="14" operator="equal">
      <formula>"notconnect"</formula>
    </cfRule>
    <cfRule type="cellIs" dxfId="1216" priority="15" operator="equal">
      <formula>"disabled"</formula>
    </cfRule>
    <cfRule type="cellIs" dxfId="1215" priority="16" operator="equal">
      <formula>"connect"</formula>
    </cfRule>
  </conditionalFormatting>
  <conditionalFormatting sqref="C79:C80">
    <cfRule type="cellIs" dxfId="1214" priority="9" operator="equal">
      <formula>"reserved"</formula>
    </cfRule>
    <cfRule type="cellIs" dxfId="1213" priority="10" operator="equal">
      <formula>"notconnect"</formula>
    </cfRule>
    <cfRule type="cellIs" dxfId="1212" priority="11" operator="equal">
      <formula>"disabled"</formula>
    </cfRule>
    <cfRule type="cellIs" dxfId="1211" priority="12" operator="equal">
      <formula>"connect"</formula>
    </cfRule>
  </conditionalFormatting>
  <conditionalFormatting sqref="C64">
    <cfRule type="cellIs" dxfId="1210" priority="5" operator="equal">
      <formula>"reserved"</formula>
    </cfRule>
    <cfRule type="cellIs" dxfId="1209" priority="6" operator="equal">
      <formula>"notconnect"</formula>
    </cfRule>
    <cfRule type="cellIs" dxfId="1208" priority="7" operator="equal">
      <formula>"disabled"</formula>
    </cfRule>
    <cfRule type="cellIs" dxfId="1207" priority="8" operator="equal">
      <formula>"connect"</formula>
    </cfRule>
  </conditionalFormatting>
  <conditionalFormatting sqref="C17:C63">
    <cfRule type="cellIs" dxfId="1206" priority="1" operator="equal">
      <formula>"reserved"</formula>
    </cfRule>
    <cfRule type="cellIs" dxfId="1205" priority="2" operator="equal">
      <formula>"notconnect"</formula>
    </cfRule>
    <cfRule type="cellIs" dxfId="1204" priority="3" operator="equal">
      <formula>"disabled"</formula>
    </cfRule>
    <cfRule type="cellIs" dxfId="1203" priority="4" operator="equal">
      <formula>"connect"</formula>
    </cfRule>
  </conditionalFormatting>
  <dataValidations count="5">
    <dataValidation type="list" allowBlank="1" showInputMessage="1" sqref="C68:C75 C79:C80 C17:C64" xr:uid="{08D37B81-F05C-45E5-B5E0-950D6970A395}">
      <formula1>PORT_STATE_LIST</formula1>
    </dataValidation>
    <dataValidation allowBlank="1" showInputMessage="1" sqref="E68:E75 E17:E64" xr:uid="{8C2723CC-0430-427B-8759-3E9882F1FA52}"/>
    <dataValidation type="list" allowBlank="1" showInputMessage="1" sqref="F17:F64" xr:uid="{03669099-826C-4F18-8F6E-C7890D3E6173}">
      <formula1>SPEED_DUPLEX_LIST</formula1>
    </dataValidation>
    <dataValidation type="list" allowBlank="1" showInputMessage="1" sqref="G68:G75 G17:G64" xr:uid="{D220E53F-A142-49EF-804B-55F8B334430F}">
      <formula1>PORT_TYPE_LIST</formula1>
    </dataValidation>
    <dataValidation type="list" allowBlank="1" showInputMessage="1" sqref="D62:D64 D68:D75" xr:uid="{CB7C7BD6-8974-443B-97FD-CDA5B95EB11A}">
      <formula1>VLAN_ID_LIST</formula1>
    </dataValidation>
  </dataValidation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3C25-FDED-4E3C-BB82-72D7863D82A8}">
  <sheetPr codeName="Sheet16">
    <tabColor rgb="FFE26B0A"/>
  </sheetPr>
  <dimension ref="A1:L81"/>
  <sheetViews>
    <sheetView workbookViewId="0">
      <selection sqref="A1:XFD1048576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1371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3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Aggregation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CAT2330L0GC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hu1/0/49</v>
      </c>
      <c r="H11" s="118" t="str" cm="1">
        <f t="array" ref="H11">IF(G11="","",INDEX(SWITCH_TABLE[#Data],$H$3,MATCH("Uplink 1 SFP",SWITCH_TABLE[#Headers],0)))</f>
        <v>100G QSFP DAC</v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FGHLHN01-1</v>
      </c>
      <c r="H12" s="118" t="str" cm="1">
        <f t="array" ref="H12">IF(G12="","",INDEX(SWITCH_TABLE[#Data],$H$3,MATCH("Remote Port 1",SWITCH_TABLE[#Headers],0)))</f>
        <v>hu1/0/44</v>
      </c>
    </row>
    <row r="13" spans="1:10">
      <c r="B13" s="116" t="s">
        <v>1837</v>
      </c>
      <c r="C13" s="117" t="str">
        <f>INDEX(SWITCH_TABLE[#Data],$H$3,MATCH(B13,SWITCH_TABLE[#Headers],0))</f>
        <v>FGHLHN41-2</v>
      </c>
      <c r="D13" s="117" t="str">
        <f>INDEX(SWITCH_TABLE[#Data],$H$3,MATCH("Next Port",SWITCH_TABLE[#Headers],0))</f>
        <v>hu2/0/52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FGHLHN41-2</v>
      </c>
      <c r="D14" s="117" t="str">
        <f>INDEX(SWITCH_TABLE[#Data],$H$3,MATCH("Prev Port",SWITCH_TABLE[#Headers],0))</f>
        <v>hu2/0/51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twe1/0/1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1021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10GB SFP+ DAC</v>
      </c>
      <c r="H17" s="46" t="str" cm="1">
        <f t="array" ref="H17">IF($J17&lt;&gt;"",INDEX(Connections!$B$4:$V$345,$J17,MATCH(H$16,Connections!$B$3:$V$3,0)),"")</f>
        <v>FGHLHN221/enp94s0f0 (DNAC)</v>
      </c>
      <c r="J17" s="118">
        <f>_xlfn.IFNA(MATCH(SHEET_NAME&amp;" "&amp;B17,Connections!$L$4:$L$345,0),"")</f>
        <v>1</v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twe1/0/2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46" t="str" cm="1">
        <f t="array" ref="D18">IF($J18&lt;&gt;"",INDEX(Connections!$B$4:$V$345,$J18,MATCH(D$16,Connections!$B$3:$V$3,0)),"")</f>
        <v/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/>
      </c>
      <c r="G18" s="46" t="str" cm="1">
        <f t="array" ref="G18">IF($J18&lt;&gt;"",INDEX(Connections!$B$4:$V$345,$J18,MATCH(G$16,Connections!$B$3:$V$3,0)),"")</f>
        <v/>
      </c>
      <c r="H18" s="46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2">
      <c r="A19" s="121">
        <f t="shared" si="1"/>
        <v>3</v>
      </c>
      <c r="B19" s="116" t="str">
        <f t="shared" si="0"/>
        <v>twe1/0/3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46" t="str" cm="1">
        <f t="array" ref="D19">IF($J19&lt;&gt;"",INDEX(Connections!$B$4:$V$345,$J19,MATCH(D$16,Connections!$B$3:$V$3,0)),"")</f>
        <v/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/>
      </c>
      <c r="G19" s="46" t="str" cm="1">
        <f t="array" ref="G19">IF($J19&lt;&gt;"",INDEX(Connections!$B$4:$V$345,$J19,MATCH(G$16,Connections!$B$3:$V$3,0)),"")</f>
        <v/>
      </c>
      <c r="H19" s="46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2">
      <c r="A20" s="121">
        <f t="shared" si="1"/>
        <v>4</v>
      </c>
      <c r="B20" s="116" t="str">
        <f t="shared" si="0"/>
        <v>twe1/0/4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2">
      <c r="A21" s="121">
        <f t="shared" si="1"/>
        <v>5</v>
      </c>
      <c r="B21" s="116" t="str">
        <f t="shared" si="0"/>
        <v>twe1/0/5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2">
      <c r="A22" s="121">
        <f t="shared" si="1"/>
        <v>6</v>
      </c>
      <c r="B22" s="116" t="str">
        <f t="shared" si="0"/>
        <v>twe1/0/6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2">
      <c r="A23" s="121">
        <f t="shared" si="1"/>
        <v>7</v>
      </c>
      <c r="B23" s="116" t="str">
        <f t="shared" si="0"/>
        <v>twe1/0/7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2">
      <c r="A24" s="121">
        <f t="shared" si="1"/>
        <v>8</v>
      </c>
      <c r="B24" s="116" t="str">
        <f t="shared" si="0"/>
        <v>twe1/0/8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2">
      <c r="A25" s="121">
        <f t="shared" si="1"/>
        <v>9</v>
      </c>
      <c r="B25" s="116" t="str">
        <f t="shared" si="0"/>
        <v>twe1/0/9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2">
      <c r="A26" s="121">
        <f t="shared" si="1"/>
        <v>10</v>
      </c>
      <c r="B26" s="116" t="str">
        <f t="shared" si="0"/>
        <v>twe1/0/10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2">
      <c r="A27" s="121">
        <f t="shared" si="1"/>
        <v>11</v>
      </c>
      <c r="B27" s="116" t="str">
        <f t="shared" si="0"/>
        <v>twe1/0/11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401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10GB SFP+ DAC</v>
      </c>
      <c r="H27" s="46" t="str" cm="1">
        <f t="array" ref="H27">IF($J27&lt;&gt;"",INDEX(Connections!$B$4:$V$345,$J27,MATCH(H$16,Connections!$B$3:$V$3,0)),"")</f>
        <v>FGHVIEW01/DATA (VDI)</v>
      </c>
      <c r="J27" s="118">
        <f>_xlfn.IFNA(MATCH(SHEET_NAME&amp;" "&amp;B27,Connections!$L$4:$L$345,0),"")</f>
        <v>16</v>
      </c>
    </row>
    <row r="28" spans="1:12">
      <c r="A28" s="121">
        <f t="shared" si="1"/>
        <v>12</v>
      </c>
      <c r="B28" s="116" t="str">
        <f t="shared" si="0"/>
        <v>twe1/0/12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402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10GB SFP+ DAC</v>
      </c>
      <c r="H28" s="46" t="str" cm="1">
        <f t="array" ref="H28">IF($J28&lt;&gt;"",INDEX(Connections!$B$4:$V$345,$J28,MATCH(H$16,Connections!$B$3:$V$3,0)),"")</f>
        <v>FGHVIEW02/DATA (VDI)</v>
      </c>
      <c r="J28" s="118">
        <f>_xlfn.IFNA(MATCH(SHEET_NAME&amp;" "&amp;B28,Connections!$L$4:$L$345,0),"")</f>
        <v>23</v>
      </c>
    </row>
    <row r="29" spans="1:12">
      <c r="A29" s="121">
        <f t="shared" si="1"/>
        <v>13</v>
      </c>
      <c r="B29" s="116" t="str">
        <f t="shared" si="0"/>
        <v>twe1/0/13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403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10GB SFP+ DAC</v>
      </c>
      <c r="H29" s="46" t="str" cm="1">
        <f t="array" ref="H29">IF($J29&lt;&gt;"",INDEX(Connections!$B$4:$V$345,$J29,MATCH(H$16,Connections!$B$3:$V$3,0)),"")</f>
        <v>FGHVIEW03/DATA (VDI)</v>
      </c>
      <c r="J29" s="118">
        <f>_xlfn.IFNA(MATCH(SHEET_NAME&amp;" "&amp;B29,Connections!$L$4:$L$345,0),"")</f>
        <v>30</v>
      </c>
    </row>
    <row r="30" spans="1:12">
      <c r="A30" s="121">
        <f t="shared" si="1"/>
        <v>14</v>
      </c>
      <c r="B30" s="116" t="str">
        <f t="shared" si="0"/>
        <v>twe1/0/14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408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10GB SFP+ DAC</v>
      </c>
      <c r="H30" s="46" t="str" cm="1">
        <f t="array" ref="H30">IF($J30&lt;&gt;"",INDEX(Connections!$B$4:$V$345,$J30,MATCH(H$16,Connections!$B$3:$V$3,0)),"")</f>
        <v>FGHVIEW08/DATA (VDI)</v>
      </c>
      <c r="J30" s="118">
        <f>_xlfn.IFNA(MATCH(SHEET_NAME&amp;" "&amp;B30,Connections!$L$4:$L$345,0),"")</f>
        <v>65</v>
      </c>
    </row>
    <row r="31" spans="1:12">
      <c r="A31" s="121">
        <f t="shared" si="1"/>
        <v>15</v>
      </c>
      <c r="B31" s="116" t="str">
        <f t="shared" si="0"/>
        <v>twe1/0/15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410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10GB SFP+ DAC</v>
      </c>
      <c r="H31" s="46" t="str" cm="1">
        <f t="array" ref="H31">IF($J31&lt;&gt;"",INDEX(Connections!$B$4:$V$345,$J31,MATCH(H$16,Connections!$B$3:$V$3,0)),"")</f>
        <v>FGHVIEW10/DATA (VDI)</v>
      </c>
      <c r="J31" s="118">
        <f>_xlfn.IFNA(MATCH(SHEET_NAME&amp;" "&amp;B31,Connections!$L$4:$L$345,0),"")</f>
        <v>79</v>
      </c>
    </row>
    <row r="32" spans="1:12">
      <c r="A32" s="121">
        <f t="shared" si="1"/>
        <v>16</v>
      </c>
      <c r="B32" s="116" t="str">
        <f t="shared" si="0"/>
        <v>twe1/0/16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411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10GB SFP+ DAC</v>
      </c>
      <c r="H32" s="46" t="str" cm="1">
        <f t="array" ref="H32">IF($J32&lt;&gt;"",INDEX(Connections!$B$4:$V$345,$J32,MATCH(H$16,Connections!$B$3:$V$3,0)),"")</f>
        <v>FGHVIEW11/DATA (VDI)</v>
      </c>
      <c r="J32" s="118">
        <f>_xlfn.IFNA(MATCH(SHEET_NAME&amp;" "&amp;B32,Connections!$L$4:$L$345,0),"")</f>
        <v>86</v>
      </c>
    </row>
    <row r="33" spans="1:10">
      <c r="A33" s="121">
        <f t="shared" si="1"/>
        <v>17</v>
      </c>
      <c r="B33" s="116" t="str">
        <f t="shared" si="0"/>
        <v>twe1/0/17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413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10GB SFP+ DAC</v>
      </c>
      <c r="H33" s="46" t="str" cm="1">
        <f t="array" ref="H33">IF($J33&lt;&gt;"",INDEX(Connections!$B$4:$V$345,$J33,MATCH(H$16,Connections!$B$3:$V$3,0)),"")</f>
        <v>FGHVIEW13/DATA (VDI)</v>
      </c>
      <c r="J33" s="118">
        <f>_xlfn.IFNA(MATCH(SHEET_NAME&amp;" "&amp;B33,Connections!$L$4:$L$345,0),"")</f>
        <v>100</v>
      </c>
    </row>
    <row r="34" spans="1:10">
      <c r="A34" s="121">
        <f t="shared" si="1"/>
        <v>18</v>
      </c>
      <c r="B34" s="116" t="str">
        <f t="shared" si="0"/>
        <v>twe1/0/18</v>
      </c>
      <c r="C34" s="122" t="s">
        <v>2611</v>
      </c>
      <c r="D34" s="46" cm="1">
        <f t="array" ref="D34">IF($J34&lt;&gt;"",INDEX(Connections!$B$4:$V$345,$J34,MATCH(D$16,Connections!$B$3:$V$3,0)),"")</f>
        <v>415</v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>auto</v>
      </c>
      <c r="G34" s="46" t="str" cm="1">
        <f t="array" ref="G34">IF($J34&lt;&gt;"",INDEX(Connections!$B$4:$V$345,$J34,MATCH(G$16,Connections!$B$3:$V$3,0)),"")</f>
        <v>10GB SFP+ DAC</v>
      </c>
      <c r="H34" s="46" t="str" cm="1">
        <f t="array" ref="H34">IF($J34&lt;&gt;"",INDEX(Connections!$B$4:$V$345,$J34,MATCH(H$16,Connections!$B$3:$V$3,0)),"")</f>
        <v>FGHView15/DATA (VDI)</v>
      </c>
      <c r="J34" s="118">
        <f>_xlfn.IFNA(MATCH(SHEET_NAME&amp;" "&amp;B34,Connections!$L$4:$L$345,0),"")</f>
        <v>223</v>
      </c>
    </row>
    <row r="35" spans="1:10">
      <c r="A35" s="121">
        <f t="shared" si="1"/>
        <v>19</v>
      </c>
      <c r="B35" s="116" t="str">
        <f t="shared" si="0"/>
        <v>twe1/0/19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twe1/0/20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twe1/0/21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448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10GB SFP+ DAC</v>
      </c>
      <c r="H37" s="46" t="str" cm="1">
        <f t="array" ref="H37">IF($J37&lt;&gt;"",INDEX(Connections!$B$4:$V$345,$J37,MATCH(H$16,Connections!$B$3:$V$3,0)),"")</f>
        <v>TINTRI1/A-DATA (STORAGE)</v>
      </c>
      <c r="J37" s="118">
        <f>_xlfn.IFNA(MATCH(SHEET_NAME&amp;" "&amp;B37,Connections!$L$4:$L$345,0),"")</f>
        <v>129</v>
      </c>
    </row>
    <row r="38" spans="1:10">
      <c r="A38" s="121">
        <f t="shared" si="1"/>
        <v>22</v>
      </c>
      <c r="B38" s="116" t="str">
        <f t="shared" si="0"/>
        <v>twe1/0/22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 cm="1">
        <f t="array" ref="D38">IF($J38&lt;&gt;"",INDEX(Connections!$B$4:$V$345,$J38,MATCH(D$16,Connections!$B$3:$V$3,0)),"")</f>
        <v>TRUNK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10GB SFP+ DAC</v>
      </c>
      <c r="H38" s="46" t="str" cm="1">
        <f t="array" ref="H38">IF($J38&lt;&gt;"",INDEX(Connections!$B$4:$V$345,$J38,MATCH(H$16,Connections!$B$3:$V$3,0)),"")</f>
        <v>TINTRI3/A-DATA (STORAGE)</v>
      </c>
      <c r="J38" s="118">
        <f>_xlfn.IFNA(MATCH(SHEET_NAME&amp;" "&amp;B38,Connections!$L$4:$L$345,0),"")</f>
        <v>182</v>
      </c>
    </row>
    <row r="39" spans="1:10">
      <c r="A39" s="121">
        <f t="shared" si="1"/>
        <v>23</v>
      </c>
      <c r="B39" s="116" t="str">
        <f t="shared" si="0"/>
        <v>twe1/0/23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 cm="1">
        <f t="array" ref="D39">IF($J39&lt;&gt;"",INDEX(Connections!$B$4:$V$345,$J39,MATCH(D$16,Connections!$B$3:$V$3,0)),"")</f>
        <v>TRUNK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10GB SFP+ DAC</v>
      </c>
      <c r="H39" s="46" t="str" cm="1">
        <f t="array" ref="H39">IF($J39&lt;&gt;"",INDEX(Connections!$B$4:$V$345,$J39,MATCH(H$16,Connections!$B$3:$V$3,0)),"")</f>
        <v>TINTRI3/B-DATA (STORAGE)</v>
      </c>
      <c r="J39" s="118">
        <f>_xlfn.IFNA(MATCH(SHEET_NAME&amp;" "&amp;B39,Connections!$L$4:$L$345,0),"")</f>
        <v>188</v>
      </c>
    </row>
    <row r="40" spans="1:10">
      <c r="A40" s="121">
        <f t="shared" si="1"/>
        <v>24</v>
      </c>
      <c r="B40" s="116" t="str">
        <f t="shared" si="0"/>
        <v>twe1/0/24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300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10GB SFP+ DAC</v>
      </c>
      <c r="H40" s="46" t="str" cm="1">
        <f t="array" ref="H40">IF($J40&lt;&gt;"",INDEX(Connections!$B$4:$V$345,$J40,MATCH(H$16,Connections!$B$3:$V$3,0)),"")</f>
        <v>TIER3NFS01/1 (STORAGE)</v>
      </c>
      <c r="J40" s="118">
        <f>_xlfn.IFNA(MATCH(SHEET_NAME&amp;" "&amp;B40,Connections!$L$4:$L$345,0),"")</f>
        <v>175</v>
      </c>
    </row>
    <row r="41" spans="1:10">
      <c r="A41" s="121">
        <f t="shared" si="1"/>
        <v>25</v>
      </c>
      <c r="B41" s="116" t="str">
        <f t="shared" si="0"/>
        <v>twe1/0/25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twe1/0/26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twe1/0/27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>twe1/0/28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twe1/0/29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twe1/0/30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twe1/0/31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twe1/0/32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twe1/0/33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twe1/0/34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>twe1/0/35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>twe1/0/36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>twe1/0/37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>twe1/0/38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>twe1/0/39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>twe1/0/40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220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10GB SFP+ DAC</v>
      </c>
      <c r="H56" s="46" t="str" cm="1">
        <f t="array" ref="H56">IF($J56&lt;&gt;"",INDEX(Connections!$B$4:$V$345,$J56,MATCH(H$16,Connections!$B$3:$V$3,0)),"")</f>
        <v>FGHNFS05/MGNT (STORAGE)</v>
      </c>
      <c r="J56" s="118">
        <f>_xlfn.IFNA(MATCH(SHEET_NAME&amp;" "&amp;B56,Connections!$L$4:$L$345,0),"")</f>
        <v>137</v>
      </c>
    </row>
    <row r="57" spans="1:10">
      <c r="A57" s="121">
        <f t="shared" si="1"/>
        <v>41</v>
      </c>
      <c r="B57" s="116" t="str">
        <f t="shared" si="0"/>
        <v>twe1/0/41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>twe1/0/42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t="str" cm="1">
        <f t="array" ref="D58">IF($J58&lt;&gt;"",INDEX(Connections!$B$4:$V$345,$J58,MATCH(D$16,Connections!$B$3:$V$3,0)),"")</f>
        <v>TRUNK</v>
      </c>
      <c r="E58" s="51" cm="1">
        <f t="array" ref="E58">IF($J58&lt;&gt;"",IF(_xlfn.SINGLE(INDEX(Connections!$B$4:$V$345,$J58,MATCH(E$16,Connections!$B$3:$V$3,0)))=0,"",INDEX(Connections!$B$4:$V$345,$J58,MATCH(E$16,Connections!$B$3:$V$3,0))),"")</f>
        <v>42</v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10GB SFP+ DAC</v>
      </c>
      <c r="H58" s="46" t="str" cm="1">
        <f t="array" ref="H58">IF($J58&lt;&gt;"",INDEX(Connections!$B$4:$V$345,$J58,MATCH(H$16,Connections!$B$3:$V$3,0)),"")</f>
        <v>FGH-C7K02-M1/X1-DATA (BLADE CHASSIS)</v>
      </c>
      <c r="J58" s="118">
        <f>_xlfn.IFNA(MATCH(SHEET_NAME&amp;" "&amp;B58,Connections!$L$4:$L$345,0),"")</f>
        <v>157</v>
      </c>
    </row>
    <row r="59" spans="1:10">
      <c r="A59" s="121">
        <f t="shared" si="1"/>
        <v>43</v>
      </c>
      <c r="B59" s="116" t="str">
        <f t="shared" si="0"/>
        <v>twe1/0/43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t="str" cm="1">
        <f t="array" ref="D59">IF($J59&lt;&gt;"",INDEX(Connections!$B$4:$V$345,$J59,MATCH(D$16,Connections!$B$3:$V$3,0)),"")</f>
        <v>TRUNK</v>
      </c>
      <c r="E59" s="51" cm="1">
        <f t="array" ref="E59">IF($J59&lt;&gt;"",IF(_xlfn.SINGLE(INDEX(Connections!$B$4:$V$345,$J59,MATCH(E$16,Connections!$B$3:$V$3,0)))=0,"",INDEX(Connections!$B$4:$V$345,$J59,MATCH(E$16,Connections!$B$3:$V$3,0))),"")</f>
        <v>43</v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10GB SFP+ DAC</v>
      </c>
      <c r="H59" s="46" t="str" cm="1">
        <f t="array" ref="H59">IF($J59&lt;&gt;"",INDEX(Connections!$B$4:$V$345,$J59,MATCH(H$16,Connections!$B$3:$V$3,0)),"")</f>
        <v>FGH-C7K02-M2/X1-DATA (BLADE CHASSIS)</v>
      </c>
      <c r="J59" s="118">
        <f>_xlfn.IFNA(MATCH(SHEET_NAME&amp;" "&amp;B59,Connections!$L$4:$L$345,0),"")</f>
        <v>165</v>
      </c>
    </row>
    <row r="60" spans="1:10">
      <c r="A60" s="121">
        <f t="shared" si="1"/>
        <v>44</v>
      </c>
      <c r="B60" s="116" t="str">
        <f t="shared" si="0"/>
        <v>twe1/0/44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t="str" cm="1">
        <f t="array" ref="D60">IF($J60&lt;&gt;"",INDEX(Connections!$B$4:$V$345,$J60,MATCH(D$16,Connections!$B$3:$V$3,0)),"")</f>
        <v>TRUNK</v>
      </c>
      <c r="E60" s="51" cm="1">
        <f t="array" ref="E60">IF($J60&lt;&gt;"",IF(_xlfn.SINGLE(INDEX(Connections!$B$4:$V$345,$J60,MATCH(E$16,Connections!$B$3:$V$3,0)))=0,"",INDEX(Connections!$B$4:$V$345,$J60,MATCH(E$16,Connections!$B$3:$V$3,0))),"")</f>
        <v>44</v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10GB SFP+ MMF</v>
      </c>
      <c r="H60" s="46" t="str" cm="1">
        <f t="array" ref="H60">IF($J60&lt;&gt;"",INDEX(Connections!$B$4:$V$345,$J60,MATCH(H$16,Connections!$B$3:$V$3,0)),"")</f>
        <v>LHCR1C01/Te10/3 (LEGACY)</v>
      </c>
      <c r="J60" s="118">
        <f>_xlfn.IFNA(MATCH(SHEET_NAME&amp;" "&amp;B60,Connections!$L$4:$L$345,0),"")</f>
        <v>7</v>
      </c>
    </row>
    <row r="61" spans="1:10">
      <c r="A61" s="121">
        <f t="shared" si="1"/>
        <v>45</v>
      </c>
      <c r="B61" s="116" t="str">
        <f t="shared" si="0"/>
        <v>twe1/0/45</v>
      </c>
      <c r="C61" s="122" t="s">
        <v>2608</v>
      </c>
      <c r="D61" s="46" t="str" cm="1">
        <f t="array" ref="D61">IF($J61&lt;&gt;"",INDEX(Connections!$B$4:$V$345,$J61,MATCH(D$16,Connections!$B$3:$V$3,0)),"")</f>
        <v>TRUNK</v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>auto</v>
      </c>
      <c r="G61" s="46" t="str" cm="1">
        <f t="array" ref="G61">IF($J61&lt;&gt;"",INDEX(Connections!$B$4:$V$345,$J61,MATCH(G$16,Connections!$B$3:$V$3,0)),"")</f>
        <v>10GB SFP+ MMF</v>
      </c>
      <c r="H61" s="46" t="str" cm="1">
        <f t="array" ref="H61">IF($J61&lt;&gt;"",INDEX(Connections!$B$4:$V$345,$J61,MATCH(H$16,Connections!$B$3:$V$3,0)),"")</f>
        <v>LHCR1C01/Te10/2 (LEGACY)</v>
      </c>
      <c r="J61" s="118">
        <f>_xlfn.IFNA(MATCH(SHEET_NAME&amp;" "&amp;B61,Connections!$L$4:$L$345,0),"")</f>
        <v>6</v>
      </c>
    </row>
    <row r="62" spans="1:10">
      <c r="A62" s="121">
        <f t="shared" si="1"/>
        <v>46</v>
      </c>
      <c r="B62" s="116" t="str">
        <f t="shared" si="0"/>
        <v>twe1/0/46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189" t="str">
        <f>IF(J62&lt;&gt;"","TRUNK","")</f>
        <v>TRUNK</v>
      </c>
      <c r="E62" s="190" cm="1">
        <f t="array" ref="E62">IF($J62&lt;&gt;"",INDEX(SWITCH_TABLE[#Data],$J62,MATCH("Remote EC",SWITCH_TABLE[#Headers],0)),"")</f>
        <v>46</v>
      </c>
      <c r="F62" s="189"/>
      <c r="G62" s="189" t="str" cm="1">
        <f t="array" ref="G62">IF($J62&lt;&gt;"",INDEX(SWITCH_TABLE[#Data],$J62,MATCH("Uplink 1 SFP",SWITCH_TABLE[#Headers],0)),"")</f>
        <v>10GB SFP+ DAC</v>
      </c>
      <c r="H62" s="189" t="str">
        <f>IF($J62&lt;&gt;"",INDEX(SWITCH_TABLE[#Data],$J62,MATCH("Device Name",SWITCH_TABLE[#Headers],0)) &amp; " " &amp; INDEX(SWITCH_TABLE[#Data],$J62,MATCH("Uplink Port 1",SWITCH_TABLE[#Headers],0)),"")</f>
        <v>FGHLHN171 te1/1/1</v>
      </c>
      <c r="J62" s="127">
        <f t="array" ref="J62">_xlfn.IFNA(MATCH(1,(SHEET_NAME=SWITCH_TABLE[Remote Device 1])*(B62=SWITCH_TABLE[Remote Port 1]),0),"")</f>
        <v>17</v>
      </c>
    </row>
    <row r="63" spans="1:10">
      <c r="A63" s="121">
        <f t="shared" si="1"/>
        <v>47</v>
      </c>
      <c r="B63" s="116" t="str">
        <f t="shared" si="0"/>
        <v>twe1/0/47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189" t="str">
        <f t="shared" ref="D63:D64" si="2">IF(J63&lt;&gt;"","TRUNK","")</f>
        <v>TRUNK</v>
      </c>
      <c r="E63" s="190" cm="1">
        <f t="array" ref="E63">IF($J63&lt;&gt;"",INDEX(SWITCH_TABLE[#Data],$J63,MATCH("Remote EC",SWITCH_TABLE[#Headers],0)),"")</f>
        <v>47</v>
      </c>
      <c r="F63" s="189"/>
      <c r="G63" s="189" t="str" cm="1">
        <f t="array" ref="G63">IF($J63&lt;&gt;"",INDEX(SWITCH_TABLE[#Data],$J63,MATCH("Uplink 1 SFP",SWITCH_TABLE[#Headers],0)),"")</f>
        <v>1GB COPPER</v>
      </c>
      <c r="H63" s="189" t="str">
        <f>IF($J63&lt;&gt;"",INDEX(SWITCH_TABLE[#Data],$J63,MATCH("Device Name",SWITCH_TABLE[#Headers],0)) &amp; " " &amp; INDEX(SWITCH_TABLE[#Data],$J63,MATCH("Uplink Port 1",SWITCH_TABLE[#Headers],0)),"")</f>
        <v>FGHLHN143 gi1/1/1</v>
      </c>
      <c r="J63" s="127">
        <f t="array" ref="J63">_xlfn.IFNA(MATCH(1,(SHEET_NAME=SWITCH_TABLE[Remote Device 1])*(B63=SWITCH_TABLE[Remote Port 1]),0),"")</f>
        <v>14</v>
      </c>
    </row>
    <row r="64" spans="1:10">
      <c r="A64" s="121">
        <f t="shared" si="1"/>
        <v>48</v>
      </c>
      <c r="B64" s="116" t="str">
        <f t="shared" si="0"/>
        <v>twe1/0/48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189" t="str">
        <f t="shared" si="2"/>
        <v>TRUNK</v>
      </c>
      <c r="E64" s="190" cm="1">
        <f t="array" ref="E64">IF($J64&lt;&gt;"",INDEX(SWITCH_TABLE[#Data],$J64,MATCH("Remote EC",SWITCH_TABLE[#Headers],0)),"")</f>
        <v>48</v>
      </c>
      <c r="F64" s="189"/>
      <c r="G64" s="189" t="str" cm="1">
        <f t="array" ref="G64">IF($J64&lt;&gt;"",INDEX(SWITCH_TABLE[#Data],$J64,MATCH("Uplink 1 SFP",SWITCH_TABLE[#Headers],0)),"")</f>
        <v>10GB SFP+ DAC</v>
      </c>
      <c r="H64" s="189" t="str">
        <f>IF($J64&lt;&gt;"",INDEX(SWITCH_TABLE[#Data],$J64,MATCH("Device Name",SWITCH_TABLE[#Headers],0)) &amp; " " &amp; INDEX(SWITCH_TABLE[#Data],$J64,MATCH("Uplink Port 1",SWITCH_TABLE[#Headers],0)),"")</f>
        <v>FGHLHN141-1 te1/1/1</v>
      </c>
      <c r="J64" s="127">
        <f t="array" ref="J64">_xlfn.IFNA(MATCH(1,(SHEET_NAME=SWITCH_TABLE[Remote Device 1])*(B64=SWITCH_TABLE[Remote Port 1]),0),"")</f>
        <v>9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0">
      <c r="B66" s="130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3">ROW(A68)-ROW($A$67)+$A$67</f>
        <v>49</v>
      </c>
      <c r="B68" s="116" t="str">
        <f t="shared" ref="B68:B75" si="4">IF(A68&gt;$C$8+$A$67,"",$D$8&amp;$C$11&amp;"/0/"&amp;A68)</f>
        <v>hu1/0/49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1</v>
      </c>
      <c r="G68" s="191" t="str" cm="1">
        <f t="array" ref="G68">_xlfn.IFS($B68="","",$B68=$G$11,$H$11,$B68=$G$13,$H$13,1=1,"")</f>
        <v>100G QSFP DAC</v>
      </c>
      <c r="H68" s="191" t="str" cm="1">
        <f t="array" ref="H68">_xlfn.IFS($B68="","",$B68=$G$11,$G$12&amp;" "&amp;H12,$B68=$G$13,$G$14&amp;" "&amp;$H$14,1=1,"")</f>
        <v>FGHLHN01-1 hu1/0/44</v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3"/>
        <v>50</v>
      </c>
      <c r="B69" s="116" t="str">
        <f t="shared" si="4"/>
        <v>hu1/0/50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3"/>
        <v>51</v>
      </c>
      <c r="B70" s="116" t="str">
        <f t="shared" si="4"/>
        <v>hu1/0/51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3"/>
        <v>52</v>
      </c>
      <c r="B71" s="116" t="str">
        <f t="shared" si="4"/>
        <v>hu1/0/52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3"/>
        <v>53</v>
      </c>
      <c r="B72" s="116" t="str">
        <f t="shared" si="4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3"/>
        <v>54</v>
      </c>
      <c r="B73" s="116" t="str">
        <f t="shared" si="4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3"/>
        <v>55</v>
      </c>
      <c r="B74" s="116" t="str">
        <f t="shared" si="4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3"/>
        <v>56</v>
      </c>
      <c r="B75" s="116" t="str">
        <f t="shared" si="4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16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hu1/0/51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FGHLHN41-2 hu2/0/52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hu1/0/52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FGHLHN41-2 hu2/0/51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202" priority="13" operator="equal">
      <formula>"reserved"</formula>
    </cfRule>
    <cfRule type="cellIs" dxfId="1201" priority="14" operator="equal">
      <formula>"notconnect"</formula>
    </cfRule>
    <cfRule type="cellIs" dxfId="1200" priority="15" operator="equal">
      <formula>"disabled"</formula>
    </cfRule>
    <cfRule type="cellIs" dxfId="1199" priority="16" operator="equal">
      <formula>"connect"</formula>
    </cfRule>
  </conditionalFormatting>
  <conditionalFormatting sqref="C79:C80">
    <cfRule type="cellIs" dxfId="1198" priority="9" operator="equal">
      <formula>"reserved"</formula>
    </cfRule>
    <cfRule type="cellIs" dxfId="1197" priority="10" operator="equal">
      <formula>"notconnect"</formula>
    </cfRule>
    <cfRule type="cellIs" dxfId="1196" priority="11" operator="equal">
      <formula>"disabled"</formula>
    </cfRule>
    <cfRule type="cellIs" dxfId="1195" priority="12" operator="equal">
      <formula>"connect"</formula>
    </cfRule>
  </conditionalFormatting>
  <conditionalFormatting sqref="C64">
    <cfRule type="cellIs" dxfId="1194" priority="5" operator="equal">
      <formula>"reserved"</formula>
    </cfRule>
    <cfRule type="cellIs" dxfId="1193" priority="6" operator="equal">
      <formula>"notconnect"</formula>
    </cfRule>
    <cfRule type="cellIs" dxfId="1192" priority="7" operator="equal">
      <formula>"disabled"</formula>
    </cfRule>
    <cfRule type="cellIs" dxfId="1191" priority="8" operator="equal">
      <formula>"connect"</formula>
    </cfRule>
  </conditionalFormatting>
  <conditionalFormatting sqref="C17:C63">
    <cfRule type="cellIs" dxfId="1190" priority="1" operator="equal">
      <formula>"reserved"</formula>
    </cfRule>
    <cfRule type="cellIs" dxfId="1189" priority="2" operator="equal">
      <formula>"notconnect"</formula>
    </cfRule>
    <cfRule type="cellIs" dxfId="1188" priority="3" operator="equal">
      <formula>"disabled"</formula>
    </cfRule>
    <cfRule type="cellIs" dxfId="1187" priority="4" operator="equal">
      <formula>"connect"</formula>
    </cfRule>
  </conditionalFormatting>
  <dataValidations count="5">
    <dataValidation type="list" allowBlank="1" showInputMessage="1" sqref="G68:G75 G17:G64" xr:uid="{B0CE650E-E522-4A12-90DE-C6BA87BF01C3}">
      <formula1>PORT_TYPE_LIST</formula1>
    </dataValidation>
    <dataValidation type="list" allowBlank="1" showInputMessage="1" sqref="C68:C75 C79:C80 C17:C64" xr:uid="{75FB7DF4-9AF4-40DB-B10D-4038E1533881}">
      <formula1>PORT_STATE_LIST</formula1>
    </dataValidation>
    <dataValidation type="list" allowBlank="1" showInputMessage="1" sqref="D62:D64 D68:D75" xr:uid="{39889000-E421-4B5C-B30B-B513DBCEB137}">
      <formula1>VLAN_ID_LIST</formula1>
    </dataValidation>
    <dataValidation type="list" allowBlank="1" showInputMessage="1" sqref="F17:F64" xr:uid="{883BA062-4781-4259-8CD3-789D9022D6FB}">
      <formula1>SPEED_DUPLEX_LIST</formula1>
    </dataValidation>
    <dataValidation allowBlank="1" showInputMessage="1" sqref="E68:E75 E17:E64" xr:uid="{ED4A75D3-4590-419B-8C3F-131B4139DD28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F576-932E-4185-B82D-B207FD03F25F}">
  <sheetPr codeName="Sheet17">
    <tabColor rgb="FFE26B0A"/>
  </sheetPr>
  <dimension ref="A1:J81"/>
  <sheetViews>
    <sheetView topLeftCell="A7" workbookViewId="0">
      <selection activeCell="C64" sqref="C64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1375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Aggregation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CAT2330L0EP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FGHLHN41-1</v>
      </c>
      <c r="D13" s="117" t="str">
        <f>INDEX(SWITCH_TABLE[#Data],$H$3,MATCH("Next Port",SWITCH_TABLE[#Headers],0))</f>
        <v>hu1/0/52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hu2/0/49</v>
      </c>
      <c r="H13" s="118" t="str" cm="1">
        <f t="array" ref="H13">IF(G13="","",INDEX(SWITCH_TABLE[#Data],$H$3,MATCH("Uplink 2 SFP",SWITCH_TABLE[#Headers],0)))</f>
        <v>100G QSFP MPO</v>
      </c>
    </row>
    <row r="14" spans="1:10">
      <c r="B14" s="116" t="s">
        <v>1842</v>
      </c>
      <c r="C14" s="117" t="str">
        <f>INDEX(SWITCH_TABLE[#Data],$H$3,MATCH(B14,SWITCH_TABLE[#Headers],0))</f>
        <v>FGHLHN41-1</v>
      </c>
      <c r="D14" s="117" t="str">
        <f>INDEX(SWITCH_TABLE[#Data],$H$3,MATCH("Prev Port",SWITCH_TABLE[#Headers],0))</f>
        <v>hu1/0/51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FGHLHN01-2</v>
      </c>
      <c r="H14" s="118" t="str" cm="1">
        <f t="array" ref="H14">IF(G14="","",INDEX(SWITCH_TABLE[#Data],$H$3,MATCH("Remote Port 2",SWITCH_TABLE[#Headers],0)))</f>
        <v>hu2/0/44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twe2/0/1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1029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10GB SFP+ DAC</v>
      </c>
      <c r="H17" s="46" t="str" cm="1">
        <f t="array" ref="H17">IF($J17&lt;&gt;"",INDEX(Connections!$B$4:$V$345,$J17,MATCH(H$16,Connections!$B$3:$V$3,0)),"")</f>
        <v>FGHLHN221/enp94s0f1 (DNAC)</v>
      </c>
      <c r="J17" s="118">
        <f>_xlfn.IFNA(MATCH(SHEET_NAME&amp;" "&amp;B17,Connections!$L$4:$L$345,0),"")</f>
        <v>2</v>
      </c>
    </row>
    <row r="18" spans="1:10">
      <c r="A18" s="121">
        <f t="shared" ref="A18:A64" si="1">ROW(A18)-ROW($A$16)+$A$16</f>
        <v>2</v>
      </c>
      <c r="B18" s="116" t="str">
        <f t="shared" si="0"/>
        <v>twe2/0/2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46" t="str" cm="1">
        <f t="array" ref="D18">IF($J18&lt;&gt;"",INDEX(Connections!$B$4:$V$345,$J18,MATCH(D$16,Connections!$B$3:$V$3,0)),"")</f>
        <v/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/>
      </c>
      <c r="G18" s="46" t="str" cm="1">
        <f t="array" ref="G18">IF($J18&lt;&gt;"",INDEX(Connections!$B$4:$V$345,$J18,MATCH(G$16,Connections!$B$3:$V$3,0)),"")</f>
        <v/>
      </c>
      <c r="H18" s="46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twe2/0/3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46" t="str" cm="1">
        <f t="array" ref="D19">IF($J19&lt;&gt;"",INDEX(Connections!$B$4:$V$345,$J19,MATCH(D$16,Connections!$B$3:$V$3,0)),"")</f>
        <v/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/>
      </c>
      <c r="G19" s="46" t="str" cm="1">
        <f t="array" ref="G19">IF($J19&lt;&gt;"",INDEX(Connections!$B$4:$V$345,$J19,MATCH(G$16,Connections!$B$3:$V$3,0)),"")</f>
        <v/>
      </c>
      <c r="H19" s="46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twe2/0/4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twe2/0/5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twe2/0/6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twe2/0/7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twe2/0/8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twe2/0/9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twe2/0/10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twe2/0/11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401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10GB SFP+ DAC</v>
      </c>
      <c r="H27" s="46" t="str" cm="1">
        <f t="array" ref="H27">IF($J27&lt;&gt;"",INDEX(Connections!$B$4:$V$345,$J27,MATCH(H$16,Connections!$B$3:$V$3,0)),"")</f>
        <v>FGHVIEW01/DATA2 (VDI)</v>
      </c>
      <c r="J27" s="118">
        <f>_xlfn.IFNA(MATCH(SHEET_NAME&amp;" "&amp;B27,Connections!$L$4:$L$345,0),"")</f>
        <v>17</v>
      </c>
    </row>
    <row r="28" spans="1:10">
      <c r="A28" s="121">
        <f t="shared" si="1"/>
        <v>12</v>
      </c>
      <c r="B28" s="116" t="str">
        <f t="shared" si="0"/>
        <v>twe2/0/12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402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10GB SFP+ DAC</v>
      </c>
      <c r="H28" s="46" t="str" cm="1">
        <f t="array" ref="H28">IF($J28&lt;&gt;"",INDEX(Connections!$B$4:$V$345,$J28,MATCH(H$16,Connections!$B$3:$V$3,0)),"")</f>
        <v>FGHVIEW02/DATA2 (VDI)</v>
      </c>
      <c r="J28" s="118">
        <f>_xlfn.IFNA(MATCH(SHEET_NAME&amp;" "&amp;B28,Connections!$L$4:$L$345,0),"")</f>
        <v>24</v>
      </c>
    </row>
    <row r="29" spans="1:10">
      <c r="A29" s="121">
        <f t="shared" si="1"/>
        <v>13</v>
      </c>
      <c r="B29" s="116" t="str">
        <f t="shared" si="0"/>
        <v>twe2/0/13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403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10GB SFP+ DAC</v>
      </c>
      <c r="H29" s="46" t="str" cm="1">
        <f t="array" ref="H29">IF($J29&lt;&gt;"",INDEX(Connections!$B$4:$V$345,$J29,MATCH(H$16,Connections!$B$3:$V$3,0)),"")</f>
        <v>FGHVIEW03/DATA2 (VDI)</v>
      </c>
      <c r="J29" s="118">
        <f>_xlfn.IFNA(MATCH(SHEET_NAME&amp;" "&amp;B29,Connections!$L$4:$L$345,0),"")</f>
        <v>31</v>
      </c>
    </row>
    <row r="30" spans="1:10">
      <c r="A30" s="121">
        <f t="shared" si="1"/>
        <v>14</v>
      </c>
      <c r="B30" s="116" t="str">
        <f t="shared" si="0"/>
        <v>twe2/0/14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408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10GB SFP+ DAC</v>
      </c>
      <c r="H30" s="46" t="str" cm="1">
        <f t="array" ref="H30">IF($J30&lt;&gt;"",INDEX(Connections!$B$4:$V$345,$J30,MATCH(H$16,Connections!$B$3:$V$3,0)),"")</f>
        <v>FGHVIEW08/DATA2 (VDI)</v>
      </c>
      <c r="J30" s="118">
        <f>_xlfn.IFNA(MATCH(SHEET_NAME&amp;" "&amp;B30,Connections!$L$4:$L$345,0),"")</f>
        <v>66</v>
      </c>
    </row>
    <row r="31" spans="1:10">
      <c r="A31" s="121">
        <f t="shared" si="1"/>
        <v>15</v>
      </c>
      <c r="B31" s="116" t="str">
        <f t="shared" si="0"/>
        <v>twe2/0/15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410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10GB SFP+ DAC</v>
      </c>
      <c r="H31" s="46" t="str" cm="1">
        <f t="array" ref="H31">IF($J31&lt;&gt;"",INDEX(Connections!$B$4:$V$345,$J31,MATCH(H$16,Connections!$B$3:$V$3,0)),"")</f>
        <v>FGHVIEW10/DATA2 (VDI)</v>
      </c>
      <c r="J31" s="118">
        <f>_xlfn.IFNA(MATCH(SHEET_NAME&amp;" "&amp;B31,Connections!$L$4:$L$345,0),"")</f>
        <v>80</v>
      </c>
    </row>
    <row r="32" spans="1:10">
      <c r="A32" s="121">
        <f t="shared" si="1"/>
        <v>16</v>
      </c>
      <c r="B32" s="116" t="str">
        <f t="shared" si="0"/>
        <v>twe2/0/16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411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10GB SFP+ DAC</v>
      </c>
      <c r="H32" s="46" t="str" cm="1">
        <f t="array" ref="H32">IF($J32&lt;&gt;"",INDEX(Connections!$B$4:$V$345,$J32,MATCH(H$16,Connections!$B$3:$V$3,0)),"")</f>
        <v>FGHVIEW11/DATA2 (VDI)</v>
      </c>
      <c r="J32" s="118">
        <f>_xlfn.IFNA(MATCH(SHEET_NAME&amp;" "&amp;B32,Connections!$L$4:$L$345,0),"")</f>
        <v>87</v>
      </c>
    </row>
    <row r="33" spans="1:10">
      <c r="A33" s="121">
        <f t="shared" si="1"/>
        <v>17</v>
      </c>
      <c r="B33" s="116" t="str">
        <f t="shared" si="0"/>
        <v>twe2/0/17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413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10GB SFP+ DAC</v>
      </c>
      <c r="H33" s="46" t="str" cm="1">
        <f t="array" ref="H33">IF($J33&lt;&gt;"",INDEX(Connections!$B$4:$V$345,$J33,MATCH(H$16,Connections!$B$3:$V$3,0)),"")</f>
        <v>FGHVIEW13/DATA2 (VDI)</v>
      </c>
      <c r="J33" s="118">
        <f>_xlfn.IFNA(MATCH(SHEET_NAME&amp;" "&amp;B33,Connections!$L$4:$L$345,0),"")</f>
        <v>101</v>
      </c>
    </row>
    <row r="34" spans="1:10">
      <c r="A34" s="121">
        <f t="shared" si="1"/>
        <v>18</v>
      </c>
      <c r="B34" s="116" t="str">
        <f t="shared" si="0"/>
        <v>twe2/0/18</v>
      </c>
      <c r="C34" s="122" t="s">
        <v>2611</v>
      </c>
      <c r="D34" s="46" cm="1">
        <f t="array" ref="D34">IF($J34&lt;&gt;"",INDEX(Connections!$B$4:$V$345,$J34,MATCH(D$16,Connections!$B$3:$V$3,0)),"")</f>
        <v>415</v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>auto</v>
      </c>
      <c r="G34" s="46" t="str" cm="1">
        <f t="array" ref="G34">IF($J34&lt;&gt;"",INDEX(Connections!$B$4:$V$345,$J34,MATCH(G$16,Connections!$B$3:$V$3,0)),"")</f>
        <v>10GB SFP+ DAC</v>
      </c>
      <c r="H34" s="46" t="str" cm="1">
        <f t="array" ref="H34">IF($J34&lt;&gt;"",INDEX(Connections!$B$4:$V$345,$J34,MATCH(H$16,Connections!$B$3:$V$3,0)),"")</f>
        <v>FGHView15/DATA2 (VDI)</v>
      </c>
      <c r="J34" s="118">
        <f>_xlfn.IFNA(MATCH(SHEET_NAME&amp;" "&amp;B34,Connections!$L$4:$L$345,0),"")</f>
        <v>224</v>
      </c>
    </row>
    <row r="35" spans="1:10">
      <c r="A35" s="121">
        <f t="shared" si="1"/>
        <v>19</v>
      </c>
      <c r="B35" s="116" t="str">
        <f t="shared" si="0"/>
        <v>twe2/0/19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twe2/0/20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twe2/0/21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448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10GB SFP+ DAC</v>
      </c>
      <c r="H37" s="46" t="str" cm="1">
        <f t="array" ref="H37">IF($J37&lt;&gt;"",INDEX(Connections!$B$4:$V$345,$J37,MATCH(H$16,Connections!$B$3:$V$3,0)),"")</f>
        <v>TINTRI1/B-DATA (STORAGE)</v>
      </c>
      <c r="J37" s="118">
        <f>_xlfn.IFNA(MATCH(SHEET_NAME&amp;" "&amp;B37,Connections!$L$4:$L$345,0),"")</f>
        <v>134</v>
      </c>
    </row>
    <row r="38" spans="1:10">
      <c r="A38" s="121">
        <f t="shared" si="1"/>
        <v>22</v>
      </c>
      <c r="B38" s="116" t="str">
        <f t="shared" si="0"/>
        <v>twe2/0/22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 cm="1">
        <f t="array" ref="D38">IF($J38&lt;&gt;"",INDEX(Connections!$B$4:$V$345,$J38,MATCH(D$16,Connections!$B$3:$V$3,0)),"")</f>
        <v>TRUNK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10GB SFP+ DAC</v>
      </c>
      <c r="H38" s="46" t="str" cm="1">
        <f t="array" ref="H38">IF($J38&lt;&gt;"",INDEX(Connections!$B$4:$V$345,$J38,MATCH(H$16,Connections!$B$3:$V$3,0)),"")</f>
        <v>TINTRI3/A-DATA2 (STORAGE)</v>
      </c>
      <c r="J38" s="118">
        <f>_xlfn.IFNA(MATCH(SHEET_NAME&amp;" "&amp;B38,Connections!$L$4:$L$345,0),"")</f>
        <v>183</v>
      </c>
    </row>
    <row r="39" spans="1:10">
      <c r="A39" s="121">
        <f t="shared" si="1"/>
        <v>23</v>
      </c>
      <c r="B39" s="116" t="str">
        <f t="shared" si="0"/>
        <v>twe2/0/23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 cm="1">
        <f t="array" ref="D39">IF($J39&lt;&gt;"",INDEX(Connections!$B$4:$V$345,$J39,MATCH(D$16,Connections!$B$3:$V$3,0)),"")</f>
        <v>TRUNK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10GB SFP+ DAC</v>
      </c>
      <c r="H39" s="46" t="str" cm="1">
        <f t="array" ref="H39">IF($J39&lt;&gt;"",INDEX(Connections!$B$4:$V$345,$J39,MATCH(H$16,Connections!$B$3:$V$3,0)),"")</f>
        <v>TINTRI3/B-DATA2 (STORAGE)</v>
      </c>
      <c r="J39" s="118">
        <f>_xlfn.IFNA(MATCH(SHEET_NAME&amp;" "&amp;B39,Connections!$L$4:$L$345,0),"")</f>
        <v>189</v>
      </c>
    </row>
    <row r="40" spans="1:10">
      <c r="A40" s="121">
        <f t="shared" si="1"/>
        <v>24</v>
      </c>
      <c r="B40" s="116" t="str">
        <f t="shared" si="0"/>
        <v>twe2/0/24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300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10GB SFP+ DAC</v>
      </c>
      <c r="H40" s="46" t="str" cm="1">
        <f t="array" ref="H40">IF($J40&lt;&gt;"",INDEX(Connections!$B$4:$V$345,$J40,MATCH(H$16,Connections!$B$3:$V$3,0)),"")</f>
        <v>TIER3NFS01/2 (STORAGE)</v>
      </c>
      <c r="J40" s="118">
        <f>_xlfn.IFNA(MATCH(SHEET_NAME&amp;" "&amp;B40,Connections!$L$4:$L$345,0),"")</f>
        <v>176</v>
      </c>
    </row>
    <row r="41" spans="1:10">
      <c r="A41" s="121">
        <f t="shared" si="1"/>
        <v>25</v>
      </c>
      <c r="B41" s="116" t="str">
        <f t="shared" si="0"/>
        <v>twe2/0/25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twe2/0/26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twe2/0/27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>twe2/0/28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twe2/0/29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twe2/0/30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twe2/0/31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twe2/0/32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twe2/0/33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twe2/0/34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>twe2/0/35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>twe2/0/36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>twe2/0/37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>twe2/0/38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>twe2/0/39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>twe2/0/40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448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10GB SFP+ DAC</v>
      </c>
      <c r="H56" s="46" t="str" cm="1">
        <f t="array" ref="H56">IF($J56&lt;&gt;"",INDEX(Connections!$B$4:$V$345,$J56,MATCH(H$16,Connections!$B$3:$V$3,0)),"")</f>
        <v>FGHNFS05/DATA (STORAGE)</v>
      </c>
      <c r="J56" s="118">
        <f>_xlfn.IFNA(MATCH(SHEET_NAME&amp;" "&amp;B56,Connections!$L$4:$L$345,0),"")</f>
        <v>138</v>
      </c>
    </row>
    <row r="57" spans="1:10">
      <c r="A57" s="121">
        <f t="shared" si="1"/>
        <v>41</v>
      </c>
      <c r="B57" s="116" t="str">
        <f t="shared" si="0"/>
        <v>twe2/0/41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>twe2/0/42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t="str" cm="1">
        <f t="array" ref="D58">IF($J58&lt;&gt;"",INDEX(Connections!$B$4:$V$345,$J58,MATCH(D$16,Connections!$B$3:$V$3,0)),"")</f>
        <v>TRUNK</v>
      </c>
      <c r="E58" s="51" cm="1">
        <f t="array" ref="E58">IF($J58&lt;&gt;"",IF(_xlfn.SINGLE(INDEX(Connections!$B$4:$V$345,$J58,MATCH(E$16,Connections!$B$3:$V$3,0)))=0,"",INDEX(Connections!$B$4:$V$345,$J58,MATCH(E$16,Connections!$B$3:$V$3,0))),"")</f>
        <v>42</v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10GB SFP+ DAC</v>
      </c>
      <c r="H58" s="46" t="str" cm="1">
        <f t="array" ref="H58">IF($J58&lt;&gt;"",INDEX(Connections!$B$4:$V$345,$J58,MATCH(H$16,Connections!$B$3:$V$3,0)),"")</f>
        <v>FGH-C7K02-M1/X2-DATA (BLADE CHASSIS)</v>
      </c>
      <c r="J58" s="118">
        <f>_xlfn.IFNA(MATCH(SHEET_NAME&amp;" "&amp;B58,Connections!$L$4:$L$345,0),"")</f>
        <v>158</v>
      </c>
    </row>
    <row r="59" spans="1:10">
      <c r="A59" s="121">
        <f t="shared" si="1"/>
        <v>43</v>
      </c>
      <c r="B59" s="116" t="str">
        <f t="shared" si="0"/>
        <v>twe2/0/43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t="str" cm="1">
        <f t="array" ref="D59">IF($J59&lt;&gt;"",INDEX(Connections!$B$4:$V$345,$J59,MATCH(D$16,Connections!$B$3:$V$3,0)),"")</f>
        <v>TRUNK</v>
      </c>
      <c r="E59" s="51" cm="1">
        <f t="array" ref="E59">IF($J59&lt;&gt;"",IF(_xlfn.SINGLE(INDEX(Connections!$B$4:$V$345,$J59,MATCH(E$16,Connections!$B$3:$V$3,0)))=0,"",INDEX(Connections!$B$4:$V$345,$J59,MATCH(E$16,Connections!$B$3:$V$3,0))),"")</f>
        <v>43</v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10GB SFP+ DAC</v>
      </c>
      <c r="H59" s="46" t="str" cm="1">
        <f t="array" ref="H59">IF($J59&lt;&gt;"",INDEX(Connections!$B$4:$V$345,$J59,MATCH(H$16,Connections!$B$3:$V$3,0)),"")</f>
        <v>FGH-C7K02-M2/X2-DATA (BLADE CHASSIS)</v>
      </c>
      <c r="J59" s="118">
        <f>_xlfn.IFNA(MATCH(SHEET_NAME&amp;" "&amp;B59,Connections!$L$4:$L$345,0),"")</f>
        <v>166</v>
      </c>
    </row>
    <row r="60" spans="1:10">
      <c r="A60" s="121">
        <f t="shared" si="1"/>
        <v>44</v>
      </c>
      <c r="B60" s="116" t="str">
        <f t="shared" si="0"/>
        <v>twe2/0/44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t="str" cm="1">
        <f t="array" ref="D60">IF($J60&lt;&gt;"",INDEX(Connections!$B$4:$V$345,$J60,MATCH(D$16,Connections!$B$3:$V$3,0)),"")</f>
        <v>TRUNK</v>
      </c>
      <c r="E60" s="51" cm="1">
        <f t="array" ref="E60">IF($J60&lt;&gt;"",IF(_xlfn.SINGLE(INDEX(Connections!$B$4:$V$345,$J60,MATCH(E$16,Connections!$B$3:$V$3,0)))=0,"",INDEX(Connections!$B$4:$V$345,$J60,MATCH(E$16,Connections!$B$3:$V$3,0))),"")</f>
        <v>44</v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10GB SFP+ MMF</v>
      </c>
      <c r="H60" s="46" t="str" cm="1">
        <f t="array" ref="H60">IF($J60&lt;&gt;"",INDEX(Connections!$B$4:$V$345,$J60,MATCH(H$16,Connections!$B$3:$V$3,0)),"")</f>
        <v>LHCR1C01/Te10/4 (LEGACY)</v>
      </c>
      <c r="J60" s="118">
        <f>_xlfn.IFNA(MATCH(SHEET_NAME&amp;" "&amp;B60,Connections!$L$4:$L$345,0),"")</f>
        <v>8</v>
      </c>
    </row>
    <row r="61" spans="1:10">
      <c r="A61" s="121">
        <f t="shared" si="1"/>
        <v>45</v>
      </c>
      <c r="B61" s="116" t="str">
        <f t="shared" si="0"/>
        <v>twe2/0/45</v>
      </c>
      <c r="C61" s="17" t="s">
        <v>2611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twe2/0/46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189" t="str">
        <f>IF(J62&lt;&gt;"","TRUNK","")</f>
        <v>TRUNK</v>
      </c>
      <c r="E62" s="190" cm="1">
        <f t="array" ref="E62">IF($J62&lt;&gt;"",INDEX(SWITCH_TABLE[#Data],$J62,MATCH("Remote EC",SWITCH_TABLE[#Headers],0)),"")</f>
        <v>46</v>
      </c>
      <c r="F62" s="189"/>
      <c r="G62" s="189" t="str" cm="1">
        <f t="array" ref="G62">IF($J62&lt;&gt;"",INDEX(SWITCH_TABLE[#Data],$J62,MATCH("Uplink 2 SFP",SWITCH_TABLE[#Headers],0)),"")</f>
        <v>10GB SFP+ DAC</v>
      </c>
      <c r="H62" s="189" t="str">
        <f>IF($J62&lt;&gt;"",INDEX(SWITCH_TABLE[#Data],$J62,MATCH("Device Name",SWITCH_TABLE[#Headers],0)) &amp; " " &amp; INDEX(SWITCH_TABLE[#Data],$J62,MATCH("Uplink Port 2",SWITCH_TABLE[#Headers],0)),"")</f>
        <v>FGHLHN171 te1/1/2</v>
      </c>
      <c r="J62" s="127">
        <f t="array" ref="J62">_xlfn.IFNA(MATCH(1,(SHEET_NAME=SWITCH_TABLE[Remote Device 2])*(B62=SWITCH_TABLE[Remote Port 2]),0),"")</f>
        <v>17</v>
      </c>
    </row>
    <row r="63" spans="1:10">
      <c r="A63" s="121">
        <f t="shared" si="1"/>
        <v>47</v>
      </c>
      <c r="B63" s="116" t="str">
        <f t="shared" si="0"/>
        <v>twe2/0/47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189" t="str">
        <f>IF(J63&lt;&gt;"","TRUNK","")</f>
        <v>TRUNK</v>
      </c>
      <c r="E63" s="190" cm="1">
        <f t="array" ref="E63">IF($J63&lt;&gt;"",INDEX(SWITCH_TABLE[#Data],$J63,MATCH("Remote EC",SWITCH_TABLE[#Headers],0)),"")</f>
        <v>47</v>
      </c>
      <c r="F63" s="189"/>
      <c r="G63" s="189" t="str" cm="1">
        <f t="array" ref="G63">IF($J63&lt;&gt;"",INDEX(SWITCH_TABLE[#Data],$J63,MATCH("Uplink 2 SFP",SWITCH_TABLE[#Headers],0)),"")</f>
        <v>1GB COPPER</v>
      </c>
      <c r="H63" s="189" t="str">
        <f>IF($J63&lt;&gt;"",INDEX(SWITCH_TABLE[#Data],$J63,MATCH("Device Name",SWITCH_TABLE[#Headers],0)) &amp; " " &amp; INDEX(SWITCH_TABLE[#Data],$J63,MATCH("Uplink Port 2",SWITCH_TABLE[#Headers],0)),"")</f>
        <v>FGHLHN143 gi1/1/2</v>
      </c>
      <c r="J63" s="127">
        <f t="array" ref="J63">_xlfn.IFNA(MATCH(1,(SHEET_NAME=SWITCH_TABLE[Remote Device 2])*(B63=SWITCH_TABLE[Remote Port 2]),0),"")</f>
        <v>14</v>
      </c>
    </row>
    <row r="64" spans="1:10">
      <c r="A64" s="121">
        <f t="shared" si="1"/>
        <v>48</v>
      </c>
      <c r="B64" s="116" t="str">
        <f t="shared" si="0"/>
        <v>twe2/0/48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189" t="str">
        <f>IF(J64&lt;&gt;"","TRUNK","")</f>
        <v>TRUNK</v>
      </c>
      <c r="E64" s="190" cm="1">
        <f t="array" ref="E64">IF($J64&lt;&gt;"",INDEX(SWITCH_TABLE[#Data],$J64,MATCH("Remote EC",SWITCH_TABLE[#Headers],0)),"")</f>
        <v>48</v>
      </c>
      <c r="F64" s="189"/>
      <c r="G64" s="189" t="str" cm="1">
        <f t="array" ref="G64">IF($J64&lt;&gt;"",INDEX(SWITCH_TABLE[#Data],$J64,MATCH("Uplink 2 SFP",SWITCH_TABLE[#Headers],0)),"")</f>
        <v>10GB SFP+ DAC</v>
      </c>
      <c r="H64" s="189" t="str">
        <f>IF($J64&lt;&gt;"",INDEX(SWITCH_TABLE[#Data],$J64,MATCH("Device Name",SWITCH_TABLE[#Headers],0)) &amp; " " &amp; INDEX(SWITCH_TABLE[#Data],$J64,MATCH("Uplink Port 2",SWITCH_TABLE[#Headers],0)),"")</f>
        <v>FGHLHN141-2 te2/1/2</v>
      </c>
      <c r="J64" s="127">
        <f t="array" ref="J64">_xlfn.IFNA(MATCH(1,(SHEET_NAME=SWITCH_TABLE[Remote Device 2])*(B64=SWITCH_TABLE[Remote Port 2]),0),"")</f>
        <v>10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49</v>
      </c>
      <c r="B68" s="116" t="str">
        <f t="shared" ref="B68:B75" si="3">IF(A68&gt;$C$8+$A$67,"",$D$8&amp;$C$11&amp;"/0/"&amp;A68)</f>
        <v>hu2/0/49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2</v>
      </c>
      <c r="G68" s="191" t="str" cm="1">
        <f t="array" ref="G68">_xlfn.IFS($B68="","",$B68=$G$11,$H$11,$B68=$G$13,$H$13,1=1,"")</f>
        <v>100G QSFP MPO</v>
      </c>
      <c r="H68" s="191" t="str" cm="1">
        <f t="array" ref="H68">_xlfn.IFS($B68="","",$B68=$G$11,$G$12&amp;" "&amp;H12,$B68=$G$13,$G$14&amp;" "&amp;$H$14,1=1,"")</f>
        <v>FGHLHN01-2 hu2/0/44</v>
      </c>
      <c r="J68" s="127" t="str" cm="1">
        <f t="array" ref="J68">_xlfn.IFNA(MATCH(1,(SHEET_NAME=SWITCH_TABLE[Remote Device 2])*(B68=SWITCH_TABLE[Remote Port 2]),0),"")</f>
        <v/>
      </c>
    </row>
    <row r="69" spans="1:10">
      <c r="A69" s="121">
        <f t="shared" si="2"/>
        <v>50</v>
      </c>
      <c r="B69" s="116" t="str">
        <f t="shared" si="3"/>
        <v>hu2/0/50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2])*(B69=SWITCH_TABLE[Remote Port 2]),0),"")</f>
        <v/>
      </c>
    </row>
    <row r="70" spans="1:10">
      <c r="A70" s="121">
        <f t="shared" si="2"/>
        <v>51</v>
      </c>
      <c r="B70" s="116" t="str">
        <f t="shared" si="3"/>
        <v>hu2/0/51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2])*(B70=SWITCH_TABLE[Remote Port 2]),0),"")</f>
        <v/>
      </c>
    </row>
    <row r="71" spans="1:10">
      <c r="A71" s="121">
        <f t="shared" si="2"/>
        <v>52</v>
      </c>
      <c r="B71" s="116" t="str">
        <f t="shared" si="3"/>
        <v>hu2/0/52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2])*(B71=SWITCH_TABLE[Remote Port 2]),0),"")</f>
        <v/>
      </c>
    </row>
    <row r="72" spans="1:10">
      <c r="A72" s="121">
        <f t="shared" si="2"/>
        <v>53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2])*(B72=SWITCH_TABLE[Remote Port 2]),0),"")</f>
        <v/>
      </c>
    </row>
    <row r="73" spans="1:10">
      <c r="A73" s="121">
        <f t="shared" si="2"/>
        <v>54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2])*(B73=SWITCH_TABLE[Remote Port 2]),0),"")</f>
        <v/>
      </c>
    </row>
    <row r="74" spans="1:10">
      <c r="A74" s="121">
        <f t="shared" si="2"/>
        <v>55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2])*(B74=SWITCH_TABLE[Remote Port 2]),0),"")</f>
        <v/>
      </c>
    </row>
    <row r="75" spans="1:10">
      <c r="A75" s="121">
        <f t="shared" si="2"/>
        <v>56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2])*(B75=SWITCH_TABLE[Remote Port 2]),0),"")</f>
        <v/>
      </c>
    </row>
    <row r="76" spans="1:10">
      <c r="A76" s="126"/>
      <c r="B76" s="116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hu2/0/51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FGHLHN41-1 hu1/0/52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hu2/0/52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FGHLHN41-1 hu1/0/51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186" priority="25" operator="equal">
      <formula>"reserved"</formula>
    </cfRule>
    <cfRule type="cellIs" dxfId="1185" priority="26" operator="equal">
      <formula>"notconnect"</formula>
    </cfRule>
    <cfRule type="cellIs" dxfId="1184" priority="27" operator="equal">
      <formula>"disabled"</formula>
    </cfRule>
    <cfRule type="cellIs" dxfId="1183" priority="28" operator="equal">
      <formula>"connect"</formula>
    </cfRule>
  </conditionalFormatting>
  <conditionalFormatting sqref="C79:C80">
    <cfRule type="cellIs" dxfId="1182" priority="21" operator="equal">
      <formula>"reserved"</formula>
    </cfRule>
    <cfRule type="cellIs" dxfId="1181" priority="22" operator="equal">
      <formula>"notconnect"</formula>
    </cfRule>
    <cfRule type="cellIs" dxfId="1180" priority="23" operator="equal">
      <formula>"disabled"</formula>
    </cfRule>
    <cfRule type="cellIs" dxfId="1179" priority="24" operator="equal">
      <formula>"connect"</formula>
    </cfRule>
  </conditionalFormatting>
  <conditionalFormatting sqref="C64">
    <cfRule type="cellIs" dxfId="1178" priority="17" operator="equal">
      <formula>"reserved"</formula>
    </cfRule>
    <cfRule type="cellIs" dxfId="1177" priority="18" operator="equal">
      <formula>"notconnect"</formula>
    </cfRule>
    <cfRule type="cellIs" dxfId="1176" priority="19" operator="equal">
      <formula>"disabled"</formula>
    </cfRule>
    <cfRule type="cellIs" dxfId="1175" priority="20" operator="equal">
      <formula>"connect"</formula>
    </cfRule>
  </conditionalFormatting>
  <conditionalFormatting sqref="C20:C33 C37:C63">
    <cfRule type="cellIs" dxfId="1174" priority="13" operator="equal">
      <formula>"reserved"</formula>
    </cfRule>
    <cfRule type="cellIs" dxfId="1173" priority="14" operator="equal">
      <formula>"notconnect"</formula>
    </cfRule>
    <cfRule type="cellIs" dxfId="1172" priority="15" operator="equal">
      <formula>"disabled"</formula>
    </cfRule>
    <cfRule type="cellIs" dxfId="1171" priority="16" operator="equal">
      <formula>"connect"</formula>
    </cfRule>
  </conditionalFormatting>
  <conditionalFormatting sqref="C57">
    <cfRule type="cellIs" dxfId="1170" priority="9" operator="equal">
      <formula>"reserved"</formula>
    </cfRule>
    <cfRule type="cellIs" dxfId="1169" priority="10" operator="equal">
      <formula>"notconnect"</formula>
    </cfRule>
    <cfRule type="cellIs" dxfId="1168" priority="11" operator="equal">
      <formula>"disabled"</formula>
    </cfRule>
    <cfRule type="cellIs" dxfId="1167" priority="12" operator="equal">
      <formula>"connect"</formula>
    </cfRule>
  </conditionalFormatting>
  <conditionalFormatting sqref="C17:C19">
    <cfRule type="cellIs" dxfId="1166" priority="5" operator="equal">
      <formula>"reserved"</formula>
    </cfRule>
    <cfRule type="cellIs" dxfId="1165" priority="6" operator="equal">
      <formula>"notconnect"</formula>
    </cfRule>
    <cfRule type="cellIs" dxfId="1164" priority="7" operator="equal">
      <formula>"disabled"</formula>
    </cfRule>
    <cfRule type="cellIs" dxfId="1163" priority="8" operator="equal">
      <formula>"connect"</formula>
    </cfRule>
  </conditionalFormatting>
  <conditionalFormatting sqref="C34:C36">
    <cfRule type="cellIs" dxfId="1162" priority="1" operator="equal">
      <formula>"reserved"</formula>
    </cfRule>
    <cfRule type="cellIs" dxfId="1161" priority="2" operator="equal">
      <formula>"notconnect"</formula>
    </cfRule>
    <cfRule type="cellIs" dxfId="1160" priority="3" operator="equal">
      <formula>"disabled"</formula>
    </cfRule>
    <cfRule type="cellIs" dxfId="1159" priority="4" operator="equal">
      <formula>"connect"</formula>
    </cfRule>
  </conditionalFormatting>
  <dataValidations count="5">
    <dataValidation allowBlank="1" showInputMessage="1" sqref="E68:E75 E17:E64" xr:uid="{C3B14F69-BE3D-4C93-8E9A-F60EB23EC0D6}"/>
    <dataValidation type="list" allowBlank="1" showInputMessage="1" sqref="F17:F64" xr:uid="{102A00E9-4778-4403-AE5A-D751E7C5314E}">
      <formula1>SPEED_DUPLEX_LIST</formula1>
    </dataValidation>
    <dataValidation type="list" allowBlank="1" showInputMessage="1" sqref="D68:D75 D62:D64" xr:uid="{C9FBA776-E65B-4798-BC05-F772A5A9A4AC}">
      <formula1>VLAN_ID_LIST</formula1>
    </dataValidation>
    <dataValidation type="list" allowBlank="1" showInputMessage="1" sqref="C68:C75 C79:C80 C17:C64" xr:uid="{A34C2CD7-B322-42D0-9E33-9749DCE2330D}">
      <formula1>PORT_STATE_LIST</formula1>
    </dataValidation>
    <dataValidation type="list" allowBlank="1" showInputMessage="1" sqref="G68:G75 G17:G64" xr:uid="{35DE3379-EE7A-44DB-ABAC-905C9AD3A31B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EF67-4F49-4B79-8096-BFF5EBC3C98F}">
  <sheetPr codeName="Sheet18">
    <tabColor rgb="FFE26B0A"/>
  </sheetPr>
  <dimension ref="A1:J81"/>
  <sheetViews>
    <sheetView topLeftCell="A7" workbookViewId="0">
      <selection activeCell="M26" sqref="M26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1379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5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Aggregation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CAT2330L0JN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hu1/0/49</v>
      </c>
      <c r="H11" s="118" t="str" cm="1">
        <f t="array" ref="H11">IF(G11="","",INDEX(SWITCH_TABLE[#Data],$H$3,MATCH("Uplink 1 SFP",SWITCH_TABLE[#Headers],0)))</f>
        <v>100G QSFP MPO</v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FGHLHN01-1</v>
      </c>
      <c r="H12" s="118" t="str" cm="1">
        <f t="array" ref="H12">IF(G12="","",INDEX(SWITCH_TABLE[#Data],$H$3,MATCH("Remote Port 1",SWITCH_TABLE[#Headers],0)))</f>
        <v>hu1/0/43</v>
      </c>
    </row>
    <row r="13" spans="1:10">
      <c r="B13" s="116" t="s">
        <v>1837</v>
      </c>
      <c r="C13" s="117" t="str">
        <f>INDEX(SWITCH_TABLE[#Data],$H$3,MATCH(B13,SWITCH_TABLE[#Headers],0))</f>
        <v>FGHLHN42-2</v>
      </c>
      <c r="D13" s="117" t="str">
        <f>INDEX(SWITCH_TABLE[#Data],$H$3,MATCH("Next Port",SWITCH_TABLE[#Headers],0))</f>
        <v>hu2/0/52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FGHLHN42-2</v>
      </c>
      <c r="D14" s="117" t="str">
        <f>INDEX(SWITCH_TABLE[#Data],$H$3,MATCH("Prev Port",SWITCH_TABLE[#Headers],0))</f>
        <v>hu2/0/51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32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10GB SFP+ DAC</v>
      </c>
      <c r="H17" s="46" t="str" cm="1">
        <f t="array" ref="H17">IF($J17&lt;&gt;"",INDEX(Connections!$B$4:$V$345,$J17,MATCH(H$16,Connections!$B$3:$V$3,0)),"")</f>
        <v>PRTG/Data (Physical Server)</v>
      </c>
      <c r="J17" s="118">
        <f>_xlfn.IFNA(MATCH(SHEET_NAME&amp;" "&amp;B17,Connections!$L$4:$L$345,0),"")</f>
        <v>226</v>
      </c>
    </row>
    <row r="18" spans="1:10">
      <c r="A18" s="121">
        <f t="shared" ref="A18:A64" si="1">ROW(A18)-ROW($A$16)+$A$16</f>
        <v>2</v>
      </c>
      <c r="B18" s="116" t="str">
        <f t="shared" si="0"/>
        <v>twe1/0/2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46" t="str" cm="1">
        <f t="array" ref="D18">IF($J18&lt;&gt;"",INDEX(Connections!$B$4:$V$345,$J18,MATCH(D$16,Connections!$B$3:$V$3,0)),"")</f>
        <v/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/>
      </c>
      <c r="G18" s="46" t="str" cm="1">
        <f t="array" ref="G18">IF($J18&lt;&gt;"",INDEX(Connections!$B$4:$V$345,$J18,MATCH(G$16,Connections!$B$3:$V$3,0)),"")</f>
        <v/>
      </c>
      <c r="H18" s="46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twe1/0/3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46" t="str" cm="1">
        <f t="array" ref="D19">IF($J19&lt;&gt;"",INDEX(Connections!$B$4:$V$345,$J19,MATCH(D$16,Connections!$B$3:$V$3,0)),"")</f>
        <v/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/>
      </c>
      <c r="G19" s="46" t="str" cm="1">
        <f t="array" ref="G19">IF($J19&lt;&gt;"",INDEX(Connections!$B$4:$V$345,$J19,MATCH(G$16,Connections!$B$3:$V$3,0)),"")</f>
        <v/>
      </c>
      <c r="H19" s="46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twe1/0/4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twe1/0/5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twe1/0/6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twe1/0/7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twe1/0/8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twe1/0/9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twe1/0/10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twe1/0/11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401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10GB SFP+ DAC</v>
      </c>
      <c r="H27" s="46" t="str" cm="1">
        <f t="array" ref="H27">IF($J27&lt;&gt;"",INDEX(Connections!$B$4:$V$345,$J27,MATCH(H$16,Connections!$B$3:$V$3,0)),"")</f>
        <v>FGHVIEW04/DATA (VDI)</v>
      </c>
      <c r="J27" s="118">
        <f>_xlfn.IFNA(MATCH(SHEET_NAME&amp;" "&amp;B27,Connections!$L$4:$L$345,0),"")</f>
        <v>37</v>
      </c>
    </row>
    <row r="28" spans="1:10">
      <c r="A28" s="121">
        <f t="shared" si="1"/>
        <v>12</v>
      </c>
      <c r="B28" s="116" t="str">
        <f t="shared" si="0"/>
        <v>twe1/0/12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402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10GB SFP+ DAC</v>
      </c>
      <c r="H28" s="46" t="str" cm="1">
        <f t="array" ref="H28">IF($J28&lt;&gt;"",INDEX(Connections!$B$4:$V$345,$J28,MATCH(H$16,Connections!$B$3:$V$3,0)),"")</f>
        <v>FGHVIEW05/DATA (VDI)</v>
      </c>
      <c r="J28" s="118">
        <f>_xlfn.IFNA(MATCH(SHEET_NAME&amp;" "&amp;B28,Connections!$L$4:$L$345,0),"")</f>
        <v>44</v>
      </c>
    </row>
    <row r="29" spans="1:10">
      <c r="A29" s="121">
        <f t="shared" si="1"/>
        <v>13</v>
      </c>
      <c r="B29" s="116" t="str">
        <f t="shared" si="0"/>
        <v>twe1/0/13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403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10GB SFP+ DAC</v>
      </c>
      <c r="H29" s="46" t="str" cm="1">
        <f t="array" ref="H29">IF($J29&lt;&gt;"",INDEX(Connections!$B$4:$V$345,$J29,MATCH(H$16,Connections!$B$3:$V$3,0)),"")</f>
        <v>FGHVIEW06/DATA (VDI)</v>
      </c>
      <c r="J29" s="118">
        <f>_xlfn.IFNA(MATCH(SHEET_NAME&amp;" "&amp;B29,Connections!$L$4:$L$345,0),"")</f>
        <v>51</v>
      </c>
    </row>
    <row r="30" spans="1:10">
      <c r="A30" s="121">
        <f t="shared" si="1"/>
        <v>14</v>
      </c>
      <c r="B30" s="116" t="str">
        <f t="shared" si="0"/>
        <v>twe1/0/14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408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10GB SFP+ DAC</v>
      </c>
      <c r="H30" s="46" t="str" cm="1">
        <f t="array" ref="H30">IF($J30&lt;&gt;"",INDEX(Connections!$B$4:$V$345,$J30,MATCH(H$16,Connections!$B$3:$V$3,0)),"")</f>
        <v>FGHVIEW07/DATA (VDI)</v>
      </c>
      <c r="J30" s="118">
        <f>_xlfn.IFNA(MATCH(SHEET_NAME&amp;" "&amp;B30,Connections!$L$4:$L$345,0),"")</f>
        <v>58</v>
      </c>
    </row>
    <row r="31" spans="1:10">
      <c r="A31" s="121">
        <f t="shared" si="1"/>
        <v>15</v>
      </c>
      <c r="B31" s="116" t="str">
        <f t="shared" si="0"/>
        <v>twe1/0/15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409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10GB SFP+ DAC</v>
      </c>
      <c r="H31" s="46" t="str" cm="1">
        <f t="array" ref="H31">IF($J31&lt;&gt;"",INDEX(Connections!$B$4:$V$345,$J31,MATCH(H$16,Connections!$B$3:$V$3,0)),"")</f>
        <v>FGHVIEW09/DATA (VDI)</v>
      </c>
      <c r="J31" s="118">
        <f>_xlfn.IFNA(MATCH(SHEET_NAME&amp;" "&amp;B31,Connections!$L$4:$L$345,0),"")</f>
        <v>72</v>
      </c>
    </row>
    <row r="32" spans="1:10">
      <c r="A32" s="121">
        <f t="shared" si="1"/>
        <v>16</v>
      </c>
      <c r="B32" s="116" t="str">
        <f t="shared" si="0"/>
        <v>twe1/0/16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412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10GB SFP+ DAC</v>
      </c>
      <c r="H32" s="46" t="str" cm="1">
        <f t="array" ref="H32">IF($J32&lt;&gt;"",INDEX(Connections!$B$4:$V$345,$J32,MATCH(H$16,Connections!$B$3:$V$3,0)),"")</f>
        <v>FGHVIEW12/DATA (VDI)</v>
      </c>
      <c r="J32" s="118">
        <f>_xlfn.IFNA(MATCH(SHEET_NAME&amp;" "&amp;B32,Connections!$L$4:$L$345,0),"")</f>
        <v>93</v>
      </c>
    </row>
    <row r="33" spans="1:10">
      <c r="A33" s="121">
        <f t="shared" si="1"/>
        <v>17</v>
      </c>
      <c r="B33" s="116" t="str">
        <f t="shared" si="0"/>
        <v>twe1/0/17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414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10GB SFP+ DAC</v>
      </c>
      <c r="H33" s="46" t="str" cm="1">
        <f t="array" ref="H33">IF($J33&lt;&gt;"",INDEX(Connections!$B$4:$V$345,$J33,MATCH(H$16,Connections!$B$3:$V$3,0)),"")</f>
        <v>FGHVIEW14/DATA (VDI)</v>
      </c>
      <c r="J33" s="118">
        <f>_xlfn.IFNA(MATCH(SHEET_NAME&amp;" "&amp;B33,Connections!$L$4:$L$345,0),"")</f>
        <v>107</v>
      </c>
    </row>
    <row r="34" spans="1:10">
      <c r="A34" s="121">
        <f t="shared" si="1"/>
        <v>18</v>
      </c>
      <c r="B34" s="116" t="str">
        <f t="shared" si="0"/>
        <v>twe1/0/18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twe1/0/19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twe1/0/20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twe1/0/21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448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10GB SFP+ DAC</v>
      </c>
      <c r="H37" s="46" t="str" cm="1">
        <f t="array" ref="H37">IF($J37&lt;&gt;"",INDEX(Connections!$B$4:$V$345,$J37,MATCH(H$16,Connections!$B$3:$V$3,0)),"")</f>
        <v>TINTRI2/A-DATA (STORAGE)</v>
      </c>
      <c r="J37" s="118">
        <f>_xlfn.IFNA(MATCH(SHEET_NAME&amp;" "&amp;B37,Connections!$L$4:$L$345,0),"")</f>
        <v>117</v>
      </c>
    </row>
    <row r="38" spans="1:10">
      <c r="A38" s="121">
        <f t="shared" si="1"/>
        <v>22</v>
      </c>
      <c r="B38" s="116" t="str">
        <f t="shared" si="0"/>
        <v>twe1/0/22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 cm="1">
        <f t="array" ref="D38">IF($J38&lt;&gt;"",INDEX(Connections!$B$4:$V$345,$J38,MATCH(D$16,Connections!$B$3:$V$3,0)),"")</f>
        <v>TRUNK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10GB SFP+ DAC</v>
      </c>
      <c r="H38" s="46" t="str" cm="1">
        <f t="array" ref="H38">IF($J38&lt;&gt;"",INDEX(Connections!$B$4:$V$345,$J38,MATCH(H$16,Connections!$B$3:$V$3,0)),"")</f>
        <v>TINTRI4/A-DATA (STORAGE)</v>
      </c>
      <c r="J38" s="118">
        <f>_xlfn.IFNA(MATCH(SHEET_NAME&amp;" "&amp;B38,Connections!$L$4:$L$345,0),"")</f>
        <v>195</v>
      </c>
    </row>
    <row r="39" spans="1:10">
      <c r="A39" s="121">
        <f t="shared" si="1"/>
        <v>23</v>
      </c>
      <c r="B39" s="116" t="str">
        <f t="shared" si="0"/>
        <v>twe1/0/23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 cm="1">
        <f t="array" ref="D39">IF($J39&lt;&gt;"",INDEX(Connections!$B$4:$V$345,$J39,MATCH(D$16,Connections!$B$3:$V$3,0)),"")</f>
        <v>TRUNK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10GB SFP+ DAC</v>
      </c>
      <c r="H39" s="46" t="str" cm="1">
        <f t="array" ref="H39">IF($J39&lt;&gt;"",INDEX(Connections!$B$4:$V$345,$J39,MATCH(H$16,Connections!$B$3:$V$3,0)),"")</f>
        <v>TINTRI4/B-DATA (STORAGE)</v>
      </c>
      <c r="J39" s="118">
        <f>_xlfn.IFNA(MATCH(SHEET_NAME&amp;" "&amp;B39,Connections!$L$4:$L$345,0),"")</f>
        <v>201</v>
      </c>
    </row>
    <row r="40" spans="1:10">
      <c r="A40" s="121">
        <f t="shared" si="1"/>
        <v>24</v>
      </c>
      <c r="B40" s="116" t="str">
        <f t="shared" si="0"/>
        <v>twe1/0/24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>twe1/0/25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twe1/0/26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twe1/0/27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>twe1/0/28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twe1/0/29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twe1/0/30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twe1/0/31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twe1/0/32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twe1/0/33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twe1/0/34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>twe1/0/35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>twe1/0/36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>twe1/0/37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>twe1/0/38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>twe1/0/39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>twe1/0/40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46" t="str" cm="1">
        <f t="array" ref="D56">IF($J56&lt;&gt;"",INDEX(Connections!$B$4:$V$345,$J56,MATCH(D$16,Connections!$B$3:$V$3,0)),"")</f>
        <v/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/>
      </c>
      <c r="G56" s="46" t="str" cm="1">
        <f t="array" ref="G56">IF($J56&lt;&gt;"",INDEX(Connections!$B$4:$V$345,$J56,MATCH(G$16,Connections!$B$3:$V$3,0)),"")</f>
        <v/>
      </c>
      <c r="H56" s="46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>twe1/0/41</v>
      </c>
      <c r="C57" s="122" t="s">
        <v>2608</v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>twe1/0/42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t="str" cm="1">
        <f t="array" ref="D58">IF($J58&lt;&gt;"",INDEX(Connections!$B$4:$V$345,$J58,MATCH(D$16,Connections!$B$3:$V$3,0)),"")</f>
        <v>TRUNK</v>
      </c>
      <c r="E58" s="51" cm="1">
        <f t="array" ref="E58">IF($J58&lt;&gt;"",IF(_xlfn.SINGLE(INDEX(Connections!$B$4:$V$345,$J58,MATCH(E$16,Connections!$B$3:$V$3,0)))=0,"",INDEX(Connections!$B$4:$V$345,$J58,MATCH(E$16,Connections!$B$3:$V$3,0))),"")</f>
        <v>42</v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10GB SFP+ DAC</v>
      </c>
      <c r="H58" s="46" t="str" cm="1">
        <f t="array" ref="H58">IF($J58&lt;&gt;"",INDEX(Connections!$B$4:$V$345,$J58,MATCH(H$16,Connections!$B$3:$V$3,0)),"")</f>
        <v>FGH-C7K01-M1/X1-DATA (BLADE CHASSIS)</v>
      </c>
      <c r="J58" s="118">
        <f>_xlfn.IFNA(MATCH(SHEET_NAME&amp;" "&amp;B58,Connections!$L$4:$L$345,0),"")</f>
        <v>141</v>
      </c>
    </row>
    <row r="59" spans="1:10">
      <c r="A59" s="121">
        <f t="shared" si="1"/>
        <v>43</v>
      </c>
      <c r="B59" s="116" t="str">
        <f t="shared" si="0"/>
        <v>twe1/0/43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t="str" cm="1">
        <f t="array" ref="D59">IF($J59&lt;&gt;"",INDEX(Connections!$B$4:$V$345,$J59,MATCH(D$16,Connections!$B$3:$V$3,0)),"")</f>
        <v>TRUNK</v>
      </c>
      <c r="E59" s="51" cm="1">
        <f t="array" ref="E59">IF($J59&lt;&gt;"",IF(_xlfn.SINGLE(INDEX(Connections!$B$4:$V$345,$J59,MATCH(E$16,Connections!$B$3:$V$3,0)))=0,"",INDEX(Connections!$B$4:$V$345,$J59,MATCH(E$16,Connections!$B$3:$V$3,0))),"")</f>
        <v>43</v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10GB SFP+ DAC</v>
      </c>
      <c r="H59" s="46" t="str" cm="1">
        <f t="array" ref="H59">IF($J59&lt;&gt;"",INDEX(Connections!$B$4:$V$345,$J59,MATCH(H$16,Connections!$B$3:$V$3,0)),"")</f>
        <v>FGH-C7K01-M2/X1-DATA (BLADE CHASSIS)</v>
      </c>
      <c r="J59" s="118">
        <f>_xlfn.IFNA(MATCH(SHEET_NAME&amp;" "&amp;B59,Connections!$L$4:$L$345,0),"")</f>
        <v>149</v>
      </c>
    </row>
    <row r="60" spans="1:10">
      <c r="A60" s="121">
        <f t="shared" si="1"/>
        <v>44</v>
      </c>
      <c r="B60" s="116" t="str">
        <f t="shared" si="0"/>
        <v>twe1/0/44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t="str" cm="1">
        <f t="array" ref="D60">IF($J60&lt;&gt;"",INDEX(Connections!$B$4:$V$345,$J60,MATCH(D$16,Connections!$B$3:$V$3,0)),"")</f>
        <v>TRUNK</v>
      </c>
      <c r="E60" s="51" cm="1">
        <f t="array" ref="E60">IF($J60&lt;&gt;"",IF(_xlfn.SINGLE(INDEX(Connections!$B$4:$V$345,$J60,MATCH(E$16,Connections!$B$3:$V$3,0)))=0,"",INDEX(Connections!$B$4:$V$345,$J60,MATCH(E$16,Connections!$B$3:$V$3,0))),"")</f>
        <v>44</v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10GB SFP+ MMF</v>
      </c>
      <c r="H60" s="46" t="str" cm="1">
        <f t="array" ref="H60">IF($J60&lt;&gt;"",INDEX(Connections!$B$4:$V$345,$J60,MATCH(H$16,Connections!$B$3:$V$3,0)),"")</f>
        <v>LHCR2C01/Te10/3 (LEGACY)</v>
      </c>
      <c r="J60" s="118">
        <f>_xlfn.IFNA(MATCH(SHEET_NAME&amp;" "&amp;B60,Connections!$L$4:$L$345,0),"")</f>
        <v>9</v>
      </c>
    </row>
    <row r="61" spans="1:10">
      <c r="A61" s="121">
        <f t="shared" si="1"/>
        <v>45</v>
      </c>
      <c r="B61" s="116" t="str">
        <f t="shared" si="0"/>
        <v>twe1/0/45</v>
      </c>
      <c r="C61" s="122" t="s">
        <v>2611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twe1/0/46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189" t="str">
        <f>IF(J62&lt;&gt;"","TRUNK","")</f>
        <v>TRUNK</v>
      </c>
      <c r="E62" s="190" cm="1">
        <f t="array" ref="E62">IF($J62&lt;&gt;"",INDEX(SWITCH_TABLE[#Data],$J62,MATCH("Remote EC",SWITCH_TABLE[#Headers],0)),"")</f>
        <v>46</v>
      </c>
      <c r="F62" s="189"/>
      <c r="G62" s="189" t="str" cm="1">
        <f t="array" ref="G62">IF($J62&lt;&gt;"",INDEX(SWITCH_TABLE[#Data],$J62,MATCH("Uplink 1 SFP",SWITCH_TABLE[#Headers],0)),"")</f>
        <v>10GB SFP+ DAC</v>
      </c>
      <c r="H62" s="189" t="str">
        <f>IF($J62&lt;&gt;"",INDEX(SWITCH_TABLE[#Data],$J62,MATCH("Device Name",SWITCH_TABLE[#Headers],0)) &amp; " " &amp; INDEX(SWITCH_TABLE[#Data],$J62,MATCH("Uplink Port 1",SWITCH_TABLE[#Headers],0)),"")</f>
        <v>FGHLHN172 te1/1/1</v>
      </c>
      <c r="J62" s="127">
        <f t="array" ref="J62">_xlfn.IFNA(MATCH(1,(SHEET_NAME=SWITCH_TABLE[Remote Device 1])*(B62=SWITCH_TABLE[Remote Port 1]),0),"")</f>
        <v>18</v>
      </c>
    </row>
    <row r="63" spans="1:10">
      <c r="A63" s="121">
        <f t="shared" si="1"/>
        <v>47</v>
      </c>
      <c r="B63" s="116" t="str">
        <f t="shared" si="0"/>
        <v>twe1/0/47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189" t="str">
        <f>IF(J63&lt;&gt;"","TRUNK","")</f>
        <v>TRUNK</v>
      </c>
      <c r="E63" s="190" cm="1">
        <f t="array" ref="E63">IF($J63&lt;&gt;"",INDEX(SWITCH_TABLE[#Data],$J63,MATCH("Remote EC",SWITCH_TABLE[#Headers],0)),"")</f>
        <v>47</v>
      </c>
      <c r="F63" s="189"/>
      <c r="G63" s="189" t="str" cm="1">
        <f t="array" ref="G63">IF($J63&lt;&gt;"",INDEX(SWITCH_TABLE[#Data],$J63,MATCH("Uplink 1 SFP",SWITCH_TABLE[#Headers],0)),"")</f>
        <v>1GB COPPER</v>
      </c>
      <c r="H63" s="189" t="str">
        <f>IF($J63&lt;&gt;"",INDEX(SWITCH_TABLE[#Data],$J63,MATCH("Device Name",SWITCH_TABLE[#Headers],0)) &amp; " " &amp; INDEX(SWITCH_TABLE[#Data],$J63,MATCH("Uplink Port 1",SWITCH_TABLE[#Headers],0)),"")</f>
        <v>FGHLHN144 gi1/1/1</v>
      </c>
      <c r="J63" s="127">
        <f t="array" ref="J63">_xlfn.IFNA(MATCH(1,(SHEET_NAME=SWITCH_TABLE[Remote Device 1])*(B63=SWITCH_TABLE[Remote Port 1]),0),"")</f>
        <v>13</v>
      </c>
    </row>
    <row r="64" spans="1:10">
      <c r="A64" s="121">
        <f t="shared" si="1"/>
        <v>48</v>
      </c>
      <c r="B64" s="116" t="str">
        <f t="shared" si="0"/>
        <v>twe1/0/48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189" t="str">
        <f>IF(J64&lt;&gt;"","TRUNK","")</f>
        <v>TRUNK</v>
      </c>
      <c r="E64" s="190" cm="1">
        <f t="array" ref="E64">IF($J64&lt;&gt;"",INDEX(SWITCH_TABLE[#Data],$J64,MATCH("Remote EC",SWITCH_TABLE[#Headers],0)),"")</f>
        <v>48</v>
      </c>
      <c r="F64" s="189"/>
      <c r="G64" s="189" t="str" cm="1">
        <f t="array" ref="G64">IF($J64&lt;&gt;"",INDEX(SWITCH_TABLE[#Data],$J64,MATCH("Uplink 1 SFP",SWITCH_TABLE[#Headers],0)),"")</f>
        <v>10GB SFP+ DAC</v>
      </c>
      <c r="H64" s="189" t="str">
        <f>IF($J64&lt;&gt;"",INDEX(SWITCH_TABLE[#Data],$J64,MATCH("Device Name",SWITCH_TABLE[#Headers],0)) &amp; " " &amp; INDEX(SWITCH_TABLE[#Data],$J64,MATCH("Uplink Port 1",SWITCH_TABLE[#Headers],0)),"")</f>
        <v>FGHLHN142-1 te1/1/1</v>
      </c>
      <c r="J64" s="127">
        <f t="array" ref="J64">_xlfn.IFNA(MATCH(1,(SHEET_NAME=SWITCH_TABLE[Remote Device 1])*(B64=SWITCH_TABLE[Remote Port 1]),0),"")</f>
        <v>11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49</v>
      </c>
      <c r="B68" s="116" t="str">
        <f t="shared" ref="B68:B75" si="3">IF(A68&gt;$C$8+$A$67,"",$D$8&amp;$C$11&amp;"/0/"&amp;A68)</f>
        <v>hu1/0/49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1</v>
      </c>
      <c r="G68" s="191" t="str" cm="1">
        <f t="array" ref="G68">_xlfn.IFS($B68="","",$B68=$G$11,$H$11,$B68=$G$13,$H$13,1=1,"")</f>
        <v>100G QSFP MPO</v>
      </c>
      <c r="H68" s="191" t="str" cm="1">
        <f t="array" ref="H68">_xlfn.IFS($B68="","",$B68=$G$11,$G$12&amp;" "&amp;H12,$B68=$G$13,$G$14&amp;" "&amp;$H$14,1=1,"")</f>
        <v>FGHLHN01-1 hu1/0/43</v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50</v>
      </c>
      <c r="B69" s="116" t="str">
        <f t="shared" si="3"/>
        <v>hu1/0/50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51</v>
      </c>
      <c r="B70" s="116" t="str">
        <f t="shared" si="3"/>
        <v>hu1/0/51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52</v>
      </c>
      <c r="B71" s="116" t="str">
        <f t="shared" si="3"/>
        <v>hu1/0/52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53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54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55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56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hu1/0/51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FGHLHN42-2 hu2/0/52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hu1/0/52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FGHLHN42-2 hu2/0/51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158" priority="17" operator="equal">
      <formula>"reserved"</formula>
    </cfRule>
    <cfRule type="cellIs" dxfId="1157" priority="18" operator="equal">
      <formula>"notconnect"</formula>
    </cfRule>
    <cfRule type="cellIs" dxfId="1156" priority="19" operator="equal">
      <formula>"disabled"</formula>
    </cfRule>
    <cfRule type="cellIs" dxfId="1155" priority="20" operator="equal">
      <formula>"connect"</formula>
    </cfRule>
  </conditionalFormatting>
  <conditionalFormatting sqref="C79:C80">
    <cfRule type="cellIs" dxfId="1154" priority="13" operator="equal">
      <formula>"reserved"</formula>
    </cfRule>
    <cfRule type="cellIs" dxfId="1153" priority="14" operator="equal">
      <formula>"notconnect"</formula>
    </cfRule>
    <cfRule type="cellIs" dxfId="1152" priority="15" operator="equal">
      <formula>"disabled"</formula>
    </cfRule>
    <cfRule type="cellIs" dxfId="1151" priority="16" operator="equal">
      <formula>"connect"</formula>
    </cfRule>
  </conditionalFormatting>
  <conditionalFormatting sqref="C64">
    <cfRule type="cellIs" dxfId="1150" priority="9" operator="equal">
      <formula>"reserved"</formula>
    </cfRule>
    <cfRule type="cellIs" dxfId="1149" priority="10" operator="equal">
      <formula>"notconnect"</formula>
    </cfRule>
    <cfRule type="cellIs" dxfId="1148" priority="11" operator="equal">
      <formula>"disabled"</formula>
    </cfRule>
    <cfRule type="cellIs" dxfId="1147" priority="12" operator="equal">
      <formula>"connect"</formula>
    </cfRule>
  </conditionalFormatting>
  <conditionalFormatting sqref="C58:C63 C17:C56">
    <cfRule type="cellIs" dxfId="1146" priority="5" operator="equal">
      <formula>"reserved"</formula>
    </cfRule>
    <cfRule type="cellIs" dxfId="1145" priority="6" operator="equal">
      <formula>"notconnect"</formula>
    </cfRule>
    <cfRule type="cellIs" dxfId="1144" priority="7" operator="equal">
      <formula>"disabled"</formula>
    </cfRule>
    <cfRule type="cellIs" dxfId="1143" priority="8" operator="equal">
      <formula>"connect"</formula>
    </cfRule>
  </conditionalFormatting>
  <conditionalFormatting sqref="C57">
    <cfRule type="cellIs" dxfId="1142" priority="1" operator="equal">
      <formula>"reserved"</formula>
    </cfRule>
    <cfRule type="cellIs" dxfId="1141" priority="2" operator="equal">
      <formula>"notconnect"</formula>
    </cfRule>
    <cfRule type="cellIs" dxfId="1140" priority="3" operator="equal">
      <formula>"disabled"</formula>
    </cfRule>
    <cfRule type="cellIs" dxfId="1139" priority="4" operator="equal">
      <formula>"connect"</formula>
    </cfRule>
  </conditionalFormatting>
  <dataValidations count="5">
    <dataValidation allowBlank="1" showInputMessage="1" sqref="E68:E75 E17:E64" xr:uid="{9967730A-E905-4D9A-86EA-6609E21178F8}"/>
    <dataValidation type="list" allowBlank="1" showInputMessage="1" sqref="F17:F64" xr:uid="{2AA2BB6D-D970-4620-B8FE-72A763598F43}">
      <formula1>SPEED_DUPLEX_LIST</formula1>
    </dataValidation>
    <dataValidation type="list" allowBlank="1" showInputMessage="1" sqref="D68:D75 D62:D64" xr:uid="{CC44E1CB-CCB2-44EF-8737-59AF7787D491}">
      <formula1>VLAN_ID_LIST</formula1>
    </dataValidation>
    <dataValidation type="list" allowBlank="1" showInputMessage="1" sqref="C68:C75 C79:C80 C17:C64" xr:uid="{924B2AD9-E67A-45DC-8C1B-BBA092FF1610}">
      <formula1>PORT_STATE_LIST</formula1>
    </dataValidation>
    <dataValidation type="list" allowBlank="1" showInputMessage="1" sqref="G68:G75 G17:G64" xr:uid="{761DA41F-56AA-4D07-A041-49B41A59BE83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FCB2-32DF-4538-81DD-A823ECED941D}">
  <sheetPr codeName="Sheet19">
    <tabColor rgb="FFE26B0A"/>
  </sheetPr>
  <dimension ref="A1:J81"/>
  <sheetViews>
    <sheetView topLeftCell="A10" workbookViewId="0">
      <selection activeCell="C64" sqref="C64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1383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6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Aggregation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CAT2330L0JM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FGHLHN42-1</v>
      </c>
      <c r="D13" s="117" t="str">
        <f>INDEX(SWITCH_TABLE[#Data],$H$3,MATCH("Next Port",SWITCH_TABLE[#Headers],0))</f>
        <v>hu1/0/52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hu2/0/49</v>
      </c>
      <c r="H13" s="118" t="str" cm="1">
        <f t="array" ref="H13">IF(G13="","",INDEX(SWITCH_TABLE[#Data],$H$3,MATCH("Uplink 2 SFP",SWITCH_TABLE[#Headers],0)))</f>
        <v>100G QSFP DAC</v>
      </c>
    </row>
    <row r="14" spans="1:10">
      <c r="B14" s="116" t="s">
        <v>1842</v>
      </c>
      <c r="C14" s="117" t="str">
        <f>INDEX(SWITCH_TABLE[#Data],$H$3,MATCH(B14,SWITCH_TABLE[#Headers],0))</f>
        <v>FGHLHN42-1</v>
      </c>
      <c r="D14" s="117" t="str">
        <f>INDEX(SWITCH_TABLE[#Data],$H$3,MATCH("Prev Port",SWITCH_TABLE[#Headers],0))</f>
        <v>hu1/0/51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FGHLHN01-2</v>
      </c>
      <c r="H14" s="118" t="str" cm="1">
        <f t="array" ref="H14">IF(G14="","",INDEX(SWITCH_TABLE[#Data],$H$3,MATCH("Remote Port 2",SWITCH_TABLE[#Headers],0)))</f>
        <v>hu2/0/43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twe2/0/1</v>
      </c>
      <c r="C17" s="122" t="str" cm="1">
        <f t="array" ref="C17">_xlfn.IFS($B17="","",$B17=$B$71,"reserved",$B17=$B$72,"reserved",$B17=$G$11,"connect",$B17=$G$13,"connect",J17&lt;&gt;"","connect",1=1,"disabled")</f>
        <v>disabled</v>
      </c>
      <c r="D17" s="46" t="str" cm="1">
        <f t="array" ref="D17">IF($J17&lt;&gt;"",INDEX(Connections!$B$4:$V$345,$J17,MATCH(D$16,Connections!$B$3:$V$3,0)),"")</f>
        <v/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/>
      </c>
      <c r="G17" s="46" t="str" cm="1">
        <f t="array" ref="G17">IF($J17&lt;&gt;"",INDEX(Connections!$B$4:$V$345,$J17,MATCH(G$16,Connections!$B$3:$V$3,0)),"")</f>
        <v/>
      </c>
      <c r="H17" s="46" t="str" cm="1">
        <f t="array" ref="H17">IF($J17&lt;&gt;"",INDEX(Connections!$B$4:$V$345,$J17,MATCH(H$16,Connections!$B$3:$V$3,0)),"")</f>
        <v/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twe2/0/2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46" t="str" cm="1">
        <f t="array" ref="D18">IF($J18&lt;&gt;"",INDEX(Connections!$B$4:$V$345,$J18,MATCH(D$16,Connections!$B$3:$V$3,0)),"")</f>
        <v/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/>
      </c>
      <c r="G18" s="46" t="str" cm="1">
        <f t="array" ref="G18">IF($J18&lt;&gt;"",INDEX(Connections!$B$4:$V$345,$J18,MATCH(G$16,Connections!$B$3:$V$3,0)),"")</f>
        <v/>
      </c>
      <c r="H18" s="46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twe2/0/3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46" t="str" cm="1">
        <f t="array" ref="D19">IF($J19&lt;&gt;"",INDEX(Connections!$B$4:$V$345,$J19,MATCH(D$16,Connections!$B$3:$V$3,0)),"")</f>
        <v/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/>
      </c>
      <c r="G19" s="46" t="str" cm="1">
        <f t="array" ref="G19">IF($J19&lt;&gt;"",INDEX(Connections!$B$4:$V$345,$J19,MATCH(G$16,Connections!$B$3:$V$3,0)),"")</f>
        <v/>
      </c>
      <c r="H19" s="46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twe2/0/4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twe2/0/5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twe2/0/6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twe2/0/7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twe2/0/8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twe2/0/9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twe2/0/10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twe2/0/11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401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10GB SFP+ DAC</v>
      </c>
      <c r="H27" s="46" t="str" cm="1">
        <f t="array" ref="H27">IF($J27&lt;&gt;"",INDEX(Connections!$B$4:$V$345,$J27,MATCH(H$16,Connections!$B$3:$V$3,0)),"")</f>
        <v>FGHVIEW04/DATA2 (VDI)</v>
      </c>
      <c r="J27" s="118">
        <f>_xlfn.IFNA(MATCH(SHEET_NAME&amp;" "&amp;B27,Connections!$L$4:$L$345,0),"")</f>
        <v>38</v>
      </c>
    </row>
    <row r="28" spans="1:10">
      <c r="A28" s="121">
        <f t="shared" si="1"/>
        <v>12</v>
      </c>
      <c r="B28" s="116" t="str">
        <f t="shared" si="0"/>
        <v>twe2/0/12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402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10GB SFP+ DAC</v>
      </c>
      <c r="H28" s="46" t="str" cm="1">
        <f t="array" ref="H28">IF($J28&lt;&gt;"",INDEX(Connections!$B$4:$V$345,$J28,MATCH(H$16,Connections!$B$3:$V$3,0)),"")</f>
        <v>FGHVIEW05/DATA2 (VDI)</v>
      </c>
      <c r="J28" s="118">
        <f>_xlfn.IFNA(MATCH(SHEET_NAME&amp;" "&amp;B28,Connections!$L$4:$L$345,0),"")</f>
        <v>45</v>
      </c>
    </row>
    <row r="29" spans="1:10">
      <c r="A29" s="121">
        <f t="shared" si="1"/>
        <v>13</v>
      </c>
      <c r="B29" s="116" t="str">
        <f t="shared" si="0"/>
        <v>twe2/0/13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403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10GB SFP+ DAC</v>
      </c>
      <c r="H29" s="46" t="str" cm="1">
        <f t="array" ref="H29">IF($J29&lt;&gt;"",INDEX(Connections!$B$4:$V$345,$J29,MATCH(H$16,Connections!$B$3:$V$3,0)),"")</f>
        <v>FGHVIEW06/DATA2 (VDI)</v>
      </c>
      <c r="J29" s="118">
        <f>_xlfn.IFNA(MATCH(SHEET_NAME&amp;" "&amp;B29,Connections!$L$4:$L$345,0),"")</f>
        <v>52</v>
      </c>
    </row>
    <row r="30" spans="1:10">
      <c r="A30" s="121">
        <f t="shared" si="1"/>
        <v>14</v>
      </c>
      <c r="B30" s="116" t="str">
        <f t="shared" si="0"/>
        <v>twe2/0/14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408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10GB SFP+ DAC</v>
      </c>
      <c r="H30" s="46" t="str" cm="1">
        <f t="array" ref="H30">IF($J30&lt;&gt;"",INDEX(Connections!$B$4:$V$345,$J30,MATCH(H$16,Connections!$B$3:$V$3,0)),"")</f>
        <v>FGHVIEW07/DATA2 (VDI)</v>
      </c>
      <c r="J30" s="118">
        <f>_xlfn.IFNA(MATCH(SHEET_NAME&amp;" "&amp;B30,Connections!$L$4:$L$345,0),"")</f>
        <v>59</v>
      </c>
    </row>
    <row r="31" spans="1:10">
      <c r="A31" s="121">
        <f t="shared" si="1"/>
        <v>15</v>
      </c>
      <c r="B31" s="116" t="str">
        <f t="shared" si="0"/>
        <v>twe2/0/15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409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10GB SFP+ DAC</v>
      </c>
      <c r="H31" s="46" t="str" cm="1">
        <f t="array" ref="H31">IF($J31&lt;&gt;"",INDEX(Connections!$B$4:$V$345,$J31,MATCH(H$16,Connections!$B$3:$V$3,0)),"")</f>
        <v>FGHVIEW09/DATA2 (VDI)</v>
      </c>
      <c r="J31" s="118">
        <f>_xlfn.IFNA(MATCH(SHEET_NAME&amp;" "&amp;B31,Connections!$L$4:$L$345,0),"")</f>
        <v>73</v>
      </c>
    </row>
    <row r="32" spans="1:10">
      <c r="A32" s="121">
        <f t="shared" si="1"/>
        <v>16</v>
      </c>
      <c r="B32" s="116" t="str">
        <f t="shared" si="0"/>
        <v>twe2/0/16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412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10GB SFP+ DAC</v>
      </c>
      <c r="H32" s="46" t="str" cm="1">
        <f t="array" ref="H32">IF($J32&lt;&gt;"",INDEX(Connections!$B$4:$V$345,$J32,MATCH(H$16,Connections!$B$3:$V$3,0)),"")</f>
        <v>FGHVIEW12/DATA2 (VDI)</v>
      </c>
      <c r="J32" s="118">
        <f>_xlfn.IFNA(MATCH(SHEET_NAME&amp;" "&amp;B32,Connections!$L$4:$L$345,0),"")</f>
        <v>94</v>
      </c>
    </row>
    <row r="33" spans="1:10">
      <c r="A33" s="121">
        <f t="shared" si="1"/>
        <v>17</v>
      </c>
      <c r="B33" s="116" t="str">
        <f t="shared" si="0"/>
        <v>twe2/0/17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414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10GB SFP+ DAC</v>
      </c>
      <c r="H33" s="46" t="str" cm="1">
        <f t="array" ref="H33">IF($J33&lt;&gt;"",INDEX(Connections!$B$4:$V$345,$J33,MATCH(H$16,Connections!$B$3:$V$3,0)),"")</f>
        <v>FGHVIEW14/DATA2 (VDI)</v>
      </c>
      <c r="J33" s="118">
        <f>_xlfn.IFNA(MATCH(SHEET_NAME&amp;" "&amp;B33,Connections!$L$4:$L$345,0),"")</f>
        <v>108</v>
      </c>
    </row>
    <row r="34" spans="1:10">
      <c r="A34" s="121">
        <f t="shared" si="1"/>
        <v>18</v>
      </c>
      <c r="B34" s="116" t="str">
        <f t="shared" si="0"/>
        <v>twe2/0/18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twe2/0/19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twe2/0/20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twe2/0/21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448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10GB SFP+ DAC</v>
      </c>
      <c r="H37" s="46" t="str" cm="1">
        <f t="array" ref="H37">IF($J37&lt;&gt;"",INDEX(Connections!$B$4:$V$345,$J37,MATCH(H$16,Connections!$B$3:$V$3,0)),"")</f>
        <v>TINTRI2/B-DATA (STORAGE)</v>
      </c>
      <c r="J37" s="118">
        <f>_xlfn.IFNA(MATCH(SHEET_NAME&amp;" "&amp;B37,Connections!$L$4:$L$345,0),"")</f>
        <v>123</v>
      </c>
    </row>
    <row r="38" spans="1:10">
      <c r="A38" s="121">
        <f t="shared" si="1"/>
        <v>22</v>
      </c>
      <c r="B38" s="116" t="str">
        <f t="shared" si="0"/>
        <v>twe2/0/22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 cm="1">
        <f t="array" ref="D38">IF($J38&lt;&gt;"",INDEX(Connections!$B$4:$V$345,$J38,MATCH(D$16,Connections!$B$3:$V$3,0)),"")</f>
        <v>TRUNK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10GB SFP+ DAC</v>
      </c>
      <c r="H38" s="46" t="str" cm="1">
        <f t="array" ref="H38">IF($J38&lt;&gt;"",INDEX(Connections!$B$4:$V$345,$J38,MATCH(H$16,Connections!$B$3:$V$3,0)),"")</f>
        <v>TINTRI4/A-DATA2 (STORAGE)</v>
      </c>
      <c r="J38" s="118">
        <f>_xlfn.IFNA(MATCH(SHEET_NAME&amp;" "&amp;B38,Connections!$L$4:$L$345,0),"")</f>
        <v>196</v>
      </c>
    </row>
    <row r="39" spans="1:10">
      <c r="A39" s="121">
        <f t="shared" si="1"/>
        <v>23</v>
      </c>
      <c r="B39" s="116" t="str">
        <f t="shared" si="0"/>
        <v>twe2/0/23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 cm="1">
        <f t="array" ref="D39">IF($J39&lt;&gt;"",INDEX(Connections!$B$4:$V$345,$J39,MATCH(D$16,Connections!$B$3:$V$3,0)),"")</f>
        <v>TRUNK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10GB SFP+ DAC</v>
      </c>
      <c r="H39" s="46" t="str" cm="1">
        <f t="array" ref="H39">IF($J39&lt;&gt;"",INDEX(Connections!$B$4:$V$345,$J39,MATCH(H$16,Connections!$B$3:$V$3,0)),"")</f>
        <v>TINTRI4/B-DATA2 (STORAGE)</v>
      </c>
      <c r="J39" s="118">
        <f>_xlfn.IFNA(MATCH(SHEET_NAME&amp;" "&amp;B39,Connections!$L$4:$L$345,0),"")</f>
        <v>202</v>
      </c>
    </row>
    <row r="40" spans="1:10">
      <c r="A40" s="121">
        <f t="shared" si="1"/>
        <v>24</v>
      </c>
      <c r="B40" s="116" t="str">
        <f t="shared" si="0"/>
        <v>twe2/0/24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>twe2/0/25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twe2/0/26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twe2/0/27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>twe2/0/28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twe2/0/29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twe2/0/30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twe2/0/31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twe2/0/32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twe2/0/33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twe2/0/34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>twe2/0/35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>twe2/0/36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>twe2/0/37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>twe2/0/38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>twe2/0/39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>twe2/0/40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46" t="str" cm="1">
        <f t="array" ref="D56">IF($J56&lt;&gt;"",INDEX(Connections!$B$4:$V$345,$J56,MATCH(D$16,Connections!$B$3:$V$3,0)),"")</f>
        <v/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/>
      </c>
      <c r="G56" s="46" t="str" cm="1">
        <f t="array" ref="G56">IF($J56&lt;&gt;"",INDEX(Connections!$B$4:$V$345,$J56,MATCH(G$16,Connections!$B$3:$V$3,0)),"")</f>
        <v/>
      </c>
      <c r="H56" s="46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>twe2/0/41</v>
      </c>
      <c r="C57" s="122" t="s">
        <v>2608</v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>twe2/0/42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t="str" cm="1">
        <f t="array" ref="D58">IF($J58&lt;&gt;"",INDEX(Connections!$B$4:$V$345,$J58,MATCH(D$16,Connections!$B$3:$V$3,0)),"")</f>
        <v>TRUNK</v>
      </c>
      <c r="E58" s="51" cm="1">
        <f t="array" ref="E58">IF($J58&lt;&gt;"",IF(_xlfn.SINGLE(INDEX(Connections!$B$4:$V$345,$J58,MATCH(E$16,Connections!$B$3:$V$3,0)))=0,"",INDEX(Connections!$B$4:$V$345,$J58,MATCH(E$16,Connections!$B$3:$V$3,0))),"")</f>
        <v>42</v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10GB SFP+ DAC</v>
      </c>
      <c r="H58" s="46" t="str" cm="1">
        <f t="array" ref="H58">IF($J58&lt;&gt;"",INDEX(Connections!$B$4:$V$345,$J58,MATCH(H$16,Connections!$B$3:$V$3,0)),"")</f>
        <v>FGH-C7K01-M1/X2-DATA (BLADE CHASSIS)</v>
      </c>
      <c r="J58" s="118">
        <f>_xlfn.IFNA(MATCH(SHEET_NAME&amp;" "&amp;B58,Connections!$L$4:$L$345,0),"")</f>
        <v>142</v>
      </c>
    </row>
    <row r="59" spans="1:10">
      <c r="A59" s="121">
        <f t="shared" si="1"/>
        <v>43</v>
      </c>
      <c r="B59" s="116" t="str">
        <f t="shared" si="0"/>
        <v>twe2/0/43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t="str" cm="1">
        <f t="array" ref="D59">IF($J59&lt;&gt;"",INDEX(Connections!$B$4:$V$345,$J59,MATCH(D$16,Connections!$B$3:$V$3,0)),"")</f>
        <v>TRUNK</v>
      </c>
      <c r="E59" s="51" cm="1">
        <f t="array" ref="E59">IF($J59&lt;&gt;"",IF(_xlfn.SINGLE(INDEX(Connections!$B$4:$V$345,$J59,MATCH(E$16,Connections!$B$3:$V$3,0)))=0,"",INDEX(Connections!$B$4:$V$345,$J59,MATCH(E$16,Connections!$B$3:$V$3,0))),"")</f>
        <v>43</v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10GB SFP+ DAC</v>
      </c>
      <c r="H59" s="46" t="str" cm="1">
        <f t="array" ref="H59">IF($J59&lt;&gt;"",INDEX(Connections!$B$4:$V$345,$J59,MATCH(H$16,Connections!$B$3:$V$3,0)),"")</f>
        <v>FGH-C7K01-M2/X2-DATA (BLADE CHASSIS)</v>
      </c>
      <c r="J59" s="118">
        <f>_xlfn.IFNA(MATCH(SHEET_NAME&amp;" "&amp;B59,Connections!$L$4:$L$345,0),"")</f>
        <v>150</v>
      </c>
    </row>
    <row r="60" spans="1:10">
      <c r="A60" s="121">
        <f t="shared" si="1"/>
        <v>44</v>
      </c>
      <c r="B60" s="116" t="str">
        <f t="shared" si="0"/>
        <v>twe2/0/44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t="str" cm="1">
        <f t="array" ref="D60">IF($J60&lt;&gt;"",INDEX(Connections!$B$4:$V$345,$J60,MATCH(D$16,Connections!$B$3:$V$3,0)),"")</f>
        <v>TRUNK</v>
      </c>
      <c r="E60" s="51" cm="1">
        <f t="array" ref="E60">IF($J60&lt;&gt;"",IF(_xlfn.SINGLE(INDEX(Connections!$B$4:$V$345,$J60,MATCH(E$16,Connections!$B$3:$V$3,0)))=0,"",INDEX(Connections!$B$4:$V$345,$J60,MATCH(E$16,Connections!$B$3:$V$3,0))),"")</f>
        <v>44</v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10GB SFP+ MMF</v>
      </c>
      <c r="H60" s="46" t="str" cm="1">
        <f t="array" ref="H60">IF($J60&lt;&gt;"",INDEX(Connections!$B$4:$V$345,$J60,MATCH(H$16,Connections!$B$3:$V$3,0)),"")</f>
        <v>LHCR2C01/Te10/4 (LEGACY)</v>
      </c>
      <c r="J60" s="118">
        <f>_xlfn.IFNA(MATCH(SHEET_NAME&amp;" "&amp;B60,Connections!$L$4:$L$345,0),"")</f>
        <v>10</v>
      </c>
    </row>
    <row r="61" spans="1:10">
      <c r="A61" s="121">
        <f t="shared" si="1"/>
        <v>45</v>
      </c>
      <c r="B61" s="116" t="str">
        <f t="shared" si="0"/>
        <v>twe2/0/45</v>
      </c>
      <c r="C61" s="122" t="s">
        <v>2611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twe2/0/46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189" t="str">
        <f>IF(J62&lt;&gt;"","TRUNK","")</f>
        <v>TRUNK</v>
      </c>
      <c r="E62" s="190" cm="1">
        <f t="array" ref="E62">IF($J62&lt;&gt;"",INDEX(SWITCH_TABLE[#Data],$J62,MATCH("Remote EC",SWITCH_TABLE[#Headers],0)),"")</f>
        <v>46</v>
      </c>
      <c r="F62" s="189"/>
      <c r="G62" s="189" t="str" cm="1">
        <f t="array" ref="G62">IF($J62&lt;&gt;"",INDEX(SWITCH_TABLE[#Data],$J62,MATCH("Uplink 2 SFP",SWITCH_TABLE[#Headers],0)),"")</f>
        <v>10GB SFP+ DAC</v>
      </c>
      <c r="H62" s="189" t="str">
        <f>IF($J62&lt;&gt;"",INDEX(SWITCH_TABLE[#Data],$J62,MATCH("Device Name",SWITCH_TABLE[#Headers],0)) &amp; " " &amp; INDEX(SWITCH_TABLE[#Data],$J62,MATCH("Uplink Port 2",SWITCH_TABLE[#Headers],0)),"")</f>
        <v>FGHLHN172 te1/1/2</v>
      </c>
      <c r="J62" s="127">
        <f t="array" ref="J62">_xlfn.IFNA(MATCH(1,(SHEET_NAME=SWITCH_TABLE[Remote Device 2])*(B62=SWITCH_TABLE[Remote Port 2]),0),"")</f>
        <v>18</v>
      </c>
    </row>
    <row r="63" spans="1:10">
      <c r="A63" s="121">
        <f t="shared" si="1"/>
        <v>47</v>
      </c>
      <c r="B63" s="116" t="str">
        <f t="shared" si="0"/>
        <v>twe2/0/47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189" t="str">
        <f>IF(J63&lt;&gt;"","TRUNK","")</f>
        <v>TRUNK</v>
      </c>
      <c r="E63" s="190" cm="1">
        <f t="array" ref="E63">IF($J63&lt;&gt;"",INDEX(SWITCH_TABLE[#Data],$J63,MATCH("Remote EC",SWITCH_TABLE[#Headers],0)),"")</f>
        <v>47</v>
      </c>
      <c r="F63" s="189"/>
      <c r="G63" s="189" t="str" cm="1">
        <f t="array" ref="G63">IF($J63&lt;&gt;"",INDEX(SWITCH_TABLE[#Data],$J63,MATCH("Uplink 2 SFP",SWITCH_TABLE[#Headers],0)),"")</f>
        <v>1GB COPPER</v>
      </c>
      <c r="H63" s="189" t="str">
        <f>IF($J63&lt;&gt;"",INDEX(SWITCH_TABLE[#Data],$J63,MATCH("Device Name",SWITCH_TABLE[#Headers],0)) &amp; " " &amp; INDEX(SWITCH_TABLE[#Data],$J63,MATCH("Uplink Port 2",SWITCH_TABLE[#Headers],0)),"")</f>
        <v>FGHLHN144 gi1/1/2</v>
      </c>
      <c r="J63" s="127">
        <f t="array" ref="J63">_xlfn.IFNA(MATCH(1,(SHEET_NAME=SWITCH_TABLE[Remote Device 2])*(B63=SWITCH_TABLE[Remote Port 2]),0),"")</f>
        <v>13</v>
      </c>
    </row>
    <row r="64" spans="1:10">
      <c r="A64" s="121">
        <f t="shared" si="1"/>
        <v>48</v>
      </c>
      <c r="B64" s="116" t="str">
        <f t="shared" si="0"/>
        <v>twe2/0/48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189" t="str">
        <f>IF(J64&lt;&gt;"","TRUNK","")</f>
        <v>TRUNK</v>
      </c>
      <c r="E64" s="190" cm="1">
        <f t="array" ref="E64">IF($J64&lt;&gt;"",INDEX(SWITCH_TABLE[#Data],$J64,MATCH("Remote EC",SWITCH_TABLE[#Headers],0)),"")</f>
        <v>48</v>
      </c>
      <c r="F64" s="189"/>
      <c r="G64" s="189" t="str" cm="1">
        <f t="array" ref="G64">IF($J64&lt;&gt;"",INDEX(SWITCH_TABLE[#Data],$J64,MATCH("Uplink 2 SFP",SWITCH_TABLE[#Headers],0)),"")</f>
        <v>10GB SFP+ DAC</v>
      </c>
      <c r="H64" s="189" t="str">
        <f>IF($J64&lt;&gt;"",INDEX(SWITCH_TABLE[#Data],$J64,MATCH("Device Name",SWITCH_TABLE[#Headers],0)) &amp; " " &amp; INDEX(SWITCH_TABLE[#Data],$J64,MATCH("Uplink Port 2",SWITCH_TABLE[#Headers],0)),"")</f>
        <v>FGHLHN142-2 te2/1/2</v>
      </c>
      <c r="J64" s="127">
        <f t="array" ref="J64">_xlfn.IFNA(MATCH(1,(SHEET_NAME=SWITCH_TABLE[Remote Device 2])*(B64=SWITCH_TABLE[Remote Port 2]),0),"")</f>
        <v>12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49</v>
      </c>
      <c r="B68" s="116" t="str">
        <f t="shared" ref="B68:B75" si="3">IF(A68&gt;$C$8+$A$67,"",$D$8&amp;$C$11&amp;"/0/"&amp;A68)</f>
        <v>hu2/0/49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2</v>
      </c>
      <c r="G68" s="191" t="str" cm="1">
        <f t="array" ref="G68">_xlfn.IFS($B68="","",$B68=$G$11,$H$11,$B68=$G$13,$H$13,1=1,"")</f>
        <v>100G QSFP DAC</v>
      </c>
      <c r="H68" s="191" t="str" cm="1">
        <f t="array" ref="H68">_xlfn.IFS($B68="","",$B68=$G$11,$G$12&amp;" "&amp;H12,$B68=$G$13,$G$14&amp;" "&amp;$H$14,1=1,"")</f>
        <v>FGHLHN01-2 hu2/0/43</v>
      </c>
      <c r="J68" s="127" t="str" cm="1">
        <f t="array" ref="J68">_xlfn.IFNA(MATCH(1,(SHEET_NAME=SWITCH_TABLE[Remote Device 2])*(B68=SWITCH_TABLE[Remote Port 2]),0),"")</f>
        <v/>
      </c>
    </row>
    <row r="69" spans="1:10">
      <c r="A69" s="121">
        <f t="shared" si="2"/>
        <v>50</v>
      </c>
      <c r="B69" s="116" t="str">
        <f t="shared" si="3"/>
        <v>hu2/0/50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2])*(B69=SWITCH_TABLE[Remote Port 2]),0),"")</f>
        <v/>
      </c>
    </row>
    <row r="70" spans="1:10">
      <c r="A70" s="121">
        <f t="shared" si="2"/>
        <v>51</v>
      </c>
      <c r="B70" s="116" t="str">
        <f t="shared" si="3"/>
        <v>hu2/0/51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2])*(B70=SWITCH_TABLE[Remote Port 2]),0),"")</f>
        <v/>
      </c>
    </row>
    <row r="71" spans="1:10">
      <c r="A71" s="121">
        <f t="shared" si="2"/>
        <v>52</v>
      </c>
      <c r="B71" s="116" t="str">
        <f t="shared" si="3"/>
        <v>hu2/0/52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2])*(B71=SWITCH_TABLE[Remote Port 2]),0),"")</f>
        <v/>
      </c>
    </row>
    <row r="72" spans="1:10">
      <c r="A72" s="121">
        <f t="shared" si="2"/>
        <v>53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2])*(B72=SWITCH_TABLE[Remote Port 2]),0),"")</f>
        <v/>
      </c>
    </row>
    <row r="73" spans="1:10">
      <c r="A73" s="121">
        <f t="shared" si="2"/>
        <v>54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2])*(B73=SWITCH_TABLE[Remote Port 2]),0),"")</f>
        <v/>
      </c>
    </row>
    <row r="74" spans="1:10">
      <c r="A74" s="121">
        <f t="shared" si="2"/>
        <v>55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2])*(B74=SWITCH_TABLE[Remote Port 2]),0),"")</f>
        <v/>
      </c>
    </row>
    <row r="75" spans="1:10">
      <c r="A75" s="121">
        <f t="shared" si="2"/>
        <v>56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hu2/0/51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FGHLHN42-1 hu1/0/52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hu2/0/52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FGHLHN42-1 hu1/0/51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138" priority="17" operator="equal">
      <formula>"reserved"</formula>
    </cfRule>
    <cfRule type="cellIs" dxfId="1137" priority="18" operator="equal">
      <formula>"notconnect"</formula>
    </cfRule>
    <cfRule type="cellIs" dxfId="1136" priority="19" operator="equal">
      <formula>"disabled"</formula>
    </cfRule>
    <cfRule type="cellIs" dxfId="1135" priority="20" operator="equal">
      <formula>"connect"</formula>
    </cfRule>
  </conditionalFormatting>
  <conditionalFormatting sqref="C79:C80">
    <cfRule type="cellIs" dxfId="1134" priority="13" operator="equal">
      <formula>"reserved"</formula>
    </cfRule>
    <cfRule type="cellIs" dxfId="1133" priority="14" operator="equal">
      <formula>"notconnect"</formula>
    </cfRule>
    <cfRule type="cellIs" dxfId="1132" priority="15" operator="equal">
      <formula>"disabled"</formula>
    </cfRule>
    <cfRule type="cellIs" dxfId="1131" priority="16" operator="equal">
      <formula>"connect"</formula>
    </cfRule>
  </conditionalFormatting>
  <conditionalFormatting sqref="C64">
    <cfRule type="cellIs" dxfId="1130" priority="9" operator="equal">
      <formula>"reserved"</formula>
    </cfRule>
    <cfRule type="cellIs" dxfId="1129" priority="10" operator="equal">
      <formula>"notconnect"</formula>
    </cfRule>
    <cfRule type="cellIs" dxfId="1128" priority="11" operator="equal">
      <formula>"disabled"</formula>
    </cfRule>
    <cfRule type="cellIs" dxfId="1127" priority="12" operator="equal">
      <formula>"connect"</formula>
    </cfRule>
  </conditionalFormatting>
  <conditionalFormatting sqref="C58:C63 C17:C56">
    <cfRule type="cellIs" dxfId="1126" priority="5" operator="equal">
      <formula>"reserved"</formula>
    </cfRule>
    <cfRule type="cellIs" dxfId="1125" priority="6" operator="equal">
      <formula>"notconnect"</formula>
    </cfRule>
    <cfRule type="cellIs" dxfId="1124" priority="7" operator="equal">
      <formula>"disabled"</formula>
    </cfRule>
    <cfRule type="cellIs" dxfId="1123" priority="8" operator="equal">
      <formula>"connect"</formula>
    </cfRule>
  </conditionalFormatting>
  <conditionalFormatting sqref="C57">
    <cfRule type="cellIs" dxfId="1122" priority="1" operator="equal">
      <formula>"reserved"</formula>
    </cfRule>
    <cfRule type="cellIs" dxfId="1121" priority="2" operator="equal">
      <formula>"notconnect"</formula>
    </cfRule>
    <cfRule type="cellIs" dxfId="1120" priority="3" operator="equal">
      <formula>"disabled"</formula>
    </cfRule>
    <cfRule type="cellIs" dxfId="1119" priority="4" operator="equal">
      <formula>"connect"</formula>
    </cfRule>
  </conditionalFormatting>
  <dataValidations count="5">
    <dataValidation type="list" allowBlank="1" showInputMessage="1" sqref="G68:G75 G17:G64" xr:uid="{991D0C76-68E4-4EC6-9580-2772E0C14D3A}">
      <formula1>PORT_TYPE_LIST</formula1>
    </dataValidation>
    <dataValidation type="list" allowBlank="1" showInputMessage="1" sqref="C68:C75 C79:C80 C17:C64" xr:uid="{2335457B-21ED-4A83-871B-FD534EB2D53F}">
      <formula1>PORT_STATE_LIST</formula1>
    </dataValidation>
    <dataValidation type="list" allowBlank="1" showInputMessage="1" sqref="D68:D75 D62:D64" xr:uid="{AB65E439-D368-47BF-B4EA-C62A343CDB6B}">
      <formula1>VLAN_ID_LIST</formula1>
    </dataValidation>
    <dataValidation type="list" allowBlank="1" showInputMessage="1" sqref="F17:F64" xr:uid="{9C76EAE8-C1CA-42B0-82AE-966759363F97}">
      <formula1>SPEED_DUPLEX_LIST</formula1>
    </dataValidation>
    <dataValidation allowBlank="1" showInputMessage="1" sqref="E68:E75 E17:E64" xr:uid="{7513986F-04E4-4C88-AE14-BA76E7971D36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94C7-31CE-47B2-8BA5-273493819299}">
  <sheetPr codeName="Sheet20">
    <tabColor rgb="FFE26B0A"/>
  </sheetPr>
  <dimension ref="A1:J81"/>
  <sheetViews>
    <sheetView workbookViewId="0">
      <selection activeCell="A27" sqref="A27:XFD27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1387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7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Distribution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CAT2330L0EC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10.224.21.43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hu1/0/49</v>
      </c>
      <c r="H11" s="118" t="str" cm="1">
        <f t="array" ref="H11">IF(G11="","",INDEX(SWITCH_TABLE[#Data],$H$3,MATCH("Uplink 1 SFP",SWITCH_TABLE[#Headers],0)))</f>
        <v>100G QSFP DAC</v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FGHLHN01-1</v>
      </c>
      <c r="H12" s="118" t="str" cm="1">
        <f t="array" ref="H12">IF(G12="","",INDEX(SWITCH_TABLE[#Data],$H$3,MATCH("Remote Port 1",SWITCH_TABLE[#Headers],0)))</f>
        <v>hu1/0/42</v>
      </c>
    </row>
    <row r="13" spans="1:10">
      <c r="B13" s="116" t="s">
        <v>1837</v>
      </c>
      <c r="C13" s="117" t="str">
        <f>INDEX(SWITCH_TABLE[#Data],$H$3,MATCH(B13,SWITCH_TABLE[#Headers],0))</f>
        <v>FGHLHN43-2</v>
      </c>
      <c r="D13" s="117" t="str">
        <f>INDEX(SWITCH_TABLE[#Data],$H$3,MATCH("Next Port",SWITCH_TABLE[#Headers],0))</f>
        <v>hu2/0/52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FGHLHN43-2</v>
      </c>
      <c r="D14" s="117" t="str">
        <f>INDEX(SWITCH_TABLE[#Data],$H$3,MATCH("Prev Port",SWITCH_TABLE[#Headers],0))</f>
        <v>hu2/0/51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2582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t="str">
        <f>IF(J17&lt;&gt;"","TRUNK","")</f>
        <v>TRUNK</v>
      </c>
      <c r="E17" s="51" cm="1">
        <f t="array" ref="E17">IF($J17&lt;&gt;"",INDEX(SWITCH_TABLE[#Data],$J17,MATCH("Remote EC",SWITCH_TABLE[#Headers],0)),"")</f>
        <v>1</v>
      </c>
      <c r="F17" s="46"/>
      <c r="G17" s="46" t="str" cm="1">
        <f t="array" ref="G17">IF($J17&lt;&gt;"",INDEX(SWITCH_TABLE[#Data],$J17,MATCH("Uplink 1 SFP",SWITCH_TABLE[#Headers],0)),"")</f>
        <v>1G SFP SX</v>
      </c>
      <c r="H17" s="46" t="str">
        <f>IF($J17&lt;&gt;"",INDEX(SWITCH_TABLE[#Data],$J17,MATCH("Device Name",SWITCH_TABLE[#Headers],0)) &amp; " " &amp; INDEX(SWITCH_TABLE[#Data],$J17,MATCH("Uplink Port 1",SWITCH_TABLE[#Headers],0)),"")</f>
        <v>FGHLHN11 gi1/1/1</v>
      </c>
      <c r="J17" s="118">
        <f t="array" ref="J17">_xlfn.IFNA(MATCH(1,(SHEET_NAME=SWITCH_TABLE[Remote Device 1])*(B17=SWITCH_TABLE[Remote Port 1]),0),"")</f>
        <v>19</v>
      </c>
    </row>
    <row r="18" spans="1:10">
      <c r="A18" s="121">
        <f t="shared" ref="A18:A64" si="1">ROW(A18)-ROW($A$16)+$A$16</f>
        <v>2</v>
      </c>
      <c r="B18" s="116" t="str">
        <f t="shared" si="0"/>
        <v>twe1/0/2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t="str">
        <f t="shared" ref="D18:D64" si="2">IF(J18&lt;&gt;"","TRUNK","")</f>
        <v>TRUNK</v>
      </c>
      <c r="E18" s="51" cm="1">
        <f t="array" ref="E18">IF($J18&lt;&gt;"",INDEX(SWITCH_TABLE[#Data],$J18,MATCH("Remote EC",SWITCH_TABLE[#Headers],0)),"")</f>
        <v>2</v>
      </c>
      <c r="F18" s="46"/>
      <c r="G18" s="46" t="str" cm="1">
        <f t="array" ref="G18">IF($J18&lt;&gt;"",INDEX(SWITCH_TABLE[#Data],$J18,MATCH("Uplink 1 SFP",SWITCH_TABLE[#Headers],0)),"")</f>
        <v>1G SFP SX</v>
      </c>
      <c r="H18" s="46" t="str">
        <f>IF($J18&lt;&gt;"",INDEX(SWITCH_TABLE[#Data],$J18,MATCH("Device Name",SWITCH_TABLE[#Headers],0)) &amp; " " &amp; INDEX(SWITCH_TABLE[#Data],$J18,MATCH("Uplink Port 1",SWITCH_TABLE[#Headers],0)),"")</f>
        <v>FGHLHN12 gi1/1/1</v>
      </c>
      <c r="J18" s="118">
        <f t="array" ref="J18">_xlfn.IFNA(MATCH(1,(SHEET_NAME=SWITCH_TABLE[Remote Device 1])*(B18=SWITCH_TABLE[Remote Port 1]),0),"")</f>
        <v>20</v>
      </c>
    </row>
    <row r="19" spans="1:10">
      <c r="A19" s="121">
        <f t="shared" si="1"/>
        <v>3</v>
      </c>
      <c r="B19" s="116" t="str">
        <f t="shared" si="0"/>
        <v>twe1/0/3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t="str">
        <f t="shared" si="2"/>
        <v>TRUNK</v>
      </c>
      <c r="E19" s="51" cm="1">
        <f t="array" ref="E19">IF($J19&lt;&gt;"",INDEX(SWITCH_TABLE[#Data],$J19,MATCH("Remote EC",SWITCH_TABLE[#Headers],0)),"")</f>
        <v>3</v>
      </c>
      <c r="F19" s="46"/>
      <c r="G19" s="46" t="str" cm="1">
        <f t="array" ref="G19">IF($J19&lt;&gt;"",INDEX(SWITCH_TABLE[#Data],$J19,MATCH("Uplink 1 SFP",SWITCH_TABLE[#Headers],0)),"")</f>
        <v>1G SFP SX</v>
      </c>
      <c r="H19" s="46" t="str">
        <f>IF($J19&lt;&gt;"",INDEX(SWITCH_TABLE[#Data],$J19,MATCH("Device Name",SWITCH_TABLE[#Headers],0)) &amp; " " &amp; INDEX(SWITCH_TABLE[#Data],$J19,MATCH("Uplink Port 1",SWITCH_TABLE[#Headers],0)),"")</f>
        <v>FGHLHN13-1 gi1/1/1</v>
      </c>
      <c r="J19" s="118">
        <f t="array" ref="J19">_xlfn.IFNA(MATCH(1,(SHEET_NAME=SWITCH_TABLE[Remote Device 1])*(B19=SWITCH_TABLE[Remote Port 1]),0),"")</f>
        <v>21</v>
      </c>
    </row>
    <row r="20" spans="1:10">
      <c r="A20" s="121">
        <f t="shared" si="1"/>
        <v>4</v>
      </c>
      <c r="B20" s="116" t="str">
        <f t="shared" si="0"/>
        <v>twe1/0/4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t="str">
        <f t="shared" si="2"/>
        <v>TRUNK</v>
      </c>
      <c r="E20" s="51" cm="1">
        <f t="array" ref="E20">IF($J20&lt;&gt;"",INDEX(SWITCH_TABLE[#Data],$J20,MATCH("Remote EC",SWITCH_TABLE[#Headers],0)),"")</f>
        <v>4</v>
      </c>
      <c r="F20" s="46"/>
      <c r="G20" s="46" t="str" cm="1">
        <f t="array" ref="G20">IF($J20&lt;&gt;"",INDEX(SWITCH_TABLE[#Data],$J20,MATCH("Uplink 1 SFP",SWITCH_TABLE[#Headers],0)),"")</f>
        <v>1G SFP SX</v>
      </c>
      <c r="H20" s="46" t="str">
        <f>IF($J20&lt;&gt;"",INDEX(SWITCH_TABLE[#Data],$J20,MATCH("Device Name",SWITCH_TABLE[#Headers],0)) &amp; " " &amp; INDEX(SWITCH_TABLE[#Data],$J20,MATCH("Uplink Port 1",SWITCH_TABLE[#Headers],0)),"")</f>
        <v>FGHLHN14 gi1/1/1</v>
      </c>
      <c r="J20" s="118">
        <f t="array" ref="J20">_xlfn.IFNA(MATCH(1,(SHEET_NAME=SWITCH_TABLE[Remote Device 1])*(B20=SWITCH_TABLE[Remote Port 1]),0),"")</f>
        <v>23</v>
      </c>
    </row>
    <row r="21" spans="1:10">
      <c r="A21" s="121">
        <f t="shared" si="1"/>
        <v>5</v>
      </c>
      <c r="B21" s="116" t="str">
        <f t="shared" si="0"/>
        <v>twe1/0/5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t="str">
        <f t="shared" si="2"/>
        <v>TRUNK</v>
      </c>
      <c r="E21" s="51" cm="1">
        <f t="array" ref="E21">IF($J21&lt;&gt;"",INDEX(SWITCH_TABLE[#Data],$J21,MATCH("Remote EC",SWITCH_TABLE[#Headers],0)),"")</f>
        <v>5</v>
      </c>
      <c r="F21" s="46"/>
      <c r="G21" s="46" t="str" cm="1">
        <f t="array" ref="G21">IF($J21&lt;&gt;"",INDEX(SWITCH_TABLE[#Data],$J21,MATCH("Uplink 1 SFP",SWITCH_TABLE[#Headers],0)),"")</f>
        <v>1G SFP SX</v>
      </c>
      <c r="H21" s="46" t="str">
        <f>IF($J21&lt;&gt;"",INDEX(SWITCH_TABLE[#Data],$J21,MATCH("Device Name",SWITCH_TABLE[#Headers],0)) &amp; " " &amp; INDEX(SWITCH_TABLE[#Data],$J21,MATCH("Uplink Port 1",SWITCH_TABLE[#Headers],0)),"")</f>
        <v>FGHLHN15 gi1/1/1</v>
      </c>
      <c r="J21" s="118">
        <f t="array" ref="J21">_xlfn.IFNA(MATCH(1,(SHEET_NAME=SWITCH_TABLE[Remote Device 1])*(B21=SWITCH_TABLE[Remote Port 1]),0),"")</f>
        <v>24</v>
      </c>
    </row>
    <row r="22" spans="1:10">
      <c r="A22" s="121">
        <f t="shared" si="1"/>
        <v>6</v>
      </c>
      <c r="B22" s="116" t="str">
        <f t="shared" si="0"/>
        <v>twe1/0/6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t="str">
        <f t="shared" si="2"/>
        <v>TRUNK</v>
      </c>
      <c r="E22" s="51" cm="1">
        <f t="array" ref="E22">IF($J22&lt;&gt;"",INDEX(SWITCH_TABLE[#Data],$J22,MATCH("Remote EC",SWITCH_TABLE[#Headers],0)),"")</f>
        <v>6</v>
      </c>
      <c r="F22" s="46"/>
      <c r="G22" s="46" t="str" cm="1">
        <f t="array" ref="G22">IF($J22&lt;&gt;"",INDEX(SWITCH_TABLE[#Data],$J22,MATCH("Uplink 1 SFP",SWITCH_TABLE[#Headers],0)),"")</f>
        <v>1G SFP SX</v>
      </c>
      <c r="H22" s="46" t="str">
        <f>IF($J22&lt;&gt;"",INDEX(SWITCH_TABLE[#Data],$J22,MATCH("Device Name",SWITCH_TABLE[#Headers],0)) &amp; " " &amp; INDEX(SWITCH_TABLE[#Data],$J22,MATCH("Uplink Port 1",SWITCH_TABLE[#Headers],0)),"")</f>
        <v>FGHLHN16-1 gi1/1/1</v>
      </c>
      <c r="J22" s="118">
        <f t="array" ref="J22">_xlfn.IFNA(MATCH(1,(SHEET_NAME=SWITCH_TABLE[Remote Device 1])*(B22=SWITCH_TABLE[Remote Port 1]),0),"")</f>
        <v>25</v>
      </c>
    </row>
    <row r="23" spans="1:10">
      <c r="A23" s="121">
        <f t="shared" si="1"/>
        <v>7</v>
      </c>
      <c r="B23" s="116" t="str">
        <f t="shared" si="0"/>
        <v>twe1/0/7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t="str">
        <f t="shared" si="2"/>
        <v>TRUNK</v>
      </c>
      <c r="E23" s="51" cm="1">
        <f t="array" ref="E23">IF($J23&lt;&gt;"",INDEX(SWITCH_TABLE[#Data],$J23,MATCH("Remote EC",SWITCH_TABLE[#Headers],0)),"")</f>
        <v>7</v>
      </c>
      <c r="F23" s="46"/>
      <c r="G23" s="46" t="str" cm="1">
        <f t="array" ref="G23">IF($J23&lt;&gt;"",INDEX(SWITCH_TABLE[#Data],$J23,MATCH("Uplink 1 SFP",SWITCH_TABLE[#Headers],0)),"")</f>
        <v>1G SFP SX</v>
      </c>
      <c r="H23" s="46" t="str">
        <f>IF($J23&lt;&gt;"",INDEX(SWITCH_TABLE[#Data],$J23,MATCH("Device Name",SWITCH_TABLE[#Headers],0)) &amp; " " &amp; INDEX(SWITCH_TABLE[#Data],$J23,MATCH("Uplink Port 1",SWITCH_TABLE[#Headers],0)),"")</f>
        <v>FGHLHN17 gi1/1/1</v>
      </c>
      <c r="J23" s="118">
        <f t="array" ref="J23">_xlfn.IFNA(MATCH(1,(SHEET_NAME=SWITCH_TABLE[Remote Device 1])*(B23=SWITCH_TABLE[Remote Port 1]),0),"")</f>
        <v>27</v>
      </c>
    </row>
    <row r="24" spans="1:10">
      <c r="A24" s="121">
        <f t="shared" si="1"/>
        <v>8</v>
      </c>
      <c r="B24" s="116" t="str">
        <f t="shared" si="0"/>
        <v>twe1/0/8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t="str">
        <f t="shared" si="2"/>
        <v>TRUNK</v>
      </c>
      <c r="E24" s="51" cm="1">
        <f t="array" ref="E24">IF($J24&lt;&gt;"",INDEX(SWITCH_TABLE[#Data],$J24,MATCH("Remote EC",SWITCH_TABLE[#Headers],0)),"")</f>
        <v>8</v>
      </c>
      <c r="F24" s="46"/>
      <c r="G24" s="46" t="str" cm="1">
        <f t="array" ref="G24">IF($J24&lt;&gt;"",INDEX(SWITCH_TABLE[#Data],$J24,MATCH("Uplink 1 SFP",SWITCH_TABLE[#Headers],0)),"")</f>
        <v>1G SFP SX</v>
      </c>
      <c r="H24" s="46" t="str">
        <f>IF($J24&lt;&gt;"",INDEX(SWITCH_TABLE[#Data],$J24,MATCH("Device Name",SWITCH_TABLE[#Headers],0)) &amp; " " &amp; INDEX(SWITCH_TABLE[#Data],$J24,MATCH("Uplink Port 1",SWITCH_TABLE[#Headers],0)),"")</f>
        <v>FGHLHN18 gi1/1/1</v>
      </c>
      <c r="J24" s="118">
        <f t="array" ref="J24">_xlfn.IFNA(MATCH(1,(SHEET_NAME=SWITCH_TABLE[Remote Device 1])*(B24=SWITCH_TABLE[Remote Port 1]),0),"")</f>
        <v>28</v>
      </c>
    </row>
    <row r="25" spans="1:10">
      <c r="A25" s="121">
        <f t="shared" si="1"/>
        <v>9</v>
      </c>
      <c r="B25" s="116" t="str">
        <f t="shared" si="0"/>
        <v>twe1/0/9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>
        <f t="shared" si="2"/>
        <v/>
      </c>
      <c r="E25" s="51" t="str" cm="1">
        <f t="array" ref="E25">IF($J25&lt;&gt;"",INDEX(SWITCH_TABLE[#Data],$J25,MATCH("Remote EC",SWITCH_TABLE[#Headers],0)),"")</f>
        <v/>
      </c>
      <c r="F25" s="46"/>
      <c r="G25" s="46" t="str" cm="1">
        <f t="array" ref="G25">IF($J25&lt;&gt;"",INDEX(SWITCH_TABLE[#Data],$J25,MATCH("Uplink 1 SFP",SWITCH_TABLE[#Headers],0)),"")</f>
        <v/>
      </c>
      <c r="H25" s="46" t="str">
        <f>IF($J25&lt;&gt;"",INDEX(SWITCH_TABLE[#Data],$J25,MATCH("Device Name",SWITCH_TABLE[#Headers],0)) &amp; " " &amp; INDEX(SWITCH_TABLE[#Data],$J25,MATCH("Uplink Port 1",SWITCH_TABLE[#Headers],0)),"")</f>
        <v/>
      </c>
      <c r="J25" s="118" t="str">
        <f t="array" ref="J25">_xlfn.IFNA(MATCH(1,(SHEET_NAME=SWITCH_TABLE[Remote Device 1])*(B25=SWITCH_TABLE[Remote Port 1]),0),"")</f>
        <v/>
      </c>
    </row>
    <row r="26" spans="1:10">
      <c r="A26" s="121">
        <f t="shared" si="1"/>
        <v>10</v>
      </c>
      <c r="B26" s="116" t="str">
        <f t="shared" si="0"/>
        <v>twe1/0/10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t="str">
        <f t="shared" si="2"/>
        <v>TRUNK</v>
      </c>
      <c r="E26" s="51" cm="1">
        <f t="array" ref="E26">IF($J26&lt;&gt;"",INDEX(SWITCH_TABLE[#Data],$J26,MATCH("Remote EC",SWITCH_TABLE[#Headers],0)),"")</f>
        <v>10</v>
      </c>
      <c r="F26" s="46"/>
      <c r="G26" s="46" t="str" cm="1">
        <f t="array" ref="G26">IF($J26&lt;&gt;"",INDEX(SWITCH_TABLE[#Data],$J26,MATCH("Uplink 1 SFP",SWITCH_TABLE[#Headers],0)),"")</f>
        <v>1G SFP SX</v>
      </c>
      <c r="H26" s="46" t="str">
        <f>IF($J26&lt;&gt;"",INDEX(SWITCH_TABLE[#Data],$J26,MATCH("Device Name",SWITCH_TABLE[#Headers],0)) &amp; " " &amp; INDEX(SWITCH_TABLE[#Data],$J26,MATCH("Uplink Port 1",SWITCH_TABLE[#Headers],0)),"")</f>
        <v>FGHLHN20 gi1/1/1</v>
      </c>
      <c r="J26" s="118">
        <f t="array" ref="J26">_xlfn.IFNA(MATCH(1,(SHEET_NAME=SWITCH_TABLE[Remote Device 1])*(B26=SWITCH_TABLE[Remote Port 1]),0),"")</f>
        <v>29</v>
      </c>
    </row>
    <row r="27" spans="1:10">
      <c r="A27" s="121">
        <f t="shared" si="1"/>
        <v>11</v>
      </c>
      <c r="B27" s="116" t="str">
        <f t="shared" si="0"/>
        <v>twe1/0/11</v>
      </c>
      <c r="C27" s="122" t="s">
        <v>2608</v>
      </c>
      <c r="D27" s="81" t="s">
        <v>2075</v>
      </c>
      <c r="E27" s="51">
        <v>11</v>
      </c>
      <c r="F27" s="46"/>
      <c r="G27" s="81" t="s">
        <v>1884</v>
      </c>
      <c r="H27" s="81" t="s">
        <v>2984</v>
      </c>
      <c r="J27" s="118">
        <v>31</v>
      </c>
    </row>
    <row r="28" spans="1:10">
      <c r="A28" s="121">
        <f t="shared" si="1"/>
        <v>12</v>
      </c>
      <c r="B28" s="116" t="str">
        <f t="shared" si="0"/>
        <v>twe1/0/12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t="str">
        <f t="shared" si="2"/>
        <v>TRUNK</v>
      </c>
      <c r="E28" s="51" cm="1">
        <f t="array" ref="E28">IF($J28&lt;&gt;"",INDEX(SWITCH_TABLE[#Data],$J28,MATCH("Remote EC",SWITCH_TABLE[#Headers],0)),"")</f>
        <v>12</v>
      </c>
      <c r="F28" s="46"/>
      <c r="G28" s="46" t="str" cm="1">
        <f t="array" ref="G28">IF($J28&lt;&gt;"",INDEX(SWITCH_TABLE[#Data],$J28,MATCH("Uplink 1 SFP",SWITCH_TABLE[#Headers],0)),"")</f>
        <v>1G SFP SX</v>
      </c>
      <c r="H28" s="46" t="str">
        <f>IF($J28&lt;&gt;"",INDEX(SWITCH_TABLE[#Data],$J28,MATCH("Device Name",SWITCH_TABLE[#Headers],0)) &amp; " " &amp; INDEX(SWITCH_TABLE[#Data],$J28,MATCH("Uplink Port 1",SWITCH_TABLE[#Headers],0)),"")</f>
        <v>FGHLHN22-1 gi1/1/1</v>
      </c>
      <c r="J28" s="118">
        <f t="array" ref="J28">_xlfn.IFNA(MATCH(1,(SHEET_NAME=SWITCH_TABLE[Remote Device 1])*(B28=SWITCH_TABLE[Remote Port 1]),0),"")</f>
        <v>30</v>
      </c>
    </row>
    <row r="29" spans="1:10">
      <c r="A29" s="121">
        <f t="shared" si="1"/>
        <v>13</v>
      </c>
      <c r="B29" s="116" t="str">
        <f t="shared" si="0"/>
        <v>twe1/0/13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t="str">
        <f t="shared" si="2"/>
        <v>TRUNK</v>
      </c>
      <c r="E29" s="51" cm="1">
        <f t="array" ref="E29">IF($J29&lt;&gt;"",INDEX(SWITCH_TABLE[#Data],$J29,MATCH("Remote EC",SWITCH_TABLE[#Headers],0)),"")</f>
        <v>13</v>
      </c>
      <c r="F29" s="46"/>
      <c r="G29" s="46" t="str" cm="1">
        <f t="array" ref="G29">IF($J29&lt;&gt;"",INDEX(SWITCH_TABLE[#Data],$J29,MATCH("Uplink 1 SFP",SWITCH_TABLE[#Headers],0)),"")</f>
        <v>1G SFP SX</v>
      </c>
      <c r="H29" s="46" t="str">
        <f>IF($J29&lt;&gt;"",INDEX(SWITCH_TABLE[#Data],$J29,MATCH("Device Name",SWITCH_TABLE[#Headers],0)) &amp; " " &amp; INDEX(SWITCH_TABLE[#Data],$J29,MATCH("Uplink Port 1",SWITCH_TABLE[#Headers],0)),"")</f>
        <v>FGHLHN23 gi1/1/1</v>
      </c>
      <c r="J29" s="118">
        <f t="array" ref="J29">_xlfn.IFNA(MATCH(1,(SHEET_NAME=SWITCH_TABLE[Remote Device 1])*(B29=SWITCH_TABLE[Remote Port 1]),0),"")</f>
        <v>32</v>
      </c>
    </row>
    <row r="30" spans="1:10">
      <c r="A30" s="121">
        <f t="shared" si="1"/>
        <v>14</v>
      </c>
      <c r="B30" s="116" t="str">
        <f t="shared" si="0"/>
        <v>twe1/0/14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t="str">
        <f t="shared" si="2"/>
        <v>TRUNK</v>
      </c>
      <c r="E30" s="51" cm="1">
        <f t="array" ref="E30">IF($J30&lt;&gt;"",INDEX(SWITCH_TABLE[#Data],$J30,MATCH("Remote EC",SWITCH_TABLE[#Headers],0)),"")</f>
        <v>14</v>
      </c>
      <c r="F30" s="46"/>
      <c r="G30" s="46" t="str" cm="1">
        <f t="array" ref="G30">IF($J30&lt;&gt;"",INDEX(SWITCH_TABLE[#Data],$J30,MATCH("Uplink 1 SFP",SWITCH_TABLE[#Headers],0)),"")</f>
        <v>1G SFP SX</v>
      </c>
      <c r="H30" s="46" t="str">
        <f>IF($J30&lt;&gt;"",INDEX(SWITCH_TABLE[#Data],$J30,MATCH("Device Name",SWITCH_TABLE[#Headers],0)) &amp; " " &amp; INDEX(SWITCH_TABLE[#Data],$J30,MATCH("Uplink Port 1",SWITCH_TABLE[#Headers],0)),"")</f>
        <v>FGHLHN24 gi1/1/1</v>
      </c>
      <c r="J30" s="118">
        <f t="array" ref="J30">_xlfn.IFNA(MATCH(1,(SHEET_NAME=SWITCH_TABLE[Remote Device 1])*(B30=SWITCH_TABLE[Remote Port 1]),0),"")</f>
        <v>33</v>
      </c>
    </row>
    <row r="31" spans="1:10">
      <c r="A31" s="121">
        <f t="shared" si="1"/>
        <v>15</v>
      </c>
      <c r="B31" s="116" t="str">
        <f t="shared" si="0"/>
        <v>twe1/0/15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t="str">
        <f t="shared" si="2"/>
        <v>TRUNK</v>
      </c>
      <c r="E31" s="51" cm="1">
        <f t="array" ref="E31">IF($J31&lt;&gt;"",INDEX(SWITCH_TABLE[#Data],$J31,MATCH("Remote EC",SWITCH_TABLE[#Headers],0)),"")</f>
        <v>15</v>
      </c>
      <c r="F31" s="46"/>
      <c r="G31" s="46" t="str" cm="1">
        <f t="array" ref="G31">IF($J31&lt;&gt;"",INDEX(SWITCH_TABLE[#Data],$J31,MATCH("Uplink 1 SFP",SWITCH_TABLE[#Headers],0)),"")</f>
        <v>1G SFP SX</v>
      </c>
      <c r="H31" s="46" t="str">
        <f>IF($J31&lt;&gt;"",INDEX(SWITCH_TABLE[#Data],$J31,MATCH("Device Name",SWITCH_TABLE[#Headers],0)) &amp; " " &amp; INDEX(SWITCH_TABLE[#Data],$J31,MATCH("Uplink Port 1",SWITCH_TABLE[#Headers],0)),"")</f>
        <v>FGHLHN25 gi1/1/1</v>
      </c>
      <c r="J31" s="118">
        <f t="array" ref="J31">_xlfn.IFNA(MATCH(1,(SHEET_NAME=SWITCH_TABLE[Remote Device 1])*(B31=SWITCH_TABLE[Remote Port 1]),0),"")</f>
        <v>34</v>
      </c>
    </row>
    <row r="32" spans="1:10">
      <c r="A32" s="121">
        <f t="shared" si="1"/>
        <v>16</v>
      </c>
      <c r="B32" s="116" t="str">
        <f t="shared" si="0"/>
        <v>twe1/0/16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t="str">
        <f t="shared" si="2"/>
        <v>TRUNK</v>
      </c>
      <c r="E32" s="51" cm="1">
        <f t="array" ref="E32">IF($J32&lt;&gt;"",INDEX(SWITCH_TABLE[#Data],$J32,MATCH("Remote EC",SWITCH_TABLE[#Headers],0)),"")</f>
        <v>16</v>
      </c>
      <c r="F32" s="46"/>
      <c r="G32" s="46" t="str" cm="1">
        <f t="array" ref="G32">IF($J32&lt;&gt;"",INDEX(SWITCH_TABLE[#Data],$J32,MATCH("Uplink 1 SFP",SWITCH_TABLE[#Headers],0)),"")</f>
        <v>1G SFP SX</v>
      </c>
      <c r="H32" s="46" t="str">
        <f>IF($J32&lt;&gt;"",INDEX(SWITCH_TABLE[#Data],$J32,MATCH("Device Name",SWITCH_TABLE[#Headers],0)) &amp; " " &amp; INDEX(SWITCH_TABLE[#Data],$J32,MATCH("Uplink Port 1",SWITCH_TABLE[#Headers],0)),"")</f>
        <v>FGHLHN26 gi1/1/1</v>
      </c>
      <c r="J32" s="118">
        <f t="array" ref="J32">_xlfn.IFNA(MATCH(1,(SHEET_NAME=SWITCH_TABLE[Remote Device 1])*(B32=SWITCH_TABLE[Remote Port 1]),0),"")</f>
        <v>35</v>
      </c>
    </row>
    <row r="33" spans="1:10">
      <c r="A33" s="121">
        <f t="shared" si="1"/>
        <v>17</v>
      </c>
      <c r="B33" s="116" t="str">
        <f t="shared" si="0"/>
        <v>twe1/0/17</v>
      </c>
      <c r="C33" s="122" t="s">
        <v>2608</v>
      </c>
      <c r="D33" s="81" t="s">
        <v>2075</v>
      </c>
      <c r="E33" s="51">
        <v>17</v>
      </c>
      <c r="F33" s="46"/>
      <c r="G33" s="81" t="s">
        <v>1884</v>
      </c>
      <c r="H33" s="81" t="s">
        <v>2986</v>
      </c>
      <c r="J33" s="118" t="str">
        <f t="array" ref="J33">_xlfn.IFNA(MATCH(1,(SHEET_NAME=SWITCH_TABLE[Remote Device 1])*(B33=SWITCH_TABLE[Remote Port 1]),0),"")</f>
        <v/>
      </c>
    </row>
    <row r="34" spans="1:10">
      <c r="A34" s="121">
        <f t="shared" si="1"/>
        <v>18</v>
      </c>
      <c r="B34" s="116" t="str">
        <f t="shared" si="0"/>
        <v>twe1/0/18</v>
      </c>
      <c r="C34" s="122" t="str" cm="1">
        <f t="array" ref="C34">_xlfn.IFS($B34="","",$B34=$B$71,"reserved",$B34=$B$72,"reserved",$B34=$G$11,"connect",$B34=$G$13,"connect",J34&lt;&gt;"","connect",1=1,"disabled")</f>
        <v>connect</v>
      </c>
      <c r="D34" s="46" t="str">
        <f t="shared" si="2"/>
        <v>TRUNK</v>
      </c>
      <c r="E34" s="51" cm="1">
        <f t="array" ref="E34">IF($J34&lt;&gt;"",INDEX(SWITCH_TABLE[#Data],$J34,MATCH("Remote EC",SWITCH_TABLE[#Headers],0)),"")</f>
        <v>18</v>
      </c>
      <c r="F34" s="46"/>
      <c r="G34" s="46" t="str" cm="1">
        <f t="array" ref="G34">IF($J34&lt;&gt;"",INDEX(SWITCH_TABLE[#Data],$J34,MATCH("Uplink 1 SFP",SWITCH_TABLE[#Headers],0)),"")</f>
        <v>1G SFP SX</v>
      </c>
      <c r="H34" s="46" t="str">
        <f>IF($J34&lt;&gt;"",INDEX(SWITCH_TABLE[#Data],$J34,MATCH("Device Name",SWITCH_TABLE[#Headers],0)) &amp; " " &amp; INDEX(SWITCH_TABLE[#Data],$J34,MATCH("Uplink Port 1",SWITCH_TABLE[#Headers],0)),"")</f>
        <v>FGHLHN28 gi1/1/1</v>
      </c>
      <c r="J34" s="118">
        <f t="array" ref="J34">_xlfn.IFNA(MATCH(1,(SHEET_NAME=SWITCH_TABLE[Remote Device 1])*(B34=SWITCH_TABLE[Remote Port 1]),0),"")</f>
        <v>36</v>
      </c>
    </row>
    <row r="35" spans="1:10">
      <c r="A35" s="121">
        <f t="shared" si="1"/>
        <v>19</v>
      </c>
      <c r="B35" s="116" t="str">
        <f t="shared" si="0"/>
        <v>twe1/0/19</v>
      </c>
      <c r="C35" s="122" t="str" cm="1">
        <f t="array" ref="C35">_xlfn.IFS($B35="","",$B35=$B$71,"reserved",$B35=$B$72,"reserved",$B35=$G$11,"connect",$B35=$G$13,"connect",J35&lt;&gt;"","connect",1=1,"disabled")</f>
        <v>connect</v>
      </c>
      <c r="D35" s="46" t="str">
        <f t="shared" si="2"/>
        <v>TRUNK</v>
      </c>
      <c r="E35" s="51" cm="1">
        <f t="array" ref="E35">IF($J35&lt;&gt;"",INDEX(SWITCH_TABLE[#Data],$J35,MATCH("Remote EC",SWITCH_TABLE[#Headers],0)),"")</f>
        <v>19</v>
      </c>
      <c r="F35" s="46"/>
      <c r="G35" s="46" t="str" cm="1">
        <f t="array" ref="G35">IF($J35&lt;&gt;"",INDEX(SWITCH_TABLE[#Data],$J35,MATCH("Uplink 1 SFP",SWITCH_TABLE[#Headers],0)),"")</f>
        <v>1G SFP SX</v>
      </c>
      <c r="H35" s="46" t="str">
        <f>IF($J35&lt;&gt;"",INDEX(SWITCH_TABLE[#Data],$J35,MATCH("Device Name",SWITCH_TABLE[#Headers],0)) &amp; " " &amp; INDEX(SWITCH_TABLE[#Data],$J35,MATCH("Uplink Port 1",SWITCH_TABLE[#Headers],0)),"")</f>
        <v>FGHLHN29 gi1/1/1</v>
      </c>
      <c r="J35" s="118">
        <f t="array" ref="J35">_xlfn.IFNA(MATCH(1,(SHEET_NAME=SWITCH_TABLE[Remote Device 1])*(B35=SWITCH_TABLE[Remote Port 1]),0),"")</f>
        <v>37</v>
      </c>
    </row>
    <row r="36" spans="1:10">
      <c r="A36" s="121">
        <f t="shared" si="1"/>
        <v>20</v>
      </c>
      <c r="B36" s="116" t="str">
        <f t="shared" si="0"/>
        <v>twe1/0/20</v>
      </c>
      <c r="C36" s="122" t="str" cm="1">
        <f t="array" ref="C36">_xlfn.IFS($B36="","",$B36=$B$71,"reserved",$B36=$B$72,"reserved",$B36=$G$11,"connect",$B36=$G$13,"connect",J36&lt;&gt;"","connect",1=1,"disabled")</f>
        <v>connect</v>
      </c>
      <c r="D36" s="46" t="str">
        <f t="shared" si="2"/>
        <v>TRUNK</v>
      </c>
      <c r="E36" s="51" cm="1">
        <f t="array" ref="E36">IF($J36&lt;&gt;"",INDEX(SWITCH_TABLE[#Data],$J36,MATCH("Remote EC",SWITCH_TABLE[#Headers],0)),"")</f>
        <v>20</v>
      </c>
      <c r="F36" s="46"/>
      <c r="G36" s="46" t="str" cm="1">
        <f t="array" ref="G36">IF($J36&lt;&gt;"",INDEX(SWITCH_TABLE[#Data],$J36,MATCH("Uplink 1 SFP",SWITCH_TABLE[#Headers],0)),"")</f>
        <v>1G SFP SX</v>
      </c>
      <c r="H36" s="46" t="str">
        <f>IF($J36&lt;&gt;"",INDEX(SWITCH_TABLE[#Data],$J36,MATCH("Device Name",SWITCH_TABLE[#Headers],0)) &amp; " " &amp; INDEX(SWITCH_TABLE[#Data],$J36,MATCH("Uplink Port 1",SWITCH_TABLE[#Headers],0)),"")</f>
        <v>FGHLHN30 gi1/1/1</v>
      </c>
      <c r="J36" s="118">
        <f t="array" ref="J36">_xlfn.IFNA(MATCH(1,(SHEET_NAME=SWITCH_TABLE[Remote Device 1])*(B36=SWITCH_TABLE[Remote Port 1]),0),"")</f>
        <v>38</v>
      </c>
    </row>
    <row r="37" spans="1:10">
      <c r="A37" s="121">
        <f t="shared" si="1"/>
        <v>21</v>
      </c>
      <c r="B37" s="116" t="str">
        <f t="shared" si="0"/>
        <v>twe1/0/21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t="str">
        <f t="shared" si="2"/>
        <v>TRUNK</v>
      </c>
      <c r="E37" s="51" cm="1">
        <f t="array" ref="E37">IF($J37&lt;&gt;"",INDEX(SWITCH_TABLE[#Data],$J37,MATCH("Remote EC",SWITCH_TABLE[#Headers],0)),"")</f>
        <v>21</v>
      </c>
      <c r="F37" s="46"/>
      <c r="G37" s="46" t="str" cm="1">
        <f t="array" ref="G37">IF($J37&lt;&gt;"",INDEX(SWITCH_TABLE[#Data],$J37,MATCH("Uplink 1 SFP",SWITCH_TABLE[#Headers],0)),"")</f>
        <v>1G SFP SX</v>
      </c>
      <c r="H37" s="46" t="str">
        <f>IF($J37&lt;&gt;"",INDEX(SWITCH_TABLE[#Data],$J37,MATCH("Device Name",SWITCH_TABLE[#Headers],0)) &amp; " " &amp; INDEX(SWITCH_TABLE[#Data],$J37,MATCH("Uplink Port 1",SWITCH_TABLE[#Headers],0)),"")</f>
        <v>FGHLHN31-1 gi1/1/1</v>
      </c>
      <c r="J37" s="118">
        <f t="array" ref="J37">_xlfn.IFNA(MATCH(1,(SHEET_NAME=SWITCH_TABLE[Remote Device 1])*(B37=SWITCH_TABLE[Remote Port 1]),0),"")</f>
        <v>39</v>
      </c>
    </row>
    <row r="38" spans="1:10">
      <c r="A38" s="121">
        <f t="shared" si="1"/>
        <v>22</v>
      </c>
      <c r="B38" s="116" t="str">
        <f t="shared" si="0"/>
        <v>twe1/0/22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>
        <f t="shared" si="2"/>
        <v>TRUNK</v>
      </c>
      <c r="E38" s="51" cm="1">
        <f t="array" ref="E38">IF($J38&lt;&gt;"",INDEX(SWITCH_TABLE[#Data],$J38,MATCH("Remote EC",SWITCH_TABLE[#Headers],0)),"")</f>
        <v>22</v>
      </c>
      <c r="F38" s="46"/>
      <c r="G38" s="46" t="str" cm="1">
        <f t="array" ref="G38">IF($J38&lt;&gt;"",INDEX(SWITCH_TABLE[#Data],$J38,MATCH("Uplink 1 SFP",SWITCH_TABLE[#Headers],0)),"")</f>
        <v>1G SFP SX</v>
      </c>
      <c r="H38" s="46" t="str">
        <f>IF($J38&lt;&gt;"",INDEX(SWITCH_TABLE[#Data],$J38,MATCH("Device Name",SWITCH_TABLE[#Headers],0)) &amp; " " &amp; INDEX(SWITCH_TABLE[#Data],$J38,MATCH("Uplink Port 1",SWITCH_TABLE[#Headers],0)),"")</f>
        <v>FGHLHN32 gi1/1/1</v>
      </c>
      <c r="J38" s="118">
        <f t="array" ref="J38">_xlfn.IFNA(MATCH(1,(SHEET_NAME=SWITCH_TABLE[Remote Device 1])*(B38=SWITCH_TABLE[Remote Port 1]),0),"")</f>
        <v>43</v>
      </c>
    </row>
    <row r="39" spans="1:10">
      <c r="A39" s="121">
        <f t="shared" si="1"/>
        <v>23</v>
      </c>
      <c r="B39" s="116" t="str">
        <f t="shared" si="0"/>
        <v>twe1/0/23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>
        <f t="shared" si="2"/>
        <v>TRUNK</v>
      </c>
      <c r="E39" s="51" cm="1">
        <f t="array" ref="E39">IF($J39&lt;&gt;"",INDEX(SWITCH_TABLE[#Data],$J39,MATCH("Remote EC",SWITCH_TABLE[#Headers],0)),"")</f>
        <v>23</v>
      </c>
      <c r="F39" s="46"/>
      <c r="G39" s="46" t="str" cm="1">
        <f t="array" ref="G39">IF($J39&lt;&gt;"",INDEX(SWITCH_TABLE[#Data],$J39,MATCH("Uplink 1 SFP",SWITCH_TABLE[#Headers],0)),"")</f>
        <v>1G SFP SX</v>
      </c>
      <c r="H39" s="46" t="str">
        <f>IF($J39&lt;&gt;"",INDEX(SWITCH_TABLE[#Data],$J39,MATCH("Device Name",SWITCH_TABLE[#Headers],0)) &amp; " " &amp; INDEX(SWITCH_TABLE[#Data],$J39,MATCH("Uplink Port 1",SWITCH_TABLE[#Headers],0)),"")</f>
        <v>FGHLHN33 gi1/1/1</v>
      </c>
      <c r="J39" s="118">
        <f t="array" ref="J39">_xlfn.IFNA(MATCH(1,(SHEET_NAME=SWITCH_TABLE[Remote Device 1])*(B39=SWITCH_TABLE[Remote Port 1]),0),"")</f>
        <v>44</v>
      </c>
    </row>
    <row r="40" spans="1:10">
      <c r="A40" s="121">
        <f t="shared" si="1"/>
        <v>24</v>
      </c>
      <c r="B40" s="116" t="str">
        <f t="shared" si="0"/>
        <v>twe1/0/24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>
        <f t="shared" si="2"/>
        <v/>
      </c>
      <c r="E40" s="51" t="str" cm="1">
        <f t="array" ref="E40">IF($J40&lt;&gt;"",INDEX(SWITCH_TABLE[#Data],$J40,MATCH("Remote EC",SWITCH_TABLE[#Headers],0)),"")</f>
        <v/>
      </c>
      <c r="F40" s="46"/>
      <c r="G40" s="46" t="str" cm="1">
        <f t="array" ref="G40">IF($J40&lt;&gt;"",INDEX(SWITCH_TABLE[#Data],$J40,MATCH("Uplink 1 SFP",SWITCH_TABLE[#Headers],0)),"")</f>
        <v/>
      </c>
      <c r="H40" s="46" t="str">
        <f>IF($J40&lt;&gt;"",INDEX(SWITCH_TABLE[#Data],$J40,MATCH("Device Name",SWITCH_TABLE[#Headers],0)) &amp; " " &amp; INDEX(SWITCH_TABLE[#Data],$J40,MATCH("Uplink Port 1",SWITCH_TABLE[#Headers],0)),"")</f>
        <v/>
      </c>
      <c r="J40" s="118" t="str">
        <f t="array" ref="J40">_xlfn.IFNA(MATCH(1,(SHEET_NAME=SWITCH_TABLE[Remote Device 1])*(B40=SWITCH_TABLE[Remote Port 1]),0),"")</f>
        <v/>
      </c>
    </row>
    <row r="41" spans="1:10">
      <c r="A41" s="121">
        <f t="shared" si="1"/>
        <v>25</v>
      </c>
      <c r="B41" s="116" t="str">
        <f t="shared" si="0"/>
        <v>twe1/0/25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>
        <f t="shared" si="2"/>
        <v/>
      </c>
      <c r="E41" s="51" t="str" cm="1">
        <f t="array" ref="E41">IF($J41&lt;&gt;"",INDEX(SWITCH_TABLE[#Data],$J41,MATCH("Remote EC",SWITCH_TABLE[#Headers],0)),"")</f>
        <v/>
      </c>
      <c r="F41" s="46"/>
      <c r="G41" s="46" t="str" cm="1">
        <f t="array" ref="G41">IF($J41&lt;&gt;"",INDEX(SWITCH_TABLE[#Data],$J41,MATCH("Uplink 1 SFP",SWITCH_TABLE[#Headers],0)),"")</f>
        <v/>
      </c>
      <c r="H41" s="46" t="str">
        <f>IF($J41&lt;&gt;"",INDEX(SWITCH_TABLE[#Data],$J41,MATCH("Device Name",SWITCH_TABLE[#Headers],0)) &amp; " " &amp; INDEX(SWITCH_TABLE[#Data],$J41,MATCH("Uplink Port 1",SWITCH_TABLE[#Headers],0)),"")</f>
        <v/>
      </c>
      <c r="J41" s="118" t="str">
        <f t="array" ref="J41">_xlfn.IFNA(MATCH(1,(SHEET_NAME=SWITCH_TABLE[Remote Device 1])*(B41=SWITCH_TABLE[Remote Port 1]),0),"")</f>
        <v/>
      </c>
    </row>
    <row r="42" spans="1:10">
      <c r="A42" s="121">
        <f t="shared" si="1"/>
        <v>26</v>
      </c>
      <c r="B42" s="116" t="str">
        <f t="shared" si="0"/>
        <v>twe1/0/26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>
        <f t="shared" si="2"/>
        <v/>
      </c>
      <c r="E42" s="51" t="str" cm="1">
        <f t="array" ref="E42">IF($J42&lt;&gt;"",INDEX(SWITCH_TABLE[#Data],$J42,MATCH("Remote EC",SWITCH_TABLE[#Headers],0)),"")</f>
        <v/>
      </c>
      <c r="F42" s="46"/>
      <c r="G42" s="46" t="str" cm="1">
        <f t="array" ref="G42">IF($J42&lt;&gt;"",INDEX(SWITCH_TABLE[#Data],$J42,MATCH("Uplink 1 SFP",SWITCH_TABLE[#Headers],0)),"")</f>
        <v/>
      </c>
      <c r="H42" s="46" t="str">
        <f>IF($J42&lt;&gt;"",INDEX(SWITCH_TABLE[#Data],$J42,MATCH("Device Name",SWITCH_TABLE[#Headers],0)) &amp; " " &amp; INDEX(SWITCH_TABLE[#Data],$J42,MATCH("Uplink Port 1",SWITCH_TABLE[#Headers],0)),"")</f>
        <v/>
      </c>
      <c r="J42" s="118" t="str">
        <f t="array" ref="J42">_xlfn.IFNA(MATCH(1,(SHEET_NAME=SWITCH_TABLE[Remote Device 1])*(B42=SWITCH_TABLE[Remote Port 1]),0),"")</f>
        <v/>
      </c>
    </row>
    <row r="43" spans="1:10">
      <c r="A43" s="121">
        <f t="shared" si="1"/>
        <v>27</v>
      </c>
      <c r="B43" s="116" t="str">
        <f t="shared" si="0"/>
        <v>twe1/0/27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>
        <f t="shared" si="2"/>
        <v/>
      </c>
      <c r="E43" s="51" t="str" cm="1">
        <f t="array" ref="E43">IF($J43&lt;&gt;"",INDEX(SWITCH_TABLE[#Data],$J43,MATCH("Remote EC",SWITCH_TABLE[#Headers],0)),"")</f>
        <v/>
      </c>
      <c r="F43" s="46"/>
      <c r="G43" s="46" t="str" cm="1">
        <f t="array" ref="G43">IF($J43&lt;&gt;"",INDEX(SWITCH_TABLE[#Data],$J43,MATCH("Uplink 1 SFP",SWITCH_TABLE[#Headers],0)),"")</f>
        <v/>
      </c>
      <c r="H43" s="46" t="str">
        <f>IF($J43&lt;&gt;"",INDEX(SWITCH_TABLE[#Data],$J43,MATCH("Device Name",SWITCH_TABLE[#Headers],0)) &amp; " " &amp; INDEX(SWITCH_TABLE[#Data],$J43,MATCH("Uplink Port 1",SWITCH_TABLE[#Headers],0)),"")</f>
        <v/>
      </c>
      <c r="J43" s="118" t="str">
        <f t="array" ref="J43">_xlfn.IFNA(MATCH(1,(SHEET_NAME=SWITCH_TABLE[Remote Device 1])*(B43=SWITCH_TABLE[Remote Port 1]),0),"")</f>
        <v/>
      </c>
    </row>
    <row r="44" spans="1:10">
      <c r="A44" s="121">
        <f t="shared" si="1"/>
        <v>28</v>
      </c>
      <c r="B44" s="116" t="str">
        <f t="shared" si="0"/>
        <v>twe1/0/28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>
        <f t="shared" si="2"/>
        <v/>
      </c>
      <c r="E44" s="51" t="str" cm="1">
        <f t="array" ref="E44">IF($J44&lt;&gt;"",INDEX(SWITCH_TABLE[#Data],$J44,MATCH("Remote EC",SWITCH_TABLE[#Headers],0)),"")</f>
        <v/>
      </c>
      <c r="F44" s="46"/>
      <c r="G44" s="46" t="str" cm="1">
        <f t="array" ref="G44">IF($J44&lt;&gt;"",INDEX(SWITCH_TABLE[#Data],$J44,MATCH("Uplink 1 SFP",SWITCH_TABLE[#Headers],0)),"")</f>
        <v/>
      </c>
      <c r="H44" s="46" t="str">
        <f>IF($J44&lt;&gt;"",INDEX(SWITCH_TABLE[#Data],$J44,MATCH("Device Name",SWITCH_TABLE[#Headers],0)) &amp; " " &amp; INDEX(SWITCH_TABLE[#Data],$J44,MATCH("Uplink Port 1",SWITCH_TABLE[#Headers],0)),"")</f>
        <v/>
      </c>
      <c r="J44" s="118" t="str">
        <f t="array" ref="J44">_xlfn.IFNA(MATCH(1,(SHEET_NAME=SWITCH_TABLE[Remote Device 1])*(B44=SWITCH_TABLE[Remote Port 1]),0),"")</f>
        <v/>
      </c>
    </row>
    <row r="45" spans="1:10">
      <c r="A45" s="121">
        <f t="shared" si="1"/>
        <v>29</v>
      </c>
      <c r="B45" s="116" t="str">
        <f t="shared" si="0"/>
        <v>twe1/0/29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>
        <f t="shared" si="2"/>
        <v/>
      </c>
      <c r="E45" s="51" t="str" cm="1">
        <f t="array" ref="E45">IF($J45&lt;&gt;"",INDEX(SWITCH_TABLE[#Data],$J45,MATCH("Remote EC",SWITCH_TABLE[#Headers],0)),"")</f>
        <v/>
      </c>
      <c r="F45" s="46"/>
      <c r="G45" s="46" t="str" cm="1">
        <f t="array" ref="G45">IF($J45&lt;&gt;"",INDEX(SWITCH_TABLE[#Data],$J45,MATCH("Uplink 1 SFP",SWITCH_TABLE[#Headers],0)),"")</f>
        <v/>
      </c>
      <c r="H45" s="46" t="str">
        <f>IF($J45&lt;&gt;"",INDEX(SWITCH_TABLE[#Data],$J45,MATCH("Device Name",SWITCH_TABLE[#Headers],0)) &amp; " " &amp; INDEX(SWITCH_TABLE[#Data],$J45,MATCH("Uplink Port 1",SWITCH_TABLE[#Headers],0)),"")</f>
        <v/>
      </c>
      <c r="J45" s="118" t="str">
        <f t="array" ref="J45">_xlfn.IFNA(MATCH(1,(SHEET_NAME=SWITCH_TABLE[Remote Device 1])*(B45=SWITCH_TABLE[Remote Port 1]),0),"")</f>
        <v/>
      </c>
    </row>
    <row r="46" spans="1:10">
      <c r="A46" s="121">
        <f t="shared" si="1"/>
        <v>30</v>
      </c>
      <c r="B46" s="116" t="str">
        <f t="shared" si="0"/>
        <v>twe1/0/30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>
        <f t="shared" si="2"/>
        <v/>
      </c>
      <c r="E46" s="51" t="str" cm="1">
        <f t="array" ref="E46">IF($J46&lt;&gt;"",INDEX(SWITCH_TABLE[#Data],$J46,MATCH("Remote EC",SWITCH_TABLE[#Headers],0)),"")</f>
        <v/>
      </c>
      <c r="F46" s="46"/>
      <c r="G46" s="46" t="str" cm="1">
        <f t="array" ref="G46">IF($J46&lt;&gt;"",INDEX(SWITCH_TABLE[#Data],$J46,MATCH("Uplink 1 SFP",SWITCH_TABLE[#Headers],0)),"")</f>
        <v/>
      </c>
      <c r="H46" s="46" t="str">
        <f>IF($J46&lt;&gt;"",INDEX(SWITCH_TABLE[#Data],$J46,MATCH("Device Name",SWITCH_TABLE[#Headers],0)) &amp; " " &amp; INDEX(SWITCH_TABLE[#Data],$J46,MATCH("Uplink Port 1",SWITCH_TABLE[#Headers],0)),"")</f>
        <v/>
      </c>
      <c r="J46" s="118" t="str">
        <f t="array" ref="J46">_xlfn.IFNA(MATCH(1,(SHEET_NAME=SWITCH_TABLE[Remote Device 1])*(B46=SWITCH_TABLE[Remote Port 1]),0),"")</f>
        <v/>
      </c>
    </row>
    <row r="47" spans="1:10">
      <c r="A47" s="121">
        <f t="shared" si="1"/>
        <v>31</v>
      </c>
      <c r="B47" s="116" t="str">
        <f t="shared" si="0"/>
        <v>twe1/0/31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>
        <f t="shared" si="2"/>
        <v/>
      </c>
      <c r="E47" s="51" t="str" cm="1">
        <f t="array" ref="E47">IF($J47&lt;&gt;"",INDEX(SWITCH_TABLE[#Data],$J47,MATCH("Remote EC",SWITCH_TABLE[#Headers],0)),"")</f>
        <v/>
      </c>
      <c r="F47" s="46"/>
      <c r="G47" s="46" t="str" cm="1">
        <f t="array" ref="G47">IF($J47&lt;&gt;"",INDEX(SWITCH_TABLE[#Data],$J47,MATCH("Uplink 1 SFP",SWITCH_TABLE[#Headers],0)),"")</f>
        <v/>
      </c>
      <c r="H47" s="46" t="str">
        <f>IF($J47&lt;&gt;"",INDEX(SWITCH_TABLE[#Data],$J47,MATCH("Device Name",SWITCH_TABLE[#Headers],0)) &amp; " " &amp; INDEX(SWITCH_TABLE[#Data],$J47,MATCH("Uplink Port 1",SWITCH_TABLE[#Headers],0)),"")</f>
        <v/>
      </c>
      <c r="J47" s="118" t="str">
        <f t="array" ref="J47">_xlfn.IFNA(MATCH(1,(SHEET_NAME=SWITCH_TABLE[Remote Device 1])*(B47=SWITCH_TABLE[Remote Port 1]),0),"")</f>
        <v/>
      </c>
    </row>
    <row r="48" spans="1:10">
      <c r="A48" s="121">
        <f t="shared" si="1"/>
        <v>32</v>
      </c>
      <c r="B48" s="116" t="str">
        <f t="shared" si="0"/>
        <v>twe1/0/32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>
        <f t="shared" si="2"/>
        <v/>
      </c>
      <c r="E48" s="51" t="str" cm="1">
        <f t="array" ref="E48">IF($J48&lt;&gt;"",INDEX(SWITCH_TABLE[#Data],$J48,MATCH("Remote EC",SWITCH_TABLE[#Headers],0)),"")</f>
        <v/>
      </c>
      <c r="F48" s="46"/>
      <c r="G48" s="46" t="str" cm="1">
        <f t="array" ref="G48">IF($J48&lt;&gt;"",INDEX(SWITCH_TABLE[#Data],$J48,MATCH("Uplink 1 SFP",SWITCH_TABLE[#Headers],0)),"")</f>
        <v/>
      </c>
      <c r="H48" s="46" t="str">
        <f>IF($J48&lt;&gt;"",INDEX(SWITCH_TABLE[#Data],$J48,MATCH("Device Name",SWITCH_TABLE[#Headers],0)) &amp; " " &amp; INDEX(SWITCH_TABLE[#Data],$J48,MATCH("Uplink Port 1",SWITCH_TABLE[#Headers],0)),"")</f>
        <v/>
      </c>
      <c r="J48" s="118" t="str">
        <f t="array" ref="J48">_xlfn.IFNA(MATCH(1,(SHEET_NAME=SWITCH_TABLE[Remote Device 1])*(B48=SWITCH_TABLE[Remote Port 1]),0),"")</f>
        <v/>
      </c>
    </row>
    <row r="49" spans="1:10">
      <c r="A49" s="121">
        <f t="shared" si="1"/>
        <v>33</v>
      </c>
      <c r="B49" s="116" t="str">
        <f t="shared" si="0"/>
        <v>twe1/0/33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>
        <f t="shared" si="2"/>
        <v/>
      </c>
      <c r="E49" s="51" t="str" cm="1">
        <f t="array" ref="E49">IF($J49&lt;&gt;"",INDEX(SWITCH_TABLE[#Data],$J49,MATCH("Remote EC",SWITCH_TABLE[#Headers],0)),"")</f>
        <v/>
      </c>
      <c r="F49" s="46"/>
      <c r="G49" s="46" t="str" cm="1">
        <f t="array" ref="G49">IF($J49&lt;&gt;"",INDEX(SWITCH_TABLE[#Data],$J49,MATCH("Uplink 1 SFP",SWITCH_TABLE[#Headers],0)),"")</f>
        <v/>
      </c>
      <c r="H49" s="46" t="str">
        <f>IF($J49&lt;&gt;"",INDEX(SWITCH_TABLE[#Data],$J49,MATCH("Device Name",SWITCH_TABLE[#Headers],0)) &amp; " " &amp; INDEX(SWITCH_TABLE[#Data],$J49,MATCH("Uplink Port 1",SWITCH_TABLE[#Headers],0)),"")</f>
        <v/>
      </c>
      <c r="J49" s="118" t="str">
        <f t="array" ref="J49">_xlfn.IFNA(MATCH(1,(SHEET_NAME=SWITCH_TABLE[Remote Device 1])*(B49=SWITCH_TABLE[Remote Port 1]),0),"")</f>
        <v/>
      </c>
    </row>
    <row r="50" spans="1:10">
      <c r="A50" s="121">
        <f t="shared" si="1"/>
        <v>34</v>
      </c>
      <c r="B50" s="116" t="str">
        <f t="shared" si="0"/>
        <v>twe1/0/34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>
        <f t="shared" si="2"/>
        <v/>
      </c>
      <c r="E50" s="51" t="str" cm="1">
        <f t="array" ref="E50">IF($J50&lt;&gt;"",INDEX(SWITCH_TABLE[#Data],$J50,MATCH("Remote EC",SWITCH_TABLE[#Headers],0)),"")</f>
        <v/>
      </c>
      <c r="F50" s="46"/>
      <c r="G50" s="46" t="str" cm="1">
        <f t="array" ref="G50">IF($J50&lt;&gt;"",INDEX(SWITCH_TABLE[#Data],$J50,MATCH("Uplink 1 SFP",SWITCH_TABLE[#Headers],0)),"")</f>
        <v/>
      </c>
      <c r="H50" s="46" t="str">
        <f>IF($J50&lt;&gt;"",INDEX(SWITCH_TABLE[#Data],$J50,MATCH("Device Name",SWITCH_TABLE[#Headers],0)) &amp; " " &amp; INDEX(SWITCH_TABLE[#Data],$J50,MATCH("Uplink Port 1",SWITCH_TABLE[#Headers],0)),"")</f>
        <v/>
      </c>
      <c r="J50" s="118" t="str">
        <f t="array" ref="J50">_xlfn.IFNA(MATCH(1,(SHEET_NAME=SWITCH_TABLE[Remote Device 1])*(B50=SWITCH_TABLE[Remote Port 1]),0),"")</f>
        <v/>
      </c>
    </row>
    <row r="51" spans="1:10">
      <c r="A51" s="121">
        <f t="shared" si="1"/>
        <v>35</v>
      </c>
      <c r="B51" s="116" t="str">
        <f t="shared" si="0"/>
        <v>twe1/0/35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>
        <f t="shared" si="2"/>
        <v/>
      </c>
      <c r="E51" s="51" t="str" cm="1">
        <f t="array" ref="E51">IF($J51&lt;&gt;"",INDEX(SWITCH_TABLE[#Data],$J51,MATCH("Remote EC",SWITCH_TABLE[#Headers],0)),"")</f>
        <v/>
      </c>
      <c r="F51" s="46"/>
      <c r="G51" s="46" t="str" cm="1">
        <f t="array" ref="G51">IF($J51&lt;&gt;"",INDEX(SWITCH_TABLE[#Data],$J51,MATCH("Uplink 1 SFP",SWITCH_TABLE[#Headers],0)),"")</f>
        <v/>
      </c>
      <c r="H51" s="46" t="str">
        <f>IF($J51&lt;&gt;"",INDEX(SWITCH_TABLE[#Data],$J51,MATCH("Device Name",SWITCH_TABLE[#Headers],0)) &amp; " " &amp; INDEX(SWITCH_TABLE[#Data],$J51,MATCH("Uplink Port 1",SWITCH_TABLE[#Headers],0)),"")</f>
        <v/>
      </c>
      <c r="J51" s="118" t="str">
        <f t="array" ref="J51">_xlfn.IFNA(MATCH(1,(SHEET_NAME=SWITCH_TABLE[Remote Device 1])*(B51=SWITCH_TABLE[Remote Port 1]),0),"")</f>
        <v/>
      </c>
    </row>
    <row r="52" spans="1:10">
      <c r="A52" s="121">
        <f t="shared" si="1"/>
        <v>36</v>
      </c>
      <c r="B52" s="116" t="str">
        <f t="shared" si="0"/>
        <v>twe1/0/36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>
        <f t="shared" si="2"/>
        <v/>
      </c>
      <c r="E52" s="51" t="str" cm="1">
        <f t="array" ref="E52">IF($J52&lt;&gt;"",INDEX(SWITCH_TABLE[#Data],$J52,MATCH("Remote EC",SWITCH_TABLE[#Headers],0)),"")</f>
        <v/>
      </c>
      <c r="F52" s="46"/>
      <c r="G52" s="46" t="str" cm="1">
        <f t="array" ref="G52">IF($J52&lt;&gt;"",INDEX(SWITCH_TABLE[#Data],$J52,MATCH("Uplink 1 SFP",SWITCH_TABLE[#Headers],0)),"")</f>
        <v/>
      </c>
      <c r="H52" s="46" t="str">
        <f>IF($J52&lt;&gt;"",INDEX(SWITCH_TABLE[#Data],$J52,MATCH("Device Name",SWITCH_TABLE[#Headers],0)) &amp; " " &amp; INDEX(SWITCH_TABLE[#Data],$J52,MATCH("Uplink Port 1",SWITCH_TABLE[#Headers],0)),"")</f>
        <v/>
      </c>
      <c r="J52" s="118" t="str">
        <f t="array" ref="J52">_xlfn.IFNA(MATCH(1,(SHEET_NAME=SWITCH_TABLE[Remote Device 1])*(B52=SWITCH_TABLE[Remote Port 1]),0),"")</f>
        <v/>
      </c>
    </row>
    <row r="53" spans="1:10">
      <c r="A53" s="121">
        <f t="shared" si="1"/>
        <v>37</v>
      </c>
      <c r="B53" s="116" t="str">
        <f t="shared" si="0"/>
        <v>twe1/0/37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>
        <f t="shared" si="2"/>
        <v/>
      </c>
      <c r="E53" s="51" t="str" cm="1">
        <f t="array" ref="E53">IF($J53&lt;&gt;"",INDEX(SWITCH_TABLE[#Data],$J53,MATCH("Remote EC",SWITCH_TABLE[#Headers],0)),"")</f>
        <v/>
      </c>
      <c r="F53" s="46"/>
      <c r="G53" s="46" t="str" cm="1">
        <f t="array" ref="G53">IF($J53&lt;&gt;"",INDEX(SWITCH_TABLE[#Data],$J53,MATCH("Uplink 1 SFP",SWITCH_TABLE[#Headers],0)),"")</f>
        <v/>
      </c>
      <c r="H53" s="46" t="str">
        <f>IF($J53&lt;&gt;"",INDEX(SWITCH_TABLE[#Data],$J53,MATCH("Device Name",SWITCH_TABLE[#Headers],0)) &amp; " " &amp; INDEX(SWITCH_TABLE[#Data],$J53,MATCH("Uplink Port 1",SWITCH_TABLE[#Headers],0)),"")</f>
        <v/>
      </c>
      <c r="J53" s="118" t="str">
        <f t="array" ref="J53">_xlfn.IFNA(MATCH(1,(SHEET_NAME=SWITCH_TABLE[Remote Device 1])*(B53=SWITCH_TABLE[Remote Port 1]),0),"")</f>
        <v/>
      </c>
    </row>
    <row r="54" spans="1:10">
      <c r="A54" s="121">
        <f t="shared" si="1"/>
        <v>38</v>
      </c>
      <c r="B54" s="116" t="str">
        <f t="shared" si="0"/>
        <v>twe1/0/38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>
        <f t="shared" si="2"/>
        <v/>
      </c>
      <c r="E54" s="51" t="str" cm="1">
        <f t="array" ref="E54">IF($J54&lt;&gt;"",INDEX(SWITCH_TABLE[#Data],$J54,MATCH("Remote EC",SWITCH_TABLE[#Headers],0)),"")</f>
        <v/>
      </c>
      <c r="F54" s="46"/>
      <c r="G54" s="46" t="str" cm="1">
        <f t="array" ref="G54">IF($J54&lt;&gt;"",INDEX(SWITCH_TABLE[#Data],$J54,MATCH("Uplink 1 SFP",SWITCH_TABLE[#Headers],0)),"")</f>
        <v/>
      </c>
      <c r="H54" s="46" t="str">
        <f>IF($J54&lt;&gt;"",INDEX(SWITCH_TABLE[#Data],$J54,MATCH("Device Name",SWITCH_TABLE[#Headers],0)) &amp; " " &amp; INDEX(SWITCH_TABLE[#Data],$J54,MATCH("Uplink Port 1",SWITCH_TABLE[#Headers],0)),"")</f>
        <v/>
      </c>
      <c r="J54" s="118" t="str">
        <f t="array" ref="J54">_xlfn.IFNA(MATCH(1,(SHEET_NAME=SWITCH_TABLE[Remote Device 1])*(B54=SWITCH_TABLE[Remote Port 1]),0),"")</f>
        <v/>
      </c>
    </row>
    <row r="55" spans="1:10">
      <c r="A55" s="121">
        <f t="shared" si="1"/>
        <v>39</v>
      </c>
      <c r="B55" s="116" t="str">
        <f t="shared" si="0"/>
        <v>twe1/0/39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>
        <f t="shared" si="2"/>
        <v/>
      </c>
      <c r="E55" s="51" t="str" cm="1">
        <f t="array" ref="E55">IF($J55&lt;&gt;"",INDEX(SWITCH_TABLE[#Data],$J55,MATCH("Remote EC",SWITCH_TABLE[#Headers],0)),"")</f>
        <v/>
      </c>
      <c r="F55" s="46"/>
      <c r="G55" s="46" t="str" cm="1">
        <f t="array" ref="G55">IF($J55&lt;&gt;"",INDEX(SWITCH_TABLE[#Data],$J55,MATCH("Uplink 1 SFP",SWITCH_TABLE[#Headers],0)),"")</f>
        <v/>
      </c>
      <c r="H55" s="46" t="str">
        <f>IF($J55&lt;&gt;"",INDEX(SWITCH_TABLE[#Data],$J55,MATCH("Device Name",SWITCH_TABLE[#Headers],0)) &amp; " " &amp; INDEX(SWITCH_TABLE[#Data],$J55,MATCH("Uplink Port 1",SWITCH_TABLE[#Headers],0)),"")</f>
        <v/>
      </c>
      <c r="J55" s="118" t="str">
        <f t="array" ref="J55">_xlfn.IFNA(MATCH(1,(SHEET_NAME=SWITCH_TABLE[Remote Device 1])*(B55=SWITCH_TABLE[Remote Port 1]),0),"")</f>
        <v/>
      </c>
    </row>
    <row r="56" spans="1:10">
      <c r="A56" s="121">
        <f t="shared" si="1"/>
        <v>40</v>
      </c>
      <c r="B56" s="116" t="str">
        <f t="shared" si="0"/>
        <v>twe1/0/40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46" t="str">
        <f t="shared" si="2"/>
        <v/>
      </c>
      <c r="E56" s="51" t="str" cm="1">
        <f t="array" ref="E56">IF($J56&lt;&gt;"",INDEX(SWITCH_TABLE[#Data],$J56,MATCH("Remote EC",SWITCH_TABLE[#Headers],0)),"")</f>
        <v/>
      </c>
      <c r="F56" s="46"/>
      <c r="G56" s="46" t="str" cm="1">
        <f t="array" ref="G56">IF($J56&lt;&gt;"",INDEX(SWITCH_TABLE[#Data],$J56,MATCH("Uplink 1 SFP",SWITCH_TABLE[#Headers],0)),"")</f>
        <v/>
      </c>
      <c r="H56" s="46" t="str">
        <f>IF($J56&lt;&gt;"",INDEX(SWITCH_TABLE[#Data],$J56,MATCH("Device Name",SWITCH_TABLE[#Headers],0)) &amp; " " &amp; INDEX(SWITCH_TABLE[#Data],$J56,MATCH("Uplink Port 1",SWITCH_TABLE[#Headers],0)),"")</f>
        <v/>
      </c>
      <c r="J56" s="118" t="str">
        <f t="array" ref="J56">_xlfn.IFNA(MATCH(1,(SHEET_NAME=SWITCH_TABLE[Remote Device 1])*(B56=SWITCH_TABLE[Remote Port 1]),0),"")</f>
        <v/>
      </c>
    </row>
    <row r="57" spans="1:10">
      <c r="A57" s="121">
        <f t="shared" si="1"/>
        <v>41</v>
      </c>
      <c r="B57" s="116" t="str">
        <f t="shared" si="0"/>
        <v>twe1/0/41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46" t="str">
        <f t="shared" si="2"/>
        <v/>
      </c>
      <c r="E57" s="51" t="str" cm="1">
        <f t="array" ref="E57">IF($J57&lt;&gt;"",INDEX(SWITCH_TABLE[#Data],$J57,MATCH("Remote EC",SWITCH_TABLE[#Headers],0)),"")</f>
        <v/>
      </c>
      <c r="F57" s="46"/>
      <c r="G57" s="46" t="str" cm="1">
        <f t="array" ref="G57">IF($J57&lt;&gt;"",INDEX(SWITCH_TABLE[#Data],$J57,MATCH("Uplink 1 SFP",SWITCH_TABLE[#Headers],0)),"")</f>
        <v/>
      </c>
      <c r="H57" s="46" t="str">
        <f>IF($J57&lt;&gt;"",INDEX(SWITCH_TABLE[#Data],$J57,MATCH("Device Name",SWITCH_TABLE[#Headers],0)) &amp; " " &amp; INDEX(SWITCH_TABLE[#Data],$J57,MATCH("Uplink Port 1",SWITCH_TABLE[#Headers],0)),"")</f>
        <v/>
      </c>
      <c r="J57" s="118" t="str">
        <f t="array" ref="J57">_xlfn.IFNA(MATCH(1,(SHEET_NAME=SWITCH_TABLE[Remote Device 1])*(B57=SWITCH_TABLE[Remote Port 1]),0),"")</f>
        <v/>
      </c>
    </row>
    <row r="58" spans="1:10">
      <c r="A58" s="121">
        <f t="shared" si="1"/>
        <v>42</v>
      </c>
      <c r="B58" s="116" t="str">
        <f t="shared" si="0"/>
        <v>twe1/0/42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46" t="str">
        <f t="shared" si="2"/>
        <v/>
      </c>
      <c r="E58" s="51" t="str" cm="1">
        <f t="array" ref="E58">IF($J58&lt;&gt;"",INDEX(SWITCH_TABLE[#Data],$J58,MATCH("Remote EC",SWITCH_TABLE[#Headers],0)),"")</f>
        <v/>
      </c>
      <c r="F58" s="46"/>
      <c r="G58" s="46" t="str" cm="1">
        <f t="array" ref="G58">IF($J58&lt;&gt;"",INDEX(SWITCH_TABLE[#Data],$J58,MATCH("Uplink 1 SFP",SWITCH_TABLE[#Headers],0)),"")</f>
        <v/>
      </c>
      <c r="H58" s="46" t="str">
        <f>IF($J58&lt;&gt;"",INDEX(SWITCH_TABLE[#Data],$J58,MATCH("Device Name",SWITCH_TABLE[#Headers],0)) &amp; " " &amp; INDEX(SWITCH_TABLE[#Data],$J58,MATCH("Uplink Port 1",SWITCH_TABLE[#Headers],0)),"")</f>
        <v/>
      </c>
      <c r="J58" s="118" t="str">
        <f t="array" ref="J58">_xlfn.IFNA(MATCH(1,(SHEET_NAME=SWITCH_TABLE[Remote Device 1])*(B58=SWITCH_TABLE[Remote Port 1]),0),"")</f>
        <v/>
      </c>
    </row>
    <row r="59" spans="1:10">
      <c r="A59" s="121">
        <f t="shared" si="1"/>
        <v>43</v>
      </c>
      <c r="B59" s="116" t="str">
        <f t="shared" si="0"/>
        <v>twe1/0/43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46" t="str">
        <f t="shared" si="2"/>
        <v/>
      </c>
      <c r="E59" s="51" t="str" cm="1">
        <f t="array" ref="E59">IF($J59&lt;&gt;"",INDEX(SWITCH_TABLE[#Data],$J59,MATCH("Remote EC",SWITCH_TABLE[#Headers],0)),"")</f>
        <v/>
      </c>
      <c r="F59" s="46"/>
      <c r="G59" s="46" t="str" cm="1">
        <f t="array" ref="G59">IF($J59&lt;&gt;"",INDEX(SWITCH_TABLE[#Data],$J59,MATCH("Uplink 1 SFP",SWITCH_TABLE[#Headers],0)),"")</f>
        <v/>
      </c>
      <c r="H59" s="46" t="str">
        <f>IF($J59&lt;&gt;"",INDEX(SWITCH_TABLE[#Data],$J59,MATCH("Device Name",SWITCH_TABLE[#Headers],0)) &amp; " " &amp; INDEX(SWITCH_TABLE[#Data],$J59,MATCH("Uplink Port 1",SWITCH_TABLE[#Headers],0)),"")</f>
        <v/>
      </c>
      <c r="J59" s="118" t="str">
        <f t="array" ref="J59">_xlfn.IFNA(MATCH(1,(SHEET_NAME=SWITCH_TABLE[Remote Device 1])*(B59=SWITCH_TABLE[Remote Port 1]),0),"")</f>
        <v/>
      </c>
    </row>
    <row r="60" spans="1:10">
      <c r="A60" s="121">
        <f t="shared" si="1"/>
        <v>44</v>
      </c>
      <c r="B60" s="116" t="str">
        <f t="shared" si="0"/>
        <v>twe1/0/44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46" t="str">
        <f t="shared" si="2"/>
        <v/>
      </c>
      <c r="E60" s="51" t="str" cm="1">
        <f t="array" ref="E60">IF($J60&lt;&gt;"",INDEX(SWITCH_TABLE[#Data],$J60,MATCH("Remote EC",SWITCH_TABLE[#Headers],0)),"")</f>
        <v/>
      </c>
      <c r="F60" s="46"/>
      <c r="G60" s="46" t="str" cm="1">
        <f t="array" ref="G60">IF($J60&lt;&gt;"",INDEX(SWITCH_TABLE[#Data],$J60,MATCH("Uplink 1 SFP",SWITCH_TABLE[#Headers],0)),"")</f>
        <v/>
      </c>
      <c r="H60" s="46" t="str">
        <f>IF($J60&lt;&gt;"",INDEX(SWITCH_TABLE[#Data],$J60,MATCH("Device Name",SWITCH_TABLE[#Headers],0)) &amp; " " &amp; INDEX(SWITCH_TABLE[#Data],$J60,MATCH("Uplink Port 1",SWITCH_TABLE[#Headers],0)),"")</f>
        <v/>
      </c>
      <c r="J60" s="118" t="str">
        <f t="array" ref="J60">_xlfn.IFNA(MATCH(1,(SHEET_NAME=SWITCH_TABLE[Remote Device 1])*(B60=SWITCH_TABLE[Remote Port 1]),0),"")</f>
        <v/>
      </c>
    </row>
    <row r="61" spans="1:10">
      <c r="A61" s="121">
        <f t="shared" si="1"/>
        <v>45</v>
      </c>
      <c r="B61" s="116" t="str">
        <f t="shared" si="0"/>
        <v>twe1/0/45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>
        <f t="shared" si="2"/>
        <v/>
      </c>
      <c r="E61" s="51" t="str" cm="1">
        <f t="array" ref="E61">IF($J61&lt;&gt;"",INDEX(SWITCH_TABLE[#Data],$J61,MATCH("Remote EC",SWITCH_TABLE[#Headers],0)),"")</f>
        <v/>
      </c>
      <c r="F61" s="46"/>
      <c r="G61" s="46" t="str" cm="1">
        <f t="array" ref="G61">IF($J61&lt;&gt;"",INDEX(SWITCH_TABLE[#Data],$J61,MATCH("Uplink 1 SFP",SWITCH_TABLE[#Headers],0)),"")</f>
        <v/>
      </c>
      <c r="H61" s="46" t="str">
        <f>IF($J61&lt;&gt;"",INDEX(SWITCH_TABLE[#Data],$J61,MATCH("Device Name",SWITCH_TABLE[#Headers],0)) &amp; " " &amp; INDEX(SWITCH_TABLE[#Data],$J61,MATCH("Uplink Port 1",SWITCH_TABLE[#Headers],0)),"")</f>
        <v/>
      </c>
      <c r="J61" s="118" t="str">
        <f t="array" ref="J61">_xlfn.IFNA(MATCH(1,(SHEET_NAME=SWITCH_TABLE[Remote Device 1])*(B61=SWITCH_TABLE[Remote Port 1]),0),"")</f>
        <v/>
      </c>
    </row>
    <row r="62" spans="1:10">
      <c r="A62" s="121">
        <f t="shared" si="1"/>
        <v>46</v>
      </c>
      <c r="B62" s="116" t="str">
        <f t="shared" si="0"/>
        <v>twe1/0/46</v>
      </c>
      <c r="C62" s="122" t="str" cm="1">
        <f t="array" ref="C62">_xlfn.IFS($B62="","",$B62=$B$71,"reserved",$B62=$B$72,"reserved",$B62=$G$11,"connect",$B62=$G$13,"connect",J62&lt;&gt;"","connect",1=1,"disabled")</f>
        <v>disabled</v>
      </c>
      <c r="D62" s="46" t="str">
        <f t="shared" si="2"/>
        <v/>
      </c>
      <c r="E62" s="51" t="str" cm="1">
        <f t="array" ref="E62">IF($J62&lt;&gt;"",INDEX(SWITCH_TABLE[#Data],$J62,MATCH("Remote EC",SWITCH_TABLE[#Headers],0)),"")</f>
        <v/>
      </c>
      <c r="F62" s="46"/>
      <c r="G62" s="46" t="str" cm="1">
        <f t="array" ref="G62">IF($J62&lt;&gt;"",INDEX(SWITCH_TABLE[#Data],$J62,MATCH("Uplink 1 SFP",SWITCH_TABLE[#Headers],0)),"")</f>
        <v/>
      </c>
      <c r="H62" s="46" t="str">
        <f>IF($J62&lt;&gt;"",INDEX(SWITCH_TABLE[#Data],$J62,MATCH("Device Name",SWITCH_TABLE[#Headers],0)) &amp; " " &amp; INDEX(SWITCH_TABLE[#Data],$J62,MATCH("Uplink Port 1",SWITCH_TABLE[#Headers],0)),"")</f>
        <v/>
      </c>
      <c r="J62" s="118" t="str">
        <f t="array" ref="J62">_xlfn.IFNA(MATCH(1,(SHEET_NAME=SWITCH_TABLE[Remote Device 1])*(B62=SWITCH_TABLE[Remote Port 1]),0),"")</f>
        <v/>
      </c>
    </row>
    <row r="63" spans="1:10">
      <c r="A63" s="121">
        <f t="shared" si="1"/>
        <v>47</v>
      </c>
      <c r="B63" s="116" t="str">
        <f t="shared" si="0"/>
        <v>twe1/0/47</v>
      </c>
      <c r="C63" s="122" t="str" cm="1">
        <f t="array" ref="C63">_xlfn.IFS($B63="","",$B63=$B$71,"reserved",$B63=$B$72,"reserved",$B63=$G$11,"connect",$B63=$G$13,"connect",J63&lt;&gt;"","connect",1=1,"disabled")</f>
        <v>disabled</v>
      </c>
      <c r="D63" s="46" t="str">
        <f t="shared" si="2"/>
        <v/>
      </c>
      <c r="E63" s="51" t="str" cm="1">
        <f t="array" ref="E63">IF($J63&lt;&gt;"",INDEX(SWITCH_TABLE[#Data],$J63,MATCH("Remote EC",SWITCH_TABLE[#Headers],0)),"")</f>
        <v/>
      </c>
      <c r="F63" s="46"/>
      <c r="G63" s="46" t="str" cm="1">
        <f t="array" ref="G63">IF($J63&lt;&gt;"",INDEX(SWITCH_TABLE[#Data],$J63,MATCH("Uplink 1 SFP",SWITCH_TABLE[#Headers],0)),"")</f>
        <v/>
      </c>
      <c r="H63" s="46" t="str">
        <f>IF($J63&lt;&gt;"",INDEX(SWITCH_TABLE[#Data],$J63,MATCH("Device Name",SWITCH_TABLE[#Headers],0)) &amp; " " &amp; INDEX(SWITCH_TABLE[#Data],$J63,MATCH("Uplink Port 1",SWITCH_TABLE[#Headers],0)),"")</f>
        <v/>
      </c>
      <c r="J63" s="118" t="str">
        <f t="array" ref="J63">_xlfn.IFNA(MATCH(1,(SHEET_NAME=SWITCH_TABLE[Remote Device 1])*(B63=SWITCH_TABLE[Remote Port 1]),0),"")</f>
        <v/>
      </c>
    </row>
    <row r="64" spans="1:10">
      <c r="A64" s="121">
        <f t="shared" si="1"/>
        <v>48</v>
      </c>
      <c r="B64" s="116" t="str">
        <f t="shared" si="0"/>
        <v>twe1/0/48</v>
      </c>
      <c r="C64" s="122" t="str" cm="1">
        <f t="array" ref="C64">_xlfn.IFS($B64="","",$B64=$B$71,"reserved",$B64=$B$72,"reserved",$B64=$G$11,"connect",$B64=$G$13,"connect",J64&lt;&gt;"","connect",1=1,"disabled")</f>
        <v>disabled</v>
      </c>
      <c r="D64" s="46" t="str">
        <f t="shared" si="2"/>
        <v/>
      </c>
      <c r="E64" s="51" t="str" cm="1">
        <f t="array" ref="E64">IF($J64&lt;&gt;"",INDEX(SWITCH_TABLE[#Data],$J64,MATCH("Remote EC",SWITCH_TABLE[#Headers],0)),"")</f>
        <v/>
      </c>
      <c r="F64" s="46"/>
      <c r="G64" s="46" t="str" cm="1">
        <f t="array" ref="G64">IF($J64&lt;&gt;"",INDEX(SWITCH_TABLE[#Data],$J64,MATCH("Uplink 1 SFP",SWITCH_TABLE[#Headers],0)),"")</f>
        <v/>
      </c>
      <c r="H64" s="46" t="str">
        <f>IF($J64&lt;&gt;"",INDEX(SWITCH_TABLE[#Data],$J64,MATCH("Device Name",SWITCH_TABLE[#Headers],0)) &amp; " " &amp; INDEX(SWITCH_TABLE[#Data],$J64,MATCH("Uplink Port 1",SWITCH_TABLE[#Headers],0)),"")</f>
        <v/>
      </c>
      <c r="J64" s="118" t="str">
        <f t="array" ref="J64">_xlfn.IFNA(MATCH(1,(SHEET_NAME=SWITCH_TABLE[Remote Device 1])*(B64=SWITCH_TABLE[Remote Port 1]),0),"")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3">ROW(A68)-ROW($A$67)+$A$67</f>
        <v>49</v>
      </c>
      <c r="B68" s="116" t="str">
        <f t="shared" ref="B68:B75" si="4">IF(A68&gt;$C$8+$A$67,"",$D$8&amp;$C$11&amp;"/0/"&amp;A68)</f>
        <v>hu1/0/49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1</v>
      </c>
      <c r="G68" s="191" t="str" cm="1">
        <f t="array" ref="G68">_xlfn.IFS($B68="","",$B68=$G$11,$H$11,$B68=$G$13,$H$13,1=1,"")</f>
        <v>100G QSFP DAC</v>
      </c>
      <c r="H68" s="191" t="str" cm="1">
        <f t="array" ref="H68">_xlfn.IFS($B68="","",$B68=$G$11,$G$12&amp;" "&amp;H12,$B68=$G$13,$G$14&amp;" "&amp;$H$14,1=1,"")</f>
        <v>FGHLHN01-1 hu1/0/42</v>
      </c>
      <c r="J68" s="118" t="str">
        <f t="array" ref="J68">_xlfn.IFNA(MATCH(1,(SHEET_NAME=SWITCH_TABLE[Remote Device 1])*(B68=SWITCH_TABLE[Remote Port 1]),0),"")</f>
        <v/>
      </c>
    </row>
    <row r="69" spans="1:10">
      <c r="A69" s="121">
        <f t="shared" si="3"/>
        <v>50</v>
      </c>
      <c r="B69" s="116" t="str">
        <f t="shared" si="4"/>
        <v>hu1/0/50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18" t="str">
        <f t="array" ref="J69">_xlfn.IFNA(MATCH(1,(SHEET_NAME=SWITCH_TABLE[Remote Device 1])*(B69=SWITCH_TABLE[Remote Port 1]),0),"")</f>
        <v/>
      </c>
    </row>
    <row r="70" spans="1:10">
      <c r="A70" s="121">
        <f t="shared" si="3"/>
        <v>51</v>
      </c>
      <c r="B70" s="116" t="str">
        <f t="shared" si="4"/>
        <v>hu1/0/51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18" t="str">
        <f t="array" ref="J70">_xlfn.IFNA(MATCH(1,(SHEET_NAME=SWITCH_TABLE[Remote Device 1])*(B70=SWITCH_TABLE[Remote Port 1]),0),"")</f>
        <v/>
      </c>
    </row>
    <row r="71" spans="1:10">
      <c r="A71" s="121">
        <f t="shared" si="3"/>
        <v>52</v>
      </c>
      <c r="B71" s="116" t="str">
        <f t="shared" si="4"/>
        <v>hu1/0/52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18" t="str">
        <f t="array" ref="J71">_xlfn.IFNA(MATCH(1,(SHEET_NAME=SWITCH_TABLE[Remote Device 1])*(B71=SWITCH_TABLE[Remote Port 1]),0),"")</f>
        <v/>
      </c>
    </row>
    <row r="72" spans="1:10">
      <c r="A72" s="121">
        <f t="shared" si="3"/>
        <v>53</v>
      </c>
      <c r="B72" s="116" t="str">
        <f t="shared" si="4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18" t="str">
        <f t="array" ref="J72">_xlfn.IFNA(MATCH(1,(SHEET_NAME=SWITCH_TABLE[Remote Device 1])*(B72=SWITCH_TABLE[Remote Port 1]),0),"")</f>
        <v/>
      </c>
    </row>
    <row r="73" spans="1:10">
      <c r="A73" s="121">
        <f t="shared" si="3"/>
        <v>54</v>
      </c>
      <c r="B73" s="116" t="str">
        <f t="shared" si="4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18" t="str">
        <f t="array" ref="J73">_xlfn.IFNA(MATCH(1,(SHEET_NAME=SWITCH_TABLE[Remote Device 1])*(B73=SWITCH_TABLE[Remote Port 1]),0),"")</f>
        <v/>
      </c>
    </row>
    <row r="74" spans="1:10">
      <c r="A74" s="121">
        <f t="shared" si="3"/>
        <v>55</v>
      </c>
      <c r="B74" s="116" t="str">
        <f t="shared" si="4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18" t="str">
        <f t="array" ref="J74">_xlfn.IFNA(MATCH(1,(SHEET_NAME=SWITCH_TABLE[Remote Device 1])*(B74=SWITCH_TABLE[Remote Port 1]),0),"")</f>
        <v/>
      </c>
    </row>
    <row r="75" spans="1:10">
      <c r="A75" s="121">
        <f t="shared" si="3"/>
        <v>56</v>
      </c>
      <c r="B75" s="116" t="str">
        <f t="shared" si="4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18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hu1/0/51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FGHLHN43-2 hu2/0/52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hu1/0/52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FGHLHN43-2 hu2/0/51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118" priority="13" operator="equal">
      <formula>"reserved"</formula>
    </cfRule>
    <cfRule type="cellIs" dxfId="1117" priority="14" operator="equal">
      <formula>"notconnect"</formula>
    </cfRule>
    <cfRule type="cellIs" dxfId="1116" priority="15" operator="equal">
      <formula>"disabled"</formula>
    </cfRule>
    <cfRule type="cellIs" dxfId="1115" priority="16" operator="equal">
      <formula>"connect"</formula>
    </cfRule>
  </conditionalFormatting>
  <conditionalFormatting sqref="C79:C80">
    <cfRule type="cellIs" dxfId="1114" priority="9" operator="equal">
      <formula>"reserved"</formula>
    </cfRule>
    <cfRule type="cellIs" dxfId="1113" priority="10" operator="equal">
      <formula>"notconnect"</formula>
    </cfRule>
    <cfRule type="cellIs" dxfId="1112" priority="11" operator="equal">
      <formula>"disabled"</formula>
    </cfRule>
    <cfRule type="cellIs" dxfId="1111" priority="12" operator="equal">
      <formula>"connect"</formula>
    </cfRule>
  </conditionalFormatting>
  <conditionalFormatting sqref="C64">
    <cfRule type="cellIs" dxfId="1110" priority="5" operator="equal">
      <formula>"reserved"</formula>
    </cfRule>
    <cfRule type="cellIs" dxfId="1109" priority="6" operator="equal">
      <formula>"notconnect"</formula>
    </cfRule>
    <cfRule type="cellIs" dxfId="1108" priority="7" operator="equal">
      <formula>"disabled"</formula>
    </cfRule>
    <cfRule type="cellIs" dxfId="1107" priority="8" operator="equal">
      <formula>"connect"</formula>
    </cfRule>
  </conditionalFormatting>
  <conditionalFormatting sqref="C17:C63">
    <cfRule type="cellIs" dxfId="1106" priority="1" operator="equal">
      <formula>"reserved"</formula>
    </cfRule>
    <cfRule type="cellIs" dxfId="1105" priority="2" operator="equal">
      <formula>"notconnect"</formula>
    </cfRule>
    <cfRule type="cellIs" dxfId="1104" priority="3" operator="equal">
      <formula>"disabled"</formula>
    </cfRule>
    <cfRule type="cellIs" dxfId="1103" priority="4" operator="equal">
      <formula>"connect"</formula>
    </cfRule>
  </conditionalFormatting>
  <dataValidations count="5">
    <dataValidation type="list" allowBlank="1" showInputMessage="1" sqref="G68:G75 G17:G64" xr:uid="{FB1BC10F-8E39-4325-BB6E-61DBC9D2D177}">
      <formula1>PORT_TYPE_LIST</formula1>
    </dataValidation>
    <dataValidation type="list" allowBlank="1" showInputMessage="1" sqref="C68:C75 C79:C80 C17:C64" xr:uid="{54FBBBC2-33F5-4420-BF19-7D5607ADA965}">
      <formula1>PORT_STATE_LIST</formula1>
    </dataValidation>
    <dataValidation type="list" allowBlank="1" showInputMessage="1" sqref="D68:D75 D17:D64" xr:uid="{40511DC5-4E98-46B2-B797-FE440E89A2C3}">
      <formula1>VLAN_ID_LIST</formula1>
    </dataValidation>
    <dataValidation type="list" allowBlank="1" showInputMessage="1" sqref="F17:F64" xr:uid="{2153198F-45DA-4A52-B39D-A18497A6C2DE}">
      <formula1>SPEED_DUPLEX_LIST</formula1>
    </dataValidation>
    <dataValidation allowBlank="1" showInputMessage="1" sqref="E68:E75 E17:E64" xr:uid="{59D0994A-4123-4486-80BE-E17EC4DBFE46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41D1F-17FB-4689-AB0F-D9F5907A72A1}">
  <sheetPr codeName="Sheet21">
    <tabColor rgb="FFE26B0A"/>
  </sheetPr>
  <dimension ref="A1:J81"/>
  <sheetViews>
    <sheetView topLeftCell="A7" workbookViewId="0">
      <selection activeCell="G36" sqref="G36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1391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C9500-48Y4C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8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FGHLHN43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Distribution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CAT2330L0JL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10.224.21.43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FGHLHN43-1</v>
      </c>
      <c r="D13" s="117" t="str">
        <f>INDEX(SWITCH_TABLE[#Data],$H$3,MATCH("Next Port",SWITCH_TABLE[#Headers],0))</f>
        <v>hu1/0/52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hu2/0/49</v>
      </c>
      <c r="H13" s="118" t="str" cm="1">
        <f t="array" ref="H13">IF(G13="","",INDEX(SWITCH_TABLE[#Data],$H$3,MATCH("Uplink 2 SFP",SWITCH_TABLE[#Headers],0)))</f>
        <v>100G QSFP MPO</v>
      </c>
    </row>
    <row r="14" spans="1:10">
      <c r="B14" s="116" t="s">
        <v>1842</v>
      </c>
      <c r="C14" s="117" t="str">
        <f>INDEX(SWITCH_TABLE[#Data],$H$3,MATCH(B14,SWITCH_TABLE[#Headers],0))</f>
        <v>FGHLHN43-1</v>
      </c>
      <c r="D14" s="117" t="str">
        <f>INDEX(SWITCH_TABLE[#Data],$H$3,MATCH("Prev Port",SWITCH_TABLE[#Headers],0))</f>
        <v>hu1/0/51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FGHLHN01-2</v>
      </c>
      <c r="H14" s="118" t="str" cm="1">
        <f t="array" ref="H14">IF(G14="","",INDEX(SWITCH_TABLE[#Data],$H$3,MATCH("Remote Port 2",SWITCH_TABLE[#Headers],0)))</f>
        <v>hu2/0/42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2582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twe2/0/1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t="str">
        <f t="shared" ref="D17" si="1">IF(J17&lt;&gt;"","TRUNK","")</f>
        <v>TRUNK</v>
      </c>
      <c r="E17" s="51" cm="1">
        <f t="array" ref="E17">IF($J17&lt;&gt;"",INDEX(SWITCH_TABLE[#Data],$J17,MATCH("Remote EC",SWITCH_TABLE[#Headers],0)),"")</f>
        <v>1</v>
      </c>
      <c r="F17" s="46"/>
      <c r="G17" s="46" t="str" cm="1">
        <f t="array" ref="G17">IF($J17&lt;&gt;"",INDEX(SWITCH_TABLE[#Data],$J17,MATCH("Uplink 2 SFP",SWITCH_TABLE[#Headers],0)),"")</f>
        <v>1G SFP SX</v>
      </c>
      <c r="H17" s="46" t="str">
        <f>IF($J17&lt;&gt;"",INDEX(SWITCH_TABLE[#Data],$J17,MATCH("Device Name",SWITCH_TABLE[#Headers],0)) &amp; " " &amp; INDEX(SWITCH_TABLE[#Data],$J17,MATCH("Uplink Port 2",SWITCH_TABLE[#Headers],0)),"")</f>
        <v>FGHLHN11 gi1/1/2</v>
      </c>
      <c r="J17" s="118">
        <f t="array" ref="J17">_xlfn.IFNA(MATCH(1,(SHEET_NAME=SWITCH_TABLE[Remote Device 2])*(B17=SWITCH_TABLE[Remote Port 2]),0),"")</f>
        <v>19</v>
      </c>
    </row>
    <row r="18" spans="1:10">
      <c r="A18" s="121">
        <f t="shared" ref="A18:A64" si="2">ROW(A18)-ROW($A$16)+$A$16</f>
        <v>2</v>
      </c>
      <c r="B18" s="116" t="str">
        <f t="shared" si="0"/>
        <v>twe2/0/2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t="str">
        <f t="shared" ref="D18:D64" si="3">IF(J18&lt;&gt;"","TRUNK","")</f>
        <v>TRUNK</v>
      </c>
      <c r="E18" s="51" cm="1">
        <f t="array" ref="E18">IF($J18&lt;&gt;"",INDEX(SWITCH_TABLE[#Data],$J18,MATCH("Remote EC",SWITCH_TABLE[#Headers],0)),"")</f>
        <v>2</v>
      </c>
      <c r="F18" s="46"/>
      <c r="G18" s="46" t="str" cm="1">
        <f t="array" ref="G18">IF($J18&lt;&gt;"",INDEX(SWITCH_TABLE[#Data],$J18,MATCH("Uplink 2 SFP",SWITCH_TABLE[#Headers],0)),"")</f>
        <v>1G SFP SX</v>
      </c>
      <c r="H18" s="46" t="str">
        <f>IF($J18&lt;&gt;"",INDEX(SWITCH_TABLE[#Data],$J18,MATCH("Device Name",SWITCH_TABLE[#Headers],0)) &amp; " " &amp; INDEX(SWITCH_TABLE[#Data],$J18,MATCH("Uplink Port 2",SWITCH_TABLE[#Headers],0)),"")</f>
        <v>FGHLHN12 gi1/1/2</v>
      </c>
      <c r="J18" s="118">
        <f t="array" ref="J18">_xlfn.IFNA(MATCH(1,(SHEET_NAME=SWITCH_TABLE[Remote Device 2])*(B18=SWITCH_TABLE[Remote Port 2]),0),"")</f>
        <v>20</v>
      </c>
    </row>
    <row r="19" spans="1:10">
      <c r="A19" s="121">
        <f t="shared" si="2"/>
        <v>3</v>
      </c>
      <c r="B19" s="116" t="str">
        <f t="shared" si="0"/>
        <v>twe2/0/3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t="str">
        <f t="shared" si="3"/>
        <v>TRUNK</v>
      </c>
      <c r="E19" s="51" cm="1">
        <f t="array" ref="E19">IF($J19&lt;&gt;"",INDEX(SWITCH_TABLE[#Data],$J19,MATCH("Remote EC",SWITCH_TABLE[#Headers],0)),"")</f>
        <v>3</v>
      </c>
      <c r="F19" s="46"/>
      <c r="G19" s="46" t="str" cm="1">
        <f t="array" ref="G19">IF($J19&lt;&gt;"",INDEX(SWITCH_TABLE[#Data],$J19,MATCH("Uplink 2 SFP",SWITCH_TABLE[#Headers],0)),"")</f>
        <v>1G SFP SX</v>
      </c>
      <c r="H19" s="46" t="str">
        <f>IF($J19&lt;&gt;"",INDEX(SWITCH_TABLE[#Data],$J19,MATCH("Device Name",SWITCH_TABLE[#Headers],0)) &amp; " " &amp; INDEX(SWITCH_TABLE[#Data],$J19,MATCH("Uplink Port 2",SWITCH_TABLE[#Headers],0)),"")</f>
        <v>FGHLHN13-2 gi2/1/2</v>
      </c>
      <c r="J19" s="118">
        <f t="array" ref="J19">_xlfn.IFNA(MATCH(1,(SHEET_NAME=SWITCH_TABLE[Remote Device 2])*(B19=SWITCH_TABLE[Remote Port 2]),0),"")</f>
        <v>22</v>
      </c>
    </row>
    <row r="20" spans="1:10">
      <c r="A20" s="121">
        <f t="shared" si="2"/>
        <v>4</v>
      </c>
      <c r="B20" s="116" t="str">
        <f t="shared" si="0"/>
        <v>twe2/0/4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t="str">
        <f t="shared" si="3"/>
        <v>TRUNK</v>
      </c>
      <c r="E20" s="51" cm="1">
        <f t="array" ref="E20">IF($J20&lt;&gt;"",INDEX(SWITCH_TABLE[#Data],$J20,MATCH("Remote EC",SWITCH_TABLE[#Headers],0)),"")</f>
        <v>4</v>
      </c>
      <c r="F20" s="46"/>
      <c r="G20" s="46" t="str" cm="1">
        <f t="array" ref="G20">IF($J20&lt;&gt;"",INDEX(SWITCH_TABLE[#Data],$J20,MATCH("Uplink 2 SFP",SWITCH_TABLE[#Headers],0)),"")</f>
        <v>1G SFP SX</v>
      </c>
      <c r="H20" s="46" t="str">
        <f>IF($J20&lt;&gt;"",INDEX(SWITCH_TABLE[#Data],$J20,MATCH("Device Name",SWITCH_TABLE[#Headers],0)) &amp; " " &amp; INDEX(SWITCH_TABLE[#Data],$J20,MATCH("Uplink Port 2",SWITCH_TABLE[#Headers],0)),"")</f>
        <v>FGHLHN14 gi1/1/2</v>
      </c>
      <c r="J20" s="118">
        <f t="array" ref="J20">_xlfn.IFNA(MATCH(1,(SHEET_NAME=SWITCH_TABLE[Remote Device 2])*(B20=SWITCH_TABLE[Remote Port 2]),0),"")</f>
        <v>23</v>
      </c>
    </row>
    <row r="21" spans="1:10">
      <c r="A21" s="121">
        <f t="shared" si="2"/>
        <v>5</v>
      </c>
      <c r="B21" s="116" t="str">
        <f t="shared" si="0"/>
        <v>twe2/0/5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t="str">
        <f t="shared" si="3"/>
        <v>TRUNK</v>
      </c>
      <c r="E21" s="51" cm="1">
        <f t="array" ref="E21">IF($J21&lt;&gt;"",INDEX(SWITCH_TABLE[#Data],$J21,MATCH("Remote EC",SWITCH_TABLE[#Headers],0)),"")</f>
        <v>5</v>
      </c>
      <c r="F21" s="46"/>
      <c r="G21" s="46" t="str" cm="1">
        <f t="array" ref="G21">IF($J21&lt;&gt;"",INDEX(SWITCH_TABLE[#Data],$J21,MATCH("Uplink 2 SFP",SWITCH_TABLE[#Headers],0)),"")</f>
        <v>1G SFP SX</v>
      </c>
      <c r="H21" s="46" t="str">
        <f>IF($J21&lt;&gt;"",INDEX(SWITCH_TABLE[#Data],$J21,MATCH("Device Name",SWITCH_TABLE[#Headers],0)) &amp; " " &amp; INDEX(SWITCH_TABLE[#Data],$J21,MATCH("Uplink Port 2",SWITCH_TABLE[#Headers],0)),"")</f>
        <v>FGHLHN15 gi1/1/2</v>
      </c>
      <c r="J21" s="118">
        <f t="array" ref="J21">_xlfn.IFNA(MATCH(1,(SHEET_NAME=SWITCH_TABLE[Remote Device 2])*(B21=SWITCH_TABLE[Remote Port 2]),0),"")</f>
        <v>24</v>
      </c>
    </row>
    <row r="22" spans="1:10">
      <c r="A22" s="121">
        <f t="shared" si="2"/>
        <v>6</v>
      </c>
      <c r="B22" s="116" t="str">
        <f t="shared" si="0"/>
        <v>twe2/0/6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t="str">
        <f t="shared" si="3"/>
        <v>TRUNK</v>
      </c>
      <c r="E22" s="51" cm="1">
        <f t="array" ref="E22">IF($J22&lt;&gt;"",INDEX(SWITCH_TABLE[#Data],$J22,MATCH("Remote EC",SWITCH_TABLE[#Headers],0)),"")</f>
        <v>6</v>
      </c>
      <c r="F22" s="46"/>
      <c r="G22" s="46" t="str" cm="1">
        <f t="array" ref="G22">IF($J22&lt;&gt;"",INDEX(SWITCH_TABLE[#Data],$J22,MATCH("Uplink 2 SFP",SWITCH_TABLE[#Headers],0)),"")</f>
        <v>1G SFP SX</v>
      </c>
      <c r="H22" s="46" t="str">
        <f>IF($J22&lt;&gt;"",INDEX(SWITCH_TABLE[#Data],$J22,MATCH("Device Name",SWITCH_TABLE[#Headers],0)) &amp; " " &amp; INDEX(SWITCH_TABLE[#Data],$J22,MATCH("Uplink Port 2",SWITCH_TABLE[#Headers],0)),"")</f>
        <v>FGHLHN16-2 gi2/1/2</v>
      </c>
      <c r="J22" s="118">
        <f t="array" ref="J22">_xlfn.IFNA(MATCH(1,(SHEET_NAME=SWITCH_TABLE[Remote Device 2])*(B22=SWITCH_TABLE[Remote Port 2]),0),"")</f>
        <v>26</v>
      </c>
    </row>
    <row r="23" spans="1:10">
      <c r="A23" s="121">
        <f t="shared" si="2"/>
        <v>7</v>
      </c>
      <c r="B23" s="116" t="str">
        <f t="shared" si="0"/>
        <v>twe2/0/7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t="str">
        <f t="shared" si="3"/>
        <v>TRUNK</v>
      </c>
      <c r="E23" s="51" cm="1">
        <f t="array" ref="E23">IF($J23&lt;&gt;"",INDEX(SWITCH_TABLE[#Data],$J23,MATCH("Remote EC",SWITCH_TABLE[#Headers],0)),"")</f>
        <v>7</v>
      </c>
      <c r="F23" s="46"/>
      <c r="G23" s="46" t="str" cm="1">
        <f t="array" ref="G23">IF($J23&lt;&gt;"",INDEX(SWITCH_TABLE[#Data],$J23,MATCH("Uplink 2 SFP",SWITCH_TABLE[#Headers],0)),"")</f>
        <v>1G SFP SX</v>
      </c>
      <c r="H23" s="46" t="str">
        <f>IF($J23&lt;&gt;"",INDEX(SWITCH_TABLE[#Data],$J23,MATCH("Device Name",SWITCH_TABLE[#Headers],0)) &amp; " " &amp; INDEX(SWITCH_TABLE[#Data],$J23,MATCH("Uplink Port 2",SWITCH_TABLE[#Headers],0)),"")</f>
        <v>FGHLHN17 gi1/1/2</v>
      </c>
      <c r="J23" s="118">
        <f t="array" ref="J23">_xlfn.IFNA(MATCH(1,(SHEET_NAME=SWITCH_TABLE[Remote Device 2])*(B23=SWITCH_TABLE[Remote Port 2]),0),"")</f>
        <v>27</v>
      </c>
    </row>
    <row r="24" spans="1:10">
      <c r="A24" s="121">
        <f t="shared" si="2"/>
        <v>8</v>
      </c>
      <c r="B24" s="116" t="str">
        <f t="shared" si="0"/>
        <v>twe2/0/8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t="str">
        <f t="shared" si="3"/>
        <v>TRUNK</v>
      </c>
      <c r="E24" s="51" cm="1">
        <f t="array" ref="E24">IF($J24&lt;&gt;"",INDEX(SWITCH_TABLE[#Data],$J24,MATCH("Remote EC",SWITCH_TABLE[#Headers],0)),"")</f>
        <v>8</v>
      </c>
      <c r="F24" s="46"/>
      <c r="G24" s="46" t="str" cm="1">
        <f t="array" ref="G24">IF($J24&lt;&gt;"",INDEX(SWITCH_TABLE[#Data],$J24,MATCH("Uplink 2 SFP",SWITCH_TABLE[#Headers],0)),"")</f>
        <v>1G SFP SX</v>
      </c>
      <c r="H24" s="46" t="str">
        <f>IF($J24&lt;&gt;"",INDEX(SWITCH_TABLE[#Data],$J24,MATCH("Device Name",SWITCH_TABLE[#Headers],0)) &amp; " " &amp; INDEX(SWITCH_TABLE[#Data],$J24,MATCH("Uplink Port 2",SWITCH_TABLE[#Headers],0)),"")</f>
        <v>FGHLHN18 gi1/1/2</v>
      </c>
      <c r="J24" s="118">
        <f t="array" ref="J24">_xlfn.IFNA(MATCH(1,(SHEET_NAME=SWITCH_TABLE[Remote Device 2])*(B24=SWITCH_TABLE[Remote Port 2]),0),"")</f>
        <v>28</v>
      </c>
    </row>
    <row r="25" spans="1:10">
      <c r="A25" s="121">
        <f t="shared" si="2"/>
        <v>9</v>
      </c>
      <c r="B25" s="116" t="str">
        <f t="shared" si="0"/>
        <v>twe2/0/9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>
        <f t="shared" si="3"/>
        <v/>
      </c>
      <c r="E25" s="51" t="str" cm="1">
        <f t="array" ref="E25">IF($J25&lt;&gt;"",INDEX(SWITCH_TABLE[#Data],$J25,MATCH("Remote EC",SWITCH_TABLE[#Headers],0)),"")</f>
        <v/>
      </c>
      <c r="F25" s="46"/>
      <c r="G25" s="46" t="str" cm="1">
        <f t="array" ref="G25">IF($J25&lt;&gt;"",INDEX(SWITCH_TABLE[#Data],$J25,MATCH("Uplink 2 SFP",SWITCH_TABLE[#Headers],0)),"")</f>
        <v/>
      </c>
      <c r="H25" s="46" t="str">
        <f>IF($J25&lt;&gt;"",INDEX(SWITCH_TABLE[#Data],$J25,MATCH("Device Name",SWITCH_TABLE[#Headers],0)) &amp; " " &amp; INDEX(SWITCH_TABLE[#Data],$J25,MATCH("Uplink Port 2",SWITCH_TABLE[#Headers],0)),"")</f>
        <v/>
      </c>
      <c r="J25" s="118" t="str">
        <f t="array" ref="J25">_xlfn.IFNA(MATCH(1,(SHEET_NAME=SWITCH_TABLE[Remote Device 2])*(B25=SWITCH_TABLE[Remote Port 2]),0),"")</f>
        <v/>
      </c>
    </row>
    <row r="26" spans="1:10">
      <c r="A26" s="121">
        <f t="shared" si="2"/>
        <v>10</v>
      </c>
      <c r="B26" s="116" t="str">
        <f t="shared" si="0"/>
        <v>twe2/0/10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t="str">
        <f t="shared" si="3"/>
        <v>TRUNK</v>
      </c>
      <c r="E26" s="51" cm="1">
        <f t="array" ref="E26">IF($J26&lt;&gt;"",INDEX(SWITCH_TABLE[#Data],$J26,MATCH("Remote EC",SWITCH_TABLE[#Headers],0)),"")</f>
        <v>10</v>
      </c>
      <c r="F26" s="46"/>
      <c r="G26" s="46" t="str" cm="1">
        <f t="array" ref="G26">IF($J26&lt;&gt;"",INDEX(SWITCH_TABLE[#Data],$J26,MATCH("Uplink 2 SFP",SWITCH_TABLE[#Headers],0)),"")</f>
        <v>1G SFP SX</v>
      </c>
      <c r="H26" s="46" t="str">
        <f>IF($J26&lt;&gt;"",INDEX(SWITCH_TABLE[#Data],$J26,MATCH("Device Name",SWITCH_TABLE[#Headers],0)) &amp; " " &amp; INDEX(SWITCH_TABLE[#Data],$J26,MATCH("Uplink Port 2",SWITCH_TABLE[#Headers],0)),"")</f>
        <v>FGHLHN20 gi1/1/2</v>
      </c>
      <c r="J26" s="118">
        <f t="array" ref="J26">_xlfn.IFNA(MATCH(1,(SHEET_NAME=SWITCH_TABLE[Remote Device 2])*(B26=SWITCH_TABLE[Remote Port 2]),0),"")</f>
        <v>29</v>
      </c>
    </row>
    <row r="27" spans="1:10">
      <c r="A27" s="121">
        <f t="shared" si="2"/>
        <v>11</v>
      </c>
      <c r="B27" s="116" t="str">
        <f t="shared" si="0"/>
        <v>twe2/0/11</v>
      </c>
      <c r="C27" s="122" t="s">
        <v>2608</v>
      </c>
      <c r="D27" s="81" t="s">
        <v>2075</v>
      </c>
      <c r="E27" s="51">
        <v>11</v>
      </c>
      <c r="F27" s="46"/>
      <c r="G27" s="81" t="s">
        <v>1884</v>
      </c>
      <c r="H27" s="81" t="s">
        <v>2985</v>
      </c>
      <c r="J27" s="118">
        <v>30</v>
      </c>
    </row>
    <row r="28" spans="1:10">
      <c r="A28" s="121">
        <f t="shared" si="2"/>
        <v>12</v>
      </c>
      <c r="B28" s="116" t="str">
        <f t="shared" si="0"/>
        <v>twe2/0/12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t="str">
        <f t="shared" si="3"/>
        <v>TRUNK</v>
      </c>
      <c r="E28" s="51" cm="1">
        <f t="array" ref="E28">IF($J28&lt;&gt;"",INDEX(SWITCH_TABLE[#Data],$J28,MATCH("Remote EC",SWITCH_TABLE[#Headers],0)),"")</f>
        <v>12</v>
      </c>
      <c r="F28" s="46"/>
      <c r="G28" s="46" t="str" cm="1">
        <f t="array" ref="G28">IF($J28&lt;&gt;"",INDEX(SWITCH_TABLE[#Data],$J28,MATCH("Uplink 2 SFP",SWITCH_TABLE[#Headers],0)),"")</f>
        <v>1G SFP SX</v>
      </c>
      <c r="H28" s="46" t="str">
        <f>IF($J28&lt;&gt;"",INDEX(SWITCH_TABLE[#Data],$J28,MATCH("Device Name",SWITCH_TABLE[#Headers],0)) &amp; " " &amp; INDEX(SWITCH_TABLE[#Data],$J28,MATCH("Uplink Port 2",SWITCH_TABLE[#Headers],0)),"")</f>
        <v>FGHLHN22-2 gi2/1/2</v>
      </c>
      <c r="J28" s="118">
        <f t="array" ref="J28">_xlfn.IFNA(MATCH(1,(SHEET_NAME=SWITCH_TABLE[Remote Device 2])*(B28=SWITCH_TABLE[Remote Port 2]),0),"")</f>
        <v>31</v>
      </c>
    </row>
    <row r="29" spans="1:10">
      <c r="A29" s="121">
        <f t="shared" si="2"/>
        <v>13</v>
      </c>
      <c r="B29" s="116" t="str">
        <f t="shared" si="0"/>
        <v>twe2/0/13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t="str">
        <f t="shared" si="3"/>
        <v>TRUNK</v>
      </c>
      <c r="E29" s="51" cm="1">
        <f t="array" ref="E29">IF($J29&lt;&gt;"",INDEX(SWITCH_TABLE[#Data],$J29,MATCH("Remote EC",SWITCH_TABLE[#Headers],0)),"")</f>
        <v>13</v>
      </c>
      <c r="F29" s="46"/>
      <c r="G29" s="46" t="str" cm="1">
        <f t="array" ref="G29">IF($J29&lt;&gt;"",INDEX(SWITCH_TABLE[#Data],$J29,MATCH("Uplink 2 SFP",SWITCH_TABLE[#Headers],0)),"")</f>
        <v>1G SFP SX</v>
      </c>
      <c r="H29" s="46" t="str">
        <f>IF($J29&lt;&gt;"",INDEX(SWITCH_TABLE[#Data],$J29,MATCH("Device Name",SWITCH_TABLE[#Headers],0)) &amp; " " &amp; INDEX(SWITCH_TABLE[#Data],$J29,MATCH("Uplink Port 2",SWITCH_TABLE[#Headers],0)),"")</f>
        <v>FGHLHN23 gi1/1/2</v>
      </c>
      <c r="J29" s="118">
        <f t="array" ref="J29">_xlfn.IFNA(MATCH(1,(SHEET_NAME=SWITCH_TABLE[Remote Device 2])*(B29=SWITCH_TABLE[Remote Port 2]),0),"")</f>
        <v>32</v>
      </c>
    </row>
    <row r="30" spans="1:10">
      <c r="A30" s="121">
        <f t="shared" si="2"/>
        <v>14</v>
      </c>
      <c r="B30" s="116" t="str">
        <f t="shared" si="0"/>
        <v>twe2/0/14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t="str">
        <f t="shared" si="3"/>
        <v>TRUNK</v>
      </c>
      <c r="E30" s="51" cm="1">
        <f t="array" ref="E30">IF($J30&lt;&gt;"",INDEX(SWITCH_TABLE[#Data],$J30,MATCH("Remote EC",SWITCH_TABLE[#Headers],0)),"")</f>
        <v>14</v>
      </c>
      <c r="F30" s="46"/>
      <c r="G30" s="46" t="str" cm="1">
        <f t="array" ref="G30">IF($J30&lt;&gt;"",INDEX(SWITCH_TABLE[#Data],$J30,MATCH("Uplink 2 SFP",SWITCH_TABLE[#Headers],0)),"")</f>
        <v>1G SFP SX</v>
      </c>
      <c r="H30" s="46" t="str">
        <f>IF($J30&lt;&gt;"",INDEX(SWITCH_TABLE[#Data],$J30,MATCH("Device Name",SWITCH_TABLE[#Headers],0)) &amp; " " &amp; INDEX(SWITCH_TABLE[#Data],$J30,MATCH("Uplink Port 2",SWITCH_TABLE[#Headers],0)),"")</f>
        <v>FGHLHN24 gi1/1/2</v>
      </c>
      <c r="J30" s="118">
        <f t="array" ref="J30">_xlfn.IFNA(MATCH(1,(SHEET_NAME=SWITCH_TABLE[Remote Device 2])*(B30=SWITCH_TABLE[Remote Port 2]),0),"")</f>
        <v>33</v>
      </c>
    </row>
    <row r="31" spans="1:10">
      <c r="A31" s="121">
        <f t="shared" si="2"/>
        <v>15</v>
      </c>
      <c r="B31" s="116" t="str">
        <f t="shared" si="0"/>
        <v>twe2/0/15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t="str">
        <f t="shared" si="3"/>
        <v>TRUNK</v>
      </c>
      <c r="E31" s="51" cm="1">
        <f t="array" ref="E31">IF($J31&lt;&gt;"",INDEX(SWITCH_TABLE[#Data],$J31,MATCH("Remote EC",SWITCH_TABLE[#Headers],0)),"")</f>
        <v>15</v>
      </c>
      <c r="F31" s="46"/>
      <c r="G31" s="46" t="str" cm="1">
        <f t="array" ref="G31">IF($J31&lt;&gt;"",INDEX(SWITCH_TABLE[#Data],$J31,MATCH("Uplink 2 SFP",SWITCH_TABLE[#Headers],0)),"")</f>
        <v>1G SFP SX</v>
      </c>
      <c r="H31" s="46" t="str">
        <f>IF($J31&lt;&gt;"",INDEX(SWITCH_TABLE[#Data],$J31,MATCH("Device Name",SWITCH_TABLE[#Headers],0)) &amp; " " &amp; INDEX(SWITCH_TABLE[#Data],$J31,MATCH("Uplink Port 2",SWITCH_TABLE[#Headers],0)),"")</f>
        <v>FGHLHN25 gi1/1/2</v>
      </c>
      <c r="J31" s="118">
        <f t="array" ref="J31">_xlfn.IFNA(MATCH(1,(SHEET_NAME=SWITCH_TABLE[Remote Device 2])*(B31=SWITCH_TABLE[Remote Port 2]),0),"")</f>
        <v>34</v>
      </c>
    </row>
    <row r="32" spans="1:10">
      <c r="A32" s="121">
        <f t="shared" si="2"/>
        <v>16</v>
      </c>
      <c r="B32" s="116" t="str">
        <f t="shared" si="0"/>
        <v>twe2/0/16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t="str">
        <f t="shared" si="3"/>
        <v>TRUNK</v>
      </c>
      <c r="E32" s="51" cm="1">
        <f t="array" ref="E32">IF($J32&lt;&gt;"",INDEX(SWITCH_TABLE[#Data],$J32,MATCH("Remote EC",SWITCH_TABLE[#Headers],0)),"")</f>
        <v>16</v>
      </c>
      <c r="F32" s="46"/>
      <c r="G32" s="46" t="str" cm="1">
        <f t="array" ref="G32">IF($J32&lt;&gt;"",INDEX(SWITCH_TABLE[#Data],$J32,MATCH("Uplink 2 SFP",SWITCH_TABLE[#Headers],0)),"")</f>
        <v>1G SFP SX</v>
      </c>
      <c r="H32" s="46" t="str">
        <f>IF($J32&lt;&gt;"",INDEX(SWITCH_TABLE[#Data],$J32,MATCH("Device Name",SWITCH_TABLE[#Headers],0)) &amp; " " &amp; INDEX(SWITCH_TABLE[#Data],$J32,MATCH("Uplink Port 2",SWITCH_TABLE[#Headers],0)),"")</f>
        <v>FGHLHN26 gi1/1/2</v>
      </c>
      <c r="J32" s="118">
        <f t="array" ref="J32">_xlfn.IFNA(MATCH(1,(SHEET_NAME=SWITCH_TABLE[Remote Device 2])*(B32=SWITCH_TABLE[Remote Port 2]),0),"")</f>
        <v>35</v>
      </c>
    </row>
    <row r="33" spans="1:10">
      <c r="A33" s="121">
        <f t="shared" si="2"/>
        <v>17</v>
      </c>
      <c r="B33" s="116" t="str">
        <f t="shared" si="0"/>
        <v>twe2/0/17</v>
      </c>
      <c r="C33" s="122" t="s">
        <v>2987</v>
      </c>
      <c r="D33" s="81" t="s">
        <v>2075</v>
      </c>
      <c r="E33" s="51">
        <v>17</v>
      </c>
      <c r="F33" s="46"/>
      <c r="G33" s="81" t="s">
        <v>1884</v>
      </c>
      <c r="H33" s="81" t="s">
        <v>2988</v>
      </c>
      <c r="J33" s="118" t="str">
        <f t="array" ref="J33">_xlfn.IFNA(MATCH(1,(SHEET_NAME=SWITCH_TABLE[Remote Device 2])*(B33=SWITCH_TABLE[Remote Port 2]),0),"")</f>
        <v/>
      </c>
    </row>
    <row r="34" spans="1:10">
      <c r="A34" s="121">
        <f t="shared" si="2"/>
        <v>18</v>
      </c>
      <c r="B34" s="116" t="str">
        <f t="shared" si="0"/>
        <v>twe2/0/18</v>
      </c>
      <c r="C34" s="122" t="str" cm="1">
        <f t="array" ref="C34">_xlfn.IFS($B34="","",$B34=$B$71,"reserved",$B34=$B$72,"reserved",$B34=$G$11,"connect",$B34=$G$13,"connect",J34&lt;&gt;"","connect",1=1,"disabled")</f>
        <v>connect</v>
      </c>
      <c r="D34" s="46" t="str">
        <f t="shared" si="3"/>
        <v>TRUNK</v>
      </c>
      <c r="E34" s="51" cm="1">
        <f t="array" ref="E34">IF($J34&lt;&gt;"",INDEX(SWITCH_TABLE[#Data],$J34,MATCH("Remote EC",SWITCH_TABLE[#Headers],0)),"")</f>
        <v>18</v>
      </c>
      <c r="F34" s="46"/>
      <c r="G34" s="46" t="str" cm="1">
        <f t="array" ref="G34">IF($J34&lt;&gt;"",INDEX(SWITCH_TABLE[#Data],$J34,MATCH("Uplink 2 SFP",SWITCH_TABLE[#Headers],0)),"")</f>
        <v>1G SFP SX</v>
      </c>
      <c r="H34" s="46" t="str">
        <f>IF($J34&lt;&gt;"",INDEX(SWITCH_TABLE[#Data],$J34,MATCH("Device Name",SWITCH_TABLE[#Headers],0)) &amp; " " &amp; INDEX(SWITCH_TABLE[#Data],$J34,MATCH("Uplink Port 2",SWITCH_TABLE[#Headers],0)),"")</f>
        <v>FGHLHN28 gi1/1/2</v>
      </c>
      <c r="J34" s="118">
        <f t="array" ref="J34">_xlfn.IFNA(MATCH(1,(SHEET_NAME=SWITCH_TABLE[Remote Device 2])*(B34=SWITCH_TABLE[Remote Port 2]),0),"")</f>
        <v>36</v>
      </c>
    </row>
    <row r="35" spans="1:10">
      <c r="A35" s="121">
        <f t="shared" si="2"/>
        <v>19</v>
      </c>
      <c r="B35" s="116" t="str">
        <f t="shared" si="0"/>
        <v>twe2/0/19</v>
      </c>
      <c r="C35" s="122" t="str" cm="1">
        <f t="array" ref="C35">_xlfn.IFS($B35="","",$B35=$B$71,"reserved",$B35=$B$72,"reserved",$B35=$G$11,"connect",$B35=$G$13,"connect",J35&lt;&gt;"","connect",1=1,"disabled")</f>
        <v>connect</v>
      </c>
      <c r="D35" s="46" t="str">
        <f t="shared" si="3"/>
        <v>TRUNK</v>
      </c>
      <c r="E35" s="51" cm="1">
        <f t="array" ref="E35">IF($J35&lt;&gt;"",INDEX(SWITCH_TABLE[#Data],$J35,MATCH("Remote EC",SWITCH_TABLE[#Headers],0)),"")</f>
        <v>19</v>
      </c>
      <c r="F35" s="46"/>
      <c r="G35" s="46" t="str" cm="1">
        <f t="array" ref="G35">IF($J35&lt;&gt;"",INDEX(SWITCH_TABLE[#Data],$J35,MATCH("Uplink 2 SFP",SWITCH_TABLE[#Headers],0)),"")</f>
        <v>1G SFP SX</v>
      </c>
      <c r="H35" s="46" t="str">
        <f>IF($J35&lt;&gt;"",INDEX(SWITCH_TABLE[#Data],$J35,MATCH("Device Name",SWITCH_TABLE[#Headers],0)) &amp; " " &amp; INDEX(SWITCH_TABLE[#Data],$J35,MATCH("Uplink Port 2",SWITCH_TABLE[#Headers],0)),"")</f>
        <v>FGHLHN29 gi1/1/2</v>
      </c>
      <c r="J35" s="118">
        <f t="array" ref="J35">_xlfn.IFNA(MATCH(1,(SHEET_NAME=SWITCH_TABLE[Remote Device 2])*(B35=SWITCH_TABLE[Remote Port 2]),0),"")</f>
        <v>37</v>
      </c>
    </row>
    <row r="36" spans="1:10">
      <c r="A36" s="121">
        <f t="shared" si="2"/>
        <v>20</v>
      </c>
      <c r="B36" s="116" t="str">
        <f t="shared" si="0"/>
        <v>twe2/0/20</v>
      </c>
      <c r="C36" s="122" t="str" cm="1">
        <f t="array" ref="C36">_xlfn.IFS($B36="","",$B36=$B$71,"reserved",$B36=$B$72,"reserved",$B36=$G$11,"connect",$B36=$G$13,"connect",J36&lt;&gt;"","connect",1=1,"disabled")</f>
        <v>connect</v>
      </c>
      <c r="D36" s="46" t="str">
        <f t="shared" si="3"/>
        <v>TRUNK</v>
      </c>
      <c r="E36" s="51" cm="1">
        <f t="array" ref="E36">IF($J36&lt;&gt;"",INDEX(SWITCH_TABLE[#Data],$J36,MATCH("Remote EC",SWITCH_TABLE[#Headers],0)),"")</f>
        <v>20</v>
      </c>
      <c r="F36" s="46"/>
      <c r="G36" s="46" t="str" cm="1">
        <f t="array" ref="G36">IF($J36&lt;&gt;"",INDEX(SWITCH_TABLE[#Data],$J36,MATCH("Uplink 2 SFP",SWITCH_TABLE[#Headers],0)),"")</f>
        <v>1G SFP SX</v>
      </c>
      <c r="H36" s="46" t="str">
        <f>IF($J36&lt;&gt;"",INDEX(SWITCH_TABLE[#Data],$J36,MATCH("Device Name",SWITCH_TABLE[#Headers],0)) &amp; " " &amp; INDEX(SWITCH_TABLE[#Data],$J36,MATCH("Uplink Port 2",SWITCH_TABLE[#Headers],0)),"")</f>
        <v>FGHLHN30 gi1/1/2</v>
      </c>
      <c r="J36" s="118">
        <f t="array" ref="J36">_xlfn.IFNA(MATCH(1,(SHEET_NAME=SWITCH_TABLE[Remote Device 2])*(B36=SWITCH_TABLE[Remote Port 2]),0),"")</f>
        <v>38</v>
      </c>
    </row>
    <row r="37" spans="1:10">
      <c r="A37" s="121">
        <f t="shared" si="2"/>
        <v>21</v>
      </c>
      <c r="B37" s="116" t="str">
        <f t="shared" si="0"/>
        <v>twe2/0/21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t="str">
        <f t="shared" si="3"/>
        <v>TRUNK</v>
      </c>
      <c r="E37" s="51" cm="1">
        <f t="array" ref="E37">IF($J37&lt;&gt;"",INDEX(SWITCH_TABLE[#Data],$J37,MATCH("Remote EC",SWITCH_TABLE[#Headers],0)),"")</f>
        <v>21</v>
      </c>
      <c r="F37" s="46"/>
      <c r="G37" s="46" t="str" cm="1">
        <f t="array" ref="G37">IF($J37&lt;&gt;"",INDEX(SWITCH_TABLE[#Data],$J37,MATCH("Uplink 2 SFP",SWITCH_TABLE[#Headers],0)),"")</f>
        <v>1G SFP SX</v>
      </c>
      <c r="H37" s="46" t="str">
        <f>IF($J37&lt;&gt;"",INDEX(SWITCH_TABLE[#Data],$J37,MATCH("Device Name",SWITCH_TABLE[#Headers],0)) &amp; " " &amp; INDEX(SWITCH_TABLE[#Data],$J37,MATCH("Uplink Port 2",SWITCH_TABLE[#Headers],0)),"")</f>
        <v>FGHLHN31-4 gi4/1/2</v>
      </c>
      <c r="J37" s="118">
        <f t="array" ref="J37">_xlfn.IFNA(MATCH(1,(SHEET_NAME=SWITCH_TABLE[Remote Device 2])*(B37=SWITCH_TABLE[Remote Port 2]),0),"")</f>
        <v>42</v>
      </c>
    </row>
    <row r="38" spans="1:10">
      <c r="A38" s="121">
        <f t="shared" si="2"/>
        <v>22</v>
      </c>
      <c r="B38" s="116" t="str">
        <f t="shared" si="0"/>
        <v>twe2/0/22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t="str">
        <f t="shared" si="3"/>
        <v>TRUNK</v>
      </c>
      <c r="E38" s="51" cm="1">
        <f t="array" ref="E38">IF($J38&lt;&gt;"",INDEX(SWITCH_TABLE[#Data],$J38,MATCH("Remote EC",SWITCH_TABLE[#Headers],0)),"")</f>
        <v>22</v>
      </c>
      <c r="F38" s="46"/>
      <c r="G38" s="46" t="str" cm="1">
        <f t="array" ref="G38">IF($J38&lt;&gt;"",INDEX(SWITCH_TABLE[#Data],$J38,MATCH("Uplink 2 SFP",SWITCH_TABLE[#Headers],0)),"")</f>
        <v>1G SFP SX</v>
      </c>
      <c r="H38" s="46" t="str">
        <f>IF($J38&lt;&gt;"",INDEX(SWITCH_TABLE[#Data],$J38,MATCH("Device Name",SWITCH_TABLE[#Headers],0)) &amp; " " &amp; INDEX(SWITCH_TABLE[#Data],$J38,MATCH("Uplink Port 2",SWITCH_TABLE[#Headers],0)),"")</f>
        <v>FGHLHN32 gi1/1/2</v>
      </c>
      <c r="J38" s="118">
        <f t="array" ref="J38">_xlfn.IFNA(MATCH(1,(SHEET_NAME=SWITCH_TABLE[Remote Device 2])*(B38=SWITCH_TABLE[Remote Port 2]),0),"")</f>
        <v>43</v>
      </c>
    </row>
    <row r="39" spans="1:10">
      <c r="A39" s="121">
        <f t="shared" si="2"/>
        <v>23</v>
      </c>
      <c r="B39" s="116" t="str">
        <f t="shared" si="0"/>
        <v>twe2/0/23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t="str">
        <f t="shared" si="3"/>
        <v>TRUNK</v>
      </c>
      <c r="E39" s="51" cm="1">
        <f t="array" ref="E39">IF($J39&lt;&gt;"",INDEX(SWITCH_TABLE[#Data],$J39,MATCH("Remote EC",SWITCH_TABLE[#Headers],0)),"")</f>
        <v>23</v>
      </c>
      <c r="F39" s="46"/>
      <c r="G39" s="46" t="str" cm="1">
        <f t="array" ref="G39">IF($J39&lt;&gt;"",INDEX(SWITCH_TABLE[#Data],$J39,MATCH("Uplink 2 SFP",SWITCH_TABLE[#Headers],0)),"")</f>
        <v>1G SFP SX</v>
      </c>
      <c r="H39" s="46" t="str">
        <f>IF($J39&lt;&gt;"",INDEX(SWITCH_TABLE[#Data],$J39,MATCH("Device Name",SWITCH_TABLE[#Headers],0)) &amp; " " &amp; INDEX(SWITCH_TABLE[#Data],$J39,MATCH("Uplink Port 2",SWITCH_TABLE[#Headers],0)),"")</f>
        <v>FGHLHN33 gi1/1/2</v>
      </c>
      <c r="J39" s="118">
        <f t="array" ref="J39">_xlfn.IFNA(MATCH(1,(SHEET_NAME=SWITCH_TABLE[Remote Device 2])*(B39=SWITCH_TABLE[Remote Port 2]),0),"")</f>
        <v>44</v>
      </c>
    </row>
    <row r="40" spans="1:10">
      <c r="A40" s="121">
        <f t="shared" si="2"/>
        <v>24</v>
      </c>
      <c r="B40" s="116" t="str">
        <f t="shared" si="0"/>
        <v>twe2/0/24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>
        <f t="shared" si="3"/>
        <v/>
      </c>
      <c r="E40" s="51" t="str" cm="1">
        <f t="array" ref="E40">IF($J40&lt;&gt;"",INDEX(SWITCH_TABLE[#Data],$J40,MATCH("Remote EC",SWITCH_TABLE[#Headers],0)),"")</f>
        <v/>
      </c>
      <c r="F40" s="46"/>
      <c r="G40" s="46" t="str" cm="1">
        <f t="array" ref="G40">IF($J40&lt;&gt;"",INDEX(SWITCH_TABLE[#Data],$J40,MATCH("Uplink 2 SFP",SWITCH_TABLE[#Headers],0)),"")</f>
        <v/>
      </c>
      <c r="H40" s="46" t="str">
        <f>IF($J40&lt;&gt;"",INDEX(SWITCH_TABLE[#Data],$J40,MATCH("Device Name",SWITCH_TABLE[#Headers],0)) &amp; " " &amp; INDEX(SWITCH_TABLE[#Data],$J40,MATCH("Uplink Port 2",SWITCH_TABLE[#Headers],0)),"")</f>
        <v/>
      </c>
      <c r="J40" s="118" t="str">
        <f t="array" ref="J40">_xlfn.IFNA(MATCH(1,(SHEET_NAME=SWITCH_TABLE[Remote Device 2])*(B40=SWITCH_TABLE[Remote Port 2]),0),"")</f>
        <v/>
      </c>
    </row>
    <row r="41" spans="1:10">
      <c r="A41" s="121">
        <f t="shared" si="2"/>
        <v>25</v>
      </c>
      <c r="B41" s="116" t="str">
        <f t="shared" si="0"/>
        <v>twe2/0/25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>
        <f t="shared" si="3"/>
        <v/>
      </c>
      <c r="E41" s="51" t="str" cm="1">
        <f t="array" ref="E41">IF($J41&lt;&gt;"",INDEX(SWITCH_TABLE[#Data],$J41,MATCH("Remote EC",SWITCH_TABLE[#Headers],0)),"")</f>
        <v/>
      </c>
      <c r="F41" s="46"/>
      <c r="G41" s="46" t="str" cm="1">
        <f t="array" ref="G41">IF($J41&lt;&gt;"",INDEX(SWITCH_TABLE[#Data],$J41,MATCH("Uplink 2 SFP",SWITCH_TABLE[#Headers],0)),"")</f>
        <v/>
      </c>
      <c r="H41" s="46" t="str">
        <f>IF($J41&lt;&gt;"",INDEX(SWITCH_TABLE[#Data],$J41,MATCH("Device Name",SWITCH_TABLE[#Headers],0)) &amp; " " &amp; INDEX(SWITCH_TABLE[#Data],$J41,MATCH("Uplink Port 2",SWITCH_TABLE[#Headers],0)),"")</f>
        <v/>
      </c>
      <c r="J41" s="118" t="str">
        <f t="array" ref="J41">_xlfn.IFNA(MATCH(1,(SHEET_NAME=SWITCH_TABLE[Remote Device 2])*(B41=SWITCH_TABLE[Remote Port 2]),0),"")</f>
        <v/>
      </c>
    </row>
    <row r="42" spans="1:10">
      <c r="A42" s="121">
        <f t="shared" si="2"/>
        <v>26</v>
      </c>
      <c r="B42" s="116" t="str">
        <f t="shared" si="0"/>
        <v>twe2/0/26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>
        <f t="shared" si="3"/>
        <v/>
      </c>
      <c r="E42" s="51" t="str" cm="1">
        <f t="array" ref="E42">IF($J42&lt;&gt;"",INDEX(SWITCH_TABLE[#Data],$J42,MATCH("Remote EC",SWITCH_TABLE[#Headers],0)),"")</f>
        <v/>
      </c>
      <c r="F42" s="46"/>
      <c r="G42" s="46" t="str" cm="1">
        <f t="array" ref="G42">IF($J42&lt;&gt;"",INDEX(SWITCH_TABLE[#Data],$J42,MATCH("Uplink 2 SFP",SWITCH_TABLE[#Headers],0)),"")</f>
        <v/>
      </c>
      <c r="H42" s="46" t="str">
        <f>IF($J42&lt;&gt;"",INDEX(SWITCH_TABLE[#Data],$J42,MATCH("Device Name",SWITCH_TABLE[#Headers],0)) &amp; " " &amp; INDEX(SWITCH_TABLE[#Data],$J42,MATCH("Uplink Port 2",SWITCH_TABLE[#Headers],0)),"")</f>
        <v/>
      </c>
      <c r="J42" s="118" t="str">
        <f t="array" ref="J42">_xlfn.IFNA(MATCH(1,(SHEET_NAME=SWITCH_TABLE[Remote Device 2])*(B42=SWITCH_TABLE[Remote Port 2]),0),"")</f>
        <v/>
      </c>
    </row>
    <row r="43" spans="1:10">
      <c r="A43" s="121">
        <f t="shared" si="2"/>
        <v>27</v>
      </c>
      <c r="B43" s="116" t="str">
        <f t="shared" si="0"/>
        <v>twe2/0/27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46" t="str">
        <f t="shared" si="3"/>
        <v/>
      </c>
      <c r="E43" s="51" t="str" cm="1">
        <f t="array" ref="E43">IF($J43&lt;&gt;"",INDEX(SWITCH_TABLE[#Data],$J43,MATCH("Remote EC",SWITCH_TABLE[#Headers],0)),"")</f>
        <v/>
      </c>
      <c r="F43" s="46"/>
      <c r="G43" s="46" t="str" cm="1">
        <f t="array" ref="G43">IF($J43&lt;&gt;"",INDEX(SWITCH_TABLE[#Data],$J43,MATCH("Uplink 2 SFP",SWITCH_TABLE[#Headers],0)),"")</f>
        <v/>
      </c>
      <c r="H43" s="46" t="str">
        <f>IF($J43&lt;&gt;"",INDEX(SWITCH_TABLE[#Data],$J43,MATCH("Device Name",SWITCH_TABLE[#Headers],0)) &amp; " " &amp; INDEX(SWITCH_TABLE[#Data],$J43,MATCH("Uplink Port 2",SWITCH_TABLE[#Headers],0)),"")</f>
        <v/>
      </c>
      <c r="J43" s="118" t="str">
        <f t="array" ref="J43">_xlfn.IFNA(MATCH(1,(SHEET_NAME=SWITCH_TABLE[Remote Device 2])*(B43=SWITCH_TABLE[Remote Port 2]),0),"")</f>
        <v/>
      </c>
    </row>
    <row r="44" spans="1:10">
      <c r="A44" s="121">
        <f t="shared" si="2"/>
        <v>28</v>
      </c>
      <c r="B44" s="116" t="str">
        <f t="shared" si="0"/>
        <v>twe2/0/28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46" t="str">
        <f t="shared" si="3"/>
        <v/>
      </c>
      <c r="E44" s="51" t="str" cm="1">
        <f t="array" ref="E44">IF($J44&lt;&gt;"",INDEX(SWITCH_TABLE[#Data],$J44,MATCH("Remote EC",SWITCH_TABLE[#Headers],0)),"")</f>
        <v/>
      </c>
      <c r="F44" s="46"/>
      <c r="G44" s="46" t="str" cm="1">
        <f t="array" ref="G44">IF($J44&lt;&gt;"",INDEX(SWITCH_TABLE[#Data],$J44,MATCH("Uplink 2 SFP",SWITCH_TABLE[#Headers],0)),"")</f>
        <v/>
      </c>
      <c r="H44" s="46" t="str">
        <f>IF($J44&lt;&gt;"",INDEX(SWITCH_TABLE[#Data],$J44,MATCH("Device Name",SWITCH_TABLE[#Headers],0)) &amp; " " &amp; INDEX(SWITCH_TABLE[#Data],$J44,MATCH("Uplink Port 2",SWITCH_TABLE[#Headers],0)),"")</f>
        <v/>
      </c>
      <c r="J44" s="118" t="str">
        <f t="array" ref="J44">_xlfn.IFNA(MATCH(1,(SHEET_NAME=SWITCH_TABLE[Remote Device 2])*(B44=SWITCH_TABLE[Remote Port 2]),0),"")</f>
        <v/>
      </c>
    </row>
    <row r="45" spans="1:10">
      <c r="A45" s="121">
        <f t="shared" si="2"/>
        <v>29</v>
      </c>
      <c r="B45" s="116" t="str">
        <f t="shared" si="0"/>
        <v>twe2/0/29</v>
      </c>
      <c r="C45" s="122" t="str" cm="1">
        <f t="array" ref="C45">_xlfn.IFS($B45="","",$B45=$B$71,"reserved",$B45=$B$72,"reserved",$B45=$G$11,"connect",$B45=$G$13,"connect",J45&lt;&gt;"","connect",1=1,"disabled")</f>
        <v>disabled</v>
      </c>
      <c r="D45" s="46" t="str">
        <f t="shared" si="3"/>
        <v/>
      </c>
      <c r="E45" s="51" t="str" cm="1">
        <f t="array" ref="E45">IF($J45&lt;&gt;"",INDEX(SWITCH_TABLE[#Data],$J45,MATCH("Remote EC",SWITCH_TABLE[#Headers],0)),"")</f>
        <v/>
      </c>
      <c r="F45" s="46"/>
      <c r="G45" s="46" t="str" cm="1">
        <f t="array" ref="G45">IF($J45&lt;&gt;"",INDEX(SWITCH_TABLE[#Data],$J45,MATCH("Uplink 2 SFP",SWITCH_TABLE[#Headers],0)),"")</f>
        <v/>
      </c>
      <c r="H45" s="46" t="str">
        <f>IF($J45&lt;&gt;"",INDEX(SWITCH_TABLE[#Data],$J45,MATCH("Device Name",SWITCH_TABLE[#Headers],0)) &amp; " " &amp; INDEX(SWITCH_TABLE[#Data],$J45,MATCH("Uplink Port 2",SWITCH_TABLE[#Headers],0)),"")</f>
        <v/>
      </c>
      <c r="J45" s="118" t="str">
        <f t="array" ref="J45">_xlfn.IFNA(MATCH(1,(SHEET_NAME=SWITCH_TABLE[Remote Device 2])*(B45=SWITCH_TABLE[Remote Port 2]),0),"")</f>
        <v/>
      </c>
    </row>
    <row r="46" spans="1:10">
      <c r="A46" s="121">
        <f t="shared" si="2"/>
        <v>30</v>
      </c>
      <c r="B46" s="116" t="str">
        <f t="shared" si="0"/>
        <v>twe2/0/30</v>
      </c>
      <c r="C46" s="122" t="str" cm="1">
        <f t="array" ref="C46">_xlfn.IFS($B46="","",$B46=$B$71,"reserved",$B46=$B$72,"reserved",$B46=$G$11,"connect",$B46=$G$13,"connect",J46&lt;&gt;"","connect",1=1,"disabled")</f>
        <v>disabled</v>
      </c>
      <c r="D46" s="46" t="str">
        <f t="shared" si="3"/>
        <v/>
      </c>
      <c r="E46" s="51" t="str" cm="1">
        <f t="array" ref="E46">IF($J46&lt;&gt;"",INDEX(SWITCH_TABLE[#Data],$J46,MATCH("Remote EC",SWITCH_TABLE[#Headers],0)),"")</f>
        <v/>
      </c>
      <c r="F46" s="46"/>
      <c r="G46" s="46" t="str" cm="1">
        <f t="array" ref="G46">IF($J46&lt;&gt;"",INDEX(SWITCH_TABLE[#Data],$J46,MATCH("Uplink 2 SFP",SWITCH_TABLE[#Headers],0)),"")</f>
        <v/>
      </c>
      <c r="H46" s="46" t="str">
        <f>IF($J46&lt;&gt;"",INDEX(SWITCH_TABLE[#Data],$J46,MATCH("Device Name",SWITCH_TABLE[#Headers],0)) &amp; " " &amp; INDEX(SWITCH_TABLE[#Data],$J46,MATCH("Uplink Port 2",SWITCH_TABLE[#Headers],0)),"")</f>
        <v/>
      </c>
      <c r="J46" s="118" t="str">
        <f t="array" ref="J46">_xlfn.IFNA(MATCH(1,(SHEET_NAME=SWITCH_TABLE[Remote Device 2])*(B46=SWITCH_TABLE[Remote Port 2]),0),"")</f>
        <v/>
      </c>
    </row>
    <row r="47" spans="1:10">
      <c r="A47" s="121">
        <f t="shared" si="2"/>
        <v>31</v>
      </c>
      <c r="B47" s="116" t="str">
        <f t="shared" si="0"/>
        <v>twe2/0/31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>
        <f t="shared" si="3"/>
        <v/>
      </c>
      <c r="E47" s="51" t="str" cm="1">
        <f t="array" ref="E47">IF($J47&lt;&gt;"",INDEX(SWITCH_TABLE[#Data],$J47,MATCH("Remote EC",SWITCH_TABLE[#Headers],0)),"")</f>
        <v/>
      </c>
      <c r="F47" s="46"/>
      <c r="G47" s="46" t="str" cm="1">
        <f t="array" ref="G47">IF($J47&lt;&gt;"",INDEX(SWITCH_TABLE[#Data],$J47,MATCH("Uplink 2 SFP",SWITCH_TABLE[#Headers],0)),"")</f>
        <v/>
      </c>
      <c r="H47" s="46" t="str">
        <f>IF($J47&lt;&gt;"",INDEX(SWITCH_TABLE[#Data],$J47,MATCH("Device Name",SWITCH_TABLE[#Headers],0)) &amp; " " &amp; INDEX(SWITCH_TABLE[#Data],$J47,MATCH("Uplink Port 2",SWITCH_TABLE[#Headers],0)),"")</f>
        <v/>
      </c>
      <c r="J47" s="118" t="str">
        <f t="array" ref="J47">_xlfn.IFNA(MATCH(1,(SHEET_NAME=SWITCH_TABLE[Remote Device 2])*(B47=SWITCH_TABLE[Remote Port 2]),0),"")</f>
        <v/>
      </c>
    </row>
    <row r="48" spans="1:10">
      <c r="A48" s="121">
        <f t="shared" si="2"/>
        <v>32</v>
      </c>
      <c r="B48" s="116" t="str">
        <f t="shared" si="0"/>
        <v>twe2/0/32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>
        <f t="shared" si="3"/>
        <v/>
      </c>
      <c r="E48" s="51" t="str" cm="1">
        <f t="array" ref="E48">IF($J48&lt;&gt;"",INDEX(SWITCH_TABLE[#Data],$J48,MATCH("Remote EC",SWITCH_TABLE[#Headers],0)),"")</f>
        <v/>
      </c>
      <c r="F48" s="46"/>
      <c r="G48" s="46" t="str" cm="1">
        <f t="array" ref="G48">IF($J48&lt;&gt;"",INDEX(SWITCH_TABLE[#Data],$J48,MATCH("Uplink 2 SFP",SWITCH_TABLE[#Headers],0)),"")</f>
        <v/>
      </c>
      <c r="H48" s="46" t="str">
        <f>IF($J48&lt;&gt;"",INDEX(SWITCH_TABLE[#Data],$J48,MATCH("Device Name",SWITCH_TABLE[#Headers],0)) &amp; " " &amp; INDEX(SWITCH_TABLE[#Data],$J48,MATCH("Uplink Port 2",SWITCH_TABLE[#Headers],0)),"")</f>
        <v/>
      </c>
      <c r="J48" s="118" t="str">
        <f t="array" ref="J48">_xlfn.IFNA(MATCH(1,(SHEET_NAME=SWITCH_TABLE[Remote Device 2])*(B48=SWITCH_TABLE[Remote Port 2]),0),"")</f>
        <v/>
      </c>
    </row>
    <row r="49" spans="1:10">
      <c r="A49" s="121">
        <f t="shared" si="2"/>
        <v>33</v>
      </c>
      <c r="B49" s="116" t="str">
        <f t="shared" si="0"/>
        <v>twe2/0/33</v>
      </c>
      <c r="C49" s="122" t="str" cm="1">
        <f t="array" ref="C49">_xlfn.IFS($B49="","",$B49=$B$71,"reserved",$B49=$B$72,"reserved",$B49=$G$11,"connect",$B49=$G$13,"connect",J49&lt;&gt;"","connect",1=1,"disabled")</f>
        <v>disabled</v>
      </c>
      <c r="D49" s="46" t="str">
        <f t="shared" si="3"/>
        <v/>
      </c>
      <c r="E49" s="51" t="str" cm="1">
        <f t="array" ref="E49">IF($J49&lt;&gt;"",INDEX(SWITCH_TABLE[#Data],$J49,MATCH("Remote EC",SWITCH_TABLE[#Headers],0)),"")</f>
        <v/>
      </c>
      <c r="F49" s="46"/>
      <c r="G49" s="46" t="str" cm="1">
        <f t="array" ref="G49">IF($J49&lt;&gt;"",INDEX(SWITCH_TABLE[#Data],$J49,MATCH("Uplink 2 SFP",SWITCH_TABLE[#Headers],0)),"")</f>
        <v/>
      </c>
      <c r="H49" s="46" t="str">
        <f>IF($J49&lt;&gt;"",INDEX(SWITCH_TABLE[#Data],$J49,MATCH("Device Name",SWITCH_TABLE[#Headers],0)) &amp; " " &amp; INDEX(SWITCH_TABLE[#Data],$J49,MATCH("Uplink Port 2",SWITCH_TABLE[#Headers],0)),"")</f>
        <v/>
      </c>
      <c r="J49" s="118" t="str">
        <f t="array" ref="J49">_xlfn.IFNA(MATCH(1,(SHEET_NAME=SWITCH_TABLE[Remote Device 2])*(B49=SWITCH_TABLE[Remote Port 2]),0),"")</f>
        <v/>
      </c>
    </row>
    <row r="50" spans="1:10">
      <c r="A50" s="121">
        <f t="shared" si="2"/>
        <v>34</v>
      </c>
      <c r="B50" s="116" t="str">
        <f t="shared" si="0"/>
        <v>twe2/0/34</v>
      </c>
      <c r="C50" s="122" t="str" cm="1">
        <f t="array" ref="C50">_xlfn.IFS($B50="","",$B50=$B$71,"reserved",$B50=$B$72,"reserved",$B50=$G$11,"connect",$B50=$G$13,"connect",J50&lt;&gt;"","connect",1=1,"disabled")</f>
        <v>disabled</v>
      </c>
      <c r="D50" s="46" t="str">
        <f t="shared" si="3"/>
        <v/>
      </c>
      <c r="E50" s="51" t="str" cm="1">
        <f t="array" ref="E50">IF($J50&lt;&gt;"",INDEX(SWITCH_TABLE[#Data],$J50,MATCH("Remote EC",SWITCH_TABLE[#Headers],0)),"")</f>
        <v/>
      </c>
      <c r="F50" s="46"/>
      <c r="G50" s="46" t="str" cm="1">
        <f t="array" ref="G50">IF($J50&lt;&gt;"",INDEX(SWITCH_TABLE[#Data],$J50,MATCH("Uplink 2 SFP",SWITCH_TABLE[#Headers],0)),"")</f>
        <v/>
      </c>
      <c r="H50" s="46" t="str">
        <f>IF($J50&lt;&gt;"",INDEX(SWITCH_TABLE[#Data],$J50,MATCH("Device Name",SWITCH_TABLE[#Headers],0)) &amp; " " &amp; INDEX(SWITCH_TABLE[#Data],$J50,MATCH("Uplink Port 2",SWITCH_TABLE[#Headers],0)),"")</f>
        <v/>
      </c>
      <c r="J50" s="118" t="str">
        <f t="array" ref="J50">_xlfn.IFNA(MATCH(1,(SHEET_NAME=SWITCH_TABLE[Remote Device 2])*(B50=SWITCH_TABLE[Remote Port 2]),0),"")</f>
        <v/>
      </c>
    </row>
    <row r="51" spans="1:10">
      <c r="A51" s="121">
        <f t="shared" si="2"/>
        <v>35</v>
      </c>
      <c r="B51" s="116" t="str">
        <f t="shared" si="0"/>
        <v>twe2/0/35</v>
      </c>
      <c r="C51" s="122" t="str" cm="1">
        <f t="array" ref="C51">_xlfn.IFS($B51="","",$B51=$B$71,"reserved",$B51=$B$72,"reserved",$B51=$G$11,"connect",$B51=$G$13,"connect",J51&lt;&gt;"","connect",1=1,"disabled")</f>
        <v>disabled</v>
      </c>
      <c r="D51" s="46" t="str">
        <f t="shared" si="3"/>
        <v/>
      </c>
      <c r="E51" s="51" t="str" cm="1">
        <f t="array" ref="E51">IF($J51&lt;&gt;"",INDEX(SWITCH_TABLE[#Data],$J51,MATCH("Remote EC",SWITCH_TABLE[#Headers],0)),"")</f>
        <v/>
      </c>
      <c r="F51" s="46"/>
      <c r="G51" s="46" t="str" cm="1">
        <f t="array" ref="G51">IF($J51&lt;&gt;"",INDEX(SWITCH_TABLE[#Data],$J51,MATCH("Uplink 2 SFP",SWITCH_TABLE[#Headers],0)),"")</f>
        <v/>
      </c>
      <c r="H51" s="46" t="str">
        <f>IF($J51&lt;&gt;"",INDEX(SWITCH_TABLE[#Data],$J51,MATCH("Device Name",SWITCH_TABLE[#Headers],0)) &amp; " " &amp; INDEX(SWITCH_TABLE[#Data],$J51,MATCH("Uplink Port 2",SWITCH_TABLE[#Headers],0)),"")</f>
        <v/>
      </c>
      <c r="J51" s="118" t="str">
        <f t="array" ref="J51">_xlfn.IFNA(MATCH(1,(SHEET_NAME=SWITCH_TABLE[Remote Device 2])*(B51=SWITCH_TABLE[Remote Port 2]),0),"")</f>
        <v/>
      </c>
    </row>
    <row r="52" spans="1:10">
      <c r="A52" s="121">
        <f t="shared" si="2"/>
        <v>36</v>
      </c>
      <c r="B52" s="116" t="str">
        <f t="shared" si="0"/>
        <v>twe2/0/36</v>
      </c>
      <c r="C52" s="122" t="str" cm="1">
        <f t="array" ref="C52">_xlfn.IFS($B52="","",$B52=$B$71,"reserved",$B52=$B$72,"reserved",$B52=$G$11,"connect",$B52=$G$13,"connect",J52&lt;&gt;"","connect",1=1,"disabled")</f>
        <v>disabled</v>
      </c>
      <c r="D52" s="46" t="str">
        <f t="shared" si="3"/>
        <v/>
      </c>
      <c r="E52" s="51" t="str" cm="1">
        <f t="array" ref="E52">IF($J52&lt;&gt;"",INDEX(SWITCH_TABLE[#Data],$J52,MATCH("Remote EC",SWITCH_TABLE[#Headers],0)),"")</f>
        <v/>
      </c>
      <c r="F52" s="46"/>
      <c r="G52" s="46" t="str" cm="1">
        <f t="array" ref="G52">IF($J52&lt;&gt;"",INDEX(SWITCH_TABLE[#Data],$J52,MATCH("Uplink 2 SFP",SWITCH_TABLE[#Headers],0)),"")</f>
        <v/>
      </c>
      <c r="H52" s="46" t="str">
        <f>IF($J52&lt;&gt;"",INDEX(SWITCH_TABLE[#Data],$J52,MATCH("Device Name",SWITCH_TABLE[#Headers],0)) &amp; " " &amp; INDEX(SWITCH_TABLE[#Data],$J52,MATCH("Uplink Port 2",SWITCH_TABLE[#Headers],0)),"")</f>
        <v/>
      </c>
      <c r="J52" s="118" t="str">
        <f t="array" ref="J52">_xlfn.IFNA(MATCH(1,(SHEET_NAME=SWITCH_TABLE[Remote Device 2])*(B52=SWITCH_TABLE[Remote Port 2]),0),"")</f>
        <v/>
      </c>
    </row>
    <row r="53" spans="1:10">
      <c r="A53" s="121">
        <f t="shared" si="2"/>
        <v>37</v>
      </c>
      <c r="B53" s="116" t="str">
        <f t="shared" si="0"/>
        <v>twe2/0/37</v>
      </c>
      <c r="C53" s="122" t="str" cm="1">
        <f t="array" ref="C53">_xlfn.IFS($B53="","",$B53=$B$71,"reserved",$B53=$B$72,"reserved",$B53=$G$11,"connect",$B53=$G$13,"connect",J53&lt;&gt;"","connect",1=1,"disabled")</f>
        <v>disabled</v>
      </c>
      <c r="D53" s="46" t="str">
        <f t="shared" si="3"/>
        <v/>
      </c>
      <c r="E53" s="51" t="str" cm="1">
        <f t="array" ref="E53">IF($J53&lt;&gt;"",INDEX(SWITCH_TABLE[#Data],$J53,MATCH("Remote EC",SWITCH_TABLE[#Headers],0)),"")</f>
        <v/>
      </c>
      <c r="F53" s="46"/>
      <c r="G53" s="46" t="str" cm="1">
        <f t="array" ref="G53">IF($J53&lt;&gt;"",INDEX(SWITCH_TABLE[#Data],$J53,MATCH("Uplink 2 SFP",SWITCH_TABLE[#Headers],0)),"")</f>
        <v/>
      </c>
      <c r="H53" s="46" t="str">
        <f>IF($J53&lt;&gt;"",INDEX(SWITCH_TABLE[#Data],$J53,MATCH("Device Name",SWITCH_TABLE[#Headers],0)) &amp; " " &amp; INDEX(SWITCH_TABLE[#Data],$J53,MATCH("Uplink Port 2",SWITCH_TABLE[#Headers],0)),"")</f>
        <v/>
      </c>
      <c r="J53" s="118" t="str">
        <f t="array" ref="J53">_xlfn.IFNA(MATCH(1,(SHEET_NAME=SWITCH_TABLE[Remote Device 2])*(B53=SWITCH_TABLE[Remote Port 2]),0),"")</f>
        <v/>
      </c>
    </row>
    <row r="54" spans="1:10">
      <c r="A54" s="121">
        <f t="shared" si="2"/>
        <v>38</v>
      </c>
      <c r="B54" s="116" t="str">
        <f t="shared" si="0"/>
        <v>twe2/0/38</v>
      </c>
      <c r="C54" s="122" t="str" cm="1">
        <f t="array" ref="C54">_xlfn.IFS($B54="","",$B54=$B$71,"reserved",$B54=$B$72,"reserved",$B54=$G$11,"connect",$B54=$G$13,"connect",J54&lt;&gt;"","connect",1=1,"disabled")</f>
        <v>disabled</v>
      </c>
      <c r="D54" s="46" t="str">
        <f t="shared" si="3"/>
        <v/>
      </c>
      <c r="E54" s="51" t="str" cm="1">
        <f t="array" ref="E54">IF($J54&lt;&gt;"",INDEX(SWITCH_TABLE[#Data],$J54,MATCH("Remote EC",SWITCH_TABLE[#Headers],0)),"")</f>
        <v/>
      </c>
      <c r="F54" s="46"/>
      <c r="G54" s="46" t="str" cm="1">
        <f t="array" ref="G54">IF($J54&lt;&gt;"",INDEX(SWITCH_TABLE[#Data],$J54,MATCH("Uplink 2 SFP",SWITCH_TABLE[#Headers],0)),"")</f>
        <v/>
      </c>
      <c r="H54" s="46" t="str">
        <f>IF($J54&lt;&gt;"",INDEX(SWITCH_TABLE[#Data],$J54,MATCH("Device Name",SWITCH_TABLE[#Headers],0)) &amp; " " &amp; INDEX(SWITCH_TABLE[#Data],$J54,MATCH("Uplink Port 2",SWITCH_TABLE[#Headers],0)),"")</f>
        <v/>
      </c>
      <c r="J54" s="118" t="str">
        <f t="array" ref="J54">_xlfn.IFNA(MATCH(1,(SHEET_NAME=SWITCH_TABLE[Remote Device 2])*(B54=SWITCH_TABLE[Remote Port 2]),0),"")</f>
        <v/>
      </c>
    </row>
    <row r="55" spans="1:10">
      <c r="A55" s="121">
        <f t="shared" si="2"/>
        <v>39</v>
      </c>
      <c r="B55" s="116" t="str">
        <f t="shared" si="0"/>
        <v>twe2/0/39</v>
      </c>
      <c r="C55" s="122" t="str" cm="1">
        <f t="array" ref="C55">_xlfn.IFS($B55="","",$B55=$B$71,"reserved",$B55=$B$72,"reserved",$B55=$G$11,"connect",$B55=$G$13,"connect",J55&lt;&gt;"","connect",1=1,"disabled")</f>
        <v>disabled</v>
      </c>
      <c r="D55" s="46" t="str">
        <f t="shared" si="3"/>
        <v/>
      </c>
      <c r="E55" s="51" t="str" cm="1">
        <f t="array" ref="E55">IF($J55&lt;&gt;"",INDEX(SWITCH_TABLE[#Data],$J55,MATCH("Remote EC",SWITCH_TABLE[#Headers],0)),"")</f>
        <v/>
      </c>
      <c r="F55" s="46"/>
      <c r="G55" s="46" t="str" cm="1">
        <f t="array" ref="G55">IF($J55&lt;&gt;"",INDEX(SWITCH_TABLE[#Data],$J55,MATCH("Uplink 2 SFP",SWITCH_TABLE[#Headers],0)),"")</f>
        <v/>
      </c>
      <c r="H55" s="46" t="str">
        <f>IF($J55&lt;&gt;"",INDEX(SWITCH_TABLE[#Data],$J55,MATCH("Device Name",SWITCH_TABLE[#Headers],0)) &amp; " " &amp; INDEX(SWITCH_TABLE[#Data],$J55,MATCH("Uplink Port 2",SWITCH_TABLE[#Headers],0)),"")</f>
        <v/>
      </c>
      <c r="J55" s="118" t="str">
        <f t="array" ref="J55">_xlfn.IFNA(MATCH(1,(SHEET_NAME=SWITCH_TABLE[Remote Device 2])*(B55=SWITCH_TABLE[Remote Port 2]),0),"")</f>
        <v/>
      </c>
    </row>
    <row r="56" spans="1:10">
      <c r="A56" s="121">
        <f t="shared" si="2"/>
        <v>40</v>
      </c>
      <c r="B56" s="116" t="str">
        <f t="shared" si="0"/>
        <v>twe2/0/40</v>
      </c>
      <c r="C56" s="122" t="str" cm="1">
        <f t="array" ref="C56">_xlfn.IFS($B56="","",$B56=$B$71,"reserved",$B56=$B$72,"reserved",$B56=$G$11,"connect",$B56=$G$13,"connect",J56&lt;&gt;"","connect",1=1,"disabled")</f>
        <v>disabled</v>
      </c>
      <c r="D56" s="46" t="str">
        <f t="shared" si="3"/>
        <v/>
      </c>
      <c r="E56" s="51" t="str" cm="1">
        <f t="array" ref="E56">IF($J56&lt;&gt;"",INDEX(SWITCH_TABLE[#Data],$J56,MATCH("Remote EC",SWITCH_TABLE[#Headers],0)),"")</f>
        <v/>
      </c>
      <c r="F56" s="46"/>
      <c r="G56" s="46" t="str" cm="1">
        <f t="array" ref="G56">IF($J56&lt;&gt;"",INDEX(SWITCH_TABLE[#Data],$J56,MATCH("Uplink 2 SFP",SWITCH_TABLE[#Headers],0)),"")</f>
        <v/>
      </c>
      <c r="H56" s="46" t="str">
        <f>IF($J56&lt;&gt;"",INDEX(SWITCH_TABLE[#Data],$J56,MATCH("Device Name",SWITCH_TABLE[#Headers],0)) &amp; " " &amp; INDEX(SWITCH_TABLE[#Data],$J56,MATCH("Uplink Port 2",SWITCH_TABLE[#Headers],0)),"")</f>
        <v/>
      </c>
      <c r="J56" s="118" t="str">
        <f t="array" ref="J56">_xlfn.IFNA(MATCH(1,(SHEET_NAME=SWITCH_TABLE[Remote Device 2])*(B56=SWITCH_TABLE[Remote Port 2]),0),"")</f>
        <v/>
      </c>
    </row>
    <row r="57" spans="1:10">
      <c r="A57" s="121">
        <f t="shared" si="2"/>
        <v>41</v>
      </c>
      <c r="B57" s="116" t="str">
        <f t="shared" si="0"/>
        <v>twe2/0/41</v>
      </c>
      <c r="C57" s="122" t="str" cm="1">
        <f t="array" ref="C57">_xlfn.IFS($B57="","",$B57=$B$71,"reserved",$B57=$B$72,"reserved",$B57=$G$11,"connect",$B57=$G$13,"connect",J57&lt;&gt;"","connect",1=1,"disabled")</f>
        <v>disabled</v>
      </c>
      <c r="D57" s="46" t="str">
        <f t="shared" si="3"/>
        <v/>
      </c>
      <c r="E57" s="51" t="str" cm="1">
        <f t="array" ref="E57">IF($J57&lt;&gt;"",INDEX(SWITCH_TABLE[#Data],$J57,MATCH("Remote EC",SWITCH_TABLE[#Headers],0)),"")</f>
        <v/>
      </c>
      <c r="F57" s="46"/>
      <c r="G57" s="46" t="str" cm="1">
        <f t="array" ref="G57">IF($J57&lt;&gt;"",INDEX(SWITCH_TABLE[#Data],$J57,MATCH("Uplink 2 SFP",SWITCH_TABLE[#Headers],0)),"")</f>
        <v/>
      </c>
      <c r="H57" s="46" t="str">
        <f>IF($J57&lt;&gt;"",INDEX(SWITCH_TABLE[#Data],$J57,MATCH("Device Name",SWITCH_TABLE[#Headers],0)) &amp; " " &amp; INDEX(SWITCH_TABLE[#Data],$J57,MATCH("Uplink Port 2",SWITCH_TABLE[#Headers],0)),"")</f>
        <v/>
      </c>
      <c r="J57" s="118" t="str">
        <f t="array" ref="J57">_xlfn.IFNA(MATCH(1,(SHEET_NAME=SWITCH_TABLE[Remote Device 2])*(B57=SWITCH_TABLE[Remote Port 2]),0),"")</f>
        <v/>
      </c>
    </row>
    <row r="58" spans="1:10">
      <c r="A58" s="121">
        <f t="shared" si="2"/>
        <v>42</v>
      </c>
      <c r="B58" s="116" t="str">
        <f t="shared" si="0"/>
        <v>twe2/0/42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46" t="str">
        <f t="shared" si="3"/>
        <v/>
      </c>
      <c r="E58" s="51" t="str" cm="1">
        <f t="array" ref="E58">IF($J58&lt;&gt;"",INDEX(SWITCH_TABLE[#Data],$J58,MATCH("Remote EC",SWITCH_TABLE[#Headers],0)),"")</f>
        <v/>
      </c>
      <c r="F58" s="46"/>
      <c r="G58" s="46" t="str" cm="1">
        <f t="array" ref="G58">IF($J58&lt;&gt;"",INDEX(SWITCH_TABLE[#Data],$J58,MATCH("Uplink 2 SFP",SWITCH_TABLE[#Headers],0)),"")</f>
        <v/>
      </c>
      <c r="H58" s="46" t="str">
        <f>IF($J58&lt;&gt;"",INDEX(SWITCH_TABLE[#Data],$J58,MATCH("Device Name",SWITCH_TABLE[#Headers],0)) &amp; " " &amp; INDEX(SWITCH_TABLE[#Data],$J58,MATCH("Uplink Port 2",SWITCH_TABLE[#Headers],0)),"")</f>
        <v/>
      </c>
      <c r="J58" s="118" t="str">
        <f t="array" ref="J58">_xlfn.IFNA(MATCH(1,(SHEET_NAME=SWITCH_TABLE[Remote Device 2])*(B58=SWITCH_TABLE[Remote Port 2]),0),"")</f>
        <v/>
      </c>
    </row>
    <row r="59" spans="1:10">
      <c r="A59" s="121">
        <f t="shared" si="2"/>
        <v>43</v>
      </c>
      <c r="B59" s="116" t="str">
        <f t="shared" si="0"/>
        <v>twe2/0/43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46" t="str">
        <f t="shared" si="3"/>
        <v/>
      </c>
      <c r="E59" s="51" t="str" cm="1">
        <f t="array" ref="E59">IF($J59&lt;&gt;"",INDEX(SWITCH_TABLE[#Data],$J59,MATCH("Remote EC",SWITCH_TABLE[#Headers],0)),"")</f>
        <v/>
      </c>
      <c r="F59" s="46"/>
      <c r="G59" s="46" t="str" cm="1">
        <f t="array" ref="G59">IF($J59&lt;&gt;"",INDEX(SWITCH_TABLE[#Data],$J59,MATCH("Uplink 2 SFP",SWITCH_TABLE[#Headers],0)),"")</f>
        <v/>
      </c>
      <c r="H59" s="46" t="str">
        <f>IF($J59&lt;&gt;"",INDEX(SWITCH_TABLE[#Data],$J59,MATCH("Device Name",SWITCH_TABLE[#Headers],0)) &amp; " " &amp; INDEX(SWITCH_TABLE[#Data],$J59,MATCH("Uplink Port 2",SWITCH_TABLE[#Headers],0)),"")</f>
        <v/>
      </c>
      <c r="J59" s="118" t="str">
        <f t="array" ref="J59">_xlfn.IFNA(MATCH(1,(SHEET_NAME=SWITCH_TABLE[Remote Device 2])*(B59=SWITCH_TABLE[Remote Port 2]),0),"")</f>
        <v/>
      </c>
    </row>
    <row r="60" spans="1:10">
      <c r="A60" s="121">
        <f t="shared" si="2"/>
        <v>44</v>
      </c>
      <c r="B60" s="116" t="str">
        <f t="shared" si="0"/>
        <v>twe2/0/44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46" t="str">
        <f t="shared" si="3"/>
        <v/>
      </c>
      <c r="E60" s="51" t="str" cm="1">
        <f t="array" ref="E60">IF($J60&lt;&gt;"",INDEX(SWITCH_TABLE[#Data],$J60,MATCH("Remote EC",SWITCH_TABLE[#Headers],0)),"")</f>
        <v/>
      </c>
      <c r="F60" s="46"/>
      <c r="G60" s="46" t="str" cm="1">
        <f t="array" ref="G60">IF($J60&lt;&gt;"",INDEX(SWITCH_TABLE[#Data],$J60,MATCH("Uplink 2 SFP",SWITCH_TABLE[#Headers],0)),"")</f>
        <v/>
      </c>
      <c r="H60" s="46" t="str">
        <f>IF($J60&lt;&gt;"",INDEX(SWITCH_TABLE[#Data],$J60,MATCH("Device Name",SWITCH_TABLE[#Headers],0)) &amp; " " &amp; INDEX(SWITCH_TABLE[#Data],$J60,MATCH("Uplink Port 2",SWITCH_TABLE[#Headers],0)),"")</f>
        <v/>
      </c>
      <c r="J60" s="118" t="str">
        <f t="array" ref="J60">_xlfn.IFNA(MATCH(1,(SHEET_NAME=SWITCH_TABLE[Remote Device 2])*(B60=SWITCH_TABLE[Remote Port 2]),0),"")</f>
        <v/>
      </c>
    </row>
    <row r="61" spans="1:10">
      <c r="A61" s="121">
        <f t="shared" si="2"/>
        <v>45</v>
      </c>
      <c r="B61" s="116" t="str">
        <f t="shared" si="0"/>
        <v>twe2/0/45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>
        <f t="shared" si="3"/>
        <v/>
      </c>
      <c r="E61" s="51" t="str" cm="1">
        <f t="array" ref="E61">IF($J61&lt;&gt;"",INDEX(SWITCH_TABLE[#Data],$J61,MATCH("Remote EC",SWITCH_TABLE[#Headers],0)),"")</f>
        <v/>
      </c>
      <c r="F61" s="46"/>
      <c r="G61" s="46" t="str" cm="1">
        <f t="array" ref="G61">IF($J61&lt;&gt;"",INDEX(SWITCH_TABLE[#Data],$J61,MATCH("Uplink 2 SFP",SWITCH_TABLE[#Headers],0)),"")</f>
        <v/>
      </c>
      <c r="H61" s="46" t="str">
        <f>IF($J61&lt;&gt;"",INDEX(SWITCH_TABLE[#Data],$J61,MATCH("Device Name",SWITCH_TABLE[#Headers],0)) &amp; " " &amp; INDEX(SWITCH_TABLE[#Data],$J61,MATCH("Uplink Port 2",SWITCH_TABLE[#Headers],0)),"")</f>
        <v/>
      </c>
      <c r="J61" s="118" t="str">
        <f t="array" ref="J61">_xlfn.IFNA(MATCH(1,(SHEET_NAME=SWITCH_TABLE[Remote Device 2])*(B61=SWITCH_TABLE[Remote Port 2]),0),"")</f>
        <v/>
      </c>
    </row>
    <row r="62" spans="1:10">
      <c r="A62" s="121">
        <f t="shared" si="2"/>
        <v>46</v>
      </c>
      <c r="B62" s="116" t="str">
        <f t="shared" si="0"/>
        <v>twe2/0/46</v>
      </c>
      <c r="C62" s="122" t="str" cm="1">
        <f t="array" ref="C62">_xlfn.IFS($B62="","",$B62=$B$71,"reserved",$B62=$B$72,"reserved",$B62=$G$11,"connect",$B62=$G$13,"connect",J62&lt;&gt;"","connect",1=1,"disabled")</f>
        <v>disabled</v>
      </c>
      <c r="D62" s="46" t="str">
        <f t="shared" si="3"/>
        <v/>
      </c>
      <c r="E62" s="51" t="str" cm="1">
        <f t="array" ref="E62">IF($J62&lt;&gt;"",INDEX(SWITCH_TABLE[#Data],$J62,MATCH("Remote EC",SWITCH_TABLE[#Headers],0)),"")</f>
        <v/>
      </c>
      <c r="F62" s="46"/>
      <c r="G62" s="46" t="str" cm="1">
        <f t="array" ref="G62">IF($J62&lt;&gt;"",INDEX(SWITCH_TABLE[#Data],$J62,MATCH("Uplink 2 SFP",SWITCH_TABLE[#Headers],0)),"")</f>
        <v/>
      </c>
      <c r="H62" s="46" t="str">
        <f>IF($J62&lt;&gt;"",INDEX(SWITCH_TABLE[#Data],$J62,MATCH("Device Name",SWITCH_TABLE[#Headers],0)) &amp; " " &amp; INDEX(SWITCH_TABLE[#Data],$J62,MATCH("Uplink Port 2",SWITCH_TABLE[#Headers],0)),"")</f>
        <v/>
      </c>
      <c r="J62" s="118" t="str">
        <f t="array" ref="J62">_xlfn.IFNA(MATCH(1,(SHEET_NAME=SWITCH_TABLE[Remote Device 2])*(B62=SWITCH_TABLE[Remote Port 2]),0),"")</f>
        <v/>
      </c>
    </row>
    <row r="63" spans="1:10">
      <c r="A63" s="121">
        <f t="shared" si="2"/>
        <v>47</v>
      </c>
      <c r="B63" s="116" t="str">
        <f t="shared" si="0"/>
        <v>twe2/0/47</v>
      </c>
      <c r="C63" s="122" t="str" cm="1">
        <f t="array" ref="C63">_xlfn.IFS($B63="","",$B63=$B$71,"reserved",$B63=$B$72,"reserved",$B63=$G$11,"connect",$B63=$G$13,"connect",J63&lt;&gt;"","connect",1=1,"disabled")</f>
        <v>disabled</v>
      </c>
      <c r="D63" s="46" t="str">
        <f t="shared" si="3"/>
        <v/>
      </c>
      <c r="E63" s="51" t="str" cm="1">
        <f t="array" ref="E63">IF($J63&lt;&gt;"",INDEX(SWITCH_TABLE[#Data],$J63,MATCH("Remote EC",SWITCH_TABLE[#Headers],0)),"")</f>
        <v/>
      </c>
      <c r="F63" s="46"/>
      <c r="G63" s="46" t="str" cm="1">
        <f t="array" ref="G63">IF($J63&lt;&gt;"",INDEX(SWITCH_TABLE[#Data],$J63,MATCH("Uplink 2 SFP",SWITCH_TABLE[#Headers],0)),"")</f>
        <v/>
      </c>
      <c r="H63" s="46" t="str">
        <f>IF($J63&lt;&gt;"",INDEX(SWITCH_TABLE[#Data],$J63,MATCH("Device Name",SWITCH_TABLE[#Headers],0)) &amp; " " &amp; INDEX(SWITCH_TABLE[#Data],$J63,MATCH("Uplink Port 2",SWITCH_TABLE[#Headers],0)),"")</f>
        <v/>
      </c>
      <c r="J63" s="118" t="str">
        <f t="array" ref="J63">_xlfn.IFNA(MATCH(1,(SHEET_NAME=SWITCH_TABLE[Remote Device 2])*(B63=SWITCH_TABLE[Remote Port 2]),0),"")</f>
        <v/>
      </c>
    </row>
    <row r="64" spans="1:10">
      <c r="A64" s="121">
        <f t="shared" si="2"/>
        <v>48</v>
      </c>
      <c r="B64" s="116" t="str">
        <f t="shared" si="0"/>
        <v>twe2/0/48</v>
      </c>
      <c r="C64" s="122" t="str" cm="1">
        <f t="array" ref="C64">_xlfn.IFS($B64="","",$B64=$B$71,"reserved",$B64=$B$72,"reserved",$B64=$G$11,"connect",$B64=$G$13,"connect",J64&lt;&gt;"","connect",1=1,"disabled")</f>
        <v>disabled</v>
      </c>
      <c r="D64" s="46" t="str">
        <f t="shared" si="3"/>
        <v/>
      </c>
      <c r="E64" s="51" t="str" cm="1">
        <f t="array" ref="E64">IF($J64&lt;&gt;"",INDEX(SWITCH_TABLE[#Data],$J64,MATCH("Remote EC",SWITCH_TABLE[#Headers],0)),"")</f>
        <v/>
      </c>
      <c r="F64" s="46"/>
      <c r="G64" s="46" t="str" cm="1">
        <f t="array" ref="G64">IF($J64&lt;&gt;"",INDEX(SWITCH_TABLE[#Data],$J64,MATCH("Uplink 2 SFP",SWITCH_TABLE[#Headers],0)),"")</f>
        <v/>
      </c>
      <c r="H64" s="46" t="str">
        <f>IF($J64&lt;&gt;"",INDEX(SWITCH_TABLE[#Data],$J64,MATCH("Device Name",SWITCH_TABLE[#Headers],0)) &amp; " " &amp; INDEX(SWITCH_TABLE[#Data],$J64,MATCH("Uplink Port 2",SWITCH_TABLE[#Headers],0)),"")</f>
        <v/>
      </c>
      <c r="J64" s="118" t="str">
        <f t="array" ref="J64">_xlfn.IFNA(MATCH(1,(SHEET_NAME=SWITCH_TABLE[Remote Device 2])*(B64=SWITCH_TABLE[Remote Port 2]),0),"")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f>VLOOKUP($H$1,MODEL_TABLE[#Data],MATCH("Uplink Port",MODEL_TABLE[#Headers],0),FALSE)-1</f>
        <v>48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4">ROW(A68)-ROW($A$67)+$A$67</f>
        <v>49</v>
      </c>
      <c r="B68" s="116" t="str">
        <f t="shared" ref="B68:B75" si="5">IF(A68&gt;$C$8+$A$67,"",$D$8&amp;$C$11&amp;"/0/"&amp;A68)</f>
        <v>hu2/0/49</v>
      </c>
      <c r="C68" s="122" t="str" cm="1">
        <f t="array" ref="C68">_xlfn.IFS($B68="","",$B68=$B$79,"reserved",$B68=$B$80,"reserved",$B68=$G$11,"connect",$B68=$G$13,"connect",1=1,"disabled")</f>
        <v>connect</v>
      </c>
      <c r="D68" s="191" t="str" cm="1">
        <f t="array" ref="D68">_xlfn.IFS($B68="","",$B68=$G$11,"TRUNK",$B68=$G$13,"TRUNK",1=1,"")</f>
        <v>TRUNK</v>
      </c>
      <c r="E68" s="190" cm="1">
        <f t="array" ref="E68">_xlfn.IFS($B68="","",OR($B68=$G$11,$B68=$G$13),INDEX(SWITCH_TABLE[#Data],$H$3,MATCH("Local EC",SWITCH_TABLE[#Headers],0)),1=1,"")</f>
        <v>49</v>
      </c>
      <c r="F68" s="191" t="str" cm="1">
        <f t="array" ref="F68">_xlfn.IFS($B68="","",$B68=$G$11,"Uplink Port 1",$B68=$G$13,"Uplink Port 2",$B68=$B$79,"Stack Port 1",$B68=$B$80,"Stack Port 2",1=1,"")</f>
        <v>Uplink Port 2</v>
      </c>
      <c r="G68" s="191" t="str" cm="1">
        <f t="array" ref="G68">_xlfn.IFS($B68="","",$B68=$G$11,$H$11,$B68=$G$13,$H$13,1=1,"")</f>
        <v>100G QSFP MPO</v>
      </c>
      <c r="H68" s="191" t="str" cm="1">
        <f t="array" ref="H68">_xlfn.IFS($B68="","",$B68=$G$11,$G$12&amp;" "&amp;H12,$B68=$G$13,$G$14&amp;" "&amp;$H$14,1=1,"")</f>
        <v>FGHLHN01-2 hu2/0/42</v>
      </c>
      <c r="J68" s="118" t="str">
        <f t="array" ref="J68">_xlfn.IFNA(MATCH(1,(SHEET_NAME=SWITCH_TABLE[Remote Device 2])*(B68=SWITCH_TABLE[Remote Port 2]),0),"")</f>
        <v/>
      </c>
    </row>
    <row r="69" spans="1:10">
      <c r="A69" s="121">
        <f t="shared" si="4"/>
        <v>50</v>
      </c>
      <c r="B69" s="116" t="str">
        <f t="shared" si="5"/>
        <v>hu2/0/50</v>
      </c>
      <c r="C69" s="122" t="str" cm="1">
        <f t="array" ref="C69">_xlfn.IFS($B69="","",$B69=$B$79,"reserved",$B69=$B$80,"reserved",$B69=$G$11,"connect",$B69=$G$13,"connect",1=1,"disabled")</f>
        <v>disabled</v>
      </c>
      <c r="D69" s="191" t="str" cm="1">
        <f t="array" ref="D69">_xlfn.IFS($B69="","",$B69=$G$11,"TRUNK",$B69=$G$13,"TRUNK",1=1,"")</f>
        <v/>
      </c>
      <c r="E69" s="190" t="str" cm="1">
        <f t="array" ref="E69">_xlfn.IFS($B69="","",OR($B69=$G$11,$B69=$G$13),INDEX(SWITCH_TABLE[#Data],$H$3,MATCH("Local EC",SWITCH_TABLE[#Headers],0)),1=1,"")</f>
        <v/>
      </c>
      <c r="F69" s="191" t="str" cm="1">
        <f t="array" ref="F69">_xlfn.IFS($B69="","",$B69=$G$11,"Uplink Port 1",$B69=$G$13,"Uplink Port 2",$B69=$B$79,"Stack Port 1",$B69=$B$80,"Stack Port 2",1=1,"")</f>
        <v/>
      </c>
      <c r="G69" s="191" t="str" cm="1">
        <f t="array" ref="G69">_xlfn.IFS($B69="","",$B69=$G$11,$H$11,$B69=$G$13,$H$13,1=1,"")</f>
        <v/>
      </c>
      <c r="H69" s="191" t="str" cm="1">
        <f t="array" ref="H69">_xlfn.IFS($B69="","",$B69=$G$11,$G$12&amp;" "&amp;H13,$B69=$G$13,$G$14&amp;" "&amp;$H$14,1=1,"")</f>
        <v/>
      </c>
      <c r="J69" s="118" t="str">
        <f t="array" ref="J69">_xlfn.IFNA(MATCH(1,(SHEET_NAME=SWITCH_TABLE[Remote Device 2])*(B69=SWITCH_TABLE[Remote Port 2]),0),"")</f>
        <v/>
      </c>
    </row>
    <row r="70" spans="1:10">
      <c r="A70" s="121">
        <f t="shared" si="4"/>
        <v>51</v>
      </c>
      <c r="B70" s="116" t="str">
        <f t="shared" si="5"/>
        <v>hu2/0/51</v>
      </c>
      <c r="C70" s="122" t="str" cm="1">
        <f t="array" ref="C70">_xlfn.IFS($B70="","",$B70=$B$79,"reserved",$B70=$B$80,"reserved",$B70=$G$11,"connect",$B70=$G$13,"connect",1=1,"disabled")</f>
        <v>reserved</v>
      </c>
      <c r="D70" s="191" t="str" cm="1">
        <f t="array" ref="D70">_xlfn.IFS($B70="","",$B70=$G$11,"TRUNK",$B70=$G$13,"TRUNK",1=1,"")</f>
        <v/>
      </c>
      <c r="E70" s="190" t="str" cm="1">
        <f t="array" ref="E70">_xlfn.IFS($B70="","",OR($B70=$G$11,$B70=$G$13),INDEX(SWITCH_TABLE[#Data],$H$3,MATCH("Local EC",SWITCH_TABLE[#Headers],0)),1=1,"")</f>
        <v/>
      </c>
      <c r="F70" s="191" t="str" cm="1">
        <f t="array" ref="F70">_xlfn.IFS($B70="","",$B70=$G$11,"Uplink Port 1",$B70=$G$13,"Uplink Port 2",$B70=$B$79,"Stack Port 1",$B70=$B$80,"Stack Port 2",1=1,"")</f>
        <v>Stack Port 1</v>
      </c>
      <c r="G70" s="191" t="str" cm="1">
        <f t="array" ref="G70">_xlfn.IFS($B70="","",$B70=$G$11,$H$11,$B70=$G$13,$H$13,1=1,"")</f>
        <v/>
      </c>
      <c r="H70" s="191" t="str" cm="1">
        <f t="array" ref="H70">_xlfn.IFS($B70="","",$B70=$G$11,$G$12&amp;" "&amp;H14,$B70=$G$13,$G$14&amp;" "&amp;$H$14,1=1,"")</f>
        <v/>
      </c>
      <c r="J70" s="118" t="str">
        <f t="array" ref="J70">_xlfn.IFNA(MATCH(1,(SHEET_NAME=SWITCH_TABLE[Remote Device 2])*(B70=SWITCH_TABLE[Remote Port 2]),0),"")</f>
        <v/>
      </c>
    </row>
    <row r="71" spans="1:10">
      <c r="A71" s="121">
        <f t="shared" si="4"/>
        <v>52</v>
      </c>
      <c r="B71" s="116" t="str">
        <f t="shared" si="5"/>
        <v>hu2/0/52</v>
      </c>
      <c r="C71" s="122" t="str" cm="1">
        <f t="array" ref="C71">_xlfn.IFS($B71="","",$B71=$B$79,"reserved",$B71=$B$80,"reserved",$B71=$G$11,"connect",$B71=$G$13,"connect",1=1,"disabled")</f>
        <v>reserved</v>
      </c>
      <c r="D71" s="191" t="str" cm="1">
        <f t="array" ref="D71">_xlfn.IFS($B71="","",$B71=$G$11,"TRUNK",$B71=$G$13,"TRUNK",1=1,"")</f>
        <v/>
      </c>
      <c r="E71" s="190" t="str" cm="1">
        <f t="array" ref="E71">_xlfn.IFS($B71="","",OR($B71=$G$11,$B71=$G$13),INDEX(SWITCH_TABLE[#Data],$H$3,MATCH("Local EC",SWITCH_TABLE[#Headers],0)),1=1,"")</f>
        <v/>
      </c>
      <c r="F71" s="191" t="str" cm="1">
        <f t="array" ref="F71">_xlfn.IFS($B71="","",$B71=$G$11,"Uplink Port 1",$B71=$G$13,"Uplink Port 2",$B71=$B$79,"Stack Port 1",$B71=$B$80,"Stack Port 2",1=1,"")</f>
        <v>Stack Port 2</v>
      </c>
      <c r="G71" s="191" t="str" cm="1">
        <f t="array" ref="G71">_xlfn.IFS($B71="","",$B71=$G$11,$H$11,$B71=$G$13,$H$13,1=1,"")</f>
        <v/>
      </c>
      <c r="H71" s="191" t="str" cm="1">
        <f t="array" ref="H71">_xlfn.IFS($B71="","",$B71=$G$11,$G$12&amp;" "&amp;#REF!,$B71=$G$13,$G$14&amp;" "&amp;$H$14,1=1,"")</f>
        <v/>
      </c>
      <c r="J71" s="118" t="str">
        <f t="array" ref="J71">_xlfn.IFNA(MATCH(1,(SHEET_NAME=SWITCH_TABLE[Remote Device 2])*(B71=SWITCH_TABLE[Remote Port 2]),0),"")</f>
        <v/>
      </c>
    </row>
    <row r="72" spans="1:10">
      <c r="A72" s="121">
        <f t="shared" si="4"/>
        <v>53</v>
      </c>
      <c r="B72" s="116" t="str">
        <f t="shared" si="5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18" t="str">
        <f t="array" ref="J72">_xlfn.IFNA(MATCH(1,(SHEET_NAME=SWITCH_TABLE[Remote Device 2])*(B72=SWITCH_TABLE[Remote Port 2]),0),"")</f>
        <v/>
      </c>
    </row>
    <row r="73" spans="1:10">
      <c r="A73" s="121">
        <f t="shared" si="4"/>
        <v>54</v>
      </c>
      <c r="B73" s="116" t="str">
        <f t="shared" si="5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18" t="str">
        <f t="array" ref="J73">_xlfn.IFNA(MATCH(1,(SHEET_NAME=SWITCH_TABLE[Remote Device 2])*(B73=SWITCH_TABLE[Remote Port 2]),0),"")</f>
        <v/>
      </c>
    </row>
    <row r="74" spans="1:10">
      <c r="A74" s="121">
        <f t="shared" si="4"/>
        <v>55</v>
      </c>
      <c r="B74" s="116" t="str">
        <f t="shared" si="5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18" t="str">
        <f t="array" ref="J74">_xlfn.IFNA(MATCH(1,(SHEET_NAME=SWITCH_TABLE[Remote Device 2])*(B74=SWITCH_TABLE[Remote Port 2]),0),"")</f>
        <v/>
      </c>
    </row>
    <row r="75" spans="1:10">
      <c r="A75" s="121">
        <f t="shared" si="4"/>
        <v>56</v>
      </c>
      <c r="B75" s="116" t="str">
        <f t="shared" si="5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18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hu2/0/51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MPO</v>
      </c>
      <c r="H79" s="118" t="str">
        <f>C13&amp;" "&amp;D13</f>
        <v>FGHLHN43-1 hu1/0/52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hu2/0/52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MPO</v>
      </c>
      <c r="H80" s="118" t="str">
        <f>C14&amp;" "&amp;D14</f>
        <v>FGHLHN43-1 hu1/0/51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102" priority="13" operator="equal">
      <formula>"reserved"</formula>
    </cfRule>
    <cfRule type="cellIs" dxfId="1101" priority="14" operator="equal">
      <formula>"notconnect"</formula>
    </cfRule>
    <cfRule type="cellIs" dxfId="1100" priority="15" operator="equal">
      <formula>"disabled"</formula>
    </cfRule>
    <cfRule type="cellIs" dxfId="1099" priority="16" operator="equal">
      <formula>"connect"</formula>
    </cfRule>
  </conditionalFormatting>
  <conditionalFormatting sqref="C79:C80">
    <cfRule type="cellIs" dxfId="1098" priority="9" operator="equal">
      <formula>"reserved"</formula>
    </cfRule>
    <cfRule type="cellIs" dxfId="1097" priority="10" operator="equal">
      <formula>"notconnect"</formula>
    </cfRule>
    <cfRule type="cellIs" dxfId="1096" priority="11" operator="equal">
      <formula>"disabled"</formula>
    </cfRule>
    <cfRule type="cellIs" dxfId="1095" priority="12" operator="equal">
      <formula>"connect"</formula>
    </cfRule>
  </conditionalFormatting>
  <conditionalFormatting sqref="C64">
    <cfRule type="cellIs" dxfId="1094" priority="5" operator="equal">
      <formula>"reserved"</formula>
    </cfRule>
    <cfRule type="cellIs" dxfId="1093" priority="6" operator="equal">
      <formula>"notconnect"</formula>
    </cfRule>
    <cfRule type="cellIs" dxfId="1092" priority="7" operator="equal">
      <formula>"disabled"</formula>
    </cfRule>
    <cfRule type="cellIs" dxfId="1091" priority="8" operator="equal">
      <formula>"connect"</formula>
    </cfRule>
  </conditionalFormatting>
  <conditionalFormatting sqref="C17:C63">
    <cfRule type="cellIs" dxfId="1090" priority="1" operator="equal">
      <formula>"reserved"</formula>
    </cfRule>
    <cfRule type="cellIs" dxfId="1089" priority="2" operator="equal">
      <formula>"notconnect"</formula>
    </cfRule>
    <cfRule type="cellIs" dxfId="1088" priority="3" operator="equal">
      <formula>"disabled"</formula>
    </cfRule>
    <cfRule type="cellIs" dxfId="1087" priority="4" operator="equal">
      <formula>"connect"</formula>
    </cfRule>
  </conditionalFormatting>
  <dataValidations count="5">
    <dataValidation allowBlank="1" showInputMessage="1" sqref="E68:E75 E17:E64" xr:uid="{B6B86F01-5D63-4AF1-86DE-C431197F1C54}"/>
    <dataValidation type="list" allowBlank="1" showInputMessage="1" sqref="F17:F64" xr:uid="{F826815F-5F96-41E5-B201-3DF3777AD514}">
      <formula1>SPEED_DUPLEX_LIST</formula1>
    </dataValidation>
    <dataValidation type="list" allowBlank="1" showInputMessage="1" sqref="D68:D75 D17:D64" xr:uid="{C9CCF7F5-E8DD-461E-9019-168F49AE2582}">
      <formula1>VLAN_ID_LIST</formula1>
    </dataValidation>
    <dataValidation type="list" allowBlank="1" showInputMessage="1" sqref="C68:C75 C79:C80 C17:C64" xr:uid="{A3045903-7C35-4156-945F-C06860C40879}">
      <formula1>PORT_STATE_LIST</formula1>
    </dataValidation>
    <dataValidation type="list" allowBlank="1" showInputMessage="1" sqref="G68:G75 G17:G64" xr:uid="{ACAFD1D9-B4C6-4A01-8A05-6E33273C14E6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E7F17-9C46-4730-B70E-63B05FAC77F7}">
  <sheetPr codeName="Sheet3">
    <tabColor rgb="FF0070C0"/>
  </sheetPr>
  <dimension ref="A1:L81"/>
  <sheetViews>
    <sheetView topLeftCell="A5" workbookViewId="0">
      <selection activeCell="C55" sqref="C55"/>
    </sheetView>
  </sheetViews>
  <sheetFormatPr defaultColWidth="9" defaultRowHeight="10.199999999999999"/>
  <cols>
    <col min="1" max="1" width="2.6640625" style="137" customWidth="1"/>
    <col min="2" max="2" width="11.109375" style="139" customWidth="1"/>
    <col min="3" max="3" width="14.6640625" style="139" customWidth="1"/>
    <col min="4" max="4" width="8.6640625" style="139" customWidth="1"/>
    <col min="5" max="5" width="6.6640625" style="139" customWidth="1"/>
    <col min="6" max="6" width="12.6640625" style="139" customWidth="1"/>
    <col min="7" max="7" width="18.6640625" style="139" customWidth="1"/>
    <col min="8" max="8" width="25.6640625" style="137" customWidth="1"/>
    <col min="9" max="9" width="2.6640625" style="137" customWidth="1"/>
    <col min="10" max="10" width="4.109375" style="137" customWidth="1"/>
    <col min="11" max="16384" width="9" style="137"/>
  </cols>
  <sheetData>
    <row r="1" spans="1:10" ht="24" customHeight="1">
      <c r="A1" s="108" t="s">
        <v>1073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38"/>
      <c r="C2" s="138"/>
      <c r="D2" s="138"/>
      <c r="E2" s="138"/>
      <c r="F2" s="138"/>
      <c r="G2" s="138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9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FOC2319X031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10.224.21.141</v>
      </c>
    </row>
    <row r="9" spans="1:10">
      <c r="G9" s="137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te1/1/1</v>
      </c>
      <c r="H11" s="118" t="str" cm="1">
        <f t="array" ref="H11">IF(G11="","",INDEX(SWITCH_TABLE[#Data],$H$3,MATCH("Uplink 1 SFP",SWITCH_TABLE[#Headers],0)))</f>
        <v>10GB SFP+ DAC</v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FGHLHN41-1</v>
      </c>
      <c r="H12" s="118" t="str" cm="1">
        <f t="array" ref="H12">IF(G12="","",INDEX(SWITCH_TABLE[#Data],$H$3,MATCH("Remote Port 1",SWITCH_TABLE[#Headers],0)))</f>
        <v>twe1/0/48</v>
      </c>
    </row>
    <row r="13" spans="1:10">
      <c r="B13" s="116" t="s">
        <v>1837</v>
      </c>
      <c r="C13" s="117" t="str">
        <f>INDEX(SWITCH_TABLE[#Data],$H$3,MATCH(B13,SWITCH_TABLE[#Headers],0))</f>
        <v>FGHLHN141-2</v>
      </c>
      <c r="D13" s="117" t="str">
        <f>INDEX(SWITCH_TABLE[#Data],$H$3,MATCH("Next Port",SWITCH_TABLE[#Headers],0))</f>
        <v>st2/2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FGHLHN141-2</v>
      </c>
      <c r="D14" s="117" t="str">
        <f>INDEX(SWITCH_TABLE[#Data],$H$3,MATCH("Prev Port",SWITCH_TABLE[#Headers],0))</f>
        <v>st2/1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39"/>
    </row>
    <row r="16" spans="1:10" ht="13.2">
      <c r="A16" s="140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40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1021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FGHLHN221/eno1 (DNAC)</v>
      </c>
      <c r="J17" s="118">
        <f>_xlfn.IFNA(MATCH(SHEET_NAME&amp;" "&amp;B17,Connections!$L$4:$L$345,0),"")</f>
        <v>3</v>
      </c>
    </row>
    <row r="18" spans="1:12">
      <c r="A18" s="140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511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FGHFW31/7 (FIREWALL)</v>
      </c>
      <c r="J18" s="118">
        <f>_xlfn.IFNA(MATCH(SHEET_NAME&amp;" "&amp;B18,Connections!$L$4:$L$345,0),"")</f>
        <v>172</v>
      </c>
      <c r="L18" s="137" t="s">
        <v>2661</v>
      </c>
    </row>
    <row r="19" spans="1:12">
      <c r="A19" s="140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300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OTTOUK161/MGNT (Physical Server)</v>
      </c>
      <c r="J19" s="118">
        <f>_xlfn.IFNA(MATCH(SHEET_NAME&amp;" "&amp;B19,Connections!$L$4:$L$345,0),"")</f>
        <v>207</v>
      </c>
    </row>
    <row r="20" spans="1:12">
      <c r="A20" s="140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cm="1">
        <f t="array" ref="D20">IF($J20&lt;&gt;"",INDEX(Connections!$B$4:$V$345,$J20,MATCH(D$16,Connections!$B$3:$V$3,0)),"")</f>
        <v>4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OTTOUK161/Backup (Physical Server)</v>
      </c>
      <c r="J20" s="118">
        <f>_xlfn.IFNA(MATCH(SHEET_NAME&amp;" "&amp;B20,Connections!$L$4:$L$345,0),"")</f>
        <v>208</v>
      </c>
    </row>
    <row r="21" spans="1:12">
      <c r="A21" s="140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220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Z114MFTL/01 (TAPE LIBRARY)</v>
      </c>
      <c r="J21" s="118">
        <f>_xlfn.IFNA(MATCH(SHEET_NAME&amp;" "&amp;B21,Connections!$L$4:$L$345,0),"")</f>
        <v>212</v>
      </c>
    </row>
    <row r="22" spans="1:12">
      <c r="A22" s="140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cm="1">
        <f t="array" ref="D22">IF($J22&lt;&gt;"",INDEX(Connections!$B$4:$V$345,$J22,MATCH(D$16,Connections!$B$3:$V$3,0)),"")</f>
        <v>220</v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>auto</v>
      </c>
      <c r="G22" s="46" t="str" cm="1">
        <f t="array" ref="G22">IF($J22&lt;&gt;"",INDEX(Connections!$B$4:$V$345,$J22,MATCH(G$16,Connections!$B$3:$V$3,0)),"")</f>
        <v>1GB COPPER</v>
      </c>
      <c r="H22" s="46" t="str" cm="1">
        <f t="array" ref="H22">IF($J22&lt;&gt;"",INDEX(Connections!$B$4:$V$345,$J22,MATCH(H$16,Connections!$B$3:$V$3,0)),"")</f>
        <v>Z114MFTL/02 (TAPE LIBRARY)</v>
      </c>
      <c r="J22" s="118">
        <f>_xlfn.IFNA(MATCH(SHEET_NAME&amp;" "&amp;B22,Connections!$L$4:$L$345,0),"")</f>
        <v>213</v>
      </c>
    </row>
    <row r="23" spans="1:12">
      <c r="A23" s="140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cm="1">
        <f t="array" ref="D23">IF($J23&lt;&gt;"",INDEX(Connections!$B$4:$V$345,$J23,MATCH(D$16,Connections!$B$3:$V$3,0)),"")</f>
        <v>230</v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>auto</v>
      </c>
      <c r="G23" s="46" t="str" cm="1">
        <f t="array" ref="G23">IF($J23&lt;&gt;"",INDEX(Connections!$B$4:$V$345,$J23,MATCH(G$16,Connections!$B$3:$V$3,0)),"")</f>
        <v>1GB COPPER</v>
      </c>
      <c r="H23" s="46" t="str" cm="1">
        <f t="array" ref="H23">IF($J23&lt;&gt;"",INDEX(Connections!$B$4:$V$345,$J23,MATCH(H$16,Connections!$B$3:$V$3,0)),"")</f>
        <v>Del 3000i DC1/Data 1 (Physical Server)</v>
      </c>
      <c r="J23" s="118">
        <f>_xlfn.IFNA(MATCH(SHEET_NAME&amp;" "&amp;B23,Connections!$L$4:$L$345,0),"")</f>
        <v>252</v>
      </c>
    </row>
    <row r="24" spans="1:12">
      <c r="A24" s="140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cm="1">
        <f t="array" ref="D24">IF($J24&lt;&gt;"",INDEX(Connections!$B$4:$V$345,$J24,MATCH(D$16,Connections!$B$3:$V$3,0)),"")</f>
        <v>300</v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>auto</v>
      </c>
      <c r="G24" s="46" t="str" cm="1">
        <f t="array" ref="G24">IF($J24&lt;&gt;"",INDEX(Connections!$B$4:$V$345,$J24,MATCH(G$16,Connections!$B$3:$V$3,0)),"")</f>
        <v>1GB COPPER</v>
      </c>
      <c r="H24" s="46" t="str" cm="1">
        <f t="array" ref="H24">IF($J24&lt;&gt;"",INDEX(Connections!$B$4:$V$345,$J24,MATCH(H$16,Connections!$B$3:$V$3,0)),"")</f>
        <v>TIER3NFS01/data 1 (Physical Server)</v>
      </c>
      <c r="J24" s="118">
        <f>_xlfn.IFNA(MATCH(SHEET_NAME&amp;" "&amp;B24,Connections!$L$4:$L$345,0),"")</f>
        <v>254</v>
      </c>
    </row>
    <row r="25" spans="1:12">
      <c r="A25" s="140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connect</v>
      </c>
      <c r="D25" s="46" cm="1">
        <f t="array" ref="D25">IF($J25&lt;&gt;"",INDEX(Connections!$B$4:$V$345,$J25,MATCH(D$16,Connections!$B$3:$V$3,0)),"")</f>
        <v>32</v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>auto</v>
      </c>
      <c r="G25" s="46" t="str" cm="1">
        <f t="array" ref="G25">IF($J25&lt;&gt;"",INDEX(Connections!$B$4:$V$345,$J25,MATCH(G$16,Connections!$B$3:$V$3,0)),"")</f>
        <v>1GB COPPER</v>
      </c>
      <c r="H25" s="46" t="str" cm="1">
        <f t="array" ref="H25">IF($J25&lt;&gt;"",INDEX(Connections!$B$4:$V$345,$J25,MATCH(H$16,Connections!$B$3:$V$3,0)),"")</f>
        <v>PRTG/Data (Physical Server)</v>
      </c>
      <c r="J25" s="118">
        <f>_xlfn.IFNA(MATCH(SHEET_NAME&amp;" "&amp;B25,Connections!$L$4:$L$345,0),"")</f>
        <v>256</v>
      </c>
    </row>
    <row r="26" spans="1:12">
      <c r="A26" s="140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cm="1">
        <f t="array" ref="D26">IF($J26&lt;&gt;"",INDEX(Connections!$B$4:$V$345,$J26,MATCH(D$16,Connections!$B$3:$V$3,0)),"")</f>
        <v>92</v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>auto</v>
      </c>
      <c r="G26" s="46" t="str" cm="1">
        <f t="array" ref="G26">IF($J26&lt;&gt;"",INDEX(Connections!$B$4:$V$345,$J26,MATCH(G$16,Connections!$B$3:$V$3,0)),"")</f>
        <v>1GB COPPER</v>
      </c>
      <c r="H26" s="46" t="str" cm="1">
        <f t="array" ref="H26">IF($J26&lt;&gt;"",INDEX(Connections!$B$4:$V$345,$J26,MATCH(H$16,Connections!$B$3:$V$3,0)),"")</f>
        <v>FGHFW11/data (Physical Server)</v>
      </c>
      <c r="J26" s="118">
        <f>_xlfn.IFNA(MATCH(SHEET_NAME&amp;" "&amp;B26,Connections!$L$4:$L$345,0),"")</f>
        <v>294</v>
      </c>
    </row>
    <row r="27" spans="1:12">
      <c r="A27" s="140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FGHVIEW01/IDRAC (VDI)</v>
      </c>
      <c r="J27" s="118">
        <f>_xlfn.IFNA(MATCH(SHEET_NAME&amp;" "&amp;B27,Connections!$L$4:$L$345,0),"")</f>
        <v>12</v>
      </c>
    </row>
    <row r="28" spans="1:12">
      <c r="A28" s="140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FGHVIEW02/IDRAC (VDI)</v>
      </c>
      <c r="J28" s="118">
        <f>_xlfn.IFNA(MATCH(SHEET_NAME&amp;" "&amp;B28,Connections!$L$4:$L$345,0),"")</f>
        <v>19</v>
      </c>
    </row>
    <row r="29" spans="1:12">
      <c r="A29" s="140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FGHVIEW03/IDRAC (VDI)</v>
      </c>
      <c r="J29" s="118">
        <f>_xlfn.IFNA(MATCH(SHEET_NAME&amp;" "&amp;B29,Connections!$L$4:$L$345,0),"")</f>
        <v>26</v>
      </c>
    </row>
    <row r="30" spans="1:12">
      <c r="A30" s="140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FGHVIEW08/IDRAC (VDI)</v>
      </c>
      <c r="J30" s="118">
        <f>_xlfn.IFNA(MATCH(SHEET_NAME&amp;" "&amp;B30,Connections!$L$4:$L$345,0),"")</f>
        <v>61</v>
      </c>
    </row>
    <row r="31" spans="1:12">
      <c r="A31" s="140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400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FGHVIEW10/IDRAC (VDI)</v>
      </c>
      <c r="J31" s="118">
        <f>_xlfn.IFNA(MATCH(SHEET_NAME&amp;" "&amp;B31,Connections!$L$4:$L$345,0),"")</f>
        <v>75</v>
      </c>
    </row>
    <row r="32" spans="1:12">
      <c r="A32" s="140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400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1GB COPPER</v>
      </c>
      <c r="H32" s="46" t="str" cm="1">
        <f t="array" ref="H32">IF($J32&lt;&gt;"",INDEX(Connections!$B$4:$V$345,$J32,MATCH(H$16,Connections!$B$3:$V$3,0)),"")</f>
        <v>FGHVIEW11/IDRAC (VDI)</v>
      </c>
      <c r="J32" s="118">
        <f>_xlfn.IFNA(MATCH(SHEET_NAME&amp;" "&amp;B32,Connections!$L$4:$L$345,0),"")</f>
        <v>82</v>
      </c>
    </row>
    <row r="33" spans="1:10">
      <c r="A33" s="140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400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1GB COPPER</v>
      </c>
      <c r="H33" s="46" t="str" cm="1">
        <f t="array" ref="H33">IF($J33&lt;&gt;"",INDEX(Connections!$B$4:$V$345,$J33,MATCH(H$16,Connections!$B$3:$V$3,0)),"")</f>
        <v>FGHVIEW13/IDRAC (VDI)</v>
      </c>
      <c r="J33" s="118">
        <f>_xlfn.IFNA(MATCH(SHEET_NAME&amp;" "&amp;B33,Connections!$L$4:$L$345,0),"")</f>
        <v>96</v>
      </c>
    </row>
    <row r="34" spans="1:10">
      <c r="A34" s="140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connect</v>
      </c>
      <c r="D34" s="46" cm="1">
        <f t="array" ref="D34">IF($J34&lt;&gt;"",INDEX(Connections!$B$4:$V$345,$J34,MATCH(D$16,Connections!$B$3:$V$3,0)),"")</f>
        <v>400</v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>auto</v>
      </c>
      <c r="G34" s="46" t="str" cm="1">
        <f t="array" ref="G34">IF($J34&lt;&gt;"",INDEX(Connections!$B$4:$V$345,$J34,MATCH(G$16,Connections!$B$3:$V$3,0)),"")</f>
        <v>1GB COPPER</v>
      </c>
      <c r="H34" s="46" t="str" cm="1">
        <f t="array" ref="H34">IF($J34&lt;&gt;"",INDEX(Connections!$B$4:$V$345,$J34,MATCH(H$16,Connections!$B$3:$V$3,0)),"")</f>
        <v>FGHView15/IDRAC (VDI)</v>
      </c>
      <c r="J34" s="118">
        <f>_xlfn.IFNA(MATCH(SHEET_NAME&amp;" "&amp;B34,Connections!$L$4:$L$345,0),"")</f>
        <v>219</v>
      </c>
    </row>
    <row r="35" spans="1:10">
      <c r="A35" s="140">
        <f t="shared" si="1"/>
        <v>19</v>
      </c>
      <c r="B35" s="116" t="str">
        <f t="shared" si="0"/>
        <v>gi1/0/19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40">
        <f t="shared" si="1"/>
        <v>20</v>
      </c>
      <c r="B36" s="116" t="str">
        <f t="shared" si="0"/>
        <v>gi1/0/20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40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400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1GB COPPER</v>
      </c>
      <c r="H37" s="46" t="str" cm="1">
        <f t="array" ref="H37">IF($J37&lt;&gt;"",INDEX(Connections!$B$4:$V$345,$J37,MATCH(H$16,Connections!$B$3:$V$3,0)),"")</f>
        <v>FGHVIEW01/MGNT (VDI)</v>
      </c>
      <c r="J37" s="118">
        <f>_xlfn.IFNA(MATCH(SHEET_NAME&amp;" "&amp;B37,Connections!$L$4:$L$345,0),"")</f>
        <v>14</v>
      </c>
    </row>
    <row r="38" spans="1:10">
      <c r="A38" s="140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cm="1">
        <f t="array" ref="D38">IF($J38&lt;&gt;"",INDEX(Connections!$B$4:$V$345,$J38,MATCH(D$16,Connections!$B$3:$V$3,0)),"")</f>
        <v>400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1GB COPPER</v>
      </c>
      <c r="H38" s="46" t="str" cm="1">
        <f t="array" ref="H38">IF($J38&lt;&gt;"",INDEX(Connections!$B$4:$V$345,$J38,MATCH(H$16,Connections!$B$3:$V$3,0)),"")</f>
        <v>FGHVIEW02/MGNT (VDI)</v>
      </c>
      <c r="J38" s="118">
        <f>_xlfn.IFNA(MATCH(SHEET_NAME&amp;" "&amp;B38,Connections!$L$4:$L$345,0),"")</f>
        <v>21</v>
      </c>
    </row>
    <row r="39" spans="1:10">
      <c r="A39" s="140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cm="1">
        <f t="array" ref="D39">IF($J39&lt;&gt;"",INDEX(Connections!$B$4:$V$345,$J39,MATCH(D$16,Connections!$B$3:$V$3,0)),"")</f>
        <v>400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1GB COPPER</v>
      </c>
      <c r="H39" s="46" t="str" cm="1">
        <f t="array" ref="H39">IF($J39&lt;&gt;"",INDEX(Connections!$B$4:$V$345,$J39,MATCH(H$16,Connections!$B$3:$V$3,0)),"")</f>
        <v>FGHVIEW03/MGNT (VDI)</v>
      </c>
      <c r="J39" s="118">
        <f>_xlfn.IFNA(MATCH(SHEET_NAME&amp;" "&amp;B39,Connections!$L$4:$L$345,0),"")</f>
        <v>28</v>
      </c>
    </row>
    <row r="40" spans="1:10">
      <c r="A40" s="140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400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1GB COPPER</v>
      </c>
      <c r="H40" s="46" t="str" cm="1">
        <f t="array" ref="H40">IF($J40&lt;&gt;"",INDEX(Connections!$B$4:$V$345,$J40,MATCH(H$16,Connections!$B$3:$V$3,0)),"")</f>
        <v>FGHVIEW08/MGNT (VDI)</v>
      </c>
      <c r="J40" s="118">
        <f>_xlfn.IFNA(MATCH(SHEET_NAME&amp;" "&amp;B40,Connections!$L$4:$L$345,0),"")</f>
        <v>63</v>
      </c>
    </row>
    <row r="41" spans="1:10">
      <c r="A41" s="140">
        <f t="shared" si="1"/>
        <v>25</v>
      </c>
      <c r="B41" s="116" t="str">
        <f t="shared" si="0"/>
        <v>gi1/0/25</v>
      </c>
      <c r="C41" s="122" t="str" cm="1">
        <f t="array" ref="C41">_xlfn.IFS($B41="","",$B41=$B$71,"reserved",$B41=$B$72,"reserved",$B41=$G$11,"connect",$B41=$G$13,"connect",J41&lt;&gt;"","connect",1=1,"disabled")</f>
        <v>connect</v>
      </c>
      <c r="D41" s="46" cm="1">
        <f t="array" ref="D41">IF($J41&lt;&gt;"",INDEX(Connections!$B$4:$V$345,$J41,MATCH(D$16,Connections!$B$3:$V$3,0)),"")</f>
        <v>400</v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>auto</v>
      </c>
      <c r="G41" s="46" t="str" cm="1">
        <f t="array" ref="G41">IF($J41&lt;&gt;"",INDEX(Connections!$B$4:$V$345,$J41,MATCH(G$16,Connections!$B$3:$V$3,0)),"")</f>
        <v>1GB COPPER</v>
      </c>
      <c r="H41" s="46" t="str" cm="1">
        <f t="array" ref="H41">IF($J41&lt;&gt;"",INDEX(Connections!$B$4:$V$345,$J41,MATCH(H$16,Connections!$B$3:$V$3,0)),"")</f>
        <v>FGHVIEW10/MGNT (VDI)</v>
      </c>
      <c r="J41" s="118">
        <f>_xlfn.IFNA(MATCH(SHEET_NAME&amp;" "&amp;B41,Connections!$L$4:$L$345,0),"")</f>
        <v>77</v>
      </c>
    </row>
    <row r="42" spans="1:10">
      <c r="A42" s="140">
        <f t="shared" si="1"/>
        <v>26</v>
      </c>
      <c r="B42" s="116" t="str">
        <f t="shared" si="0"/>
        <v>gi1/0/26</v>
      </c>
      <c r="C42" s="122" t="str" cm="1">
        <f t="array" ref="C42">_xlfn.IFS($B42="","",$B42=$B$71,"reserved",$B42=$B$72,"reserved",$B42=$G$11,"connect",$B42=$G$13,"connect",J42&lt;&gt;"","connect",1=1,"disabled")</f>
        <v>connect</v>
      </c>
      <c r="D42" s="46" cm="1">
        <f t="array" ref="D42">IF($J42&lt;&gt;"",INDEX(Connections!$B$4:$V$345,$J42,MATCH(D$16,Connections!$B$3:$V$3,0)),"")</f>
        <v>400</v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>auto</v>
      </c>
      <c r="G42" s="46" t="str" cm="1">
        <f t="array" ref="G42">IF($J42&lt;&gt;"",INDEX(Connections!$B$4:$V$345,$J42,MATCH(G$16,Connections!$B$3:$V$3,0)),"")</f>
        <v>1GB COPPER</v>
      </c>
      <c r="H42" s="46" t="str" cm="1">
        <f t="array" ref="H42">IF($J42&lt;&gt;"",INDEX(Connections!$B$4:$V$345,$J42,MATCH(H$16,Connections!$B$3:$V$3,0)),"")</f>
        <v>FGHVIEW11/MGNT (VDI)</v>
      </c>
      <c r="J42" s="118">
        <f>_xlfn.IFNA(MATCH(SHEET_NAME&amp;" "&amp;B42,Connections!$L$4:$L$345,0),"")</f>
        <v>84</v>
      </c>
    </row>
    <row r="43" spans="1:10">
      <c r="A43" s="140">
        <f t="shared" si="1"/>
        <v>27</v>
      </c>
      <c r="B43" s="116" t="str">
        <f t="shared" si="0"/>
        <v>gi1/0/27</v>
      </c>
      <c r="C43" s="122" t="str" cm="1">
        <f t="array" ref="C43">_xlfn.IFS($B43="","",$B43=$B$71,"reserved",$B43=$B$72,"reserved",$B43=$G$11,"connect",$B43=$G$13,"connect",J43&lt;&gt;"","connect",1=1,"disabled")</f>
        <v>connect</v>
      </c>
      <c r="D43" s="46" cm="1">
        <f t="array" ref="D43">IF($J43&lt;&gt;"",INDEX(Connections!$B$4:$V$345,$J43,MATCH(D$16,Connections!$B$3:$V$3,0)),"")</f>
        <v>400</v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>auto</v>
      </c>
      <c r="G43" s="46" t="str" cm="1">
        <f t="array" ref="G43">IF($J43&lt;&gt;"",INDEX(Connections!$B$4:$V$345,$J43,MATCH(G$16,Connections!$B$3:$V$3,0)),"")</f>
        <v>1GB COPPER</v>
      </c>
      <c r="H43" s="46" t="str" cm="1">
        <f t="array" ref="H43">IF($J43&lt;&gt;"",INDEX(Connections!$B$4:$V$345,$J43,MATCH(H$16,Connections!$B$3:$V$3,0)),"")</f>
        <v>FGHVIEW13/MGNT (VDI)</v>
      </c>
      <c r="J43" s="118">
        <f>_xlfn.IFNA(MATCH(SHEET_NAME&amp;" "&amp;B43,Connections!$L$4:$L$345,0),"")</f>
        <v>98</v>
      </c>
    </row>
    <row r="44" spans="1:10">
      <c r="A44" s="140">
        <f t="shared" si="1"/>
        <v>28</v>
      </c>
      <c r="B44" s="116" t="str">
        <f t="shared" si="0"/>
        <v>gi1/0/28</v>
      </c>
      <c r="C44" s="122" t="s">
        <v>2611</v>
      </c>
      <c r="D44" s="46" cm="1">
        <f t="array" ref="D44">IF($J44&lt;&gt;"",INDEX(Connections!$B$4:$V$345,$J44,MATCH(D$16,Connections!$B$3:$V$3,0)),"")</f>
        <v>400</v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>auto</v>
      </c>
      <c r="G44" s="46" t="str" cm="1">
        <f t="array" ref="G44">IF($J44&lt;&gt;"",INDEX(Connections!$B$4:$V$345,$J44,MATCH(G$16,Connections!$B$3:$V$3,0)),"")</f>
        <v>1GB COPPER</v>
      </c>
      <c r="H44" s="46" t="str" cm="1">
        <f t="array" ref="H44">IF($J44&lt;&gt;"",INDEX(Connections!$B$4:$V$345,$J44,MATCH(H$16,Connections!$B$3:$V$3,0)),"")</f>
        <v>FGHView15/MGNT (VDI)</v>
      </c>
      <c r="J44" s="118">
        <f>_xlfn.IFNA(MATCH(SHEET_NAME&amp;" "&amp;B44,Connections!$L$4:$L$345,0),"")</f>
        <v>221</v>
      </c>
    </row>
    <row r="45" spans="1:10">
      <c r="A45" s="140">
        <f t="shared" si="1"/>
        <v>29</v>
      </c>
      <c r="B45" s="116" t="str">
        <f t="shared" si="0"/>
        <v>gi1/0/29</v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40">
        <f t="shared" si="1"/>
        <v>30</v>
      </c>
      <c r="B46" s="116" t="str">
        <f t="shared" si="0"/>
        <v>gi1/0/30</v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40">
        <f t="shared" si="1"/>
        <v>31</v>
      </c>
      <c r="B47" s="116" t="str">
        <f t="shared" si="0"/>
        <v>gi1/0/31</v>
      </c>
      <c r="C47" s="122" t="str" cm="1">
        <f t="array" ref="C47">_xlfn.IFS($B47="","",$B47=$B$71,"reserved",$B47=$B$72,"reserved",$B47=$G$11,"connect",$B47=$G$13,"connect",J47&lt;&gt;"","connect",1=1,"disabled")</f>
        <v>connect</v>
      </c>
      <c r="D47" s="46" cm="1">
        <f t="array" ref="D47">IF($J47&lt;&gt;"",INDEX(Connections!$B$4:$V$345,$J47,MATCH(D$16,Connections!$B$3:$V$3,0)),"")</f>
        <v>300</v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>auto</v>
      </c>
      <c r="G47" s="46" t="str" cm="1">
        <f t="array" ref="G47">IF($J47&lt;&gt;"",INDEX(Connections!$B$4:$V$345,$J47,MATCH(G$16,Connections!$B$3:$V$3,0)),"")</f>
        <v>1GB COPPER</v>
      </c>
      <c r="H47" s="46" t="str" cm="1">
        <f t="array" ref="H47">IF($J47&lt;&gt;"",INDEX(Connections!$B$4:$V$345,$J47,MATCH(H$16,Connections!$B$3:$V$3,0)),"")</f>
        <v>TINTRI1/A-MGNT (STORAGE)</v>
      </c>
      <c r="J47" s="118">
        <f>_xlfn.IFNA(MATCH(SHEET_NAME&amp;" "&amp;B47,Connections!$L$4:$L$345,0),"")</f>
        <v>125</v>
      </c>
    </row>
    <row r="48" spans="1:10">
      <c r="A48" s="140">
        <f t="shared" si="1"/>
        <v>32</v>
      </c>
      <c r="B48" s="116" t="str">
        <f t="shared" si="0"/>
        <v>gi1/0/32</v>
      </c>
      <c r="C48" s="122" t="str" cm="1">
        <f t="array" ref="C48">_xlfn.IFS($B48="","",$B48=$B$71,"reserved",$B48=$B$72,"reserved",$B48=$G$11,"connect",$B48=$G$13,"connect",J48&lt;&gt;"","connect",1=1,"disabled")</f>
        <v>connect</v>
      </c>
      <c r="D48" s="46" cm="1">
        <f t="array" ref="D48">IF($J48&lt;&gt;"",INDEX(Connections!$B$4:$V$345,$J48,MATCH(D$16,Connections!$B$3:$V$3,0)),"")</f>
        <v>300</v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>auto</v>
      </c>
      <c r="G48" s="46" t="str" cm="1">
        <f t="array" ref="G48">IF($J48&lt;&gt;"",INDEX(Connections!$B$4:$V$345,$J48,MATCH(G$16,Connections!$B$3:$V$3,0)),"")</f>
        <v>1GB COPPER</v>
      </c>
      <c r="H48" s="46" t="str" cm="1">
        <f t="array" ref="H48">IF($J48&lt;&gt;"",INDEX(Connections!$B$4:$V$345,$J48,MATCH(H$16,Connections!$B$3:$V$3,0)),"")</f>
        <v>TINTRI1/A-REPL (STORAGE)</v>
      </c>
      <c r="J48" s="118">
        <f>_xlfn.IFNA(MATCH(SHEET_NAME&amp;" "&amp;B48,Connections!$L$4:$L$345,0),"")</f>
        <v>127</v>
      </c>
    </row>
    <row r="49" spans="1:10">
      <c r="A49" s="140">
        <f t="shared" si="1"/>
        <v>33</v>
      </c>
      <c r="B49" s="116" t="str">
        <f t="shared" si="0"/>
        <v>gi1/0/33</v>
      </c>
      <c r="C49" s="122" t="str" cm="1">
        <f t="array" ref="C49">_xlfn.IFS($B49="","",$B49=$B$71,"reserved",$B49=$B$72,"reserved",$B49=$G$11,"connect",$B49=$G$13,"connect",J49&lt;&gt;"","connect",1=1,"disabled")</f>
        <v>connect</v>
      </c>
      <c r="D49" s="46" cm="1">
        <f t="array" ref="D49">IF($J49&lt;&gt;"",INDEX(Connections!$B$4:$V$345,$J49,MATCH(D$16,Connections!$B$3:$V$3,0)),"")</f>
        <v>300</v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>auto</v>
      </c>
      <c r="G49" s="46" t="str" cm="1">
        <f t="array" ref="G49">IF($J49&lt;&gt;"",INDEX(Connections!$B$4:$V$345,$J49,MATCH(G$16,Connections!$B$3:$V$3,0)),"")</f>
        <v>1GB COPPER</v>
      </c>
      <c r="H49" s="46" t="str" cm="1">
        <f t="array" ref="H49">IF($J49&lt;&gt;"",INDEX(Connections!$B$4:$V$345,$J49,MATCH(H$16,Connections!$B$3:$V$3,0)),"")</f>
        <v>TINTRI1/B-MGNT (STORAGE)</v>
      </c>
      <c r="J49" s="118">
        <f>_xlfn.IFNA(MATCH(SHEET_NAME&amp;" "&amp;B49,Connections!$L$4:$L$345,0),"")</f>
        <v>130</v>
      </c>
    </row>
    <row r="50" spans="1:10">
      <c r="A50" s="140">
        <f t="shared" si="1"/>
        <v>34</v>
      </c>
      <c r="B50" s="116" t="str">
        <f t="shared" si="0"/>
        <v>gi1/0/34</v>
      </c>
      <c r="C50" s="122" t="str" cm="1">
        <f t="array" ref="C50">_xlfn.IFS($B50="","",$B50=$B$71,"reserved",$B50=$B$72,"reserved",$B50=$G$11,"connect",$B50=$G$13,"connect",J50&lt;&gt;"","connect",1=1,"disabled")</f>
        <v>connect</v>
      </c>
      <c r="D50" s="46" cm="1">
        <f t="array" ref="D50">IF($J50&lt;&gt;"",INDEX(Connections!$B$4:$V$345,$J50,MATCH(D$16,Connections!$B$3:$V$3,0)),"")</f>
        <v>300</v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>auto</v>
      </c>
      <c r="G50" s="46" t="str" cm="1">
        <f t="array" ref="G50">IF($J50&lt;&gt;"",INDEX(Connections!$B$4:$V$345,$J50,MATCH(G$16,Connections!$B$3:$V$3,0)),"")</f>
        <v>1GB COPPER</v>
      </c>
      <c r="H50" s="46" t="str" cm="1">
        <f t="array" ref="H50">IF($J50&lt;&gt;"",INDEX(Connections!$B$4:$V$345,$J50,MATCH(H$16,Connections!$B$3:$V$3,0)),"")</f>
        <v>TINTRI1/B-REPL (STORAGE)</v>
      </c>
      <c r="J50" s="118">
        <f>_xlfn.IFNA(MATCH(SHEET_NAME&amp;" "&amp;B50,Connections!$L$4:$L$345,0),"")</f>
        <v>132</v>
      </c>
    </row>
    <row r="51" spans="1:10">
      <c r="A51" s="140">
        <f t="shared" si="1"/>
        <v>35</v>
      </c>
      <c r="B51" s="116" t="str">
        <f t="shared" si="0"/>
        <v>gi1/0/35</v>
      </c>
      <c r="C51" s="122" t="str" cm="1">
        <f t="array" ref="C51">_xlfn.IFS($B51="","",$B51=$B$71,"reserved",$B51=$B$72,"reserved",$B51=$G$11,"connect",$B51=$G$13,"connect",J51&lt;&gt;"","connect",1=1,"disabled")</f>
        <v>connect</v>
      </c>
      <c r="D51" s="46" cm="1">
        <f t="array" ref="D51">IF($J51&lt;&gt;"",INDEX(Connections!$B$4:$V$345,$J51,MATCH(D$16,Connections!$B$3:$V$3,0)),"")</f>
        <v>220</v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>auto</v>
      </c>
      <c r="G51" s="46" t="str" cm="1">
        <f t="array" ref="G51">IF($J51&lt;&gt;"",INDEX(Connections!$B$4:$V$345,$J51,MATCH(G$16,Connections!$B$3:$V$3,0)),"")</f>
        <v>1GB COPPER</v>
      </c>
      <c r="H51" s="46" t="str" cm="1">
        <f t="array" ref="H51">IF($J51&lt;&gt;"",INDEX(Connections!$B$4:$V$345,$J51,MATCH(H$16,Connections!$B$3:$V$3,0)),"")</f>
        <v>TINTRI3/A-ADMIN (STORAGE)</v>
      </c>
      <c r="J51" s="118">
        <f>_xlfn.IFNA(MATCH(SHEET_NAME&amp;" "&amp;B51,Connections!$L$4:$L$345,0),"")</f>
        <v>178</v>
      </c>
    </row>
    <row r="52" spans="1:10">
      <c r="A52" s="140">
        <f t="shared" si="1"/>
        <v>36</v>
      </c>
      <c r="B52" s="116" t="str">
        <f t="shared" si="0"/>
        <v>gi1/0/36</v>
      </c>
      <c r="C52" s="122" t="str" cm="1">
        <f t="array" ref="C52">_xlfn.IFS($B52="","",$B52=$B$71,"reserved",$B52=$B$72,"reserved",$B52=$G$11,"connect",$B52=$G$13,"connect",J52&lt;&gt;"","connect",1=1,"disabled")</f>
        <v>connect</v>
      </c>
      <c r="D52" s="46" cm="1">
        <f t="array" ref="D52">IF($J52&lt;&gt;"",INDEX(Connections!$B$4:$V$345,$J52,MATCH(D$16,Connections!$B$3:$V$3,0)),"")</f>
        <v>300</v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>auto</v>
      </c>
      <c r="G52" s="46" t="str" cm="1">
        <f t="array" ref="G52">IF($J52&lt;&gt;"",INDEX(Connections!$B$4:$V$345,$J52,MATCH(G$16,Connections!$B$3:$V$3,0)),"")</f>
        <v>1GB COPPER</v>
      </c>
      <c r="H52" s="46" t="str" cm="1">
        <f t="array" ref="H52">IF($J52&lt;&gt;"",INDEX(Connections!$B$4:$V$345,$J52,MATCH(H$16,Connections!$B$3:$V$3,0)),"")</f>
        <v>TINTRI3/A-REPL (STORAGE)</v>
      </c>
      <c r="J52" s="118">
        <f>_xlfn.IFNA(MATCH(SHEET_NAME&amp;" "&amp;B52,Connections!$L$4:$L$345,0),"")</f>
        <v>180</v>
      </c>
    </row>
    <row r="53" spans="1:10">
      <c r="A53" s="140">
        <f t="shared" si="1"/>
        <v>37</v>
      </c>
      <c r="B53" s="116" t="str">
        <f t="shared" si="0"/>
        <v>gi1/0/37</v>
      </c>
      <c r="C53" s="122" t="str" cm="1">
        <f t="array" ref="C53">_xlfn.IFS($B53="","",$B53=$B$71,"reserved",$B53=$B$72,"reserved",$B53=$G$11,"connect",$B53=$G$13,"connect",J53&lt;&gt;"","connect",1=1,"disabled")</f>
        <v>connect</v>
      </c>
      <c r="D53" s="46" cm="1">
        <f t="array" ref="D53">IF($J53&lt;&gt;"",INDEX(Connections!$B$4:$V$345,$J53,MATCH(D$16,Connections!$B$3:$V$3,0)),"")</f>
        <v>220</v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>auto</v>
      </c>
      <c r="G53" s="46" t="str" cm="1">
        <f t="array" ref="G53">IF($J53&lt;&gt;"",INDEX(Connections!$B$4:$V$345,$J53,MATCH(G$16,Connections!$B$3:$V$3,0)),"")</f>
        <v>1GB COPPER</v>
      </c>
      <c r="H53" s="46" t="str" cm="1">
        <f t="array" ref="H53">IF($J53&lt;&gt;"",INDEX(Connections!$B$4:$V$345,$J53,MATCH(H$16,Connections!$B$3:$V$3,0)),"")</f>
        <v>TINTRI3/B-ADMIN (STORAGE)</v>
      </c>
      <c r="J53" s="118">
        <f>_xlfn.IFNA(MATCH(SHEET_NAME&amp;" "&amp;B53,Connections!$L$4:$L$345,0),"")</f>
        <v>184</v>
      </c>
    </row>
    <row r="54" spans="1:10">
      <c r="A54" s="140">
        <f t="shared" si="1"/>
        <v>38</v>
      </c>
      <c r="B54" s="116" t="str">
        <f t="shared" si="0"/>
        <v>gi1/0/38</v>
      </c>
      <c r="C54" s="122" t="str" cm="1">
        <f t="array" ref="C54">_xlfn.IFS($B54="","",$B54=$B$71,"reserved",$B54=$B$72,"reserved",$B54=$G$11,"connect",$B54=$G$13,"connect",J54&lt;&gt;"","connect",1=1,"disabled")</f>
        <v>connect</v>
      </c>
      <c r="D54" s="46" cm="1">
        <f t="array" ref="D54">IF($J54&lt;&gt;"",INDEX(Connections!$B$4:$V$345,$J54,MATCH(D$16,Connections!$B$3:$V$3,0)),"")</f>
        <v>300</v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>auto</v>
      </c>
      <c r="G54" s="46" t="str" cm="1">
        <f t="array" ref="G54">IF($J54&lt;&gt;"",INDEX(Connections!$B$4:$V$345,$J54,MATCH(G$16,Connections!$B$3:$V$3,0)),"")</f>
        <v>1GB COPPER</v>
      </c>
      <c r="H54" s="46" t="str" cm="1">
        <f t="array" ref="H54">IF($J54&lt;&gt;"",INDEX(Connections!$B$4:$V$345,$J54,MATCH(H$16,Connections!$B$3:$V$3,0)),"")</f>
        <v>TINTRI3/B-REPL (STORAGE)</v>
      </c>
      <c r="J54" s="118">
        <f>_xlfn.IFNA(MATCH(SHEET_NAME&amp;" "&amp;B54,Connections!$L$4:$L$345,0),"")</f>
        <v>186</v>
      </c>
    </row>
    <row r="55" spans="1:10">
      <c r="A55" s="140">
        <f t="shared" si="1"/>
        <v>39</v>
      </c>
      <c r="B55" s="116" t="str">
        <f t="shared" si="0"/>
        <v>gi1/0/39</v>
      </c>
      <c r="C55" s="122" t="str" cm="1">
        <f t="array" ref="C55">_xlfn.IFS($B55="","",$B55=$B$71,"reserved",$B55=$B$72,"reserved",$B55=$G$11,"connect",$B55=$G$13,"connect",J55&lt;&gt;"","connect",1=1,"disabled")</f>
        <v>connect</v>
      </c>
      <c r="D55" s="46" cm="1">
        <f t="array" ref="D55">IF($J55&lt;&gt;"",INDEX(Connections!$B$4:$V$345,$J55,MATCH(D$16,Connections!$B$3:$V$3,0)),"")</f>
        <v>201</v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>auto</v>
      </c>
      <c r="G55" s="46" t="str" cm="1">
        <f t="array" ref="G55">IF($J55&lt;&gt;"",INDEX(Connections!$B$4:$V$345,$J55,MATCH(G$16,Connections!$B$3:$V$3,0)),"")</f>
        <v>1GB COPPER</v>
      </c>
      <c r="H55" s="46" t="str" cm="1">
        <f t="array" ref="H55">IF($J55&lt;&gt;"",INDEX(Connections!$B$4:$V$345,$J55,MATCH(H$16,Connections!$B$3:$V$3,0)),"")</f>
        <v>Voice Gateway 02/Data (Physical Server)</v>
      </c>
      <c r="J55" s="118">
        <f>_xlfn.IFNA(MATCH(SHEET_NAME&amp;" "&amp;B55,Connections!$L$4:$L$345,0),"")</f>
        <v>227</v>
      </c>
    </row>
    <row r="56" spans="1:10">
      <c r="A56" s="140">
        <f t="shared" si="1"/>
        <v>40</v>
      </c>
      <c r="B56" s="116" t="str">
        <f t="shared" si="0"/>
        <v>gi1/0/40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220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1GB COPPER</v>
      </c>
      <c r="H56" s="46" t="str" cm="1">
        <f t="array" ref="H56">IF($J56&lt;&gt;"",INDEX(Connections!$B$4:$V$345,$J56,MATCH(H$16,Connections!$B$3:$V$3,0)),"")</f>
        <v>Cisco UC220-01 mgmt/MGNT (Physical Server)</v>
      </c>
      <c r="J56" s="118">
        <f>_xlfn.IFNA(MATCH(SHEET_NAME&amp;" "&amp;B56,Connections!$L$4:$L$345,0),"")</f>
        <v>229</v>
      </c>
    </row>
    <row r="57" spans="1:10">
      <c r="A57" s="140">
        <f t="shared" si="1"/>
        <v>41</v>
      </c>
      <c r="B57" s="116" t="str">
        <f t="shared" si="0"/>
        <v>gi1/0/41</v>
      </c>
      <c r="C57" s="122" t="str" cm="1">
        <f t="array" ref="C57">_xlfn.IFS($B57="","",$B57=$B$71,"reserved",$B57=$B$72,"reserved",$B57=$G$11,"connect",$B57=$G$13,"connect",J57&lt;&gt;"","connect",1=1,"disabled")</f>
        <v>connect</v>
      </c>
      <c r="D57" s="46" cm="1">
        <f t="array" ref="D57">IF($J57&lt;&gt;"",INDEX(Connections!$B$4:$V$345,$J57,MATCH(D$16,Connections!$B$3:$V$3,0)),"")</f>
        <v>201</v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>auto</v>
      </c>
      <c r="G57" s="46" t="str" cm="1">
        <f t="array" ref="G57">IF($J57&lt;&gt;"",INDEX(Connections!$B$4:$V$345,$J57,MATCH(G$16,Connections!$B$3:$V$3,0)),"")</f>
        <v>1GB COPPER</v>
      </c>
      <c r="H57" s="46" t="str" cm="1">
        <f t="array" ref="H57">IF($J57&lt;&gt;"",INDEX(Connections!$B$4:$V$345,$J57,MATCH(H$16,Connections!$B$3:$V$3,0)),"")</f>
        <v>Cisco UC220-01 data/Data (Physical Server)</v>
      </c>
      <c r="J57" s="118">
        <f>_xlfn.IFNA(MATCH(SHEET_NAME&amp;" "&amp;B57,Connections!$L$4:$L$345,0),"")</f>
        <v>231</v>
      </c>
    </row>
    <row r="58" spans="1:10">
      <c r="A58" s="140">
        <f t="shared" si="1"/>
        <v>42</v>
      </c>
      <c r="B58" s="116" t="str">
        <f t="shared" si="0"/>
        <v>gi1/0/42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cm="1">
        <f t="array" ref="D58">IF($J58&lt;&gt;"",INDEX(Connections!$B$4:$V$345,$J58,MATCH(D$16,Connections!$B$3:$V$3,0)),"")</f>
        <v>201</v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1GB COPPER</v>
      </c>
      <c r="H58" s="46" t="str" cm="1">
        <f t="array" ref="H58">IF($J58&lt;&gt;"",INDEX(Connections!$B$4:$V$345,$J58,MATCH(H$16,Connections!$B$3:$V$3,0)),"")</f>
        <v>Cisco UC220-01 data/Data3 (Physical Server)</v>
      </c>
      <c r="J58" s="118">
        <f>_xlfn.IFNA(MATCH(SHEET_NAME&amp;" "&amp;B58,Connections!$L$4:$L$345,0),"")</f>
        <v>233</v>
      </c>
    </row>
    <row r="59" spans="1:10">
      <c r="A59" s="140">
        <f t="shared" si="1"/>
        <v>43</v>
      </c>
      <c r="B59" s="116" t="str">
        <f t="shared" si="0"/>
        <v>gi1/0/43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cm="1">
        <f t="array" ref="D59">IF($J59&lt;&gt;"",INDEX(Connections!$B$4:$V$345,$J59,MATCH(D$16,Connections!$B$3:$V$3,0)),"")</f>
        <v>0</v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1GB COPPER</v>
      </c>
      <c r="H59" s="46" t="str" cm="1">
        <f t="array" ref="H59">IF($J59&lt;&gt;"",INDEX(Connections!$B$4:$V$345,$J59,MATCH(H$16,Connections!$B$3:$V$3,0)),"")</f>
        <v>Cisco UC220-01 CIMC/CIMC (Physical Server)</v>
      </c>
      <c r="J59" s="118">
        <f>_xlfn.IFNA(MATCH(SHEET_NAME&amp;" "&amp;B59,Connections!$L$4:$L$345,0),"")</f>
        <v>241</v>
      </c>
    </row>
    <row r="60" spans="1:10">
      <c r="A60" s="140">
        <f t="shared" si="1"/>
        <v>44</v>
      </c>
      <c r="B60" s="116" t="str">
        <f t="shared" si="0"/>
        <v>gi1/0/44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40">
        <f t="shared" si="1"/>
        <v>45</v>
      </c>
      <c r="B61" s="116" t="str">
        <f t="shared" si="0"/>
        <v>gi1/0/45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40">
        <f t="shared" si="1"/>
        <v>46</v>
      </c>
      <c r="B62" s="116" t="str">
        <f t="shared" si="0"/>
        <v>gi1/0/46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46" cm="1">
        <f t="array" ref="D62">IF($J62&lt;&gt;"",INDEX(Connections!$B$4:$V$345,$J62,MATCH(D$16,Connections!$B$3:$V$3,0)),"")</f>
        <v>32</v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>auto</v>
      </c>
      <c r="G62" s="46" t="str" cm="1">
        <f t="array" ref="G62">IF($J62&lt;&gt;"",INDEX(Connections!$B$4:$V$345,$J62,MATCH(G$16,Connections!$B$3:$V$3,0)),"")</f>
        <v>1GB COPPER</v>
      </c>
      <c r="H62" s="46" t="str" cm="1">
        <f t="array" ref="H62">IF($J62&lt;&gt;"",INDEX(Connections!$B$4:$V$345,$J62,MATCH(H$16,Connections!$B$3:$V$3,0)),"")</f>
        <v>FGHFW31/data (Physical Server)</v>
      </c>
      <c r="J62" s="118">
        <f>_xlfn.IFNA(MATCH(SHEET_NAME&amp;" "&amp;B62,Connections!$L$4:$L$345,0),"")</f>
        <v>295</v>
      </c>
    </row>
    <row r="63" spans="1:10">
      <c r="A63" s="140">
        <f t="shared" si="1"/>
        <v>47</v>
      </c>
      <c r="B63" s="116" t="str">
        <f t="shared" si="0"/>
        <v>gi1/0/47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46" cm="1">
        <f t="array" ref="D63">IF($J63&lt;&gt;"",INDEX(Connections!$B$4:$V$345,$J63,MATCH(D$16,Connections!$B$3:$V$3,0)),"")</f>
        <v>32</v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>auto</v>
      </c>
      <c r="G63" s="46" t="str" cm="1">
        <f t="array" ref="G63">IF($J63&lt;&gt;"",INDEX(Connections!$B$4:$V$345,$J63,MATCH(G$16,Connections!$B$3:$V$3,0)),"")</f>
        <v>1GB COPPER</v>
      </c>
      <c r="H63" s="46" t="str" cm="1">
        <f t="array" ref="H63">IF($J63&lt;&gt;"",INDEX(Connections!$B$4:$V$345,$J63,MATCH(H$16,Connections!$B$3:$V$3,0)),"")</f>
        <v>FGHFW21/data (Physical Server)</v>
      </c>
      <c r="J63" s="118">
        <f>_xlfn.IFNA(MATCH(SHEET_NAME&amp;" "&amp;B63,Connections!$L$4:$L$345,0),"")</f>
        <v>296</v>
      </c>
    </row>
    <row r="64" spans="1:10">
      <c r="A64" s="140">
        <f t="shared" si="1"/>
        <v>48</v>
      </c>
      <c r="B64" s="116" t="str">
        <f t="shared" si="0"/>
        <v>gi1/0/48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46" cm="1">
        <f t="array" ref="D64">IF($J64&lt;&gt;"",INDEX(Connections!$B$4:$V$345,$J64,MATCH(D$16,Connections!$B$3:$V$3,0)),"")</f>
        <v>32</v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>auto</v>
      </c>
      <c r="G64" s="46" t="str" cm="1">
        <f t="array" ref="G64">IF($J64&lt;&gt;"",INDEX(Connections!$B$4:$V$345,$J64,MATCH(G$16,Connections!$B$3:$V$3,0)),"")</f>
        <v>1GB COPPER</v>
      </c>
      <c r="H64" s="46" t="str" cm="1">
        <f t="array" ref="H64">IF($J64&lt;&gt;"",INDEX(Connections!$B$4:$V$345,$J64,MATCH(H$16,Connections!$B$3:$V$3,0)),"")</f>
        <v>FGHFW11/data (Physical Server)</v>
      </c>
      <c r="J64" s="118">
        <f>_xlfn.IFNA(MATCH(SHEET_NAME&amp;" "&amp;B64,Connections!$L$4:$L$345,0),"")</f>
        <v>297</v>
      </c>
    </row>
    <row r="65" spans="1:10">
      <c r="A65" s="141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40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40">
        <f t="shared" ref="A68:A75" si="2">ROW(A68)-ROW($A$67)+$A$67</f>
        <v>1</v>
      </c>
      <c r="B68" s="116" t="str">
        <f>IF(A68&gt;$C$8,"",$D$8&amp;$C$11&amp;"/1/"&amp;A68)</f>
        <v>te1/1/1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49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10GB SFP+ DAC</v>
      </c>
      <c r="H68" s="17" t="str" cm="1">
        <f t="array" ref="H68">_xlfn.IFS($B68="","",$B68=$G$11,$G$12&amp;" "&amp;H12,$B68=$G$13,$G$14&amp;" "&amp;$H$14,1=1,"")</f>
        <v>FGHLHN41-1 twe1/0/48</v>
      </c>
      <c r="J68" s="127" t="str">
        <f t="array" ref="J68">_xlfn.IFNA(MATCH(1,(SHEET_NAME=SWITCH_TABLE[Remote Device 1])*(B68=SWITCH_TABLE[Remote Port 1]),0),"")</f>
        <v/>
      </c>
    </row>
    <row r="69" spans="1:10">
      <c r="A69" s="140">
        <f t="shared" si="2"/>
        <v>2</v>
      </c>
      <c r="B69" s="116" t="str">
        <f t="shared" ref="B69:B75" si="3">IF(A69&lt;=$C$8,$D$8&amp;$C$11&amp;"/1/"&amp;A69,"")</f>
        <v>te1/1/2</v>
      </c>
      <c r="C69" s="122" t="str" cm="1">
        <f t="array" ref="C69">_xlfn.IFS($B69="","",$B69=$B$79,"reserved",$B69=$B$80,"reserved",$B69=$G$11,"connect",$B69=$G$13,"connect",1=1,"disabled")</f>
        <v>disabled</v>
      </c>
      <c r="D69" s="17" t="str" cm="1">
        <f t="array" ref="D69">_xlfn.IFS($B69="","",$B69=$G$11,"TRUNK",$B69=$G$13,"TRUNK",1=1,"")</f>
        <v/>
      </c>
      <c r="E69" s="159" t="str" cm="1">
        <f t="array" ref="E69">_xlfn.IFS($B69="","",OR($B69=$G$11,$B69=$G$13),INDEX(SWITCH_TABLE[#Data],$H$3,MATCH("Local EC",SWITCH_TABLE[#Headers],0)),1=1,"")</f>
        <v/>
      </c>
      <c r="F69" s="17" t="str" cm="1">
        <f t="array" ref="F69">_xlfn.IFS($B69="","",$B69=$G$11,"Uplink Port 1",$B69=$G$13,"Uplink Port 2",$B69=$B$79,"Stack Port 1",$B69=$B$80,"Stack Port 2",1=1,"")</f>
        <v/>
      </c>
      <c r="G69" s="17" t="str" cm="1">
        <f t="array" ref="G69">_xlfn.IFS($B69="","",$B69=$G$11,$H$11,$B69=$G$13,$H$13,1=1,"")</f>
        <v/>
      </c>
      <c r="H69" s="17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40">
        <f t="shared" si="2"/>
        <v>3</v>
      </c>
      <c r="B70" s="116" t="str">
        <f t="shared" si="3"/>
        <v>te1/1/3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40">
        <f t="shared" si="2"/>
        <v>4</v>
      </c>
      <c r="B71" s="116" t="str">
        <f t="shared" si="3"/>
        <v>te1/1/4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40">
        <f t="shared" si="2"/>
        <v>5</v>
      </c>
      <c r="B72" s="116" t="str">
        <f t="shared" si="3"/>
        <v>te1/1/5</v>
      </c>
      <c r="C72" s="122" t="str" cm="1">
        <f t="array" ref="C72">_xlfn.IFS($B72="","",$B72=$B$79,"reserved",$B72=$B$80,"reserved",$B72=$G$11,"connect",$B72=$G$13,"connect",1=1,"disabled")</f>
        <v>disabled</v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40">
        <f t="shared" si="2"/>
        <v>6</v>
      </c>
      <c r="B73" s="116" t="str">
        <f t="shared" si="3"/>
        <v>te1/1/6</v>
      </c>
      <c r="C73" s="122" t="str" cm="1">
        <f t="array" ref="C73">_xlfn.IFS($B73="","",$B73=$B$79,"reserved",$B73=$B$80,"reserved",$B73=$G$11,"connect",$B73=$G$13,"connect",1=1,"disabled")</f>
        <v>disabled</v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40">
        <f t="shared" si="2"/>
        <v>7</v>
      </c>
      <c r="B74" s="116" t="str">
        <f t="shared" si="3"/>
        <v>te1/1/7</v>
      </c>
      <c r="C74" s="122" t="str" cm="1">
        <f t="array" ref="C74">_xlfn.IFS($B74="","",$B74=$B$79,"reserved",$B74=$B$80,"reserved",$B74=$G$11,"connect",$B74=$G$13,"connect",1=1,"disabled")</f>
        <v>disabled</v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40">
        <f t="shared" si="2"/>
        <v>8</v>
      </c>
      <c r="B75" s="116" t="str">
        <f t="shared" si="3"/>
        <v>te1/1/8</v>
      </c>
      <c r="C75" s="122" t="str" cm="1">
        <f t="array" ref="C75">_xlfn.IFS($B75="","",$B75=$B$79,"reserved",$B75=$B$80,"reserved",$B75=$G$11,"connect",$B75=$G$13,"connect",1=1,"disabled")</f>
        <v>disabled</v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41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40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40">
        <f>ROW(A79)-ROW($A$78)+$A$78</f>
        <v>1</v>
      </c>
      <c r="B79" s="116" t="str" cm="1">
        <f t="array" ref="B79">IF($C$12="","",INDEX(SWITCH_TABLE[#Data],$H$3,MATCH("Stack Port "&amp;A79,SWITCH_TABLE[#Headers],0)))</f>
        <v>st1/1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FGHLHN141-2 st2/2</v>
      </c>
    </row>
    <row r="80" spans="1:10">
      <c r="A80" s="140">
        <f>ROW(A80)-ROW($A$78)+$A$78</f>
        <v>2</v>
      </c>
      <c r="B80" s="116" t="str" cm="1">
        <f t="array" ref="B80">IF($C$12="","",INDEX(SWITCH_TABLE[#Data],$H$3,MATCH("Stack Port "&amp;A80,SWITCH_TABLE[#Headers],0)))</f>
        <v>st1/2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FGHLHN141-2 st2/1</v>
      </c>
    </row>
    <row r="81" spans="1:8">
      <c r="A81" s="141"/>
      <c r="B81" s="127"/>
      <c r="C81" s="127"/>
      <c r="D81" s="127"/>
      <c r="E81" s="127"/>
      <c r="F81" s="127"/>
      <c r="G81" s="127"/>
      <c r="H81" s="127"/>
    </row>
  </sheetData>
  <conditionalFormatting sqref="C58:C60 C22:C56">
    <cfRule type="cellIs" dxfId="1086" priority="13" operator="equal">
      <formula>"reserved"</formula>
    </cfRule>
    <cfRule type="cellIs" dxfId="1085" priority="14" operator="equal">
      <formula>"notconnect"</formula>
    </cfRule>
    <cfRule type="cellIs" dxfId="1084" priority="15" operator="equal">
      <formula>"disabled"</formula>
    </cfRule>
    <cfRule type="cellIs" dxfId="1083" priority="16" operator="equal">
      <formula>"connect"</formula>
    </cfRule>
  </conditionalFormatting>
  <conditionalFormatting sqref="C68:C75">
    <cfRule type="cellIs" dxfId="1082" priority="21" operator="equal">
      <formula>"reserved"</formula>
    </cfRule>
    <cfRule type="cellIs" dxfId="1081" priority="22" operator="equal">
      <formula>"notconnect"</formula>
    </cfRule>
    <cfRule type="cellIs" dxfId="1080" priority="23" operator="equal">
      <formula>"disabled"</formula>
    </cfRule>
    <cfRule type="cellIs" dxfId="1079" priority="24" operator="equal">
      <formula>"connect"</formula>
    </cfRule>
  </conditionalFormatting>
  <conditionalFormatting sqref="C79:C80">
    <cfRule type="cellIs" dxfId="1078" priority="17" operator="equal">
      <formula>"reserved"</formula>
    </cfRule>
    <cfRule type="cellIs" dxfId="1077" priority="18" operator="equal">
      <formula>"notconnect"</formula>
    </cfRule>
    <cfRule type="cellIs" dxfId="1076" priority="19" operator="equal">
      <formula>"disabled"</formula>
    </cfRule>
    <cfRule type="cellIs" dxfId="1075" priority="20" operator="equal">
      <formula>"connect"</formula>
    </cfRule>
  </conditionalFormatting>
  <conditionalFormatting sqref="C61:C64">
    <cfRule type="cellIs" dxfId="1074" priority="9" operator="equal">
      <formula>"reserved"</formula>
    </cfRule>
    <cfRule type="cellIs" dxfId="1073" priority="10" operator="equal">
      <formula>"notconnect"</formula>
    </cfRule>
    <cfRule type="cellIs" dxfId="1072" priority="11" operator="equal">
      <formula>"disabled"</formula>
    </cfRule>
    <cfRule type="cellIs" dxfId="1071" priority="12" operator="equal">
      <formula>"connect"</formula>
    </cfRule>
  </conditionalFormatting>
  <conditionalFormatting sqref="C57">
    <cfRule type="cellIs" dxfId="1070" priority="5" operator="equal">
      <formula>"reserved"</formula>
    </cfRule>
    <cfRule type="cellIs" dxfId="1069" priority="6" operator="equal">
      <formula>"notconnect"</formula>
    </cfRule>
    <cfRule type="cellIs" dxfId="1068" priority="7" operator="equal">
      <formula>"disabled"</formula>
    </cfRule>
    <cfRule type="cellIs" dxfId="1067" priority="8" operator="equal">
      <formula>"connect"</formula>
    </cfRule>
  </conditionalFormatting>
  <conditionalFormatting sqref="C17:C21">
    <cfRule type="cellIs" dxfId="1066" priority="1" operator="equal">
      <formula>"reserved"</formula>
    </cfRule>
    <cfRule type="cellIs" dxfId="1065" priority="2" operator="equal">
      <formula>"notconnect"</formula>
    </cfRule>
    <cfRule type="cellIs" dxfId="1064" priority="3" operator="equal">
      <formula>"disabled"</formula>
    </cfRule>
    <cfRule type="cellIs" dxfId="1063" priority="4" operator="equal">
      <formula>"connect"</formula>
    </cfRule>
  </conditionalFormatting>
  <dataValidations count="5">
    <dataValidation allowBlank="1" showInputMessage="1" sqref="E68:E75 E17:E64" xr:uid="{FAB00071-37ED-406D-9304-3CC8AAFDD402}"/>
    <dataValidation type="list" allowBlank="1" showInputMessage="1" sqref="F17:F64" xr:uid="{DA3D6E2B-5DF6-40E5-BEC8-4197C5E29634}">
      <formula1>SPEED_DUPLEX_LIST</formula1>
    </dataValidation>
    <dataValidation type="list" allowBlank="1" showInputMessage="1" sqref="D68:D75" xr:uid="{56597BEF-1BC3-4B5D-927A-FFB311C4C36F}">
      <formula1>VLAN_ID_LIST</formula1>
    </dataValidation>
    <dataValidation type="list" allowBlank="1" showInputMessage="1" sqref="C68:C75 C79:C80 C17:C64" xr:uid="{03023736-CE48-422B-B300-8089E4FB09E7}">
      <formula1>PORT_STATE_LIST</formula1>
    </dataValidation>
    <dataValidation type="list" allowBlank="1" showInputMessage="1" sqref="G68:G75 G17:G64" xr:uid="{1F67B38E-47BE-4EB2-A2B7-3E1A7293C2D9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084A-CCDC-4F9F-8149-3D31A1ADA174}">
  <sheetPr codeName="Sheet11">
    <tabColor rgb="FF0070C0"/>
  </sheetPr>
  <dimension ref="A1:L81"/>
  <sheetViews>
    <sheetView topLeftCell="A38" workbookViewId="0">
      <selection activeCell="B34" sqref="B34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5" width="8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1083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10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FCW2319L02M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FGHLHN141-1</v>
      </c>
      <c r="D13" s="117" t="str">
        <f>INDEX(SWITCH_TABLE[#Data],$H$3,MATCH("Next Port",SWITCH_TABLE[#Headers],0))</f>
        <v>st1/2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te2/1/2</v>
      </c>
      <c r="H13" s="118" t="str" cm="1">
        <f t="array" ref="H13">IF(G13="","",INDEX(SWITCH_TABLE[#Data],$H$3,MATCH("Uplink 2 SFP",SWITCH_TABLE[#Headers],0)))</f>
        <v>10GB SFP+ DAC</v>
      </c>
    </row>
    <row r="14" spans="1:10">
      <c r="B14" s="116" t="s">
        <v>1842</v>
      </c>
      <c r="C14" s="117" t="str">
        <f>INDEX(SWITCH_TABLE[#Data],$H$3,MATCH(B14,SWITCH_TABLE[#Headers],0))</f>
        <v>FGHLHN141-1</v>
      </c>
      <c r="D14" s="117" t="str">
        <f>INDEX(SWITCH_TABLE[#Data],$H$3,MATCH("Prev Port",SWITCH_TABLE[#Headers],0))</f>
        <v>st1/1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FGHLHN41-2</v>
      </c>
      <c r="H14" s="118" t="str" cm="1">
        <f t="array" ref="H14">IF(G14="","",INDEX(SWITCH_TABLE[#Data],$H$3,MATCH("Remote Port 2",SWITCH_TABLE[#Headers],0)))</f>
        <v>twe2/0/48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gi2/0/1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1018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FGHLHN221/CIMC (DNAC)</v>
      </c>
      <c r="J17" s="118">
        <f>_xlfn.IFNA(MATCH(SHEET_NAME&amp;" "&amp;B17,Connections!$L$4:$L$345,0),"")</f>
        <v>4</v>
      </c>
    </row>
    <row r="18" spans="1:12">
      <c r="A18" s="121">
        <f t="shared" ref="A18:A64" si="1">ROW(A18)-ROW($A$16)+$A$16</f>
        <v>2</v>
      </c>
      <c r="B18" s="116" t="str">
        <f t="shared" si="0"/>
        <v>gi2/0/2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220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FGHNFS05/ILO (STORAGE)</v>
      </c>
      <c r="J18" s="118">
        <f>_xlfn.IFNA(MATCH(SHEET_NAME&amp;" "&amp;B18,Connections!$L$4:$L$345,0),"")</f>
        <v>136</v>
      </c>
      <c r="L18" s="111" t="s">
        <v>2661</v>
      </c>
    </row>
    <row r="19" spans="1:12">
      <c r="A19" s="121">
        <f t="shared" si="1"/>
        <v>3</v>
      </c>
      <c r="B19" s="116" t="str">
        <f t="shared" si="0"/>
        <v>gi2/0/3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300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OTTOUK145/MGNT (Physical Server)</v>
      </c>
      <c r="J19" s="118">
        <f>_xlfn.IFNA(MATCH(SHEET_NAME&amp;" "&amp;B19,Connections!$L$4:$L$345,0),"")</f>
        <v>209</v>
      </c>
    </row>
    <row r="20" spans="1:12">
      <c r="A20" s="121">
        <f t="shared" si="1"/>
        <v>4</v>
      </c>
      <c r="B20" s="116" t="str">
        <f t="shared" si="0"/>
        <v>gi2/0/4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cm="1">
        <f t="array" ref="D20">IF($J20&lt;&gt;"",INDEX(Connections!$B$4:$V$345,$J20,MATCH(D$16,Connections!$B$3:$V$3,0)),"")</f>
        <v>4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OTTOUK145/Backup (Physical Server)</v>
      </c>
      <c r="J20" s="118">
        <f>_xlfn.IFNA(MATCH(SHEET_NAME&amp;" "&amp;B20,Connections!$L$4:$L$345,0),"")</f>
        <v>210</v>
      </c>
    </row>
    <row r="21" spans="1:12">
      <c r="A21" s="121">
        <f t="shared" si="1"/>
        <v>5</v>
      </c>
      <c r="B21" s="116" t="str">
        <f t="shared" si="0"/>
        <v>gi2/0/5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220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Z114MFTL/03 (TAPE LIBRARY)</v>
      </c>
      <c r="J21" s="118">
        <f>_xlfn.IFNA(MATCH(SHEET_NAME&amp;" "&amp;B21,Connections!$L$4:$L$345,0),"")</f>
        <v>214</v>
      </c>
    </row>
    <row r="22" spans="1:12">
      <c r="A22" s="121">
        <f t="shared" si="1"/>
        <v>6</v>
      </c>
      <c r="B22" s="116" t="str">
        <f t="shared" si="0"/>
        <v>gi2/0/6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2">
      <c r="A23" s="121">
        <f t="shared" si="1"/>
        <v>7</v>
      </c>
      <c r="B23" s="116" t="str">
        <f t="shared" si="0"/>
        <v>gi2/0/7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cm="1">
        <f t="array" ref="D23">IF($J23&lt;&gt;"",INDEX(Connections!$B$4:$V$345,$J23,MATCH(D$16,Connections!$B$3:$V$3,0)),"")</f>
        <v>230</v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>auto</v>
      </c>
      <c r="G23" s="46" t="str" cm="1">
        <f t="array" ref="G23">IF($J23&lt;&gt;"",INDEX(Connections!$B$4:$V$345,$J23,MATCH(G$16,Connections!$B$3:$V$3,0)),"")</f>
        <v>1GB COPPER</v>
      </c>
      <c r="H23" s="46" t="str" cm="1">
        <f t="array" ref="H23">IF($J23&lt;&gt;"",INDEX(Connections!$B$4:$V$345,$J23,MATCH(H$16,Connections!$B$3:$V$3,0)),"")</f>
        <v>Del 3000i DC1/Data 2 (Physical Server)</v>
      </c>
      <c r="J23" s="118">
        <f>_xlfn.IFNA(MATCH(SHEET_NAME&amp;" "&amp;B23,Connections!$L$4:$L$345,0),"")</f>
        <v>253</v>
      </c>
    </row>
    <row r="24" spans="1:12">
      <c r="A24" s="121">
        <f t="shared" si="1"/>
        <v>8</v>
      </c>
      <c r="B24" s="116" t="str">
        <f t="shared" si="0"/>
        <v>gi2/0/8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cm="1">
        <f t="array" ref="D24">IF($J24&lt;&gt;"",INDEX(Connections!$B$4:$V$345,$J24,MATCH(D$16,Connections!$B$3:$V$3,0)),"")</f>
        <v>300</v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>auto</v>
      </c>
      <c r="G24" s="46" t="str" cm="1">
        <f t="array" ref="G24">IF($J24&lt;&gt;"",INDEX(Connections!$B$4:$V$345,$J24,MATCH(G$16,Connections!$B$3:$V$3,0)),"")</f>
        <v>1GB COPPER</v>
      </c>
      <c r="H24" s="46" t="str" cm="1">
        <f t="array" ref="H24">IF($J24&lt;&gt;"",INDEX(Connections!$B$4:$V$345,$J24,MATCH(H$16,Connections!$B$3:$V$3,0)),"")</f>
        <v>TIER3NFS01/data 2 (Physical Server)</v>
      </c>
      <c r="J24" s="118">
        <f>_xlfn.IFNA(MATCH(SHEET_NAME&amp;" "&amp;B24,Connections!$L$4:$L$345,0),"")</f>
        <v>255</v>
      </c>
    </row>
    <row r="25" spans="1:12">
      <c r="A25" s="121">
        <f t="shared" si="1"/>
        <v>9</v>
      </c>
      <c r="B25" s="116" t="str">
        <f t="shared" si="0"/>
        <v>gi2/0/9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2">
      <c r="A26" s="121">
        <f t="shared" si="1"/>
        <v>10</v>
      </c>
      <c r="B26" s="116" t="str">
        <f t="shared" si="0"/>
        <v>gi2/0/10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2">
      <c r="A27" s="121">
        <f t="shared" si="1"/>
        <v>11</v>
      </c>
      <c r="B27" s="116" t="str">
        <f t="shared" si="0"/>
        <v>gi2/0/11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230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FGHVIEW01/ISCSI (VDI)</v>
      </c>
      <c r="J27" s="118">
        <f>_xlfn.IFNA(MATCH(SHEET_NAME&amp;" "&amp;B27,Connections!$L$4:$L$345,0),"")</f>
        <v>13</v>
      </c>
    </row>
    <row r="28" spans="1:12">
      <c r="A28" s="121">
        <f t="shared" si="1"/>
        <v>12</v>
      </c>
      <c r="B28" s="116" t="str">
        <f t="shared" si="0"/>
        <v>gi2/0/12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230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FGHVIEW02/ISCSI (VDI)</v>
      </c>
      <c r="J28" s="118">
        <f>_xlfn.IFNA(MATCH(SHEET_NAME&amp;" "&amp;B28,Connections!$L$4:$L$345,0),"")</f>
        <v>20</v>
      </c>
    </row>
    <row r="29" spans="1:12">
      <c r="A29" s="121">
        <f t="shared" si="1"/>
        <v>13</v>
      </c>
      <c r="B29" s="116" t="str">
        <f t="shared" si="0"/>
        <v>gi2/0/13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230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FGHVIEW03/ISCSI (VDI)</v>
      </c>
      <c r="J29" s="118">
        <f>_xlfn.IFNA(MATCH(SHEET_NAME&amp;" "&amp;B29,Connections!$L$4:$L$345,0),"")</f>
        <v>27</v>
      </c>
    </row>
    <row r="30" spans="1:12">
      <c r="A30" s="121">
        <f t="shared" si="1"/>
        <v>14</v>
      </c>
      <c r="B30" s="116" t="str">
        <f t="shared" si="0"/>
        <v>gi2/0/14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230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FGHVIEW08/ISCSI (VDI)</v>
      </c>
      <c r="J30" s="118">
        <f>_xlfn.IFNA(MATCH(SHEET_NAME&amp;" "&amp;B30,Connections!$L$4:$L$345,0),"")</f>
        <v>62</v>
      </c>
    </row>
    <row r="31" spans="1:12">
      <c r="A31" s="121">
        <f t="shared" si="1"/>
        <v>15</v>
      </c>
      <c r="B31" s="116" t="str">
        <f t="shared" si="0"/>
        <v>gi2/0/15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230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FGHVIEW10/ISCSI (VDI)</v>
      </c>
      <c r="J31" s="118">
        <f>_xlfn.IFNA(MATCH(SHEET_NAME&amp;" "&amp;B31,Connections!$L$4:$L$345,0),"")</f>
        <v>76</v>
      </c>
    </row>
    <row r="32" spans="1:12">
      <c r="A32" s="121">
        <f t="shared" si="1"/>
        <v>16</v>
      </c>
      <c r="B32" s="116" t="str">
        <f t="shared" si="0"/>
        <v>gi2/0/16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230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1GB COPPER</v>
      </c>
      <c r="H32" s="46" t="str" cm="1">
        <f t="array" ref="H32">IF($J32&lt;&gt;"",INDEX(Connections!$B$4:$V$345,$J32,MATCH(H$16,Connections!$B$3:$V$3,0)),"")</f>
        <v>FGHVIEW11/ISCSI (VDI)</v>
      </c>
      <c r="J32" s="118">
        <f>_xlfn.IFNA(MATCH(SHEET_NAME&amp;" "&amp;B32,Connections!$L$4:$L$345,0),"")</f>
        <v>83</v>
      </c>
    </row>
    <row r="33" spans="1:10">
      <c r="A33" s="121">
        <f t="shared" si="1"/>
        <v>17</v>
      </c>
      <c r="B33" s="116" t="str">
        <f t="shared" si="0"/>
        <v>gi2/0/17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230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1GB COPPER</v>
      </c>
      <c r="H33" s="46" t="str" cm="1">
        <f t="array" ref="H33">IF($J33&lt;&gt;"",INDEX(Connections!$B$4:$V$345,$J33,MATCH(H$16,Connections!$B$3:$V$3,0)),"")</f>
        <v>FGHVIEW13/ISCSI (VDI)</v>
      </c>
      <c r="J33" s="118">
        <f>_xlfn.IFNA(MATCH(SHEET_NAME&amp;" "&amp;B33,Connections!$L$4:$L$345,0),"")</f>
        <v>97</v>
      </c>
    </row>
    <row r="34" spans="1:10">
      <c r="A34" s="121">
        <f t="shared" si="1"/>
        <v>18</v>
      </c>
      <c r="B34" s="116" t="str">
        <f t="shared" si="0"/>
        <v>gi2/0/18</v>
      </c>
      <c r="C34" s="122" t="str" cm="1">
        <f t="array" ref="C34">_xlfn.IFS($B34="","",$B34=$B$71,"reserved",$B34=$B$72,"reserved",$B34=$G$11,"connect",$B34=$G$13,"connect",J34&lt;&gt;"","connect",1=1,"disabled")</f>
        <v>connect</v>
      </c>
      <c r="D34" s="46" cm="1">
        <f t="array" ref="D34">IF($J34&lt;&gt;"",INDEX(Connections!$B$4:$V$345,$J34,MATCH(D$16,Connections!$B$3:$V$3,0)),"")</f>
        <v>230</v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>auto</v>
      </c>
      <c r="G34" s="46" t="str" cm="1">
        <f t="array" ref="G34">IF($J34&lt;&gt;"",INDEX(Connections!$B$4:$V$345,$J34,MATCH(G$16,Connections!$B$3:$V$3,0)),"")</f>
        <v>1GB COPPER</v>
      </c>
      <c r="H34" s="46" t="str" cm="1">
        <f t="array" ref="H34">IF($J34&lt;&gt;"",INDEX(Connections!$B$4:$V$345,$J34,MATCH(H$16,Connections!$B$3:$V$3,0)),"")</f>
        <v>FGHView15/ISCSI (VDI)</v>
      </c>
      <c r="J34" s="118">
        <f>_xlfn.IFNA(MATCH(SHEET_NAME&amp;" "&amp;B34,Connections!$L$4:$L$345,0),"")</f>
        <v>220</v>
      </c>
    </row>
    <row r="35" spans="1:10">
      <c r="A35" s="121">
        <f t="shared" si="1"/>
        <v>19</v>
      </c>
      <c r="B35" s="116" t="str">
        <f t="shared" si="0"/>
        <v>gi2/0/19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gi2/0/20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gi2/0/21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400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1GB COPPER</v>
      </c>
      <c r="H37" s="46" t="str" cm="1">
        <f t="array" ref="H37">IF($J37&lt;&gt;"",INDEX(Connections!$B$4:$V$345,$J37,MATCH(H$16,Connections!$B$3:$V$3,0)),"")</f>
        <v>FGHVIEW01/MGNT2 (VDI)</v>
      </c>
      <c r="J37" s="118">
        <f>_xlfn.IFNA(MATCH(SHEET_NAME&amp;" "&amp;B37,Connections!$L$4:$L$345,0),"")</f>
        <v>15</v>
      </c>
    </row>
    <row r="38" spans="1:10">
      <c r="A38" s="121">
        <f t="shared" si="1"/>
        <v>22</v>
      </c>
      <c r="B38" s="116" t="str">
        <f t="shared" si="0"/>
        <v>gi2/0/22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cm="1">
        <f t="array" ref="D38">IF($J38&lt;&gt;"",INDEX(Connections!$B$4:$V$345,$J38,MATCH(D$16,Connections!$B$3:$V$3,0)),"")</f>
        <v>400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1GB COPPER</v>
      </c>
      <c r="H38" s="46" t="str" cm="1">
        <f t="array" ref="H38">IF($J38&lt;&gt;"",INDEX(Connections!$B$4:$V$345,$J38,MATCH(H$16,Connections!$B$3:$V$3,0)),"")</f>
        <v>FGHVIEW02/MGNT2 (VDI)</v>
      </c>
      <c r="J38" s="118">
        <f>_xlfn.IFNA(MATCH(SHEET_NAME&amp;" "&amp;B38,Connections!$L$4:$L$345,0),"")</f>
        <v>22</v>
      </c>
    </row>
    <row r="39" spans="1:10">
      <c r="A39" s="121">
        <f t="shared" si="1"/>
        <v>23</v>
      </c>
      <c r="B39" s="116" t="str">
        <f t="shared" si="0"/>
        <v>gi2/0/23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cm="1">
        <f t="array" ref="D39">IF($J39&lt;&gt;"",INDEX(Connections!$B$4:$V$345,$J39,MATCH(D$16,Connections!$B$3:$V$3,0)),"")</f>
        <v>400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1GB COPPER</v>
      </c>
      <c r="H39" s="46" t="str" cm="1">
        <f t="array" ref="H39">IF($J39&lt;&gt;"",INDEX(Connections!$B$4:$V$345,$J39,MATCH(H$16,Connections!$B$3:$V$3,0)),"")</f>
        <v>FGHVIEW03/MGNT2 (VDI)</v>
      </c>
      <c r="J39" s="118">
        <f>_xlfn.IFNA(MATCH(SHEET_NAME&amp;" "&amp;B39,Connections!$L$4:$L$345,0),"")</f>
        <v>29</v>
      </c>
    </row>
    <row r="40" spans="1:10">
      <c r="A40" s="121">
        <f t="shared" si="1"/>
        <v>24</v>
      </c>
      <c r="B40" s="116" t="str">
        <f t="shared" si="0"/>
        <v>gi2/0/24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400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1GB COPPER</v>
      </c>
      <c r="H40" s="46" t="str" cm="1">
        <f t="array" ref="H40">IF($J40&lt;&gt;"",INDEX(Connections!$B$4:$V$345,$J40,MATCH(H$16,Connections!$B$3:$V$3,0)),"")</f>
        <v>FGHVIEW08/MGNT2 (VDI)</v>
      </c>
      <c r="J40" s="118">
        <f>_xlfn.IFNA(MATCH(SHEET_NAME&amp;" "&amp;B40,Connections!$L$4:$L$345,0),"")</f>
        <v>64</v>
      </c>
    </row>
    <row r="41" spans="1:10">
      <c r="A41" s="121">
        <f t="shared" si="1"/>
        <v>25</v>
      </c>
      <c r="B41" s="116" t="str">
        <f t="shared" si="0"/>
        <v>gi2/0/25</v>
      </c>
      <c r="C41" s="122" t="str" cm="1">
        <f t="array" ref="C41">_xlfn.IFS($B41="","",$B41=$B$71,"reserved",$B41=$B$72,"reserved",$B41=$G$11,"connect",$B41=$G$13,"connect",J41&lt;&gt;"","connect",1=1,"disabled")</f>
        <v>connect</v>
      </c>
      <c r="D41" s="46" cm="1">
        <f t="array" ref="D41">IF($J41&lt;&gt;"",INDEX(Connections!$B$4:$V$345,$J41,MATCH(D$16,Connections!$B$3:$V$3,0)),"")</f>
        <v>400</v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>auto</v>
      </c>
      <c r="G41" s="46" t="str" cm="1">
        <f t="array" ref="G41">IF($J41&lt;&gt;"",INDEX(Connections!$B$4:$V$345,$J41,MATCH(G$16,Connections!$B$3:$V$3,0)),"")</f>
        <v>1GB COPPER</v>
      </c>
      <c r="H41" s="46" t="str" cm="1">
        <f t="array" ref="H41">IF($J41&lt;&gt;"",INDEX(Connections!$B$4:$V$345,$J41,MATCH(H$16,Connections!$B$3:$V$3,0)),"")</f>
        <v>FGHVIEW10/MGNT2 (VDI)</v>
      </c>
      <c r="J41" s="118">
        <f>_xlfn.IFNA(MATCH(SHEET_NAME&amp;" "&amp;B41,Connections!$L$4:$L$345,0),"")</f>
        <v>78</v>
      </c>
    </row>
    <row r="42" spans="1:10">
      <c r="A42" s="121">
        <f t="shared" si="1"/>
        <v>26</v>
      </c>
      <c r="B42" s="116" t="str">
        <f t="shared" si="0"/>
        <v>gi2/0/26</v>
      </c>
      <c r="C42" s="122" t="str" cm="1">
        <f t="array" ref="C42">_xlfn.IFS($B42="","",$B42=$B$71,"reserved",$B42=$B$72,"reserved",$B42=$G$11,"connect",$B42=$G$13,"connect",J42&lt;&gt;"","connect",1=1,"disabled")</f>
        <v>connect</v>
      </c>
      <c r="D42" s="46" cm="1">
        <f t="array" ref="D42">IF($J42&lt;&gt;"",INDEX(Connections!$B$4:$V$345,$J42,MATCH(D$16,Connections!$B$3:$V$3,0)),"")</f>
        <v>400</v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>auto</v>
      </c>
      <c r="G42" s="46" t="str" cm="1">
        <f t="array" ref="G42">IF($J42&lt;&gt;"",INDEX(Connections!$B$4:$V$345,$J42,MATCH(G$16,Connections!$B$3:$V$3,0)),"")</f>
        <v>1GB COPPER</v>
      </c>
      <c r="H42" s="46" t="str" cm="1">
        <f t="array" ref="H42">IF($J42&lt;&gt;"",INDEX(Connections!$B$4:$V$345,$J42,MATCH(H$16,Connections!$B$3:$V$3,0)),"")</f>
        <v>FGHVIEW11/MGNT2 (VDI)</v>
      </c>
      <c r="J42" s="118">
        <f>_xlfn.IFNA(MATCH(SHEET_NAME&amp;" "&amp;B42,Connections!$L$4:$L$345,0),"")</f>
        <v>85</v>
      </c>
    </row>
    <row r="43" spans="1:10">
      <c r="A43" s="121">
        <f t="shared" si="1"/>
        <v>27</v>
      </c>
      <c r="B43" s="116" t="str">
        <f t="shared" si="0"/>
        <v>gi2/0/27</v>
      </c>
      <c r="C43" s="122" t="str" cm="1">
        <f t="array" ref="C43">_xlfn.IFS($B43="","",$B43=$B$71,"reserved",$B43=$B$72,"reserved",$B43=$G$11,"connect",$B43=$G$13,"connect",J43&lt;&gt;"","connect",1=1,"disabled")</f>
        <v>connect</v>
      </c>
      <c r="D43" s="46" cm="1">
        <f t="array" ref="D43">IF($J43&lt;&gt;"",INDEX(Connections!$B$4:$V$345,$J43,MATCH(D$16,Connections!$B$3:$V$3,0)),"")</f>
        <v>400</v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>auto</v>
      </c>
      <c r="G43" s="46" t="str" cm="1">
        <f t="array" ref="G43">IF($J43&lt;&gt;"",INDEX(Connections!$B$4:$V$345,$J43,MATCH(G$16,Connections!$B$3:$V$3,0)),"")</f>
        <v>1GB COPPER</v>
      </c>
      <c r="H43" s="46" t="str" cm="1">
        <f t="array" ref="H43">IF($J43&lt;&gt;"",INDEX(Connections!$B$4:$V$345,$J43,MATCH(H$16,Connections!$B$3:$V$3,0)),"")</f>
        <v>FGHVIEW13/MGNT2 (VDI)</v>
      </c>
      <c r="J43" s="118">
        <f>_xlfn.IFNA(MATCH(SHEET_NAME&amp;" "&amp;B43,Connections!$L$4:$L$345,0),"")</f>
        <v>99</v>
      </c>
    </row>
    <row r="44" spans="1:10">
      <c r="A44" s="121">
        <f t="shared" si="1"/>
        <v>28</v>
      </c>
      <c r="B44" s="116" t="str">
        <f t="shared" si="0"/>
        <v>gi2/0/28</v>
      </c>
      <c r="C44" s="122" t="s">
        <v>2611</v>
      </c>
      <c r="D44" s="46" cm="1">
        <f t="array" ref="D44">IF($J44&lt;&gt;"",INDEX(Connections!$B$4:$V$345,$J44,MATCH(D$16,Connections!$B$3:$V$3,0)),"")</f>
        <v>400</v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>auto</v>
      </c>
      <c r="G44" s="46" t="str" cm="1">
        <f t="array" ref="G44">IF($J44&lt;&gt;"",INDEX(Connections!$B$4:$V$345,$J44,MATCH(G$16,Connections!$B$3:$V$3,0)),"")</f>
        <v>1GB COPPER</v>
      </c>
      <c r="H44" s="46" t="str" cm="1">
        <f t="array" ref="H44">IF($J44&lt;&gt;"",INDEX(Connections!$B$4:$V$345,$J44,MATCH(H$16,Connections!$B$3:$V$3,0)),"")</f>
        <v>FGHView15/MGNT (VDI)</v>
      </c>
      <c r="J44" s="118">
        <f>_xlfn.IFNA(MATCH(SHEET_NAME&amp;" "&amp;B44,Connections!$L$4:$L$345,0),"")</f>
        <v>222</v>
      </c>
    </row>
    <row r="45" spans="1:10">
      <c r="A45" s="121">
        <f t="shared" si="1"/>
        <v>29</v>
      </c>
      <c r="B45" s="116" t="str">
        <f t="shared" si="0"/>
        <v>gi2/0/29</v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gi2/0/30</v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gi2/0/31</v>
      </c>
      <c r="C47" s="122" t="str" cm="1">
        <f t="array" ref="C47">_xlfn.IFS($B47="","",$B47=$B$71,"reserved",$B47=$B$72,"reserved",$B47=$G$11,"connect",$B47=$G$13,"connect",J47&lt;&gt;"","connect",1=1,"disabled")</f>
        <v>connect</v>
      </c>
      <c r="D47" s="46" cm="1">
        <f t="array" ref="D47">IF($J47&lt;&gt;"",INDEX(Connections!$B$4:$V$345,$J47,MATCH(D$16,Connections!$B$3:$V$3,0)),"")</f>
        <v>300</v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>auto</v>
      </c>
      <c r="G47" s="46" t="str" cm="1">
        <f t="array" ref="G47">IF($J47&lt;&gt;"",INDEX(Connections!$B$4:$V$345,$J47,MATCH(G$16,Connections!$B$3:$V$3,0)),"")</f>
        <v>1GB COPPER</v>
      </c>
      <c r="H47" s="46" t="str" cm="1">
        <f t="array" ref="H47">IF($J47&lt;&gt;"",INDEX(Connections!$B$4:$V$345,$J47,MATCH(H$16,Connections!$B$3:$V$3,0)),"")</f>
        <v>TINTRI1/A-MGNT2 (STORAGE)</v>
      </c>
      <c r="J47" s="118">
        <f>_xlfn.IFNA(MATCH(SHEET_NAME&amp;" "&amp;B47,Connections!$L$4:$L$345,0),"")</f>
        <v>126</v>
      </c>
    </row>
    <row r="48" spans="1:10">
      <c r="A48" s="121">
        <f t="shared" si="1"/>
        <v>32</v>
      </c>
      <c r="B48" s="116" t="str">
        <f t="shared" si="0"/>
        <v>gi2/0/32</v>
      </c>
      <c r="C48" s="122" t="str" cm="1">
        <f t="array" ref="C48">_xlfn.IFS($B48="","",$B48=$B$71,"reserved",$B48=$B$72,"reserved",$B48=$G$11,"connect",$B48=$G$13,"connect",J48&lt;&gt;"","connect",1=1,"disabled")</f>
        <v>connect</v>
      </c>
      <c r="D48" s="46" cm="1">
        <f t="array" ref="D48">IF($J48&lt;&gt;"",INDEX(Connections!$B$4:$V$345,$J48,MATCH(D$16,Connections!$B$3:$V$3,0)),"")</f>
        <v>300</v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>auto</v>
      </c>
      <c r="G48" s="46" t="str" cm="1">
        <f t="array" ref="G48">IF($J48&lt;&gt;"",INDEX(Connections!$B$4:$V$345,$J48,MATCH(G$16,Connections!$B$3:$V$3,0)),"")</f>
        <v>1GB COPPER</v>
      </c>
      <c r="H48" s="46" t="str" cm="1">
        <f t="array" ref="H48">IF($J48&lt;&gt;"",INDEX(Connections!$B$4:$V$345,$J48,MATCH(H$16,Connections!$B$3:$V$3,0)),"")</f>
        <v>TINTRI1/A-REPL2 (STORAGE)</v>
      </c>
      <c r="J48" s="118">
        <f>_xlfn.IFNA(MATCH(SHEET_NAME&amp;" "&amp;B48,Connections!$L$4:$L$345,0),"")</f>
        <v>128</v>
      </c>
    </row>
    <row r="49" spans="1:10">
      <c r="A49" s="121">
        <f t="shared" si="1"/>
        <v>33</v>
      </c>
      <c r="B49" s="116" t="str">
        <f t="shared" si="0"/>
        <v>gi2/0/33</v>
      </c>
      <c r="C49" s="122" t="str" cm="1">
        <f t="array" ref="C49">_xlfn.IFS($B49="","",$B49=$B$71,"reserved",$B49=$B$72,"reserved",$B49=$G$11,"connect",$B49=$G$13,"connect",J49&lt;&gt;"","connect",1=1,"disabled")</f>
        <v>connect</v>
      </c>
      <c r="D49" s="46" cm="1">
        <f t="array" ref="D49">IF($J49&lt;&gt;"",INDEX(Connections!$B$4:$V$345,$J49,MATCH(D$16,Connections!$B$3:$V$3,0)),"")</f>
        <v>300</v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>auto</v>
      </c>
      <c r="G49" s="46" t="str" cm="1">
        <f t="array" ref="G49">IF($J49&lt;&gt;"",INDEX(Connections!$B$4:$V$345,$J49,MATCH(G$16,Connections!$B$3:$V$3,0)),"")</f>
        <v>1GB COPPER</v>
      </c>
      <c r="H49" s="46" t="str" cm="1">
        <f t="array" ref="H49">IF($J49&lt;&gt;"",INDEX(Connections!$B$4:$V$345,$J49,MATCH(H$16,Connections!$B$3:$V$3,0)),"")</f>
        <v>TINTRI1/B-MGNT2 (STORAGE)</v>
      </c>
      <c r="J49" s="118">
        <f>_xlfn.IFNA(MATCH(SHEET_NAME&amp;" "&amp;B49,Connections!$L$4:$L$345,0),"")</f>
        <v>131</v>
      </c>
    </row>
    <row r="50" spans="1:10">
      <c r="A50" s="121">
        <f t="shared" si="1"/>
        <v>34</v>
      </c>
      <c r="B50" s="116" t="str">
        <f t="shared" si="0"/>
        <v>gi2/0/34</v>
      </c>
      <c r="C50" s="122" t="str" cm="1">
        <f t="array" ref="C50">_xlfn.IFS($B50="","",$B50=$B$71,"reserved",$B50=$B$72,"reserved",$B50=$G$11,"connect",$B50=$G$13,"connect",J50&lt;&gt;"","connect",1=1,"disabled")</f>
        <v>connect</v>
      </c>
      <c r="D50" s="46" cm="1">
        <f t="array" ref="D50">IF($J50&lt;&gt;"",INDEX(Connections!$B$4:$V$345,$J50,MATCH(D$16,Connections!$B$3:$V$3,0)),"")</f>
        <v>300</v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>auto</v>
      </c>
      <c r="G50" s="46" t="str" cm="1">
        <f t="array" ref="G50">IF($J50&lt;&gt;"",INDEX(Connections!$B$4:$V$345,$J50,MATCH(G$16,Connections!$B$3:$V$3,0)),"")</f>
        <v>1GB COPPER</v>
      </c>
      <c r="H50" s="46" t="str" cm="1">
        <f t="array" ref="H50">IF($J50&lt;&gt;"",INDEX(Connections!$B$4:$V$345,$J50,MATCH(H$16,Connections!$B$3:$V$3,0)),"")</f>
        <v>TINTRI1/B-REPL2 (STORAGE)</v>
      </c>
      <c r="J50" s="118">
        <f>_xlfn.IFNA(MATCH(SHEET_NAME&amp;" "&amp;B50,Connections!$L$4:$L$345,0),"")</f>
        <v>133</v>
      </c>
    </row>
    <row r="51" spans="1:10">
      <c r="A51" s="121">
        <f t="shared" si="1"/>
        <v>35</v>
      </c>
      <c r="B51" s="116" t="str">
        <f t="shared" si="0"/>
        <v>gi2/0/35</v>
      </c>
      <c r="C51" s="122" t="str" cm="1">
        <f t="array" ref="C51">_xlfn.IFS($B51="","",$B51=$B$71,"reserved",$B51=$B$72,"reserved",$B51=$G$11,"connect",$B51=$G$13,"connect",J51&lt;&gt;"","connect",1=1,"disabled")</f>
        <v>connect</v>
      </c>
      <c r="D51" s="46" cm="1">
        <f t="array" ref="D51">IF($J51&lt;&gt;"",INDEX(Connections!$B$4:$V$345,$J51,MATCH(D$16,Connections!$B$3:$V$3,0)),"")</f>
        <v>220</v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>auto</v>
      </c>
      <c r="G51" s="46" t="str" cm="1">
        <f t="array" ref="G51">IF($J51&lt;&gt;"",INDEX(Connections!$B$4:$V$345,$J51,MATCH(G$16,Connections!$B$3:$V$3,0)),"")</f>
        <v>1GB COPPER</v>
      </c>
      <c r="H51" s="46" t="str" cm="1">
        <f t="array" ref="H51">IF($J51&lt;&gt;"",INDEX(Connections!$B$4:$V$345,$J51,MATCH(H$16,Connections!$B$3:$V$3,0)),"")</f>
        <v>TINTRI3/A-ADMIN2 (STORAGE)</v>
      </c>
      <c r="J51" s="118">
        <f>_xlfn.IFNA(MATCH(SHEET_NAME&amp;" "&amp;B51,Connections!$L$4:$L$345,0),"")</f>
        <v>179</v>
      </c>
    </row>
    <row r="52" spans="1:10">
      <c r="A52" s="121">
        <f t="shared" si="1"/>
        <v>36</v>
      </c>
      <c r="B52" s="116" t="str">
        <f t="shared" si="0"/>
        <v>gi2/0/36</v>
      </c>
      <c r="C52" s="122" t="str" cm="1">
        <f t="array" ref="C52">_xlfn.IFS($B52="","",$B52=$B$71,"reserved",$B52=$B$72,"reserved",$B52=$G$11,"connect",$B52=$G$13,"connect",J52&lt;&gt;"","connect",1=1,"disabled")</f>
        <v>connect</v>
      </c>
      <c r="D52" s="46" cm="1">
        <f t="array" ref="D52">IF($J52&lt;&gt;"",INDEX(Connections!$B$4:$V$345,$J52,MATCH(D$16,Connections!$B$3:$V$3,0)),"")</f>
        <v>300</v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>auto</v>
      </c>
      <c r="G52" s="46" t="str" cm="1">
        <f t="array" ref="G52">IF($J52&lt;&gt;"",INDEX(Connections!$B$4:$V$345,$J52,MATCH(G$16,Connections!$B$3:$V$3,0)),"")</f>
        <v>1GB COPPER</v>
      </c>
      <c r="H52" s="46" t="str" cm="1">
        <f t="array" ref="H52">IF($J52&lt;&gt;"",INDEX(Connections!$B$4:$V$345,$J52,MATCH(H$16,Connections!$B$3:$V$3,0)),"")</f>
        <v>TINTRI3/A-REPL2 (STORAGE)</v>
      </c>
      <c r="J52" s="118">
        <f>_xlfn.IFNA(MATCH(SHEET_NAME&amp;" "&amp;B52,Connections!$L$4:$L$345,0),"")</f>
        <v>181</v>
      </c>
    </row>
    <row r="53" spans="1:10">
      <c r="A53" s="121">
        <f t="shared" si="1"/>
        <v>37</v>
      </c>
      <c r="B53" s="116" t="str">
        <f t="shared" si="0"/>
        <v>gi2/0/37</v>
      </c>
      <c r="C53" s="122" t="str" cm="1">
        <f t="array" ref="C53">_xlfn.IFS($B53="","",$B53=$B$71,"reserved",$B53=$B$72,"reserved",$B53=$G$11,"connect",$B53=$G$13,"connect",J53&lt;&gt;"","connect",1=1,"disabled")</f>
        <v>connect</v>
      </c>
      <c r="D53" s="46" cm="1">
        <f t="array" ref="D53">IF($J53&lt;&gt;"",INDEX(Connections!$B$4:$V$345,$J53,MATCH(D$16,Connections!$B$3:$V$3,0)),"")</f>
        <v>220</v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>auto</v>
      </c>
      <c r="G53" s="46" t="str" cm="1">
        <f t="array" ref="G53">IF($J53&lt;&gt;"",INDEX(Connections!$B$4:$V$345,$J53,MATCH(G$16,Connections!$B$3:$V$3,0)),"")</f>
        <v>1GB COPPER</v>
      </c>
      <c r="H53" s="46" t="str" cm="1">
        <f t="array" ref="H53">IF($J53&lt;&gt;"",INDEX(Connections!$B$4:$V$345,$J53,MATCH(H$16,Connections!$B$3:$V$3,0)),"")</f>
        <v>TINTRI3/B-ADMIN2 (STORAGE)</v>
      </c>
      <c r="J53" s="118">
        <f>_xlfn.IFNA(MATCH(SHEET_NAME&amp;" "&amp;B53,Connections!$L$4:$L$345,0),"")</f>
        <v>185</v>
      </c>
    </row>
    <row r="54" spans="1:10">
      <c r="A54" s="121">
        <f t="shared" si="1"/>
        <v>38</v>
      </c>
      <c r="B54" s="116" t="str">
        <f t="shared" si="0"/>
        <v>gi2/0/38</v>
      </c>
      <c r="C54" s="122" t="str" cm="1">
        <f t="array" ref="C54">_xlfn.IFS($B54="","",$B54=$B$71,"reserved",$B54=$B$72,"reserved",$B54=$G$11,"connect",$B54=$G$13,"connect",J54&lt;&gt;"","connect",1=1,"disabled")</f>
        <v>connect</v>
      </c>
      <c r="D54" s="46" cm="1">
        <f t="array" ref="D54">IF($J54&lt;&gt;"",INDEX(Connections!$B$4:$V$345,$J54,MATCH(D$16,Connections!$B$3:$V$3,0)),"")</f>
        <v>300</v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>auto</v>
      </c>
      <c r="G54" s="46" t="str" cm="1">
        <f t="array" ref="G54">IF($J54&lt;&gt;"",INDEX(Connections!$B$4:$V$345,$J54,MATCH(G$16,Connections!$B$3:$V$3,0)),"")</f>
        <v>1GB COPPER</v>
      </c>
      <c r="H54" s="46" t="str" cm="1">
        <f t="array" ref="H54">IF($J54&lt;&gt;"",INDEX(Connections!$B$4:$V$345,$J54,MATCH(H$16,Connections!$B$3:$V$3,0)),"")</f>
        <v>TINTRI3/B-REPL2 (STORAGE)</v>
      </c>
      <c r="J54" s="118">
        <f>_xlfn.IFNA(MATCH(SHEET_NAME&amp;" "&amp;B54,Connections!$L$4:$L$345,0),"")</f>
        <v>187</v>
      </c>
    </row>
    <row r="55" spans="1:10">
      <c r="A55" s="121">
        <f t="shared" si="1"/>
        <v>39</v>
      </c>
      <c r="B55" s="116" t="str">
        <f t="shared" si="0"/>
        <v>gi2/0/39</v>
      </c>
      <c r="C55" s="122" t="str" cm="1">
        <f t="array" ref="C55">_xlfn.IFS($B55="","",$B55=$B$71,"reserved",$B55=$B$72,"reserved",$B55=$G$11,"connect",$B55=$G$13,"connect",J55&lt;&gt;"","connect",1=1,"disabled")</f>
        <v>connect</v>
      </c>
      <c r="D55" s="46" cm="1">
        <f t="array" ref="D55">IF($J55&lt;&gt;"",INDEX(Connections!$B$4:$V$345,$J55,MATCH(D$16,Connections!$B$3:$V$3,0)),"")</f>
        <v>201</v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>auto</v>
      </c>
      <c r="G55" s="46" t="str" cm="1">
        <f t="array" ref="G55">IF($J55&lt;&gt;"",INDEX(Connections!$B$4:$V$345,$J55,MATCH(G$16,Connections!$B$3:$V$3,0)),"")</f>
        <v>1GB COPPER</v>
      </c>
      <c r="H55" s="46" t="str" cm="1">
        <f t="array" ref="H55">IF($J55&lt;&gt;"",INDEX(Connections!$B$4:$V$345,$J55,MATCH(H$16,Connections!$B$3:$V$3,0)),"")</f>
        <v>Voice Gateway 01/Data (Physical Server)</v>
      </c>
      <c r="J55" s="118">
        <f>_xlfn.IFNA(MATCH(SHEET_NAME&amp;" "&amp;B55,Connections!$L$4:$L$345,0),"")</f>
        <v>228</v>
      </c>
    </row>
    <row r="56" spans="1:10">
      <c r="A56" s="121">
        <f t="shared" si="1"/>
        <v>40</v>
      </c>
      <c r="B56" s="116" t="str">
        <f t="shared" si="0"/>
        <v>gi2/0/40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220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1GB COPPER</v>
      </c>
      <c r="H56" s="46" t="str" cm="1">
        <f t="array" ref="H56">IF($J56&lt;&gt;"",INDEX(Connections!$B$4:$V$345,$J56,MATCH(H$16,Connections!$B$3:$V$3,0)),"")</f>
        <v>Cisco UC220-01 mgmt/MGNT2 (Physical Server)</v>
      </c>
      <c r="J56" s="118">
        <f>_xlfn.IFNA(MATCH(SHEET_NAME&amp;" "&amp;B56,Connections!$L$4:$L$345,0),"")</f>
        <v>230</v>
      </c>
    </row>
    <row r="57" spans="1:10">
      <c r="A57" s="121">
        <f t="shared" si="1"/>
        <v>41</v>
      </c>
      <c r="B57" s="116" t="str">
        <f t="shared" si="0"/>
        <v>gi2/0/41</v>
      </c>
      <c r="C57" s="122" t="str" cm="1">
        <f t="array" ref="C57">_xlfn.IFS($B57="","",$B57=$B$71,"reserved",$B57=$B$72,"reserved",$B57=$G$11,"connect",$B57=$G$13,"connect",J57&lt;&gt;"","connect",1=1,"disabled")</f>
        <v>connect</v>
      </c>
      <c r="D57" s="46" cm="1">
        <f t="array" ref="D57">IF($J57&lt;&gt;"",INDEX(Connections!$B$4:$V$345,$J57,MATCH(D$16,Connections!$B$3:$V$3,0)),"")</f>
        <v>201</v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>auto</v>
      </c>
      <c r="G57" s="46" t="str" cm="1">
        <f t="array" ref="G57">IF($J57&lt;&gt;"",INDEX(Connections!$B$4:$V$345,$J57,MATCH(G$16,Connections!$B$3:$V$3,0)),"")</f>
        <v>1GB COPPER</v>
      </c>
      <c r="H57" s="46" t="str" cm="1">
        <f t="array" ref="H57">IF($J57&lt;&gt;"",INDEX(Connections!$B$4:$V$345,$J57,MATCH(H$16,Connections!$B$3:$V$3,0)),"")</f>
        <v>Cisco UC220-01 data/Data2 (Physical Server)</v>
      </c>
      <c r="J57" s="118">
        <f>_xlfn.IFNA(MATCH(SHEET_NAME&amp;" "&amp;B57,Connections!$L$4:$L$345,0),"")</f>
        <v>232</v>
      </c>
    </row>
    <row r="58" spans="1:10">
      <c r="A58" s="121">
        <f t="shared" si="1"/>
        <v>42</v>
      </c>
      <c r="B58" s="116" t="str">
        <f t="shared" si="0"/>
        <v>gi2/0/42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cm="1">
        <f t="array" ref="D58">IF($J58&lt;&gt;"",INDEX(Connections!$B$4:$V$345,$J58,MATCH(D$16,Connections!$B$3:$V$3,0)),"")</f>
        <v>201</v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1GB COPPER</v>
      </c>
      <c r="H58" s="46" t="str" cm="1">
        <f t="array" ref="H58">IF($J58&lt;&gt;"",INDEX(Connections!$B$4:$V$345,$J58,MATCH(H$16,Connections!$B$3:$V$3,0)),"")</f>
        <v>Cisco UC220-01 data/Data4 (Physical Server)</v>
      </c>
      <c r="J58" s="118">
        <f>_xlfn.IFNA(MATCH(SHEET_NAME&amp;" "&amp;B58,Connections!$L$4:$L$345,0),"")</f>
        <v>234</v>
      </c>
    </row>
    <row r="59" spans="1:10">
      <c r="A59" s="121">
        <f t="shared" si="1"/>
        <v>43</v>
      </c>
      <c r="B59" s="116" t="str">
        <f t="shared" si="0"/>
        <v>gi2/0/43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46" t="str" cm="1">
        <f t="array" ref="D59">IF($J59&lt;&gt;"",INDEX(Connections!$B$4:$V$345,$J59,MATCH(D$16,Connections!$B$3:$V$3,0)),"")</f>
        <v/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/>
      </c>
      <c r="G59" s="46" t="str" cm="1">
        <f t="array" ref="G59">IF($J59&lt;&gt;"",INDEX(Connections!$B$4:$V$345,$J59,MATCH(G$16,Connections!$B$3:$V$3,0)),"")</f>
        <v/>
      </c>
      <c r="H59" s="46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>gi2/0/44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>gi2/0/45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gi2/0/46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46" cm="1">
        <f t="array" ref="D62">IF($J62&lt;&gt;"",INDEX(Connections!$B$4:$V$345,$J62,MATCH(D$16,Connections!$B$3:$V$3,0)),"")</f>
        <v>0</v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>auto</v>
      </c>
      <c r="G62" s="46" t="str" cm="1">
        <f t="array" ref="G62">IF($J62&lt;&gt;"",INDEX(Connections!$B$4:$V$345,$J62,MATCH(G$16,Connections!$B$3:$V$3,0)),"")</f>
        <v>1GB COPPER</v>
      </c>
      <c r="H62" s="46" t="str" cm="1">
        <f t="array" ref="H62">IF($J62&lt;&gt;"",INDEX(Connections!$B$4:$V$345,$J62,MATCH(H$16,Connections!$B$3:$V$3,0)),"")</f>
        <v>IPS Monitoring/Monitoring (Monitoring)</v>
      </c>
      <c r="J62" s="118">
        <f>_xlfn.IFNA(MATCH(SHEET_NAME&amp;" "&amp;B62,Connections!$L$4:$L$345,0),"")</f>
        <v>333</v>
      </c>
    </row>
    <row r="63" spans="1:10">
      <c r="A63" s="121">
        <f t="shared" si="1"/>
        <v>47</v>
      </c>
      <c r="B63" s="116" t="str">
        <f t="shared" si="0"/>
        <v>gi2/0/47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46" cm="1">
        <f t="array" ref="D63">IF($J63&lt;&gt;"",INDEX(Connections!$B$4:$V$345,$J63,MATCH(D$16,Connections!$B$3:$V$3,0)),"")</f>
        <v>8</v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 xml:space="preserve">half </v>
      </c>
      <c r="G63" s="46" t="str" cm="1">
        <f t="array" ref="G63">IF($J63&lt;&gt;"",INDEX(Connections!$B$4:$V$345,$J63,MATCH(G$16,Connections!$B$3:$V$3,0)),"")</f>
        <v>1GB COPPER</v>
      </c>
      <c r="H63" s="46" t="str" cm="1">
        <f t="array" ref="H63">IF($J63&lt;&gt;"",INDEX(Connections!$B$4:$V$345,$J63,MATCH(H$16,Connections!$B$3:$V$3,0)),"")</f>
        <v>Dec Chassis/data (Physical Server)</v>
      </c>
      <c r="J63" s="118">
        <f>_xlfn.IFNA(MATCH(SHEET_NAME&amp;" "&amp;B63,Connections!$L$4:$L$345,0),"")</f>
        <v>298</v>
      </c>
    </row>
    <row r="64" spans="1:10">
      <c r="A64" s="121">
        <f t="shared" si="1"/>
        <v>48</v>
      </c>
      <c r="B64" s="116" t="str">
        <f t="shared" si="0"/>
        <v>gi2/0/48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46" cm="1">
        <f t="array" ref="D64">IF($J64&lt;&gt;"",INDEX(Connections!$B$4:$V$345,$J64,MATCH(D$16,Connections!$B$3:$V$3,0)),"")</f>
        <v>8</v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>auto</v>
      </c>
      <c r="G64" s="46" t="str" cm="1">
        <f t="array" ref="G64">IF($J64&lt;&gt;"",INDEX(Connections!$B$4:$V$345,$J64,MATCH(G$16,Connections!$B$3:$V$3,0)),"")</f>
        <v>1GB COPPER</v>
      </c>
      <c r="H64" s="46" t="str" cm="1">
        <f t="array" ref="H64">IF($J64&lt;&gt;"",INDEX(Connections!$B$4:$V$345,$J64,MATCH(H$16,Connections!$B$3:$V$3,0)),"")</f>
        <v>Alpha 2/data (Physical Server)</v>
      </c>
      <c r="J64" s="118">
        <f>_xlfn.IFNA(MATCH(SHEET_NAME&amp;" "&amp;B64,Connections!$L$4:$L$345,0),"")</f>
        <v>292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te2/1/1</v>
      </c>
      <c r="C68" s="122" t="str" cm="1">
        <f t="array" ref="C68">_xlfn.IFS($B68="","",$B68=$B$79,"reserved",$B68=$B$80,"reserved",$B68=$G$11,"connect",$B68=$G$13,"connect",1=1,"disabled")</f>
        <v>disabled</v>
      </c>
      <c r="D68" s="17" t="str" cm="1">
        <f t="array" ref="D68">_xlfn.IFS($B68="","",$B68=$G$11,"TRUNK",$B68=$G$13,"TRUNK",1=1,"")</f>
        <v/>
      </c>
      <c r="E68" s="159" t="str" cm="1">
        <f t="array" ref="E68">_xlfn.IFS($B68="","",OR($B68=$G$11,$B68=$G$13),INDEX(SWITCH_TABLE[#Data],$H$3,MATCH("Local EC",SWITCH_TABLE[#Headers],0)),1=1,"")</f>
        <v/>
      </c>
      <c r="F68" s="17" t="str" cm="1">
        <f t="array" ref="F68">_xlfn.IFS($B68="","",$B68=$G$11,"Uplink Port 1",$B68=$G$13,"Uplink Port 2",$B68=$B$79,"Stack Port 1",$B68=$B$80,"Stack Port 2",1=1,"")</f>
        <v/>
      </c>
      <c r="G68" s="17" t="str" cm="1">
        <f t="array" ref="G68">_xlfn.IFS($B68="","",$B68=$G$11,$H$11,$B68=$G$13,$H$13,1=1,"")</f>
        <v/>
      </c>
      <c r="H68" s="17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te2/1/2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t="str" cm="1">
        <f t="array" ref="E69">_xlfn.IFS($B69="","",OR($B69=$G$11,$B69=$G$13),INDEX(SWITCH_TABLE[#Data],$H$3,MATCH("Local EC",SWITCH_TABLE[#Headers],0)),1=1,"")</f>
        <v>49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10GB SFP+ DAC</v>
      </c>
      <c r="H69" s="17" t="str" cm="1">
        <f t="array" ref="H69">_xlfn.IFS($B69="","",$B69=$G$11,$G$12&amp;" "&amp;H13,$B69=$G$13,$G$14&amp;" "&amp;$H$14,1=1,"")</f>
        <v>FGHLHN41-2 twe2/0/48</v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te2/1/3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te2/1/4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>te2/1/5</v>
      </c>
      <c r="C72" s="122" t="str" cm="1">
        <f t="array" ref="C72">_xlfn.IFS($B72="","",$B72=$B$79,"reserved",$B72=$B$80,"reserved",$B72=$G$11,"connect",$B72=$G$13,"connect",1=1,"disabled")</f>
        <v>disabled</v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>te2/1/6</v>
      </c>
      <c r="C73" s="122" t="str" cm="1">
        <f t="array" ref="C73">_xlfn.IFS($B73="","",$B73=$B$79,"reserved",$B73=$B$80,"reserved",$B73=$G$11,"connect",$B73=$G$13,"connect",1=1,"disabled")</f>
        <v>disabled</v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>te2/1/7</v>
      </c>
      <c r="C74" s="122" t="str" cm="1">
        <f t="array" ref="C74">_xlfn.IFS($B74="","",$B74=$B$79,"reserved",$B74=$B$80,"reserved",$B74=$G$11,"connect",$B74=$G$13,"connect",1=1,"disabled")</f>
        <v>disabled</v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>te2/1/8</v>
      </c>
      <c r="C75" s="122" t="str" cm="1">
        <f t="array" ref="C75">_xlfn.IFS($B75="","",$B75=$B$79,"reserved",$B75=$B$80,"reserved",$B75=$G$11,"connect",$B75=$G$13,"connect",1=1,"disabled")</f>
        <v>disabled</v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st2/1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FGHLHN141-1 st1/2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st2/2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FGHLHN141-1 st1/1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1:C64">
    <cfRule type="cellIs" dxfId="1062" priority="9" operator="equal">
      <formula>"reserved"</formula>
    </cfRule>
    <cfRule type="cellIs" dxfId="1061" priority="10" operator="equal">
      <formula>"notconnect"</formula>
    </cfRule>
    <cfRule type="cellIs" dxfId="1060" priority="11" operator="equal">
      <formula>"disabled"</formula>
    </cfRule>
    <cfRule type="cellIs" dxfId="1059" priority="12" operator="equal">
      <formula>"connect"</formula>
    </cfRule>
  </conditionalFormatting>
  <conditionalFormatting sqref="C68:C75">
    <cfRule type="cellIs" dxfId="1058" priority="21" operator="equal">
      <formula>"reserved"</formula>
    </cfRule>
    <cfRule type="cellIs" dxfId="1057" priority="22" operator="equal">
      <formula>"notconnect"</formula>
    </cfRule>
    <cfRule type="cellIs" dxfId="1056" priority="23" operator="equal">
      <formula>"disabled"</formula>
    </cfRule>
    <cfRule type="cellIs" dxfId="1055" priority="24" operator="equal">
      <formula>"connect"</formula>
    </cfRule>
  </conditionalFormatting>
  <conditionalFormatting sqref="C79:C80">
    <cfRule type="cellIs" dxfId="1054" priority="17" operator="equal">
      <formula>"reserved"</formula>
    </cfRule>
    <cfRule type="cellIs" dxfId="1053" priority="18" operator="equal">
      <formula>"notconnect"</formula>
    </cfRule>
    <cfRule type="cellIs" dxfId="1052" priority="19" operator="equal">
      <formula>"disabled"</formula>
    </cfRule>
    <cfRule type="cellIs" dxfId="1051" priority="20" operator="equal">
      <formula>"connect"</formula>
    </cfRule>
  </conditionalFormatting>
  <conditionalFormatting sqref="C17:C19">
    <cfRule type="cellIs" dxfId="1050" priority="1" operator="equal">
      <formula>"reserved"</formula>
    </cfRule>
    <cfRule type="cellIs" dxfId="1049" priority="2" operator="equal">
      <formula>"notconnect"</formula>
    </cfRule>
    <cfRule type="cellIs" dxfId="1048" priority="3" operator="equal">
      <formula>"disabled"</formula>
    </cfRule>
    <cfRule type="cellIs" dxfId="1047" priority="4" operator="equal">
      <formula>"connect"</formula>
    </cfRule>
  </conditionalFormatting>
  <conditionalFormatting sqref="C58:C60 C20:C56">
    <cfRule type="cellIs" dxfId="1046" priority="13" operator="equal">
      <formula>"reserved"</formula>
    </cfRule>
    <cfRule type="cellIs" dxfId="1045" priority="14" operator="equal">
      <formula>"notconnect"</formula>
    </cfRule>
    <cfRule type="cellIs" dxfId="1044" priority="15" operator="equal">
      <formula>"disabled"</formula>
    </cfRule>
    <cfRule type="cellIs" dxfId="1043" priority="16" operator="equal">
      <formula>"connect"</formula>
    </cfRule>
  </conditionalFormatting>
  <conditionalFormatting sqref="C57">
    <cfRule type="cellIs" dxfId="1042" priority="5" operator="equal">
      <formula>"reserved"</formula>
    </cfRule>
    <cfRule type="cellIs" dxfId="1041" priority="6" operator="equal">
      <formula>"notconnect"</formula>
    </cfRule>
    <cfRule type="cellIs" dxfId="1040" priority="7" operator="equal">
      <formula>"disabled"</formula>
    </cfRule>
    <cfRule type="cellIs" dxfId="1039" priority="8" operator="equal">
      <formula>"connect"</formula>
    </cfRule>
  </conditionalFormatting>
  <dataValidations count="5">
    <dataValidation type="list" allowBlank="1" showInputMessage="1" sqref="G68:G75 G17:G64" xr:uid="{65AEC8A3-1657-4C17-919A-D43FEB142AA3}">
      <formula1>PORT_TYPE_LIST</formula1>
    </dataValidation>
    <dataValidation type="list" allowBlank="1" showInputMessage="1" sqref="C68:C75 C79:C80 C17:C64" xr:uid="{2CC325E4-602A-4573-B6E5-36A29B8C48F5}">
      <formula1>PORT_STATE_LIST</formula1>
    </dataValidation>
    <dataValidation type="list" allowBlank="1" showInputMessage="1" sqref="D68:D75" xr:uid="{C0261B0F-F222-420E-A6A7-6D4C87FD055A}">
      <formula1>VLAN_ID_LIST</formula1>
    </dataValidation>
    <dataValidation type="list" allowBlank="1" showInputMessage="1" sqref="F17:F64" xr:uid="{CE119CCA-6101-4451-A2F2-2E372096138F}">
      <formula1>SPEED_DUPLEX_LIST</formula1>
    </dataValidation>
    <dataValidation allowBlank="1" showInputMessage="1" sqref="E68:E75 E17:E64" xr:uid="{CDB392D2-0113-4CF8-B08F-CB6B73C36465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C928-1B5E-4A80-89B0-59DE371B7563}">
  <sheetPr codeName="Sheet22">
    <tabColor rgb="FF0070C0"/>
  </sheetPr>
  <dimension ref="A1:L81"/>
  <sheetViews>
    <sheetView topLeftCell="A34" workbookViewId="0">
      <selection activeCell="G38" sqref="G38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1089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11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FCW2319L02K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te1/1/1</v>
      </c>
      <c r="H11" s="118" t="str" cm="1">
        <f t="array" ref="H11">IF(G11="","",INDEX(SWITCH_TABLE[#Data],$H$3,MATCH("Uplink 1 SFP",SWITCH_TABLE[#Headers],0)))</f>
        <v>10GB SFP+ DAC</v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FGHLHN42-1</v>
      </c>
      <c r="H12" s="118" t="str" cm="1">
        <f t="array" ref="H12">IF(G12="","",INDEX(SWITCH_TABLE[#Data],$H$3,MATCH("Remote Port 1",SWITCH_TABLE[#Headers],0)))</f>
        <v>twe1/0/48</v>
      </c>
    </row>
    <row r="13" spans="1:10">
      <c r="B13" s="116" t="s">
        <v>1837</v>
      </c>
      <c r="C13" s="117" t="str">
        <f>INDEX(SWITCH_TABLE[#Data],$H$3,MATCH(B13,SWITCH_TABLE[#Headers],0))</f>
        <v>FGHLHN142-2</v>
      </c>
      <c r="D13" s="117" t="str">
        <f>INDEX(SWITCH_TABLE[#Data],$H$3,MATCH("Next Port",SWITCH_TABLE[#Headers],0))</f>
        <v>st2/2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FGHLHN142-2</v>
      </c>
      <c r="D14" s="117" t="str">
        <f>INDEX(SWITCH_TABLE[#Data],$H$3,MATCH("Prev Port",SWITCH_TABLE[#Headers],0))</f>
        <v>st2/1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92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FGHFW12/data (Physical Server)</v>
      </c>
      <c r="J17" s="118">
        <f>_xlfn.IFNA(MATCH(SHEET_NAME&amp;" "&amp;B17,Connections!$L$4:$L$345,0),"")</f>
        <v>310</v>
      </c>
    </row>
    <row r="18" spans="1:12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511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FGHFW32/7 (FIREWALL)</v>
      </c>
      <c r="J18" s="118">
        <f>_xlfn.IFNA(MATCH(SHEET_NAME&amp;" "&amp;B18,Connections!$L$4:$L$345,0),"")</f>
        <v>173</v>
      </c>
      <c r="L18" s="111" t="s">
        <v>2661</v>
      </c>
    </row>
    <row r="19" spans="1:12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32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FGHFW32/data (Physical Server)</v>
      </c>
      <c r="J19" s="118">
        <f>_xlfn.IFNA(MATCH(SHEET_NAME&amp;" "&amp;B19,Connections!$L$4:$L$345,0),"")</f>
        <v>311</v>
      </c>
    </row>
    <row r="20" spans="1:12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cm="1">
        <f t="array" ref="D20">IF($J20&lt;&gt;"",INDEX(Connections!$B$4:$V$345,$J20,MATCH(D$16,Connections!$B$3:$V$3,0)),"")</f>
        <v>32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FGHFW22/data (Physical Server)</v>
      </c>
      <c r="J20" s="118">
        <f>_xlfn.IFNA(MATCH(SHEET_NAME&amp;" "&amp;B20,Connections!$L$4:$L$345,0),"")</f>
        <v>312</v>
      </c>
    </row>
    <row r="21" spans="1:12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32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FGHFW12/data (Physical Server)</v>
      </c>
      <c r="J21" s="118">
        <f>_xlfn.IFNA(MATCH(SHEET_NAME&amp;" "&amp;B21,Connections!$L$4:$L$345,0),"")</f>
        <v>313</v>
      </c>
    </row>
    <row r="22" spans="1:12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cm="1">
        <f t="array" ref="D22">IF($J22&lt;&gt;"",INDEX(Connections!$B$4:$V$345,$J22,MATCH(D$16,Connections!$B$3:$V$3,0)),"")</f>
        <v>32</v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>auto</v>
      </c>
      <c r="G22" s="46" t="str" cm="1">
        <f t="array" ref="G22">IF($J22&lt;&gt;"",INDEX(Connections!$B$4:$V$345,$J22,MATCH(G$16,Connections!$B$3:$V$3,0)),"")</f>
        <v>1GB COPPER</v>
      </c>
      <c r="H22" s="46" t="str" cm="1">
        <f t="array" ref="H22">IF($J22&lt;&gt;"",INDEX(Connections!$B$4:$V$345,$J22,MATCH(H$16,Connections!$B$3:$V$3,0)),"")</f>
        <v>IPS Secondary/data (Physical Server)</v>
      </c>
      <c r="J22" s="118">
        <f>_xlfn.IFNA(MATCH(SHEET_NAME&amp;" "&amp;B22,Connections!$L$4:$L$345,0),"")</f>
        <v>314</v>
      </c>
    </row>
    <row r="23" spans="1:12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2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2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connect</v>
      </c>
      <c r="D25" s="46" cm="1">
        <f t="array" ref="D25">IF($J25&lt;&gt;"",INDEX(Connections!$B$4:$V$345,$J25,MATCH(D$16,Connections!$B$3:$V$3,0)),"")</f>
        <v>300</v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>auto</v>
      </c>
      <c r="G25" s="46" t="str" cm="1">
        <f t="array" ref="G25">IF($J25&lt;&gt;"",INDEX(Connections!$B$4:$V$345,$J25,MATCH(G$16,Connections!$B$3:$V$3,0)),"")</f>
        <v>1GB COPPER</v>
      </c>
      <c r="H25" s="46" t="str" cm="1">
        <f t="array" ref="H25">IF($J25&lt;&gt;"",INDEX(Connections!$B$4:$V$345,$J25,MATCH(H$16,Connections!$B$3:$V$3,0)),"")</f>
        <v>Colin Craven PC/data (Physical Server)</v>
      </c>
      <c r="J25" s="118">
        <f>_xlfn.IFNA(MATCH(SHEET_NAME&amp;" "&amp;B25,Connections!$L$4:$L$345,0),"")</f>
        <v>308</v>
      </c>
    </row>
    <row r="26" spans="1:12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cm="1">
        <f t="array" ref="D26">IF($J26&lt;&gt;"",INDEX(Connections!$B$4:$V$345,$J26,MATCH(D$16,Connections!$B$3:$V$3,0)),"")</f>
        <v>220</v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>auto</v>
      </c>
      <c r="G26" s="46" t="str" cm="1">
        <f t="array" ref="G26">IF($J26&lt;&gt;"",INDEX(Connections!$B$4:$V$345,$J26,MATCH(G$16,Connections!$B$3:$V$3,0)),"")</f>
        <v>1GB COPPER</v>
      </c>
      <c r="H26" s="46" t="str" cm="1">
        <f t="array" ref="H26">IF($J26&lt;&gt;"",INDEX(Connections!$B$4:$V$345,$J26,MATCH(H$16,Connections!$B$3:$V$3,0)),"")</f>
        <v>DC1 OBA/data (Physical Server)</v>
      </c>
      <c r="J26" s="118">
        <f>_xlfn.IFNA(MATCH(SHEET_NAME&amp;" "&amp;B26,Connections!$L$4:$L$345,0),"")</f>
        <v>306</v>
      </c>
    </row>
    <row r="27" spans="1:12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400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FGHVIEW04/IDRAC (VDI)</v>
      </c>
      <c r="J27" s="118">
        <f>_xlfn.IFNA(MATCH(SHEET_NAME&amp;" "&amp;B27,Connections!$L$4:$L$345,0),"")</f>
        <v>33</v>
      </c>
    </row>
    <row r="28" spans="1:12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400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FGHVIEW05/IDRAC (VDI)</v>
      </c>
      <c r="J28" s="118">
        <f>_xlfn.IFNA(MATCH(SHEET_NAME&amp;" "&amp;B28,Connections!$L$4:$L$345,0),"")</f>
        <v>40</v>
      </c>
    </row>
    <row r="29" spans="1:12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400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FGHVIEW06/IDRAC (VDI)</v>
      </c>
      <c r="J29" s="118">
        <f>_xlfn.IFNA(MATCH(SHEET_NAME&amp;" "&amp;B29,Connections!$L$4:$L$345,0),"")</f>
        <v>47</v>
      </c>
    </row>
    <row r="30" spans="1:12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400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FGHVIEW07/IDRAC (VDI)</v>
      </c>
      <c r="J30" s="118">
        <f>_xlfn.IFNA(MATCH(SHEET_NAME&amp;" "&amp;B30,Connections!$L$4:$L$345,0),"")</f>
        <v>54</v>
      </c>
    </row>
    <row r="31" spans="1:12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400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FGHVIEW09/IDRAC (VDI)</v>
      </c>
      <c r="J31" s="118">
        <f>_xlfn.IFNA(MATCH(SHEET_NAME&amp;" "&amp;B31,Connections!$L$4:$L$345,0),"")</f>
        <v>68</v>
      </c>
    </row>
    <row r="32" spans="1:12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400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1GB COPPER</v>
      </c>
      <c r="H32" s="46" t="str" cm="1">
        <f t="array" ref="H32">IF($J32&lt;&gt;"",INDEX(Connections!$B$4:$V$345,$J32,MATCH(H$16,Connections!$B$3:$V$3,0)),"")</f>
        <v>FGHVIEW12/IDRAC (VDI)</v>
      </c>
      <c r="J32" s="118">
        <f>_xlfn.IFNA(MATCH(SHEET_NAME&amp;" "&amp;B32,Connections!$L$4:$L$345,0),"")</f>
        <v>89</v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400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1GB COPPER</v>
      </c>
      <c r="H33" s="46" t="str" cm="1">
        <f t="array" ref="H33">IF($J33&lt;&gt;"",INDEX(Connections!$B$4:$V$345,$J33,MATCH(H$16,Connections!$B$3:$V$3,0)),"")</f>
        <v>FGHVIEW14/IDRAC (VDI)</v>
      </c>
      <c r="J33" s="118">
        <f>_xlfn.IFNA(MATCH(SHEET_NAME&amp;" "&amp;B33,Connections!$L$4:$L$345,0),"")</f>
        <v>103</v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2611</v>
      </c>
      <c r="D35" s="46" cm="1">
        <f t="array" ref="D35">IF($J35&lt;&gt;"",INDEX(Connections!$B$4:$V$345,$J35,MATCH(D$16,Connections!$B$3:$V$3,0)),"")</f>
        <v>300</v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>auto</v>
      </c>
      <c r="G35" s="46" t="str" cm="1">
        <f t="array" ref="G35">IF($J35&lt;&gt;"",INDEX(Connections!$B$4:$V$345,$J35,MATCH(G$16,Connections!$B$3:$V$3,0)),"")</f>
        <v>1GB COPPER</v>
      </c>
      <c r="H35" s="46" t="str" cm="1">
        <f t="array" ref="H35">IF($J35&lt;&gt;"",INDEX(Connections!$B$4:$V$345,$J35,MATCH(H$16,Connections!$B$3:$V$3,0)),"")</f>
        <v>Pres Server/data1 (Physical Server)</v>
      </c>
      <c r="J35" s="118">
        <f>_xlfn.IFNA(MATCH(SHEET_NAME&amp;" "&amp;B35,Connections!$L$4:$L$345,0),"")</f>
        <v>315</v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2611</v>
      </c>
      <c r="D36" s="46" cm="1">
        <f t="array" ref="D36">IF($J36&lt;&gt;"",INDEX(Connections!$B$4:$V$345,$J36,MATCH(D$16,Connections!$B$3:$V$3,0)),"")</f>
        <v>8</v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>auto</v>
      </c>
      <c r="G36" s="46" t="str" cm="1">
        <f t="array" ref="G36">IF($J36&lt;&gt;"",INDEX(Connections!$B$4:$V$345,$J36,MATCH(G$16,Connections!$B$3:$V$3,0)),"")</f>
        <v>1GB COPPER</v>
      </c>
      <c r="H36" s="46" t="str" cm="1">
        <f t="array" ref="H36">IF($J36&lt;&gt;"",INDEX(Connections!$B$4:$V$345,$J36,MATCH(H$16,Connections!$B$3:$V$3,0)),"")</f>
        <v>fgh259/data1 (Physical Server)</v>
      </c>
      <c r="J36" s="118">
        <f>_xlfn.IFNA(MATCH(SHEET_NAME&amp;" "&amp;B36,Connections!$L$4:$L$345,0),"")</f>
        <v>317</v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400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1GB COPPER</v>
      </c>
      <c r="H37" s="46" t="str" cm="1">
        <f t="array" ref="H37">IF($J37&lt;&gt;"",INDEX(Connections!$B$4:$V$345,$J37,MATCH(H$16,Connections!$B$3:$V$3,0)),"")</f>
        <v>FGHVIEW04/MGNT (VDI)</v>
      </c>
      <c r="J37" s="118">
        <f>_xlfn.IFNA(MATCH(SHEET_NAME&amp;" "&amp;B37,Connections!$L$4:$L$345,0),"")</f>
        <v>35</v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cm="1">
        <f t="array" ref="D38">IF($J38&lt;&gt;"",INDEX(Connections!$B$4:$V$345,$J38,MATCH(D$16,Connections!$B$3:$V$3,0)),"")</f>
        <v>400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1GB COPPER</v>
      </c>
      <c r="H38" s="46" t="str" cm="1">
        <f t="array" ref="H38">IF($J38&lt;&gt;"",INDEX(Connections!$B$4:$V$345,$J38,MATCH(H$16,Connections!$B$3:$V$3,0)),"")</f>
        <v>FGHVIEW05/MGNT (VDI)</v>
      </c>
      <c r="J38" s="118">
        <f>_xlfn.IFNA(MATCH(SHEET_NAME&amp;" "&amp;B38,Connections!$L$4:$L$345,0),"")</f>
        <v>42</v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cm="1">
        <f t="array" ref="D39">IF($J39&lt;&gt;"",INDEX(Connections!$B$4:$V$345,$J39,MATCH(D$16,Connections!$B$3:$V$3,0)),"")</f>
        <v>400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1GB COPPER</v>
      </c>
      <c r="H39" s="46" t="str" cm="1">
        <f t="array" ref="H39">IF($J39&lt;&gt;"",INDEX(Connections!$B$4:$V$345,$J39,MATCH(H$16,Connections!$B$3:$V$3,0)),"")</f>
        <v>FGHVIEW06/MGNT (VDI)</v>
      </c>
      <c r="J39" s="118">
        <f>_xlfn.IFNA(MATCH(SHEET_NAME&amp;" "&amp;B39,Connections!$L$4:$L$345,0),"")</f>
        <v>49</v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400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1GB COPPER</v>
      </c>
      <c r="H40" s="46" t="str" cm="1">
        <f t="array" ref="H40">IF($J40&lt;&gt;"",INDEX(Connections!$B$4:$V$345,$J40,MATCH(H$16,Connections!$B$3:$V$3,0)),"")</f>
        <v>FGHVIEW07/MGNT (VDI)</v>
      </c>
      <c r="J40" s="118">
        <f>_xlfn.IFNA(MATCH(SHEET_NAME&amp;" "&amp;B40,Connections!$L$4:$L$345,0),"")</f>
        <v>56</v>
      </c>
    </row>
    <row r="41" spans="1:10">
      <c r="A41" s="121">
        <f t="shared" si="1"/>
        <v>25</v>
      </c>
      <c r="B41" s="116" t="str">
        <f t="shared" si="0"/>
        <v>gi1/0/25</v>
      </c>
      <c r="C41" s="122" t="str" cm="1">
        <f t="array" ref="C41">_xlfn.IFS($B41="","",$B41=$B$71,"reserved",$B41=$B$72,"reserved",$B41=$G$11,"connect",$B41=$G$13,"connect",J41&lt;&gt;"","connect",1=1,"disabled")</f>
        <v>connect</v>
      </c>
      <c r="D41" s="46" cm="1">
        <f t="array" ref="D41">IF($J41&lt;&gt;"",INDEX(Connections!$B$4:$V$345,$J41,MATCH(D$16,Connections!$B$3:$V$3,0)),"")</f>
        <v>400</v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>auto</v>
      </c>
      <c r="G41" s="46" t="str" cm="1">
        <f t="array" ref="G41">IF($J41&lt;&gt;"",INDEX(Connections!$B$4:$V$345,$J41,MATCH(G$16,Connections!$B$3:$V$3,0)),"")</f>
        <v>1GB COPPER</v>
      </c>
      <c r="H41" s="46" t="str" cm="1">
        <f t="array" ref="H41">IF($J41&lt;&gt;"",INDEX(Connections!$B$4:$V$345,$J41,MATCH(H$16,Connections!$B$3:$V$3,0)),"")</f>
        <v>FGHVIEW09/MGNT (VDI)</v>
      </c>
      <c r="J41" s="118">
        <f>_xlfn.IFNA(MATCH(SHEET_NAME&amp;" "&amp;B41,Connections!$L$4:$L$345,0),"")</f>
        <v>70</v>
      </c>
    </row>
    <row r="42" spans="1:10">
      <c r="A42" s="121">
        <f t="shared" si="1"/>
        <v>26</v>
      </c>
      <c r="B42" s="116" t="str">
        <f t="shared" si="0"/>
        <v>gi1/0/26</v>
      </c>
      <c r="C42" s="122" t="str" cm="1">
        <f t="array" ref="C42">_xlfn.IFS($B42="","",$B42=$B$71,"reserved",$B42=$B$72,"reserved",$B42=$G$11,"connect",$B42=$G$13,"connect",J42&lt;&gt;"","connect",1=1,"disabled")</f>
        <v>connect</v>
      </c>
      <c r="D42" s="46" cm="1">
        <f t="array" ref="D42">IF($J42&lt;&gt;"",INDEX(Connections!$B$4:$V$345,$J42,MATCH(D$16,Connections!$B$3:$V$3,0)),"")</f>
        <v>400</v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>auto</v>
      </c>
      <c r="G42" s="46" t="str" cm="1">
        <f t="array" ref="G42">IF($J42&lt;&gt;"",INDEX(Connections!$B$4:$V$345,$J42,MATCH(G$16,Connections!$B$3:$V$3,0)),"")</f>
        <v>1GB COPPER</v>
      </c>
      <c r="H42" s="46" t="str" cm="1">
        <f t="array" ref="H42">IF($J42&lt;&gt;"",INDEX(Connections!$B$4:$V$345,$J42,MATCH(H$16,Connections!$B$3:$V$3,0)),"")</f>
        <v>FGHVIEW12/MGNT (VDI)</v>
      </c>
      <c r="J42" s="118">
        <f>_xlfn.IFNA(MATCH(SHEET_NAME&amp;" "&amp;B42,Connections!$L$4:$L$345,0),"")</f>
        <v>91</v>
      </c>
    </row>
    <row r="43" spans="1:10">
      <c r="A43" s="121">
        <f t="shared" si="1"/>
        <v>27</v>
      </c>
      <c r="B43" s="116" t="str">
        <f t="shared" si="0"/>
        <v>gi1/0/27</v>
      </c>
      <c r="C43" s="122" t="str" cm="1">
        <f t="array" ref="C43">_xlfn.IFS($B43="","",$B43=$B$71,"reserved",$B43=$B$72,"reserved",$B43=$G$11,"connect",$B43=$G$13,"connect",J43&lt;&gt;"","connect",1=1,"disabled")</f>
        <v>connect</v>
      </c>
      <c r="D43" s="46" cm="1">
        <f t="array" ref="D43">IF($J43&lt;&gt;"",INDEX(Connections!$B$4:$V$345,$J43,MATCH(D$16,Connections!$B$3:$V$3,0)),"")</f>
        <v>400</v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>auto</v>
      </c>
      <c r="G43" s="46" t="str" cm="1">
        <f t="array" ref="G43">IF($J43&lt;&gt;"",INDEX(Connections!$B$4:$V$345,$J43,MATCH(G$16,Connections!$B$3:$V$3,0)),"")</f>
        <v>1GB COPPER</v>
      </c>
      <c r="H43" s="46" t="str" cm="1">
        <f t="array" ref="H43">IF($J43&lt;&gt;"",INDEX(Connections!$B$4:$V$345,$J43,MATCH(H$16,Connections!$B$3:$V$3,0)),"")</f>
        <v>FGHVIEW14/MGNT (VDI)</v>
      </c>
      <c r="J43" s="118">
        <f>_xlfn.IFNA(MATCH(SHEET_NAME&amp;" "&amp;B43,Connections!$L$4:$L$345,0),"")</f>
        <v>105</v>
      </c>
    </row>
    <row r="44" spans="1:10">
      <c r="A44" s="121">
        <f t="shared" si="1"/>
        <v>28</v>
      </c>
      <c r="B44" s="116" t="str">
        <f t="shared" si="0"/>
        <v>gi1/0/28</v>
      </c>
      <c r="C44" s="122" t="s">
        <v>2611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gi1/0/29</v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gi1/0/30</v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gi1/0/31</v>
      </c>
      <c r="C47" s="122" t="str" cm="1">
        <f t="array" ref="C47">_xlfn.IFS($B47="","",$B47=$B$71,"reserved",$B47=$B$72,"reserved",$B47=$G$11,"connect",$B47=$G$13,"connect",J47&lt;&gt;"","connect",1=1,"disabled")</f>
        <v>connect</v>
      </c>
      <c r="D47" s="46" cm="1">
        <f t="array" ref="D47">IF($J47&lt;&gt;"",INDEX(Connections!$B$4:$V$345,$J47,MATCH(D$16,Connections!$B$3:$V$3,0)),"")</f>
        <v>300</v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>auto</v>
      </c>
      <c r="G47" s="46" t="str" cm="1">
        <f t="array" ref="G47">IF($J47&lt;&gt;"",INDEX(Connections!$B$4:$V$345,$J47,MATCH(G$16,Connections!$B$3:$V$3,0)),"")</f>
        <v>1GB COPPER</v>
      </c>
      <c r="H47" s="46" t="str" cm="1">
        <f t="array" ref="H47">IF($J47&lt;&gt;"",INDEX(Connections!$B$4:$V$345,$J47,MATCH(H$16,Connections!$B$3:$V$3,0)),"")</f>
        <v>TINTRI2/A-MGNT (STORAGE)</v>
      </c>
      <c r="J47" s="118">
        <f>_xlfn.IFNA(MATCH(SHEET_NAME&amp;" "&amp;B47,Connections!$L$4:$L$345,0),"")</f>
        <v>113</v>
      </c>
    </row>
    <row r="48" spans="1:10">
      <c r="A48" s="121">
        <f t="shared" si="1"/>
        <v>32</v>
      </c>
      <c r="B48" s="116" t="str">
        <f t="shared" si="0"/>
        <v>gi1/0/32</v>
      </c>
      <c r="C48" s="122" t="str" cm="1">
        <f t="array" ref="C48">_xlfn.IFS($B48="","",$B48=$B$71,"reserved",$B48=$B$72,"reserved",$B48=$G$11,"connect",$B48=$G$13,"connect",J48&lt;&gt;"","connect",1=1,"disabled")</f>
        <v>connect</v>
      </c>
      <c r="D48" s="46" cm="1">
        <f t="array" ref="D48">IF($J48&lt;&gt;"",INDEX(Connections!$B$4:$V$345,$J48,MATCH(D$16,Connections!$B$3:$V$3,0)),"")</f>
        <v>300</v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>auto</v>
      </c>
      <c r="G48" s="46" t="str" cm="1">
        <f t="array" ref="G48">IF($J48&lt;&gt;"",INDEX(Connections!$B$4:$V$345,$J48,MATCH(G$16,Connections!$B$3:$V$3,0)),"")</f>
        <v>1GB COPPER</v>
      </c>
      <c r="H48" s="46" t="str" cm="1">
        <f t="array" ref="H48">IF($J48&lt;&gt;"",INDEX(Connections!$B$4:$V$345,$J48,MATCH(H$16,Connections!$B$3:$V$3,0)),"")</f>
        <v>TINTRI2/A-REPL (STORAGE)</v>
      </c>
      <c r="J48" s="118">
        <f>_xlfn.IFNA(MATCH(SHEET_NAME&amp;" "&amp;B48,Connections!$L$4:$L$345,0),"")</f>
        <v>115</v>
      </c>
    </row>
    <row r="49" spans="1:10">
      <c r="A49" s="121">
        <f t="shared" si="1"/>
        <v>33</v>
      </c>
      <c r="B49" s="116" t="str">
        <f t="shared" si="0"/>
        <v>gi1/0/33</v>
      </c>
      <c r="C49" s="122" t="str" cm="1">
        <f t="array" ref="C49">_xlfn.IFS($B49="","",$B49=$B$71,"reserved",$B49=$B$72,"reserved",$B49=$G$11,"connect",$B49=$G$13,"connect",J49&lt;&gt;"","connect",1=1,"disabled")</f>
        <v>connect</v>
      </c>
      <c r="D49" s="46" cm="1">
        <f t="array" ref="D49">IF($J49&lt;&gt;"",INDEX(Connections!$B$4:$V$345,$J49,MATCH(D$16,Connections!$B$3:$V$3,0)),"")</f>
        <v>300</v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>auto</v>
      </c>
      <c r="G49" s="46" t="str" cm="1">
        <f t="array" ref="G49">IF($J49&lt;&gt;"",INDEX(Connections!$B$4:$V$345,$J49,MATCH(G$16,Connections!$B$3:$V$3,0)),"")</f>
        <v>1GB COPPER</v>
      </c>
      <c r="H49" s="46" t="str" cm="1">
        <f t="array" ref="H49">IF($J49&lt;&gt;"",INDEX(Connections!$B$4:$V$345,$J49,MATCH(H$16,Connections!$B$3:$V$3,0)),"")</f>
        <v>TINTRI2/B-MGNT (STORAGE)</v>
      </c>
      <c r="J49" s="118">
        <f>_xlfn.IFNA(MATCH(SHEET_NAME&amp;" "&amp;B49,Connections!$L$4:$L$345,0),"")</f>
        <v>119</v>
      </c>
    </row>
    <row r="50" spans="1:10">
      <c r="A50" s="121">
        <f t="shared" si="1"/>
        <v>34</v>
      </c>
      <c r="B50" s="116" t="str">
        <f t="shared" si="0"/>
        <v>gi1/0/34</v>
      </c>
      <c r="C50" s="122" t="str" cm="1">
        <f t="array" ref="C50">_xlfn.IFS($B50="","",$B50=$B$71,"reserved",$B50=$B$72,"reserved",$B50=$G$11,"connect",$B50=$G$13,"connect",J50&lt;&gt;"","connect",1=1,"disabled")</f>
        <v>connect</v>
      </c>
      <c r="D50" s="46" cm="1">
        <f t="array" ref="D50">IF($J50&lt;&gt;"",INDEX(Connections!$B$4:$V$345,$J50,MATCH(D$16,Connections!$B$3:$V$3,0)),"")</f>
        <v>300</v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>auto</v>
      </c>
      <c r="G50" s="46" t="str" cm="1">
        <f t="array" ref="G50">IF($J50&lt;&gt;"",INDEX(Connections!$B$4:$V$345,$J50,MATCH(G$16,Connections!$B$3:$V$3,0)),"")</f>
        <v>1GB COPPER</v>
      </c>
      <c r="H50" s="46" t="str" cm="1">
        <f t="array" ref="H50">IF($J50&lt;&gt;"",INDEX(Connections!$B$4:$V$345,$J50,MATCH(H$16,Connections!$B$3:$V$3,0)),"")</f>
        <v>TINTRI2/B-REPL (STORAGE)</v>
      </c>
      <c r="J50" s="118">
        <f>_xlfn.IFNA(MATCH(SHEET_NAME&amp;" "&amp;B50,Connections!$L$4:$L$345,0),"")</f>
        <v>121</v>
      </c>
    </row>
    <row r="51" spans="1:10">
      <c r="A51" s="121">
        <f t="shared" si="1"/>
        <v>35</v>
      </c>
      <c r="B51" s="116" t="str">
        <f t="shared" si="0"/>
        <v>gi1/0/35</v>
      </c>
      <c r="C51" s="122" t="str" cm="1">
        <f t="array" ref="C51">_xlfn.IFS($B51="","",$B51=$B$71,"reserved",$B51=$B$72,"reserved",$B51=$G$11,"connect",$B51=$G$13,"connect",J51&lt;&gt;"","connect",1=1,"disabled")</f>
        <v>connect</v>
      </c>
      <c r="D51" s="46" cm="1">
        <f t="array" ref="D51">IF($J51&lt;&gt;"",INDEX(Connections!$B$4:$V$345,$J51,MATCH(D$16,Connections!$B$3:$V$3,0)),"")</f>
        <v>220</v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>auto</v>
      </c>
      <c r="G51" s="46" t="str" cm="1">
        <f t="array" ref="G51">IF($J51&lt;&gt;"",INDEX(Connections!$B$4:$V$345,$J51,MATCH(G$16,Connections!$B$3:$V$3,0)),"")</f>
        <v>1GB COPPER</v>
      </c>
      <c r="H51" s="46" t="str" cm="1">
        <f t="array" ref="H51">IF($J51&lt;&gt;"",INDEX(Connections!$B$4:$V$345,$J51,MATCH(H$16,Connections!$B$3:$V$3,0)),"")</f>
        <v>TINTRI4/A-ADMIN (STORAGE)</v>
      </c>
      <c r="J51" s="118">
        <f>_xlfn.IFNA(MATCH(SHEET_NAME&amp;" "&amp;B51,Connections!$L$4:$L$345,0),"")</f>
        <v>191</v>
      </c>
    </row>
    <row r="52" spans="1:10">
      <c r="A52" s="121">
        <f t="shared" si="1"/>
        <v>36</v>
      </c>
      <c r="B52" s="116" t="str">
        <f t="shared" si="0"/>
        <v>gi1/0/36</v>
      </c>
      <c r="C52" s="122" t="str" cm="1">
        <f t="array" ref="C52">_xlfn.IFS($B52="","",$B52=$B$71,"reserved",$B52=$B$72,"reserved",$B52=$G$11,"connect",$B52=$G$13,"connect",J52&lt;&gt;"","connect",1=1,"disabled")</f>
        <v>connect</v>
      </c>
      <c r="D52" s="46" cm="1">
        <f t="array" ref="D52">IF($J52&lt;&gt;"",INDEX(Connections!$B$4:$V$345,$J52,MATCH(D$16,Connections!$B$3:$V$3,0)),"")</f>
        <v>300</v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>auto</v>
      </c>
      <c r="G52" s="46" t="str" cm="1">
        <f t="array" ref="G52">IF($J52&lt;&gt;"",INDEX(Connections!$B$4:$V$345,$J52,MATCH(G$16,Connections!$B$3:$V$3,0)),"")</f>
        <v>1GB COPPER</v>
      </c>
      <c r="H52" s="46" t="str" cm="1">
        <f t="array" ref="H52">IF($J52&lt;&gt;"",INDEX(Connections!$B$4:$V$345,$J52,MATCH(H$16,Connections!$B$3:$V$3,0)),"")</f>
        <v>TINTRI4/A-REPL (STORAGE)</v>
      </c>
      <c r="J52" s="118">
        <f>_xlfn.IFNA(MATCH(SHEET_NAME&amp;" "&amp;B52,Connections!$L$4:$L$345,0),"")</f>
        <v>193</v>
      </c>
    </row>
    <row r="53" spans="1:10">
      <c r="A53" s="121">
        <f t="shared" si="1"/>
        <v>37</v>
      </c>
      <c r="B53" s="116" t="str">
        <f t="shared" si="0"/>
        <v>gi1/0/37</v>
      </c>
      <c r="C53" s="122" t="str" cm="1">
        <f t="array" ref="C53">_xlfn.IFS($B53="","",$B53=$B$71,"reserved",$B53=$B$72,"reserved",$B53=$G$11,"connect",$B53=$G$13,"connect",J53&lt;&gt;"","connect",1=1,"disabled")</f>
        <v>connect</v>
      </c>
      <c r="D53" s="46" cm="1">
        <f t="array" ref="D53">IF($J53&lt;&gt;"",INDEX(Connections!$B$4:$V$345,$J53,MATCH(D$16,Connections!$B$3:$V$3,0)),"")</f>
        <v>220</v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>auto</v>
      </c>
      <c r="G53" s="46" t="str" cm="1">
        <f t="array" ref="G53">IF($J53&lt;&gt;"",INDEX(Connections!$B$4:$V$345,$J53,MATCH(G$16,Connections!$B$3:$V$3,0)),"")</f>
        <v>1GB COPPER</v>
      </c>
      <c r="H53" s="46" t="str" cm="1">
        <f t="array" ref="H53">IF($J53&lt;&gt;"",INDEX(Connections!$B$4:$V$345,$J53,MATCH(H$16,Connections!$B$3:$V$3,0)),"")</f>
        <v>TINTRI4/B-ADMIN (STORAGE)</v>
      </c>
      <c r="J53" s="118">
        <f>_xlfn.IFNA(MATCH(SHEET_NAME&amp;" "&amp;B53,Connections!$L$4:$L$345,0),"")</f>
        <v>197</v>
      </c>
    </row>
    <row r="54" spans="1:10">
      <c r="A54" s="121">
        <f t="shared" si="1"/>
        <v>38</v>
      </c>
      <c r="B54" s="116" t="str">
        <f t="shared" si="0"/>
        <v>gi1/0/38</v>
      </c>
      <c r="C54" s="122" t="str" cm="1">
        <f t="array" ref="C54">_xlfn.IFS($B54="","",$B54=$B$71,"reserved",$B54=$B$72,"reserved",$B54=$G$11,"connect",$B54=$G$13,"connect",J54&lt;&gt;"","connect",1=1,"disabled")</f>
        <v>connect</v>
      </c>
      <c r="D54" s="46" cm="1">
        <f t="array" ref="D54">IF($J54&lt;&gt;"",INDEX(Connections!$B$4:$V$345,$J54,MATCH(D$16,Connections!$B$3:$V$3,0)),"")</f>
        <v>300</v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>auto</v>
      </c>
      <c r="G54" s="46" t="str" cm="1">
        <f t="array" ref="G54">IF($J54&lt;&gt;"",INDEX(Connections!$B$4:$V$345,$J54,MATCH(G$16,Connections!$B$3:$V$3,0)),"")</f>
        <v>1GB COPPER</v>
      </c>
      <c r="H54" s="46" t="str" cm="1">
        <f t="array" ref="H54">IF($J54&lt;&gt;"",INDEX(Connections!$B$4:$V$345,$J54,MATCH(H$16,Connections!$B$3:$V$3,0)),"")</f>
        <v>TINTRI4/B-REPL (STORAGE)</v>
      </c>
      <c r="J54" s="118">
        <f>_xlfn.IFNA(MATCH(SHEET_NAME&amp;" "&amp;B54,Connections!$L$4:$L$345,0),"")</f>
        <v>199</v>
      </c>
    </row>
    <row r="55" spans="1:10">
      <c r="A55" s="121">
        <f t="shared" si="1"/>
        <v>39</v>
      </c>
      <c r="B55" s="116" t="str">
        <f t="shared" si="0"/>
        <v>gi1/0/39</v>
      </c>
      <c r="C55" s="122" t="str" cm="1">
        <f t="array" ref="C55">_xlfn.IFS($B55="","",$B55=$B$71,"reserved",$B55=$B$72,"reserved",$B55=$G$11,"connect",$B55=$G$13,"connect",J55&lt;&gt;"","connect",1=1,"disabled")</f>
        <v>connect</v>
      </c>
      <c r="D55" s="46" cm="1">
        <f t="array" ref="D55">IF($J55&lt;&gt;"",INDEX(Connections!$B$4:$V$345,$J55,MATCH(D$16,Connections!$B$3:$V$3,0)),"")</f>
        <v>220</v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>auto</v>
      </c>
      <c r="G55" s="46" t="str" cm="1">
        <f t="array" ref="G55">IF($J55&lt;&gt;"",INDEX(Connections!$B$4:$V$345,$J55,MATCH(G$16,Connections!$B$3:$V$3,0)),"")</f>
        <v>1GB COPPER</v>
      </c>
      <c r="H55" s="46" t="str" cm="1">
        <f t="array" ref="H55">IF($J55&lt;&gt;"",INDEX(Connections!$B$4:$V$345,$J55,MATCH(H$16,Connections!$B$3:$V$3,0)),"")</f>
        <v>Cisco UCESXI02 mgmt/MGNT (Physical Server)</v>
      </c>
      <c r="J55" s="118">
        <f>_xlfn.IFNA(MATCH(SHEET_NAME&amp;" "&amp;B55,Connections!$L$4:$L$345,0),"")</f>
        <v>235</v>
      </c>
    </row>
    <row r="56" spans="1:10">
      <c r="A56" s="121">
        <f t="shared" si="1"/>
        <v>40</v>
      </c>
      <c r="B56" s="116" t="str">
        <f t="shared" si="0"/>
        <v>gi1/0/40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201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1GB COPPER</v>
      </c>
      <c r="H56" s="46" t="str" cm="1">
        <f t="array" ref="H56">IF($J56&lt;&gt;"",INDEX(Connections!$B$4:$V$345,$J56,MATCH(H$16,Connections!$B$3:$V$3,0)),"")</f>
        <v>Cisco UCESXI02 data/data (Physical Server)</v>
      </c>
      <c r="J56" s="118">
        <f>_xlfn.IFNA(MATCH(SHEET_NAME&amp;" "&amp;B56,Connections!$L$4:$L$345,0),"")</f>
        <v>237</v>
      </c>
    </row>
    <row r="57" spans="1:10">
      <c r="A57" s="121">
        <f t="shared" si="1"/>
        <v>41</v>
      </c>
      <c r="B57" s="116" t="str">
        <f t="shared" si="0"/>
        <v>gi1/0/41</v>
      </c>
      <c r="C57" s="122" t="str" cm="1">
        <f t="array" ref="C57">_xlfn.IFS($B57="","",$B57=$B$71,"reserved",$B57=$B$72,"reserved",$B57=$G$11,"connect",$B57=$G$13,"connect",J57&lt;&gt;"","connect",1=1,"disabled")</f>
        <v>connect</v>
      </c>
      <c r="D57" s="46" cm="1">
        <f t="array" ref="D57">IF($J57&lt;&gt;"",INDEX(Connections!$B$4:$V$345,$J57,MATCH(D$16,Connections!$B$3:$V$3,0)),"")</f>
        <v>201</v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>auto</v>
      </c>
      <c r="G57" s="46" t="str" cm="1">
        <f t="array" ref="G57">IF($J57&lt;&gt;"",INDEX(Connections!$B$4:$V$345,$J57,MATCH(G$16,Connections!$B$3:$V$3,0)),"")</f>
        <v>1GB COPPER</v>
      </c>
      <c r="H57" s="46" t="str" cm="1">
        <f t="array" ref="H57">IF($J57&lt;&gt;"",INDEX(Connections!$B$4:$V$345,$J57,MATCH(H$16,Connections!$B$3:$V$3,0)),"")</f>
        <v>Cisco UCESXI02 data/data3 (Physical Server)</v>
      </c>
      <c r="J57" s="118">
        <f>_xlfn.IFNA(MATCH(SHEET_NAME&amp;" "&amp;B57,Connections!$L$4:$L$345,0),"")</f>
        <v>239</v>
      </c>
    </row>
    <row r="58" spans="1:10">
      <c r="A58" s="121">
        <f t="shared" si="1"/>
        <v>42</v>
      </c>
      <c r="B58" s="116" t="str">
        <f t="shared" si="0"/>
        <v>gi1/0/42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46" t="str" cm="1">
        <f t="array" ref="D58">IF($J58&lt;&gt;"",INDEX(Connections!$B$4:$V$345,$J58,MATCH(D$16,Connections!$B$3:$V$3,0)),"")</f>
        <v/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/>
      </c>
      <c r="G58" s="46" t="str" cm="1">
        <f t="array" ref="G58">IF($J58&lt;&gt;"",INDEX(Connections!$B$4:$V$345,$J58,MATCH(G$16,Connections!$B$3:$V$3,0)),"")</f>
        <v/>
      </c>
      <c r="H58" s="46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>gi1/0/43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46" t="str" cm="1">
        <f t="array" ref="D59">IF($J59&lt;&gt;"",INDEX(Connections!$B$4:$V$345,$J59,MATCH(D$16,Connections!$B$3:$V$3,0)),"")</f>
        <v/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/>
      </c>
      <c r="G59" s="46" t="str" cm="1">
        <f t="array" ref="G59">IF($J59&lt;&gt;"",INDEX(Connections!$B$4:$V$345,$J59,MATCH(G$16,Connections!$B$3:$V$3,0)),"")</f>
        <v/>
      </c>
      <c r="H59" s="46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>gi1/0/44</v>
      </c>
      <c r="C60" s="122" t="str" cm="1">
        <f t="array" ref="C60">_xlfn.IFS($B60="","",$B60=$B$71,"reserved",$B60=$B$72,"reserved",$B60=$G$11,"connect",$B60=$G$13,"connect",J60&lt;&gt;"","connect",1=1,"disabled")</f>
        <v>disabled</v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>gi1/0/45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gi1/0/46</v>
      </c>
      <c r="C62" s="122" t="str" cm="1">
        <f t="array" ref="C62">_xlfn.IFS($B62="","",$B62=$B$71,"reserved",$B62=$B$72,"reserved",$B62=$G$11,"connect",$B62=$G$13,"connect",J62&lt;&gt;"","connect",1=1,"disabled")</f>
        <v>disabled</v>
      </c>
      <c r="D62" s="46" t="str" cm="1">
        <f t="array" ref="D62">IF($J62&lt;&gt;"",INDEX(Connections!$B$4:$V$345,$J62,MATCH(D$16,Connections!$B$3:$V$3,0)),"")</f>
        <v/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/>
      </c>
      <c r="G62" s="46" t="str" cm="1">
        <f t="array" ref="G62">IF($J62&lt;&gt;"",INDEX(Connections!$B$4:$V$345,$J62,MATCH(G$16,Connections!$B$3:$V$3,0)),"")</f>
        <v/>
      </c>
      <c r="H62" s="46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>gi1/0/47</v>
      </c>
      <c r="C63" s="122" t="str" cm="1">
        <f t="array" ref="C63">_xlfn.IFS($B63="","",$B63=$B$71,"reserved",$B63=$B$72,"reserved",$B63=$G$11,"connect",$B63=$G$13,"connect",J63&lt;&gt;"","connect",1=1,"disabled")</f>
        <v>disabled</v>
      </c>
      <c r="D63" s="46" t="str" cm="1">
        <f t="array" ref="D63">IF($J63&lt;&gt;"",INDEX(Connections!$B$4:$V$345,$J63,MATCH(D$16,Connections!$B$3:$V$3,0)),"")</f>
        <v/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/>
      </c>
      <c r="G63" s="46" t="str" cm="1">
        <f t="array" ref="G63">IF($J63&lt;&gt;"",INDEX(Connections!$B$4:$V$345,$J63,MATCH(G$16,Connections!$B$3:$V$3,0)),"")</f>
        <v/>
      </c>
      <c r="H63" s="46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>gi1/0/48</v>
      </c>
      <c r="C64" s="122" t="str" cm="1">
        <f t="array" ref="C64">_xlfn.IFS($B64="","",$B64=$B$71,"reserved",$B64=$B$72,"reserved",$B64=$G$11,"connect",$B64=$G$13,"connect",J64&lt;&gt;"","connect",1=1,"disabled")</f>
        <v>disabled</v>
      </c>
      <c r="D64" s="46" t="str" cm="1">
        <f t="array" ref="D64">IF($J64&lt;&gt;"",INDEX(Connections!$B$4:$V$345,$J64,MATCH(D$16,Connections!$B$3:$V$3,0)),"")</f>
        <v/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/>
      </c>
      <c r="G64" s="46" t="str" cm="1">
        <f t="array" ref="G64">IF($J64&lt;&gt;"",INDEX(Connections!$B$4:$V$345,$J64,MATCH(G$16,Connections!$B$3:$V$3,0)),"")</f>
        <v/>
      </c>
      <c r="H64" s="46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te1/1/1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49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10GB SFP+ DAC</v>
      </c>
      <c r="H68" s="17" t="str" cm="1">
        <f t="array" ref="H68">_xlfn.IFS($B68="","",$B68=$G$11,$G$12&amp;" "&amp;H12,$B68=$G$13,$G$14&amp;" "&amp;$H$14,1=1,"")</f>
        <v>FGHLHN42-1 twe1/0/48</v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te1/1/2</v>
      </c>
      <c r="C69" s="122" t="str" cm="1">
        <f t="array" ref="C69">_xlfn.IFS($B69="","",$B69=$B$79,"reserved",$B69=$B$80,"reserved",$B69=$G$11,"connect",$B69=$G$13,"connect",1=1,"disabled")</f>
        <v>disabled</v>
      </c>
      <c r="D69" s="17" t="str" cm="1">
        <f t="array" ref="D69">_xlfn.IFS($B69="","",$B69=$G$11,"TRUNK",$B69=$G$13,"TRUNK",1=1,"")</f>
        <v/>
      </c>
      <c r="E69" s="159" t="str" cm="1">
        <f t="array" ref="E69">_xlfn.IFS($B69="","",OR($B69=$G$11,$B69=$G$13),INDEX(SWITCH_TABLE[#Data],$H$3,MATCH("Local EC",SWITCH_TABLE[#Headers],0)),1=1,"")</f>
        <v/>
      </c>
      <c r="F69" s="17" t="str" cm="1">
        <f t="array" ref="F69">_xlfn.IFS($B69="","",$B69=$G$11,"Uplink Port 1",$B69=$G$13,"Uplink Port 2",$B69=$B$79,"Stack Port 1",$B69=$B$80,"Stack Port 2",1=1,"")</f>
        <v/>
      </c>
      <c r="G69" s="17" t="str" cm="1">
        <f t="array" ref="G69">_xlfn.IFS($B69="","",$B69=$G$11,$H$11,$B69=$G$13,$H$13,1=1,"")</f>
        <v/>
      </c>
      <c r="H69" s="17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te1/1/3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te1/1/4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>te1/1/5</v>
      </c>
      <c r="C72" s="122" t="str" cm="1">
        <f t="array" ref="C72">_xlfn.IFS($B72="","",$B72=$B$79,"reserved",$B72=$B$80,"reserved",$B72=$G$11,"connect",$B72=$G$13,"connect",1=1,"disabled")</f>
        <v>disabled</v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>te1/1/6</v>
      </c>
      <c r="C73" s="122" t="str" cm="1">
        <f t="array" ref="C73">_xlfn.IFS($B73="","",$B73=$B$79,"reserved",$B73=$B$80,"reserved",$B73=$G$11,"connect",$B73=$G$13,"connect",1=1,"disabled")</f>
        <v>disabled</v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>te1/1/7</v>
      </c>
      <c r="C74" s="122" t="str" cm="1">
        <f t="array" ref="C74">_xlfn.IFS($B74="","",$B74=$B$79,"reserved",$B74=$B$80,"reserved",$B74=$G$11,"connect",$B74=$G$13,"connect",1=1,"disabled")</f>
        <v>disabled</v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>te1/1/8</v>
      </c>
      <c r="C75" s="122" t="str" cm="1">
        <f t="array" ref="C75">_xlfn.IFS($B75="","",$B75=$B$79,"reserved",$B75=$B$80,"reserved",$B75=$G$11,"connect",$B75=$G$13,"connect",1=1,"disabled")</f>
        <v>disabled</v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st1/1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FGHLHN142-2 st2/2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st1/2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FGHLHN142-2 st2/1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038" priority="21" operator="equal">
      <formula>"reserved"</formula>
    </cfRule>
    <cfRule type="cellIs" dxfId="1037" priority="22" operator="equal">
      <formula>"notconnect"</formula>
    </cfRule>
    <cfRule type="cellIs" dxfId="1036" priority="23" operator="equal">
      <formula>"disabled"</formula>
    </cfRule>
    <cfRule type="cellIs" dxfId="1035" priority="24" operator="equal">
      <formula>"connect"</formula>
    </cfRule>
  </conditionalFormatting>
  <conditionalFormatting sqref="C79:C80">
    <cfRule type="cellIs" dxfId="1034" priority="17" operator="equal">
      <formula>"reserved"</formula>
    </cfRule>
    <cfRule type="cellIs" dxfId="1033" priority="18" operator="equal">
      <formula>"notconnect"</formula>
    </cfRule>
    <cfRule type="cellIs" dxfId="1032" priority="19" operator="equal">
      <formula>"disabled"</formula>
    </cfRule>
    <cfRule type="cellIs" dxfId="1031" priority="20" operator="equal">
      <formula>"connect"</formula>
    </cfRule>
  </conditionalFormatting>
  <conditionalFormatting sqref="C17:C21">
    <cfRule type="cellIs" dxfId="1030" priority="1" operator="equal">
      <formula>"reserved"</formula>
    </cfRule>
    <cfRule type="cellIs" dxfId="1029" priority="2" operator="equal">
      <formula>"notconnect"</formula>
    </cfRule>
    <cfRule type="cellIs" dxfId="1028" priority="3" operator="equal">
      <formula>"disabled"</formula>
    </cfRule>
    <cfRule type="cellIs" dxfId="1027" priority="4" operator="equal">
      <formula>"connect"</formula>
    </cfRule>
  </conditionalFormatting>
  <conditionalFormatting sqref="C58:C60 C22:C56">
    <cfRule type="cellIs" dxfId="1026" priority="13" operator="equal">
      <formula>"reserved"</formula>
    </cfRule>
    <cfRule type="cellIs" dxfId="1025" priority="14" operator="equal">
      <formula>"notconnect"</formula>
    </cfRule>
    <cfRule type="cellIs" dxfId="1024" priority="15" operator="equal">
      <formula>"disabled"</formula>
    </cfRule>
    <cfRule type="cellIs" dxfId="1023" priority="16" operator="equal">
      <formula>"connect"</formula>
    </cfRule>
  </conditionalFormatting>
  <conditionalFormatting sqref="C61:C64">
    <cfRule type="cellIs" dxfId="1022" priority="9" operator="equal">
      <formula>"reserved"</formula>
    </cfRule>
    <cfRule type="cellIs" dxfId="1021" priority="10" operator="equal">
      <formula>"notconnect"</formula>
    </cfRule>
    <cfRule type="cellIs" dxfId="1020" priority="11" operator="equal">
      <formula>"disabled"</formula>
    </cfRule>
    <cfRule type="cellIs" dxfId="1019" priority="12" operator="equal">
      <formula>"connect"</formula>
    </cfRule>
  </conditionalFormatting>
  <conditionalFormatting sqref="C57">
    <cfRule type="cellIs" dxfId="1018" priority="5" operator="equal">
      <formula>"reserved"</formula>
    </cfRule>
    <cfRule type="cellIs" dxfId="1017" priority="6" operator="equal">
      <formula>"notconnect"</formula>
    </cfRule>
    <cfRule type="cellIs" dxfId="1016" priority="7" operator="equal">
      <formula>"disabled"</formula>
    </cfRule>
    <cfRule type="cellIs" dxfId="1015" priority="8" operator="equal">
      <formula>"connect"</formula>
    </cfRule>
  </conditionalFormatting>
  <dataValidations count="5">
    <dataValidation type="list" allowBlank="1" showInputMessage="1" sqref="G68:G75 G17:G64" xr:uid="{DFB7D9D3-A37E-460B-9D78-559C2F79A6C4}">
      <formula1>PORT_TYPE_LIST</formula1>
    </dataValidation>
    <dataValidation type="list" allowBlank="1" showInputMessage="1" sqref="C68:C75 C79:C80 C17:C64" xr:uid="{C519AF53-4DE9-4040-A3C5-29C2A7E8FEB3}">
      <formula1>PORT_STATE_LIST</formula1>
    </dataValidation>
    <dataValidation type="list" allowBlank="1" showInputMessage="1" sqref="D68:D75" xr:uid="{7BF6D5ED-FD8F-4049-BA84-3F10CDBDEEE1}">
      <formula1>VLAN_ID_LIST</formula1>
    </dataValidation>
    <dataValidation type="list" allowBlank="1" showInputMessage="1" sqref="F17:F64" xr:uid="{B31976A8-DCDF-43CD-B750-D640ED17B319}">
      <formula1>SPEED_DUPLEX_LIST</formula1>
    </dataValidation>
    <dataValidation allowBlank="1" showInputMessage="1" sqref="E68:E75 E17:E64" xr:uid="{93831885-7D1B-4170-8F4C-7E5F676B0FA1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E1A2-93F5-4F4D-9CC1-B23A4BF687F8}">
  <sheetPr codeName="Sheet23">
    <tabColor rgb="FF0070C0"/>
  </sheetPr>
  <dimension ref="A1:L81"/>
  <sheetViews>
    <sheetView topLeftCell="A34" workbookViewId="0">
      <selection activeCell="E36" sqref="E36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10.441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1095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12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FCW2319L01V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FGHLHN142-1</v>
      </c>
      <c r="D13" s="117" t="str">
        <f>INDEX(SWITCH_TABLE[#Data],$H$3,MATCH("Next Port",SWITCH_TABLE[#Headers],0))</f>
        <v>st1/2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te2/1/2</v>
      </c>
      <c r="H13" s="118" t="str" cm="1">
        <f t="array" ref="H13">IF(G13="","",INDEX(SWITCH_TABLE[#Data],$H$3,MATCH("Uplink 2 SFP",SWITCH_TABLE[#Headers],0)))</f>
        <v>10GB SFP+ DAC</v>
      </c>
    </row>
    <row r="14" spans="1:10">
      <c r="B14" s="116" t="s">
        <v>1842</v>
      </c>
      <c r="C14" s="117" t="str">
        <f>INDEX(SWITCH_TABLE[#Data],$H$3,MATCH(B14,SWITCH_TABLE[#Headers],0))</f>
        <v>FGHLHN142-1</v>
      </c>
      <c r="D14" s="117" t="str">
        <f>INDEX(SWITCH_TABLE[#Data],$H$3,MATCH("Prev Port",SWITCH_TABLE[#Headers],0))</f>
        <v>st1/1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FGHLHN42-2</v>
      </c>
      <c r="H14" s="118" t="str" cm="1">
        <f t="array" ref="H14">IF(G14="","",INDEX(SWITCH_TABLE[#Data],$H$3,MATCH("Remote Port 2",SWITCH_TABLE[#Headers],0)))</f>
        <v>twe2/0/48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gi2/0/1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132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FGH_Macmini02/data (Physical Server)</v>
      </c>
      <c r="J17" s="118">
        <f>_xlfn.IFNA(MATCH(SHEET_NAME&amp;" "&amp;B17,Connections!$L$4:$L$345,0),"")</f>
        <v>301</v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gi2/0/2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132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FGH_Tape_Library/data (Physical Server)</v>
      </c>
      <c r="J18" s="118">
        <f>_xlfn.IFNA(MATCH(SHEET_NAME&amp;" "&amp;B18,Connections!$L$4:$L$345,0),"")</f>
        <v>302</v>
      </c>
    </row>
    <row r="19" spans="1:12">
      <c r="A19" s="121">
        <f t="shared" si="1"/>
        <v>3</v>
      </c>
      <c r="B19" s="116" t="str">
        <f t="shared" si="0"/>
        <v>gi2/0/3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8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cardswipe Comms room door/data (Physical Server)</v>
      </c>
      <c r="J19" s="118">
        <f>_xlfn.IFNA(MATCH(SHEET_NAME&amp;" "&amp;B19,Connections!$L$4:$L$345,0),"")</f>
        <v>303</v>
      </c>
    </row>
    <row r="20" spans="1:12">
      <c r="A20" s="121">
        <f t="shared" si="1"/>
        <v>4</v>
      </c>
      <c r="B20" s="116" t="str">
        <f t="shared" si="0"/>
        <v>gi2/0/4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46" t="str" cm="1">
        <f t="array" ref="D20">IF($J20&lt;&gt;"",INDEX(Connections!$B$4:$V$345,$J20,MATCH(D$16,Connections!$B$3:$V$3,0)),"")</f>
        <v/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/>
      </c>
      <c r="G20" s="46" t="str" cm="1">
        <f t="array" ref="G20">IF($J20&lt;&gt;"",INDEX(Connections!$B$4:$V$345,$J20,MATCH(G$16,Connections!$B$3:$V$3,0)),"")</f>
        <v/>
      </c>
      <c r="H20" s="46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2">
      <c r="A21" s="121">
        <f t="shared" si="1"/>
        <v>5</v>
      </c>
      <c r="B21" s="116" t="str">
        <f t="shared" si="0"/>
        <v>gi2/0/5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46" t="str" cm="1">
        <f t="array" ref="D21">IF($J21&lt;&gt;"",INDEX(Connections!$B$4:$V$345,$J21,MATCH(D$16,Connections!$B$3:$V$3,0)),"")</f>
        <v/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/>
      </c>
      <c r="G21" s="46" t="str" cm="1">
        <f t="array" ref="G21">IF($J21&lt;&gt;"",INDEX(Connections!$B$4:$V$345,$J21,MATCH(G$16,Connections!$B$3:$V$3,0)),"")</f>
        <v/>
      </c>
      <c r="H21" s="46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2">
      <c r="A22" s="121">
        <f t="shared" si="1"/>
        <v>6</v>
      </c>
      <c r="B22" s="116" t="str">
        <f t="shared" si="0"/>
        <v>gi2/0/6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46" t="str" cm="1">
        <f t="array" ref="D22">IF($J22&lt;&gt;"",INDEX(Connections!$B$4:$V$345,$J22,MATCH(D$16,Connections!$B$3:$V$3,0)),"")</f>
        <v/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/>
      </c>
      <c r="G22" s="46" t="str" cm="1">
        <f t="array" ref="G22">IF($J22&lt;&gt;"",INDEX(Connections!$B$4:$V$345,$J22,MATCH(G$16,Connections!$B$3:$V$3,0)),"")</f>
        <v/>
      </c>
      <c r="H22" s="46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2">
      <c r="A23" s="121">
        <f t="shared" si="1"/>
        <v>7</v>
      </c>
      <c r="B23" s="116" t="str">
        <f t="shared" si="0"/>
        <v>gi2/0/7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46" t="str" cm="1">
        <f t="array" ref="D23">IF($J23&lt;&gt;"",INDEX(Connections!$B$4:$V$345,$J23,MATCH(D$16,Connections!$B$3:$V$3,0)),"")</f>
        <v/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/>
      </c>
      <c r="G23" s="46" t="str" cm="1">
        <f t="array" ref="G23">IF($J23&lt;&gt;"",INDEX(Connections!$B$4:$V$345,$J23,MATCH(G$16,Connections!$B$3:$V$3,0)),"")</f>
        <v/>
      </c>
      <c r="H23" s="46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2">
      <c r="A24" s="121">
        <f t="shared" si="1"/>
        <v>8</v>
      </c>
      <c r="B24" s="116" t="str">
        <f t="shared" si="0"/>
        <v>gi2/0/8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46" t="str" cm="1">
        <f t="array" ref="D24">IF($J24&lt;&gt;"",INDEX(Connections!$B$4:$V$345,$J24,MATCH(D$16,Connections!$B$3:$V$3,0)),"")</f>
        <v/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/>
      </c>
      <c r="G24" s="46" t="str" cm="1">
        <f t="array" ref="G24">IF($J24&lt;&gt;"",INDEX(Connections!$B$4:$V$345,$J24,MATCH(G$16,Connections!$B$3:$V$3,0)),"")</f>
        <v/>
      </c>
      <c r="H24" s="46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2">
      <c r="A25" s="121">
        <f t="shared" si="1"/>
        <v>9</v>
      </c>
      <c r="B25" s="116" t="str">
        <f t="shared" si="0"/>
        <v>gi2/0/9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46" t="str" cm="1">
        <f t="array" ref="D25">IF($J25&lt;&gt;"",INDEX(Connections!$B$4:$V$345,$J25,MATCH(D$16,Connections!$B$3:$V$3,0)),"")</f>
        <v/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/>
      </c>
      <c r="G25" s="46" t="str" cm="1">
        <f t="array" ref="G25">IF($J25&lt;&gt;"",INDEX(Connections!$B$4:$V$345,$J25,MATCH(G$16,Connections!$B$3:$V$3,0)),"")</f>
        <v/>
      </c>
      <c r="H25" s="46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2">
      <c r="A26" s="121">
        <f t="shared" si="1"/>
        <v>10</v>
      </c>
      <c r="B26" s="116" t="str">
        <f t="shared" si="0"/>
        <v>gi2/0/10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cm="1">
        <f t="array" ref="D26">IF($J26&lt;&gt;"",INDEX(Connections!$B$4:$V$345,$J26,MATCH(D$16,Connections!$B$3:$V$3,0)),"")</f>
        <v>220</v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>auto</v>
      </c>
      <c r="G26" s="46" t="str" cm="1">
        <f t="array" ref="G26">IF($J26&lt;&gt;"",INDEX(Connections!$B$4:$V$345,$J26,MATCH(G$16,Connections!$B$3:$V$3,0)),"")</f>
        <v>1GB COPPER</v>
      </c>
      <c r="H26" s="46" t="str" cm="1">
        <f t="array" ref="H26">IF($J26&lt;&gt;"",INDEX(Connections!$B$4:$V$345,$J26,MATCH(H$16,Connections!$B$3:$V$3,0)),"")</f>
        <v>DC2 OBA/data (Physical Server)</v>
      </c>
      <c r="J26" s="118">
        <f>_xlfn.IFNA(MATCH(SHEET_NAME&amp;" "&amp;B26,Connections!$L$4:$L$345,0),"")</f>
        <v>307</v>
      </c>
    </row>
    <row r="27" spans="1:12">
      <c r="A27" s="121">
        <f t="shared" si="1"/>
        <v>11</v>
      </c>
      <c r="B27" s="116" t="str">
        <f t="shared" si="0"/>
        <v>gi2/0/11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230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FGHVIEW04/ISCSI (VDI)</v>
      </c>
      <c r="J27" s="118">
        <f>_xlfn.IFNA(MATCH(SHEET_NAME&amp;" "&amp;B27,Connections!$L$4:$L$345,0),"")</f>
        <v>34</v>
      </c>
    </row>
    <row r="28" spans="1:12">
      <c r="A28" s="121">
        <f t="shared" si="1"/>
        <v>12</v>
      </c>
      <c r="B28" s="116" t="str">
        <f t="shared" si="0"/>
        <v>gi2/0/12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230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FGHVIEW05/ISCSI (VDI)</v>
      </c>
      <c r="J28" s="118">
        <f>_xlfn.IFNA(MATCH(SHEET_NAME&amp;" "&amp;B28,Connections!$L$4:$L$345,0),"")</f>
        <v>41</v>
      </c>
    </row>
    <row r="29" spans="1:12">
      <c r="A29" s="121">
        <f t="shared" si="1"/>
        <v>13</v>
      </c>
      <c r="B29" s="116" t="str">
        <f t="shared" si="0"/>
        <v>gi2/0/13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230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FGHVIEW06/ISCSI (VDI)</v>
      </c>
      <c r="J29" s="118">
        <f>_xlfn.IFNA(MATCH(SHEET_NAME&amp;" "&amp;B29,Connections!$L$4:$L$345,0),"")</f>
        <v>48</v>
      </c>
    </row>
    <row r="30" spans="1:12">
      <c r="A30" s="121">
        <f t="shared" si="1"/>
        <v>14</v>
      </c>
      <c r="B30" s="116" t="str">
        <f t="shared" si="0"/>
        <v>gi2/0/14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230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FGHVIEW07/ISCSI (VDI)</v>
      </c>
      <c r="J30" s="118">
        <f>_xlfn.IFNA(MATCH(SHEET_NAME&amp;" "&amp;B30,Connections!$L$4:$L$345,0),"")</f>
        <v>55</v>
      </c>
    </row>
    <row r="31" spans="1:12">
      <c r="A31" s="121">
        <f t="shared" si="1"/>
        <v>15</v>
      </c>
      <c r="B31" s="116" t="str">
        <f t="shared" si="0"/>
        <v>gi2/0/15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230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FGHVIEW09/ISCSI (VDI)</v>
      </c>
      <c r="J31" s="118">
        <f>_xlfn.IFNA(MATCH(SHEET_NAME&amp;" "&amp;B31,Connections!$L$4:$L$345,0),"")</f>
        <v>69</v>
      </c>
    </row>
    <row r="32" spans="1:12">
      <c r="A32" s="121">
        <f t="shared" si="1"/>
        <v>16</v>
      </c>
      <c r="B32" s="116" t="str">
        <f t="shared" si="0"/>
        <v>gi2/0/16</v>
      </c>
      <c r="C32" s="122" t="str" cm="1">
        <f t="array" ref="C32">_xlfn.IFS($B32="","",$B32=$B$71,"reserved",$B32=$B$72,"reserved",$B32=$G$11,"connect",$B32=$G$13,"connect",J32&lt;&gt;"","connect",1=1,"disabled")</f>
        <v>connect</v>
      </c>
      <c r="D32" s="46" cm="1">
        <f t="array" ref="D32">IF($J32&lt;&gt;"",INDEX(Connections!$B$4:$V$345,$J32,MATCH(D$16,Connections!$B$3:$V$3,0)),"")</f>
        <v>230</v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>auto</v>
      </c>
      <c r="G32" s="46" t="str" cm="1">
        <f t="array" ref="G32">IF($J32&lt;&gt;"",INDEX(Connections!$B$4:$V$345,$J32,MATCH(G$16,Connections!$B$3:$V$3,0)),"")</f>
        <v>1GB COPPER</v>
      </c>
      <c r="H32" s="46" t="str" cm="1">
        <f t="array" ref="H32">IF($J32&lt;&gt;"",INDEX(Connections!$B$4:$V$345,$J32,MATCH(H$16,Connections!$B$3:$V$3,0)),"")</f>
        <v>FGHVIEW12/ISCSI (VDI)</v>
      </c>
      <c r="J32" s="118">
        <f>_xlfn.IFNA(MATCH(SHEET_NAME&amp;" "&amp;B32,Connections!$L$4:$L$345,0),"")</f>
        <v>90</v>
      </c>
    </row>
    <row r="33" spans="1:10">
      <c r="A33" s="121">
        <f t="shared" si="1"/>
        <v>17</v>
      </c>
      <c r="B33" s="116" t="str">
        <f t="shared" si="0"/>
        <v>gi2/0/17</v>
      </c>
      <c r="C33" s="122" t="str" cm="1">
        <f t="array" ref="C33">_xlfn.IFS($B33="","",$B33=$B$71,"reserved",$B33=$B$72,"reserved",$B33=$G$11,"connect",$B33=$G$13,"connect",J33&lt;&gt;"","connect",1=1,"disabled")</f>
        <v>connect</v>
      </c>
      <c r="D33" s="46" cm="1">
        <f t="array" ref="D33">IF($J33&lt;&gt;"",INDEX(Connections!$B$4:$V$345,$J33,MATCH(D$16,Connections!$B$3:$V$3,0)),"")</f>
        <v>230</v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>auto</v>
      </c>
      <c r="G33" s="46" t="str" cm="1">
        <f t="array" ref="G33">IF($J33&lt;&gt;"",INDEX(Connections!$B$4:$V$345,$J33,MATCH(G$16,Connections!$B$3:$V$3,0)),"")</f>
        <v>1GB COPPER</v>
      </c>
      <c r="H33" s="46" t="str" cm="1">
        <f t="array" ref="H33">IF($J33&lt;&gt;"",INDEX(Connections!$B$4:$V$345,$J33,MATCH(H$16,Connections!$B$3:$V$3,0)),"")</f>
        <v>FGHVIEW14/ISCSI (VDI)</v>
      </c>
      <c r="J33" s="118">
        <f>_xlfn.IFNA(MATCH(SHEET_NAME&amp;" "&amp;B33,Connections!$L$4:$L$345,0),"")</f>
        <v>104</v>
      </c>
    </row>
    <row r="34" spans="1:10">
      <c r="A34" s="121">
        <f t="shared" si="1"/>
        <v>18</v>
      </c>
      <c r="B34" s="116" t="str">
        <f t="shared" si="0"/>
        <v>gi2/0/18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gi2/0/19</v>
      </c>
      <c r="C35" s="122" t="s">
        <v>2611</v>
      </c>
      <c r="D35" s="46" cm="1">
        <f t="array" ref="D35">IF($J35&lt;&gt;"",INDEX(Connections!$B$4:$V$345,$J35,MATCH(D$16,Connections!$B$3:$V$3,0)),"")</f>
        <v>300</v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>auto</v>
      </c>
      <c r="G35" s="46" t="str" cm="1">
        <f t="array" ref="G35">IF($J35&lt;&gt;"",INDEX(Connections!$B$4:$V$345,$J35,MATCH(G$16,Connections!$B$3:$V$3,0)),"")</f>
        <v>1GB COPPER</v>
      </c>
      <c r="H35" s="46" t="str" cm="1">
        <f t="array" ref="H35">IF($J35&lt;&gt;"",INDEX(Connections!$B$4:$V$345,$J35,MATCH(H$16,Connections!$B$3:$V$3,0)),"")</f>
        <v>Pres Server/data2 (Physical Server)</v>
      </c>
      <c r="J35" s="118">
        <f>_xlfn.IFNA(MATCH(SHEET_NAME&amp;" "&amp;B35,Connections!$L$4:$L$345,0),"")</f>
        <v>316</v>
      </c>
    </row>
    <row r="36" spans="1:10">
      <c r="A36" s="121">
        <f t="shared" si="1"/>
        <v>20</v>
      </c>
      <c r="B36" s="116" t="str">
        <f t="shared" si="0"/>
        <v>gi2/0/20</v>
      </c>
      <c r="C36" s="122" t="s">
        <v>2611</v>
      </c>
      <c r="D36" s="46" cm="1">
        <f t="array" ref="D36">IF($J36&lt;&gt;"",INDEX(Connections!$B$4:$V$345,$J36,MATCH(D$16,Connections!$B$3:$V$3,0)),"")</f>
        <v>8</v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>auto</v>
      </c>
      <c r="G36" s="46" t="str" cm="1">
        <f t="array" ref="G36">IF($J36&lt;&gt;"",INDEX(Connections!$B$4:$V$345,$J36,MATCH(G$16,Connections!$B$3:$V$3,0)),"")</f>
        <v>1GB COPPER</v>
      </c>
      <c r="H36" s="46" t="str" cm="1">
        <f t="array" ref="H36">IF($J36&lt;&gt;"",INDEX(Connections!$B$4:$V$345,$J36,MATCH(H$16,Connections!$B$3:$V$3,0)),"")</f>
        <v>fgh259/data2 (Physical Server)</v>
      </c>
      <c r="J36" s="118">
        <f>_xlfn.IFNA(MATCH(SHEET_NAME&amp;" "&amp;B36,Connections!$L$4:$L$345,0),"")</f>
        <v>318</v>
      </c>
    </row>
    <row r="37" spans="1:10">
      <c r="A37" s="121">
        <f t="shared" si="1"/>
        <v>21</v>
      </c>
      <c r="B37" s="116" t="str">
        <f t="shared" si="0"/>
        <v>gi2/0/21</v>
      </c>
      <c r="C37" s="122" t="str" cm="1">
        <f t="array" ref="C37">_xlfn.IFS($B37="","",$B37=$B$71,"reserved",$B37=$B$72,"reserved",$B37=$G$11,"connect",$B37=$G$13,"connect",J37&lt;&gt;"","connect",1=1,"disabled")</f>
        <v>connect</v>
      </c>
      <c r="D37" s="46" cm="1">
        <f t="array" ref="D37">IF($J37&lt;&gt;"",INDEX(Connections!$B$4:$V$345,$J37,MATCH(D$16,Connections!$B$3:$V$3,0)),"")</f>
        <v>400</v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>auto</v>
      </c>
      <c r="G37" s="46" t="str" cm="1">
        <f t="array" ref="G37">IF($J37&lt;&gt;"",INDEX(Connections!$B$4:$V$345,$J37,MATCH(G$16,Connections!$B$3:$V$3,0)),"")</f>
        <v>1GB COPPER</v>
      </c>
      <c r="H37" s="46" t="str" cm="1">
        <f t="array" ref="H37">IF($J37&lt;&gt;"",INDEX(Connections!$B$4:$V$345,$J37,MATCH(H$16,Connections!$B$3:$V$3,0)),"")</f>
        <v>FGHVIEW04/MGNT2 (VDI)</v>
      </c>
      <c r="J37" s="118">
        <f>_xlfn.IFNA(MATCH(SHEET_NAME&amp;" "&amp;B37,Connections!$L$4:$L$345,0),"")</f>
        <v>36</v>
      </c>
    </row>
    <row r="38" spans="1:10">
      <c r="A38" s="121">
        <f t="shared" si="1"/>
        <v>22</v>
      </c>
      <c r="B38" s="116" t="str">
        <f t="shared" si="0"/>
        <v>gi2/0/22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cm="1">
        <f t="array" ref="D38">IF($J38&lt;&gt;"",INDEX(Connections!$B$4:$V$345,$J38,MATCH(D$16,Connections!$B$3:$V$3,0)),"")</f>
        <v>400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1GB COPPER</v>
      </c>
      <c r="H38" s="46" t="str" cm="1">
        <f t="array" ref="H38">IF($J38&lt;&gt;"",INDEX(Connections!$B$4:$V$345,$J38,MATCH(H$16,Connections!$B$3:$V$3,0)),"")</f>
        <v>FGHVIEW05/MGNT2 (VDI)</v>
      </c>
      <c r="J38" s="118">
        <f>_xlfn.IFNA(MATCH(SHEET_NAME&amp;" "&amp;B38,Connections!$L$4:$L$345,0),"")</f>
        <v>43</v>
      </c>
    </row>
    <row r="39" spans="1:10">
      <c r="A39" s="121">
        <f t="shared" si="1"/>
        <v>23</v>
      </c>
      <c r="B39" s="116" t="str">
        <f t="shared" si="0"/>
        <v>gi2/0/23</v>
      </c>
      <c r="C39" s="122" t="str" cm="1">
        <f t="array" ref="C39">_xlfn.IFS($B39="","",$B39=$B$71,"reserved",$B39=$B$72,"reserved",$B39=$G$11,"connect",$B39=$G$13,"connect",J39&lt;&gt;"","connect",1=1,"disabled")</f>
        <v>connect</v>
      </c>
      <c r="D39" s="46" cm="1">
        <f t="array" ref="D39">IF($J39&lt;&gt;"",INDEX(Connections!$B$4:$V$345,$J39,MATCH(D$16,Connections!$B$3:$V$3,0)),"")</f>
        <v>400</v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>auto</v>
      </c>
      <c r="G39" s="46" t="str" cm="1">
        <f t="array" ref="G39">IF($J39&lt;&gt;"",INDEX(Connections!$B$4:$V$345,$J39,MATCH(G$16,Connections!$B$3:$V$3,0)),"")</f>
        <v>1GB COPPER</v>
      </c>
      <c r="H39" s="46" t="str" cm="1">
        <f t="array" ref="H39">IF($J39&lt;&gt;"",INDEX(Connections!$B$4:$V$345,$J39,MATCH(H$16,Connections!$B$3:$V$3,0)),"")</f>
        <v>FGHVIEW06/MGNT2 (VDI)</v>
      </c>
      <c r="J39" s="118">
        <f>_xlfn.IFNA(MATCH(SHEET_NAME&amp;" "&amp;B39,Connections!$L$4:$L$345,0),"")</f>
        <v>50</v>
      </c>
    </row>
    <row r="40" spans="1:10">
      <c r="A40" s="121">
        <f t="shared" si="1"/>
        <v>24</v>
      </c>
      <c r="B40" s="116" t="str">
        <f t="shared" si="0"/>
        <v>gi2/0/24</v>
      </c>
      <c r="C40" s="122" t="str" cm="1">
        <f t="array" ref="C40">_xlfn.IFS($B40="","",$B40=$B$71,"reserved",$B40=$B$72,"reserved",$B40=$G$11,"connect",$B40=$G$13,"connect",J40&lt;&gt;"","connect",1=1,"disabled")</f>
        <v>connect</v>
      </c>
      <c r="D40" s="46" cm="1">
        <f t="array" ref="D40">IF($J40&lt;&gt;"",INDEX(Connections!$B$4:$V$345,$J40,MATCH(D$16,Connections!$B$3:$V$3,0)),"")</f>
        <v>400</v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>auto</v>
      </c>
      <c r="G40" s="46" t="str" cm="1">
        <f t="array" ref="G40">IF($J40&lt;&gt;"",INDEX(Connections!$B$4:$V$345,$J40,MATCH(G$16,Connections!$B$3:$V$3,0)),"")</f>
        <v>1GB COPPER</v>
      </c>
      <c r="H40" s="46" t="str" cm="1">
        <f t="array" ref="H40">IF($J40&lt;&gt;"",INDEX(Connections!$B$4:$V$345,$J40,MATCH(H$16,Connections!$B$3:$V$3,0)),"")</f>
        <v>FGHVIEW07/MGNT2 (VDI)</v>
      </c>
      <c r="J40" s="118">
        <f>_xlfn.IFNA(MATCH(SHEET_NAME&amp;" "&amp;B40,Connections!$L$4:$L$345,0),"")</f>
        <v>57</v>
      </c>
    </row>
    <row r="41" spans="1:10">
      <c r="A41" s="121">
        <f t="shared" si="1"/>
        <v>25</v>
      </c>
      <c r="B41" s="116" t="str">
        <f t="shared" si="0"/>
        <v>gi2/0/25</v>
      </c>
      <c r="C41" s="122" t="str" cm="1">
        <f t="array" ref="C41">_xlfn.IFS($B41="","",$B41=$B$71,"reserved",$B41=$B$72,"reserved",$B41=$G$11,"connect",$B41=$G$13,"connect",J41&lt;&gt;"","connect",1=1,"disabled")</f>
        <v>connect</v>
      </c>
      <c r="D41" s="46" cm="1">
        <f t="array" ref="D41">IF($J41&lt;&gt;"",INDEX(Connections!$B$4:$V$345,$J41,MATCH(D$16,Connections!$B$3:$V$3,0)),"")</f>
        <v>400</v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>auto</v>
      </c>
      <c r="G41" s="46" t="str" cm="1">
        <f t="array" ref="G41">IF($J41&lt;&gt;"",INDEX(Connections!$B$4:$V$345,$J41,MATCH(G$16,Connections!$B$3:$V$3,0)),"")</f>
        <v>1GB COPPER</v>
      </c>
      <c r="H41" s="46" t="str" cm="1">
        <f t="array" ref="H41">IF($J41&lt;&gt;"",INDEX(Connections!$B$4:$V$345,$J41,MATCH(H$16,Connections!$B$3:$V$3,0)),"")</f>
        <v>FGHVIEW09/MGNT2 (VDI)</v>
      </c>
      <c r="J41" s="118">
        <f>_xlfn.IFNA(MATCH(SHEET_NAME&amp;" "&amp;B41,Connections!$L$4:$L$345,0),"")</f>
        <v>71</v>
      </c>
    </row>
    <row r="42" spans="1:10">
      <c r="A42" s="121">
        <f t="shared" si="1"/>
        <v>26</v>
      </c>
      <c r="B42" s="116" t="str">
        <f t="shared" si="0"/>
        <v>gi2/0/26</v>
      </c>
      <c r="C42" s="122" t="str" cm="1">
        <f t="array" ref="C42">_xlfn.IFS($B42="","",$B42=$B$71,"reserved",$B42=$B$72,"reserved",$B42=$G$11,"connect",$B42=$G$13,"connect",J42&lt;&gt;"","connect",1=1,"disabled")</f>
        <v>connect</v>
      </c>
      <c r="D42" s="46" cm="1">
        <f t="array" ref="D42">IF($J42&lt;&gt;"",INDEX(Connections!$B$4:$V$345,$J42,MATCH(D$16,Connections!$B$3:$V$3,0)),"")</f>
        <v>400</v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>auto</v>
      </c>
      <c r="G42" s="46" t="str" cm="1">
        <f t="array" ref="G42">IF($J42&lt;&gt;"",INDEX(Connections!$B$4:$V$345,$J42,MATCH(G$16,Connections!$B$3:$V$3,0)),"")</f>
        <v>1GB COPPER</v>
      </c>
      <c r="H42" s="46" t="str" cm="1">
        <f t="array" ref="H42">IF($J42&lt;&gt;"",INDEX(Connections!$B$4:$V$345,$J42,MATCH(H$16,Connections!$B$3:$V$3,0)),"")</f>
        <v>FGHVIEW12/MGNT2 (VDI)</v>
      </c>
      <c r="J42" s="118">
        <f>_xlfn.IFNA(MATCH(SHEET_NAME&amp;" "&amp;B42,Connections!$L$4:$L$345,0),"")</f>
        <v>92</v>
      </c>
    </row>
    <row r="43" spans="1:10">
      <c r="A43" s="121">
        <f t="shared" si="1"/>
        <v>27</v>
      </c>
      <c r="B43" s="116" t="str">
        <f t="shared" si="0"/>
        <v>gi2/0/27</v>
      </c>
      <c r="C43" s="122" t="str" cm="1">
        <f t="array" ref="C43">_xlfn.IFS($B43="","",$B43=$B$71,"reserved",$B43=$B$72,"reserved",$B43=$G$11,"connect",$B43=$G$13,"connect",J43&lt;&gt;"","connect",1=1,"disabled")</f>
        <v>connect</v>
      </c>
      <c r="D43" s="46" cm="1">
        <f t="array" ref="D43">IF($J43&lt;&gt;"",INDEX(Connections!$B$4:$V$345,$J43,MATCH(D$16,Connections!$B$3:$V$3,0)),"")</f>
        <v>400</v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>auto</v>
      </c>
      <c r="G43" s="46" t="str" cm="1">
        <f t="array" ref="G43">IF($J43&lt;&gt;"",INDEX(Connections!$B$4:$V$345,$J43,MATCH(G$16,Connections!$B$3:$V$3,0)),"")</f>
        <v>1GB COPPER</v>
      </c>
      <c r="H43" s="46" t="str" cm="1">
        <f t="array" ref="H43">IF($J43&lt;&gt;"",INDEX(Connections!$B$4:$V$345,$J43,MATCH(H$16,Connections!$B$3:$V$3,0)),"")</f>
        <v>FGHVIEW14/MGNT2 (VDI)</v>
      </c>
      <c r="J43" s="118">
        <f>_xlfn.IFNA(MATCH(SHEET_NAME&amp;" "&amp;B43,Connections!$L$4:$L$345,0),"")</f>
        <v>106</v>
      </c>
    </row>
    <row r="44" spans="1:10">
      <c r="A44" s="121">
        <f t="shared" si="1"/>
        <v>28</v>
      </c>
      <c r="B44" s="116" t="str">
        <f t="shared" si="0"/>
        <v>gi2/0/28</v>
      </c>
      <c r="C44" s="122" t="s">
        <v>2611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gi2/0/29</v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gi2/0/30</v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gi2/0/31</v>
      </c>
      <c r="C47" s="122" t="str" cm="1">
        <f t="array" ref="C47">_xlfn.IFS($B47="","",$B47=$B$71,"reserved",$B47=$B$72,"reserved",$B47=$G$11,"connect",$B47=$G$13,"connect",J47&lt;&gt;"","connect",1=1,"disabled")</f>
        <v>connect</v>
      </c>
      <c r="D47" s="46" cm="1">
        <f t="array" ref="D47">IF($J47&lt;&gt;"",INDEX(Connections!$B$4:$V$345,$J47,MATCH(D$16,Connections!$B$3:$V$3,0)),"")</f>
        <v>300</v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>auto</v>
      </c>
      <c r="G47" s="46" t="str" cm="1">
        <f t="array" ref="G47">IF($J47&lt;&gt;"",INDEX(Connections!$B$4:$V$345,$J47,MATCH(G$16,Connections!$B$3:$V$3,0)),"")</f>
        <v>1GB COPPER</v>
      </c>
      <c r="H47" s="46" t="str" cm="1">
        <f t="array" ref="H47">IF($J47&lt;&gt;"",INDEX(Connections!$B$4:$V$345,$J47,MATCH(H$16,Connections!$B$3:$V$3,0)),"")</f>
        <v>TINTRI2/A-MGNT2 (STORAGE)</v>
      </c>
      <c r="J47" s="118">
        <f>_xlfn.IFNA(MATCH(SHEET_NAME&amp;" "&amp;B47,Connections!$L$4:$L$345,0),"")</f>
        <v>114</v>
      </c>
    </row>
    <row r="48" spans="1:10">
      <c r="A48" s="121">
        <f t="shared" si="1"/>
        <v>32</v>
      </c>
      <c r="B48" s="116" t="str">
        <f t="shared" si="0"/>
        <v>gi2/0/32</v>
      </c>
      <c r="C48" s="122" t="str" cm="1">
        <f t="array" ref="C48">_xlfn.IFS($B48="","",$B48=$B$71,"reserved",$B48=$B$72,"reserved",$B48=$G$11,"connect",$B48=$G$13,"connect",J48&lt;&gt;"","connect",1=1,"disabled")</f>
        <v>connect</v>
      </c>
      <c r="D48" s="46" cm="1">
        <f t="array" ref="D48">IF($J48&lt;&gt;"",INDEX(Connections!$B$4:$V$345,$J48,MATCH(D$16,Connections!$B$3:$V$3,0)),"")</f>
        <v>300</v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>auto</v>
      </c>
      <c r="G48" s="46" t="str" cm="1">
        <f t="array" ref="G48">IF($J48&lt;&gt;"",INDEX(Connections!$B$4:$V$345,$J48,MATCH(G$16,Connections!$B$3:$V$3,0)),"")</f>
        <v>1GB COPPER</v>
      </c>
      <c r="H48" s="46" t="str" cm="1">
        <f t="array" ref="H48">IF($J48&lt;&gt;"",INDEX(Connections!$B$4:$V$345,$J48,MATCH(H$16,Connections!$B$3:$V$3,0)),"")</f>
        <v>TINTRI2/A-REPL2 (STORAGE)</v>
      </c>
      <c r="J48" s="118">
        <f>_xlfn.IFNA(MATCH(SHEET_NAME&amp;" "&amp;B48,Connections!$L$4:$L$345,0),"")</f>
        <v>116</v>
      </c>
    </row>
    <row r="49" spans="1:10">
      <c r="A49" s="121">
        <f t="shared" si="1"/>
        <v>33</v>
      </c>
      <c r="B49" s="116" t="str">
        <f t="shared" si="0"/>
        <v>gi2/0/33</v>
      </c>
      <c r="C49" s="122" t="str" cm="1">
        <f t="array" ref="C49">_xlfn.IFS($B49="","",$B49=$B$71,"reserved",$B49=$B$72,"reserved",$B49=$G$11,"connect",$B49=$G$13,"connect",J49&lt;&gt;"","connect",1=1,"disabled")</f>
        <v>connect</v>
      </c>
      <c r="D49" s="46" cm="1">
        <f t="array" ref="D49">IF($J49&lt;&gt;"",INDEX(Connections!$B$4:$V$345,$J49,MATCH(D$16,Connections!$B$3:$V$3,0)),"")</f>
        <v>300</v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>auto</v>
      </c>
      <c r="G49" s="46" t="str" cm="1">
        <f t="array" ref="G49">IF($J49&lt;&gt;"",INDEX(Connections!$B$4:$V$345,$J49,MATCH(G$16,Connections!$B$3:$V$3,0)),"")</f>
        <v>1GB COPPER</v>
      </c>
      <c r="H49" s="46" t="str" cm="1">
        <f t="array" ref="H49">IF($J49&lt;&gt;"",INDEX(Connections!$B$4:$V$345,$J49,MATCH(H$16,Connections!$B$3:$V$3,0)),"")</f>
        <v>TINTRI2/B-MGNT2 (STORAGE)</v>
      </c>
      <c r="J49" s="118">
        <f>_xlfn.IFNA(MATCH(SHEET_NAME&amp;" "&amp;B49,Connections!$L$4:$L$345,0),"")</f>
        <v>120</v>
      </c>
    </row>
    <row r="50" spans="1:10">
      <c r="A50" s="121">
        <f t="shared" si="1"/>
        <v>34</v>
      </c>
      <c r="B50" s="116" t="str">
        <f t="shared" si="0"/>
        <v>gi2/0/34</v>
      </c>
      <c r="C50" s="122" t="str" cm="1">
        <f t="array" ref="C50">_xlfn.IFS($B50="","",$B50=$B$71,"reserved",$B50=$B$72,"reserved",$B50=$G$11,"connect",$B50=$G$13,"connect",J50&lt;&gt;"","connect",1=1,"disabled")</f>
        <v>connect</v>
      </c>
      <c r="D50" s="46" cm="1">
        <f t="array" ref="D50">IF($J50&lt;&gt;"",INDEX(Connections!$B$4:$V$345,$J50,MATCH(D$16,Connections!$B$3:$V$3,0)),"")</f>
        <v>300</v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>auto</v>
      </c>
      <c r="G50" s="46" t="str" cm="1">
        <f t="array" ref="G50">IF($J50&lt;&gt;"",INDEX(Connections!$B$4:$V$345,$J50,MATCH(G$16,Connections!$B$3:$V$3,0)),"")</f>
        <v>1GB COPPER</v>
      </c>
      <c r="H50" s="46" t="str" cm="1">
        <f t="array" ref="H50">IF($J50&lt;&gt;"",INDEX(Connections!$B$4:$V$345,$J50,MATCH(H$16,Connections!$B$3:$V$3,0)),"")</f>
        <v>TINTRI2/B-REPL2 (STORAGE)</v>
      </c>
      <c r="J50" s="118">
        <f>_xlfn.IFNA(MATCH(SHEET_NAME&amp;" "&amp;B50,Connections!$L$4:$L$345,0),"")</f>
        <v>122</v>
      </c>
    </row>
    <row r="51" spans="1:10">
      <c r="A51" s="121">
        <f t="shared" si="1"/>
        <v>35</v>
      </c>
      <c r="B51" s="116" t="str">
        <f t="shared" si="0"/>
        <v>gi2/0/35</v>
      </c>
      <c r="C51" s="122" t="str" cm="1">
        <f t="array" ref="C51">_xlfn.IFS($B51="","",$B51=$B$71,"reserved",$B51=$B$72,"reserved",$B51=$G$11,"connect",$B51=$G$13,"connect",J51&lt;&gt;"","connect",1=1,"disabled")</f>
        <v>connect</v>
      </c>
      <c r="D51" s="46" cm="1">
        <f t="array" ref="D51">IF($J51&lt;&gt;"",INDEX(Connections!$B$4:$V$345,$J51,MATCH(D$16,Connections!$B$3:$V$3,0)),"")</f>
        <v>220</v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>auto</v>
      </c>
      <c r="G51" s="46" t="str" cm="1">
        <f t="array" ref="G51">IF($J51&lt;&gt;"",INDEX(Connections!$B$4:$V$345,$J51,MATCH(G$16,Connections!$B$3:$V$3,0)),"")</f>
        <v>1GB COPPER</v>
      </c>
      <c r="H51" s="46" t="str" cm="1">
        <f t="array" ref="H51">IF($J51&lt;&gt;"",INDEX(Connections!$B$4:$V$345,$J51,MATCH(H$16,Connections!$B$3:$V$3,0)),"")</f>
        <v>TINTRI4/A-ADMIN2 (STORAGE)</v>
      </c>
      <c r="J51" s="118">
        <f>_xlfn.IFNA(MATCH(SHEET_NAME&amp;" "&amp;B51,Connections!$L$4:$L$345,0),"")</f>
        <v>192</v>
      </c>
    </row>
    <row r="52" spans="1:10">
      <c r="A52" s="121">
        <f t="shared" si="1"/>
        <v>36</v>
      </c>
      <c r="B52" s="116" t="str">
        <f t="shared" si="0"/>
        <v>gi2/0/36</v>
      </c>
      <c r="C52" s="122" t="str" cm="1">
        <f t="array" ref="C52">_xlfn.IFS($B52="","",$B52=$B$71,"reserved",$B52=$B$72,"reserved",$B52=$G$11,"connect",$B52=$G$13,"connect",J52&lt;&gt;"","connect",1=1,"disabled")</f>
        <v>connect</v>
      </c>
      <c r="D52" s="46" cm="1">
        <f t="array" ref="D52">IF($J52&lt;&gt;"",INDEX(Connections!$B$4:$V$345,$J52,MATCH(D$16,Connections!$B$3:$V$3,0)),"")</f>
        <v>300</v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>auto</v>
      </c>
      <c r="G52" s="46" t="str" cm="1">
        <f t="array" ref="G52">IF($J52&lt;&gt;"",INDEX(Connections!$B$4:$V$345,$J52,MATCH(G$16,Connections!$B$3:$V$3,0)),"")</f>
        <v>1GB COPPER</v>
      </c>
      <c r="H52" s="46" t="str" cm="1">
        <f t="array" ref="H52">IF($J52&lt;&gt;"",INDEX(Connections!$B$4:$V$345,$J52,MATCH(H$16,Connections!$B$3:$V$3,0)),"")</f>
        <v>TINTRI4/A-REPL2 (STORAGE)</v>
      </c>
      <c r="J52" s="118">
        <f>_xlfn.IFNA(MATCH(SHEET_NAME&amp;" "&amp;B52,Connections!$L$4:$L$345,0),"")</f>
        <v>194</v>
      </c>
    </row>
    <row r="53" spans="1:10">
      <c r="A53" s="121">
        <f t="shared" si="1"/>
        <v>37</v>
      </c>
      <c r="B53" s="116" t="str">
        <f t="shared" si="0"/>
        <v>gi2/0/37</v>
      </c>
      <c r="C53" s="122" t="str" cm="1">
        <f t="array" ref="C53">_xlfn.IFS($B53="","",$B53=$B$71,"reserved",$B53=$B$72,"reserved",$B53=$G$11,"connect",$B53=$G$13,"connect",J53&lt;&gt;"","connect",1=1,"disabled")</f>
        <v>connect</v>
      </c>
      <c r="D53" s="46" cm="1">
        <f t="array" ref="D53">IF($J53&lt;&gt;"",INDEX(Connections!$B$4:$V$345,$J53,MATCH(D$16,Connections!$B$3:$V$3,0)),"")</f>
        <v>220</v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>auto</v>
      </c>
      <c r="G53" s="46" t="str" cm="1">
        <f t="array" ref="G53">IF($J53&lt;&gt;"",INDEX(Connections!$B$4:$V$345,$J53,MATCH(G$16,Connections!$B$3:$V$3,0)),"")</f>
        <v>1GB COPPER</v>
      </c>
      <c r="H53" s="46" t="str" cm="1">
        <f t="array" ref="H53">IF($J53&lt;&gt;"",INDEX(Connections!$B$4:$V$345,$J53,MATCH(H$16,Connections!$B$3:$V$3,0)),"")</f>
        <v>TINTRI4/B-ADMIN2 (STORAGE)</v>
      </c>
      <c r="J53" s="118">
        <f>_xlfn.IFNA(MATCH(SHEET_NAME&amp;" "&amp;B53,Connections!$L$4:$L$345,0),"")</f>
        <v>198</v>
      </c>
    </row>
    <row r="54" spans="1:10">
      <c r="A54" s="121">
        <f t="shared" si="1"/>
        <v>38</v>
      </c>
      <c r="B54" s="116" t="str">
        <f t="shared" si="0"/>
        <v>gi2/0/38</v>
      </c>
      <c r="C54" s="122" t="str" cm="1">
        <f t="array" ref="C54">_xlfn.IFS($B54="","",$B54=$B$71,"reserved",$B54=$B$72,"reserved",$B54=$G$11,"connect",$B54=$G$13,"connect",J54&lt;&gt;"","connect",1=1,"disabled")</f>
        <v>connect</v>
      </c>
      <c r="D54" s="46" cm="1">
        <f t="array" ref="D54">IF($J54&lt;&gt;"",INDEX(Connections!$B$4:$V$345,$J54,MATCH(D$16,Connections!$B$3:$V$3,0)),"")</f>
        <v>300</v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>auto</v>
      </c>
      <c r="G54" s="46" t="str" cm="1">
        <f t="array" ref="G54">IF($J54&lt;&gt;"",INDEX(Connections!$B$4:$V$345,$J54,MATCH(G$16,Connections!$B$3:$V$3,0)),"")</f>
        <v>1GB COPPER</v>
      </c>
      <c r="H54" s="46" t="str" cm="1">
        <f t="array" ref="H54">IF($J54&lt;&gt;"",INDEX(Connections!$B$4:$V$345,$J54,MATCH(H$16,Connections!$B$3:$V$3,0)),"")</f>
        <v>TINTRI4/B-REPL2 (STORAGE)</v>
      </c>
      <c r="J54" s="118">
        <f>_xlfn.IFNA(MATCH(SHEET_NAME&amp;" "&amp;B54,Connections!$L$4:$L$345,0),"")</f>
        <v>200</v>
      </c>
    </row>
    <row r="55" spans="1:10">
      <c r="A55" s="121">
        <f t="shared" si="1"/>
        <v>39</v>
      </c>
      <c r="B55" s="116" t="str">
        <f t="shared" si="0"/>
        <v>gi2/0/39</v>
      </c>
      <c r="C55" s="122" t="str" cm="1">
        <f t="array" ref="C55">_xlfn.IFS($B55="","",$B55=$B$71,"reserved",$B55=$B$72,"reserved",$B55=$G$11,"connect",$B55=$G$13,"connect",J55&lt;&gt;"","connect",1=1,"disabled")</f>
        <v>connect</v>
      </c>
      <c r="D55" s="46" cm="1">
        <f t="array" ref="D55">IF($J55&lt;&gt;"",INDEX(Connections!$B$4:$V$345,$J55,MATCH(D$16,Connections!$B$3:$V$3,0)),"")</f>
        <v>220</v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>auto</v>
      </c>
      <c r="G55" s="46" t="str" cm="1">
        <f t="array" ref="G55">IF($J55&lt;&gt;"",INDEX(Connections!$B$4:$V$345,$J55,MATCH(G$16,Connections!$B$3:$V$3,0)),"")</f>
        <v>1GB COPPER</v>
      </c>
      <c r="H55" s="46" t="str" cm="1">
        <f t="array" ref="H55">IF($J55&lt;&gt;"",INDEX(Connections!$B$4:$V$345,$J55,MATCH(H$16,Connections!$B$3:$V$3,0)),"")</f>
        <v>Cisco UCESXI02 mgmt/MGNT2 (Physical Server)</v>
      </c>
      <c r="J55" s="118">
        <f>_xlfn.IFNA(MATCH(SHEET_NAME&amp;" "&amp;B55,Connections!$L$4:$L$345,0),"")</f>
        <v>236</v>
      </c>
    </row>
    <row r="56" spans="1:10">
      <c r="A56" s="121">
        <f t="shared" si="1"/>
        <v>40</v>
      </c>
      <c r="B56" s="116" t="str">
        <f t="shared" si="0"/>
        <v>gi2/0/40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201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1GB COPPER</v>
      </c>
      <c r="H56" s="46" t="str" cm="1">
        <f t="array" ref="H56">IF($J56&lt;&gt;"",INDEX(Connections!$B$4:$V$345,$J56,MATCH(H$16,Connections!$B$3:$V$3,0)),"")</f>
        <v>Cisco UCESXI02 data/data2 (Physical Server)</v>
      </c>
      <c r="J56" s="118">
        <f>_xlfn.IFNA(MATCH(SHEET_NAME&amp;" "&amp;B56,Connections!$L$4:$L$345,0),"")</f>
        <v>238</v>
      </c>
    </row>
    <row r="57" spans="1:10">
      <c r="A57" s="121">
        <f t="shared" si="1"/>
        <v>41</v>
      </c>
      <c r="B57" s="116" t="str">
        <f t="shared" si="0"/>
        <v>gi2/0/41</v>
      </c>
      <c r="C57" s="122" t="str" cm="1">
        <f t="array" ref="C57">_xlfn.IFS($B57="","",$B57=$B$71,"reserved",$B57=$B$72,"reserved",$B57=$G$11,"connect",$B57=$G$13,"connect",J57&lt;&gt;"","connect",1=1,"disabled")</f>
        <v>connect</v>
      </c>
      <c r="D57" s="46" cm="1">
        <f t="array" ref="D57">IF($J57&lt;&gt;"",INDEX(Connections!$B$4:$V$345,$J57,MATCH(D$16,Connections!$B$3:$V$3,0)),"")</f>
        <v>201</v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>auto</v>
      </c>
      <c r="G57" s="46" t="str" cm="1">
        <f t="array" ref="G57">IF($J57&lt;&gt;"",INDEX(Connections!$B$4:$V$345,$J57,MATCH(G$16,Connections!$B$3:$V$3,0)),"")</f>
        <v>1GB COPPER</v>
      </c>
      <c r="H57" s="46" t="str" cm="1">
        <f t="array" ref="H57">IF($J57&lt;&gt;"",INDEX(Connections!$B$4:$V$345,$J57,MATCH(H$16,Connections!$B$3:$V$3,0)),"")</f>
        <v>Cisco UCESXI02 data/data4 (Physical Server)</v>
      </c>
      <c r="J57" s="118">
        <f>_xlfn.IFNA(MATCH(SHEET_NAME&amp;" "&amp;B57,Connections!$L$4:$L$345,0),"")</f>
        <v>240</v>
      </c>
    </row>
    <row r="58" spans="1:10">
      <c r="A58" s="121">
        <f t="shared" si="1"/>
        <v>42</v>
      </c>
      <c r="B58" s="116" t="str">
        <f t="shared" si="0"/>
        <v>gi2/0/42</v>
      </c>
      <c r="C58" s="122" t="str" cm="1">
        <f t="array" ref="C58">_xlfn.IFS($B58="","",$B58=$B$71,"reserved",$B58=$B$72,"reserved",$B58=$G$11,"connect",$B58=$G$13,"connect",J58&lt;&gt;"","connect",1=1,"disabled")</f>
        <v>disabled</v>
      </c>
      <c r="D58" s="46" t="str" cm="1">
        <f t="array" ref="D58">IF($J58&lt;&gt;"",INDEX(Connections!$B$4:$V$345,$J58,MATCH(D$16,Connections!$B$3:$V$3,0)),"")</f>
        <v/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/>
      </c>
      <c r="G58" s="46" t="str" cm="1">
        <f t="array" ref="G58">IF($J58&lt;&gt;"",INDEX(Connections!$B$4:$V$345,$J58,MATCH(G$16,Connections!$B$3:$V$3,0)),"")</f>
        <v/>
      </c>
      <c r="H58" s="46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>gi2/0/43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cm="1">
        <f t="array" ref="D59">IF($J59&lt;&gt;"",INDEX(Connections!$B$4:$V$345,$J59,MATCH(D$16,Connections!$B$3:$V$3,0)),"")</f>
        <v>8</v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1GB COPPER</v>
      </c>
      <c r="H59" s="46" t="str" cm="1">
        <f t="array" ref="H59">IF($J59&lt;&gt;"",INDEX(Connections!$B$4:$V$345,$J59,MATCH(H$16,Connections!$B$3:$V$3,0)),"")</f>
        <v>Alpha1/data (Physical Server)</v>
      </c>
      <c r="J59" s="118">
        <f>_xlfn.IFNA(MATCH(SHEET_NAME&amp;" "&amp;B59,Connections!$L$4:$L$345,0),"")</f>
        <v>304</v>
      </c>
    </row>
    <row r="60" spans="1:10">
      <c r="A60" s="121">
        <f t="shared" si="1"/>
        <v>44</v>
      </c>
      <c r="B60" s="116" t="str">
        <f t="shared" si="0"/>
        <v>gi2/0/44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cm="1">
        <f t="array" ref="D60">IF($J60&lt;&gt;"",INDEX(Connections!$B$4:$V$345,$J60,MATCH(D$16,Connections!$B$3:$V$3,0)),"")</f>
        <v>8</v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1GB COPPER</v>
      </c>
      <c r="H60" s="46" t="str" cm="1">
        <f t="array" ref="H60">IF($J60&lt;&gt;"",INDEX(Connections!$B$4:$V$345,$J60,MATCH(H$16,Connections!$B$3:$V$3,0)),"")</f>
        <v>Hydra/data (Physical Server)</v>
      </c>
      <c r="J60" s="118">
        <f>_xlfn.IFNA(MATCH(SHEET_NAME&amp;" "&amp;B60,Connections!$L$4:$L$345,0),"")</f>
        <v>305</v>
      </c>
    </row>
    <row r="61" spans="1:10">
      <c r="A61" s="121">
        <f t="shared" si="1"/>
        <v>45</v>
      </c>
      <c r="B61" s="116" t="str">
        <f t="shared" si="0"/>
        <v>gi2/0/45</v>
      </c>
      <c r="C61" s="122" t="str" cm="1">
        <f t="array" ref="C61">_xlfn.IFS($B61="","",$B61=$B$71,"reserved",$B61=$B$72,"reserved",$B61=$G$11,"connect",$B61=$G$13,"connect",J61&lt;&gt;"","connect",1=1,"disabled")</f>
        <v>disabled</v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gi2/0/46</v>
      </c>
      <c r="C62" s="122" t="str" cm="1">
        <f t="array" ref="C62">_xlfn.IFS($B62="","",$B62=$B$71,"reserved",$B62=$B$72,"reserved",$B62=$G$11,"connect",$B62=$G$13,"connect",J62&lt;&gt;"","connect",1=1,"disabled")</f>
        <v>disabled</v>
      </c>
      <c r="D62" s="46" t="str" cm="1">
        <f t="array" ref="D62">IF($J62&lt;&gt;"",INDEX(Connections!$B$4:$V$345,$J62,MATCH(D$16,Connections!$B$3:$V$3,0)),"")</f>
        <v/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/>
      </c>
      <c r="G62" s="46" t="str" cm="1">
        <f t="array" ref="G62">IF($J62&lt;&gt;"",INDEX(Connections!$B$4:$V$345,$J62,MATCH(G$16,Connections!$B$3:$V$3,0)),"")</f>
        <v/>
      </c>
      <c r="H62" s="46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>gi2/0/47</v>
      </c>
      <c r="C63" s="122" t="str" cm="1">
        <f t="array" ref="C63">_xlfn.IFS($B63="","",$B63=$B$71,"reserved",$B63=$B$72,"reserved",$B63=$G$11,"connect",$B63=$G$13,"connect",J63&lt;&gt;"","connect",1=1,"disabled")</f>
        <v>disabled</v>
      </c>
      <c r="D63" s="46" t="str" cm="1">
        <f t="array" ref="D63">IF($J63&lt;&gt;"",INDEX(Connections!$B$4:$V$345,$J63,MATCH(D$16,Connections!$B$3:$V$3,0)),"")</f>
        <v/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/>
      </c>
      <c r="G63" s="46" t="str" cm="1">
        <f t="array" ref="G63">IF($J63&lt;&gt;"",INDEX(Connections!$B$4:$V$345,$J63,MATCH(G$16,Connections!$B$3:$V$3,0)),"")</f>
        <v/>
      </c>
      <c r="H63" s="46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>gi2/0/48</v>
      </c>
      <c r="C64" s="122" t="str" cm="1">
        <f t="array" ref="C64">_xlfn.IFS($B64="","",$B64=$B$71,"reserved",$B64=$B$72,"reserved",$B64=$G$11,"connect",$B64=$G$13,"connect",J64&lt;&gt;"","connect",1=1,"disabled")</f>
        <v>connect</v>
      </c>
      <c r="D64" s="46" cm="1">
        <f t="array" ref="D64">IF($J64&lt;&gt;"",INDEX(Connections!$B$4:$V$345,$J64,MATCH(D$16,Connections!$B$3:$V$3,0)),"")</f>
        <v>0</v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>auto</v>
      </c>
      <c r="G64" s="46" t="str" cm="1">
        <f t="array" ref="G64">IF($J64&lt;&gt;"",INDEX(Connections!$B$4:$V$345,$J64,MATCH(G$16,Connections!$B$3:$V$3,0)),"")</f>
        <v>1GB COPPER</v>
      </c>
      <c r="H64" s="46" t="str" cm="1">
        <f t="array" ref="H64">IF($J64&lt;&gt;"",INDEX(Connections!$B$4:$V$345,$J64,MATCH(H$16,Connections!$B$3:$V$3,0)),"")</f>
        <v>IPS Monitoring/Monitoring (Monitoring)</v>
      </c>
      <c r="J64" s="118">
        <f>_xlfn.IFNA(MATCH(SHEET_NAME&amp;" "&amp;B64,Connections!$L$4:$L$345,0),"")</f>
        <v>332</v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te2/1/1</v>
      </c>
      <c r="C68" s="122" t="str" cm="1">
        <f t="array" ref="C68">_xlfn.IFS($B68="","",$B68=$B$79,"reserved",$B68=$B$80,"reserved",$B68=$G$11,"connect",$B68=$G$13,"connect",1=1,"disabled")</f>
        <v>disabled</v>
      </c>
      <c r="D68" s="17" t="str" cm="1">
        <f t="array" ref="D68">_xlfn.IFS($B68="","",$B68=$G$11,"TRUNK",$B68=$G$13,"TRUNK",1=1,"")</f>
        <v/>
      </c>
      <c r="E68" s="159" t="str" cm="1">
        <f t="array" ref="E68">_xlfn.IFS($B68="","",OR($B68=$G$11,$B68=$G$13),INDEX(SWITCH_TABLE[#Data],$H$3,MATCH("Local EC",SWITCH_TABLE[#Headers],0)),1=1,"")</f>
        <v/>
      </c>
      <c r="F68" s="17" t="str" cm="1">
        <f t="array" ref="F68">_xlfn.IFS($B68="","",$B68=$G$11,"Uplink Port 1",$B68=$G$13,"Uplink Port 2",$B68=$B$79,"Stack Port 1",$B68=$B$80,"Stack Port 2",1=1,"")</f>
        <v/>
      </c>
      <c r="G68" s="17" t="str" cm="1">
        <f t="array" ref="G68">_xlfn.IFS($B68="","",$B68=$G$11,$H$11,$B68=$G$13,$H$13,1=1,"")</f>
        <v/>
      </c>
      <c r="H68" s="17" t="str" cm="1">
        <f t="array" ref="H68">_xlfn.IFS($B68="","",$B68=$G$11,$G$12&amp;" "&amp;H12,$B68=$G$13,$G$14&amp;" "&amp;$H$14,1=1,"")</f>
        <v/>
      </c>
      <c r="J68" s="127" t="str" cm="1">
        <f t="array" ref="J68">_xlfn.IFNA(MATCH(1,(SHEET_NAME=SWITCH_TABLE[Remote Device 2])*(B68=SWITCH_TABLE[Remote Port 2]),0),"")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te2/1/2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t="str" cm="1">
        <f t="array" ref="E69">_xlfn.IFS($B69="","",OR($B69=$G$11,$B69=$G$13),INDEX(SWITCH_TABLE[#Data],$H$3,MATCH("Local EC",SWITCH_TABLE[#Headers],0)),1=1,"")</f>
        <v>49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10GB SFP+ DAC</v>
      </c>
      <c r="H69" s="17" t="str" cm="1">
        <f t="array" ref="H69">_xlfn.IFS($B69="","",$B69=$G$11,$G$12&amp;" "&amp;H13,$B69=$G$13,$G$14&amp;" "&amp;$H$14,1=1,"")</f>
        <v>FGHLHN42-2 twe2/0/48</v>
      </c>
      <c r="J69" s="127" t="str">
        <f t="array" ref="J69">_xlfn.IFNA(MATCH(1,(SHEET_NAME=SWITCH_TABLE[Remote Device 2])*(B69=SWITCH_TABLE[Remote Port 2]),0),"")</f>
        <v/>
      </c>
    </row>
    <row r="70" spans="1:10">
      <c r="A70" s="121">
        <f t="shared" si="2"/>
        <v>3</v>
      </c>
      <c r="B70" s="116" t="str">
        <f t="shared" si="3"/>
        <v>te2/1/3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2])*(B70=SWITCH_TABLE[Remote Port 2]),0),"")</f>
        <v/>
      </c>
    </row>
    <row r="71" spans="1:10">
      <c r="A71" s="121">
        <f t="shared" si="2"/>
        <v>4</v>
      </c>
      <c r="B71" s="116" t="str">
        <f t="shared" si="3"/>
        <v>te2/1/4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2])*(B71=SWITCH_TABLE[Remote Port 2]),0),"")</f>
        <v/>
      </c>
    </row>
    <row r="72" spans="1:10">
      <c r="A72" s="121">
        <f t="shared" si="2"/>
        <v>5</v>
      </c>
      <c r="B72" s="116" t="str">
        <f t="shared" si="3"/>
        <v>te2/1/5</v>
      </c>
      <c r="C72" s="122" t="str" cm="1">
        <f t="array" ref="C72">_xlfn.IFS($B72="","",$B72=$B$79,"reserved",$B72=$B$80,"reserved",$B72=$G$11,"connect",$B72=$G$13,"connect",1=1,"disabled")</f>
        <v>disabled</v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2])*(B72=SWITCH_TABLE[Remote Port 2]),0),"")</f>
        <v/>
      </c>
    </row>
    <row r="73" spans="1:10">
      <c r="A73" s="121">
        <f t="shared" si="2"/>
        <v>6</v>
      </c>
      <c r="B73" s="116" t="str">
        <f t="shared" si="3"/>
        <v>te2/1/6</v>
      </c>
      <c r="C73" s="122" t="str" cm="1">
        <f t="array" ref="C73">_xlfn.IFS($B73="","",$B73=$B$79,"reserved",$B73=$B$80,"reserved",$B73=$G$11,"connect",$B73=$G$13,"connect",1=1,"disabled")</f>
        <v>disabled</v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2])*(B73=SWITCH_TABLE[Remote Port 2]),0),"")</f>
        <v/>
      </c>
    </row>
    <row r="74" spans="1:10">
      <c r="A74" s="121">
        <f t="shared" si="2"/>
        <v>7</v>
      </c>
      <c r="B74" s="116" t="str">
        <f t="shared" si="3"/>
        <v>te2/1/7</v>
      </c>
      <c r="C74" s="122" t="str" cm="1">
        <f t="array" ref="C74">_xlfn.IFS($B74="","",$B74=$B$79,"reserved",$B74=$B$80,"reserved",$B74=$G$11,"connect",$B74=$G$13,"connect",1=1,"disabled")</f>
        <v>disabled</v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2])*(B74=SWITCH_TABLE[Remote Port 2]),0),"")</f>
        <v/>
      </c>
    </row>
    <row r="75" spans="1:10">
      <c r="A75" s="121">
        <f t="shared" si="2"/>
        <v>8</v>
      </c>
      <c r="B75" s="116" t="str">
        <f t="shared" si="3"/>
        <v>te2/1/8</v>
      </c>
      <c r="C75" s="122" t="str" cm="1">
        <f t="array" ref="C75">_xlfn.IFS($B75="","",$B75=$B$79,"reserved",$B75=$B$80,"reserved",$B75=$G$11,"connect",$B75=$G$13,"connect",1=1,"disabled")</f>
        <v>disabled</v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st2/1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FGHLHN142-1 st1/2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st2/2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FGHLHN142-1 st1/1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1014" priority="21" operator="equal">
      <formula>"reserved"</formula>
    </cfRule>
    <cfRule type="cellIs" dxfId="1013" priority="22" operator="equal">
      <formula>"notconnect"</formula>
    </cfRule>
    <cfRule type="cellIs" dxfId="1012" priority="23" operator="equal">
      <formula>"disabled"</formula>
    </cfRule>
    <cfRule type="cellIs" dxfId="1011" priority="24" operator="equal">
      <formula>"connect"</formula>
    </cfRule>
  </conditionalFormatting>
  <conditionalFormatting sqref="C79:C80">
    <cfRule type="cellIs" dxfId="1010" priority="17" operator="equal">
      <formula>"reserved"</formula>
    </cfRule>
    <cfRule type="cellIs" dxfId="1009" priority="18" operator="equal">
      <formula>"notconnect"</formula>
    </cfRule>
    <cfRule type="cellIs" dxfId="1008" priority="19" operator="equal">
      <formula>"disabled"</formula>
    </cfRule>
    <cfRule type="cellIs" dxfId="1007" priority="20" operator="equal">
      <formula>"connect"</formula>
    </cfRule>
  </conditionalFormatting>
  <conditionalFormatting sqref="C17:C21">
    <cfRule type="cellIs" dxfId="1006" priority="1" operator="equal">
      <formula>"reserved"</formula>
    </cfRule>
    <cfRule type="cellIs" dxfId="1005" priority="2" operator="equal">
      <formula>"notconnect"</formula>
    </cfRule>
    <cfRule type="cellIs" dxfId="1004" priority="3" operator="equal">
      <formula>"disabled"</formula>
    </cfRule>
    <cfRule type="cellIs" dxfId="1003" priority="4" operator="equal">
      <formula>"connect"</formula>
    </cfRule>
  </conditionalFormatting>
  <conditionalFormatting sqref="C58:C60 C22:C56">
    <cfRule type="cellIs" dxfId="1002" priority="13" operator="equal">
      <formula>"reserved"</formula>
    </cfRule>
    <cfRule type="cellIs" dxfId="1001" priority="14" operator="equal">
      <formula>"notconnect"</formula>
    </cfRule>
    <cfRule type="cellIs" dxfId="1000" priority="15" operator="equal">
      <formula>"disabled"</formula>
    </cfRule>
    <cfRule type="cellIs" dxfId="999" priority="16" operator="equal">
      <formula>"connect"</formula>
    </cfRule>
  </conditionalFormatting>
  <conditionalFormatting sqref="C61:C64">
    <cfRule type="cellIs" dxfId="998" priority="9" operator="equal">
      <formula>"reserved"</formula>
    </cfRule>
    <cfRule type="cellIs" dxfId="997" priority="10" operator="equal">
      <formula>"notconnect"</formula>
    </cfRule>
    <cfRule type="cellIs" dxfId="996" priority="11" operator="equal">
      <formula>"disabled"</formula>
    </cfRule>
    <cfRule type="cellIs" dxfId="995" priority="12" operator="equal">
      <formula>"connect"</formula>
    </cfRule>
  </conditionalFormatting>
  <conditionalFormatting sqref="C57">
    <cfRule type="cellIs" dxfId="994" priority="5" operator="equal">
      <formula>"reserved"</formula>
    </cfRule>
    <cfRule type="cellIs" dxfId="993" priority="6" operator="equal">
      <formula>"notconnect"</formula>
    </cfRule>
    <cfRule type="cellIs" dxfId="992" priority="7" operator="equal">
      <formula>"disabled"</formula>
    </cfRule>
    <cfRule type="cellIs" dxfId="991" priority="8" operator="equal">
      <formula>"connect"</formula>
    </cfRule>
  </conditionalFormatting>
  <dataValidations count="5">
    <dataValidation allowBlank="1" showInputMessage="1" sqref="E68:E75 E17:E64" xr:uid="{7F7C19A8-6E7B-4752-8855-F7FCF66A1479}"/>
    <dataValidation type="list" allowBlank="1" showInputMessage="1" sqref="F17:F64" xr:uid="{91B7FA17-FA9D-4196-A5C3-07744C0B62AC}">
      <formula1>SPEED_DUPLEX_LIST</formula1>
    </dataValidation>
    <dataValidation type="list" allowBlank="1" showInputMessage="1" sqref="D68:D75" xr:uid="{F1348578-44A9-408A-BA0E-5F76B3D9FE85}">
      <formula1>VLAN_ID_LIST</formula1>
    </dataValidation>
    <dataValidation type="list" allowBlank="1" showInputMessage="1" sqref="C68:C75 C79:C80 C17:C64" xr:uid="{A026F0FA-DF35-43F3-89FF-A47581614B2A}">
      <formula1>PORT_STATE_LIST</formula1>
    </dataValidation>
    <dataValidation type="list" allowBlank="1" showInputMessage="1" sqref="G68:G75 G17:G64" xr:uid="{E5777AAB-9F0D-48FD-9D8D-48AAE6378C14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BDFB-7271-4941-B669-507872679A38}">
  <sheetPr>
    <tabColor rgb="FF0070C0"/>
  </sheetPr>
  <dimension ref="A1:L81"/>
  <sheetViews>
    <sheetView topLeftCell="A7" workbookViewId="0">
      <selection activeCell="F41" sqref="F41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2887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C9200-48P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14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READY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JAE23211DLK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10.224.21.143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0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COPPER</v>
      </c>
    </row>
    <row r="12" spans="1:10">
      <c r="B12" s="116" t="s">
        <v>1833</v>
      </c>
      <c r="C12" s="117">
        <f>INDEX(SWITCH_TABLE[#Data],$H$3,MATCH(B12,SWITCH_TABLE[#Headers],0))</f>
        <v>0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FGHLHN41-1</v>
      </c>
      <c r="H12" s="118" t="str" cm="1">
        <f t="array" ref="H12">IF(G12="","",INDEX(SWITCH_TABLE[#Data],$H$3,MATCH("Remote Port 1",SWITCH_TABLE[#Headers],0)))</f>
        <v>twe1/0/47</v>
      </c>
    </row>
    <row r="13" spans="1:10">
      <c r="B13" s="116" t="s">
        <v>1837</v>
      </c>
      <c r="C13" s="117">
        <f>INDEX(SWITCH_TABLE[#Data],$H$3,MATCH(B13,SWITCH_TABLE[#Headers],0))</f>
        <v>0</v>
      </c>
      <c r="D13" s="117">
        <f>INDEX(SWITCH_TABLE[#Data],$H$3,MATCH("Next Port",SWITCH_TABLE[#Headers],0))</f>
        <v>0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COPPER</v>
      </c>
    </row>
    <row r="14" spans="1:10">
      <c r="B14" s="116" t="s">
        <v>1842</v>
      </c>
      <c r="C14" s="117">
        <f>INDEX(SWITCH_TABLE[#Data],$H$3,MATCH(B14,SWITCH_TABLE[#Headers],0))</f>
        <v>0</v>
      </c>
      <c r="D14" s="117">
        <f>INDEX(SWITCH_TABLE[#Data],$H$3,MATCH("Prev Port",SWITCH_TABLE[#Headers],0))</f>
        <v>0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FGHLHN41-2</v>
      </c>
      <c r="H14" s="118" t="str" cm="1">
        <f t="array" ref="H14">IF(G14="","",INDEX(SWITCH_TABLE[#Data],$H$3,MATCH("Remote Port 2",SWITCH_TABLE[#Headers],0)))</f>
        <v>twe2/0/47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8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FGH268/Connection 1 (Physical Server)</v>
      </c>
      <c r="J17" s="118">
        <f>_xlfn.IFNA(MATCH(SHEET_NAME&amp;" "&amp;B17,Connections!$L$4:$L$345,0),"")</f>
        <v>243</v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8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FGH268/Connection 2 (Physical Server)</v>
      </c>
      <c r="J18" s="118">
        <f>_xlfn.IFNA(MATCH(SHEET_NAME&amp;" "&amp;B18,Connections!$L$4:$L$345,0),"")</f>
        <v>244</v>
      </c>
    </row>
    <row r="19" spans="1:12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300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Mainframe OSA/OSA (Physical Server)</v>
      </c>
      <c r="J19" s="118">
        <f>_xlfn.IFNA(MATCH(SHEET_NAME&amp;" "&amp;B19,Connections!$L$4:$L$345,0),"")</f>
        <v>245</v>
      </c>
    </row>
    <row r="20" spans="1:12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cm="1">
        <f t="array" ref="D20">IF($J20&lt;&gt;"",INDEX(Connections!$B$4:$V$345,$J20,MATCH(D$16,Connections!$B$3:$V$3,0)),"")</f>
        <v>220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FGHNFS05/ILO (Physical Server)</v>
      </c>
      <c r="J20" s="118">
        <f>_xlfn.IFNA(MATCH(SHEET_NAME&amp;" "&amp;B20,Connections!$L$4:$L$345,0),"")</f>
        <v>246</v>
      </c>
    </row>
    <row r="21" spans="1:12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92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Hermes Hub/data (Physical Server)</v>
      </c>
      <c r="J21" s="118">
        <f>_xlfn.IFNA(MATCH(SHEET_NAME&amp;" "&amp;B21,Connections!$L$4:$L$345,0),"")</f>
        <v>247</v>
      </c>
    </row>
    <row r="22" spans="1:12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cm="1">
        <f t="array" ref="D22">IF($J22&lt;&gt;"",INDEX(Connections!$B$4:$V$345,$J22,MATCH(D$16,Connections!$B$3:$V$3,0)),"")</f>
        <v>8</v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>auto</v>
      </c>
      <c r="G22" s="46" t="str" cm="1">
        <f t="array" ref="G22">IF($J22&lt;&gt;"",INDEX(Connections!$B$4:$V$345,$J22,MATCH(G$16,Connections!$B$3:$V$3,0)),"")</f>
        <v>1GB COPPER</v>
      </c>
      <c r="H22" s="46" t="str" cm="1">
        <f t="array" ref="H22">IF($J22&lt;&gt;"",INDEX(Connections!$B$4:$V$345,$J22,MATCH(H$16,Connections!$B$3:$V$3,0)),"")</f>
        <v>Panh3435/data (Physical Server)</v>
      </c>
      <c r="J22" s="118">
        <f>_xlfn.IFNA(MATCH(SHEET_NAME&amp;" "&amp;B22,Connections!$L$4:$L$345,0),"")</f>
        <v>248</v>
      </c>
    </row>
    <row r="23" spans="1:12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cm="1">
        <f t="array" ref="D23">IF($J23&lt;&gt;"",INDEX(Connections!$B$4:$V$345,$J23,MATCH(D$16,Connections!$B$3:$V$3,0)),"")</f>
        <v>230</v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>auto</v>
      </c>
      <c r="G23" s="46" t="str" cm="1">
        <f t="array" ref="G23">IF($J23&lt;&gt;"",INDEX(Connections!$B$4:$V$345,$J23,MATCH(G$16,Connections!$B$3:$V$3,0)),"")</f>
        <v>1GB COPPER</v>
      </c>
      <c r="H23" s="46" t="str" cm="1">
        <f t="array" ref="H23">IF($J23&lt;&gt;"",INDEX(Connections!$B$4:$V$345,$J23,MATCH(H$16,Connections!$B$3:$V$3,0)),"")</f>
        <v>FGH-SAS MDL02/data (Physical Server)</v>
      </c>
      <c r="J23" s="118">
        <f>_xlfn.IFNA(MATCH(SHEET_NAME&amp;" "&amp;B23,Connections!$L$4:$L$345,0),"")</f>
        <v>249</v>
      </c>
    </row>
    <row r="24" spans="1:12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cm="1">
        <f t="array" ref="D24">IF($J24&lt;&gt;"",INDEX(Connections!$B$4:$V$345,$J24,MATCH(D$16,Connections!$B$3:$V$3,0)),"")</f>
        <v>32</v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>auto</v>
      </c>
      <c r="G24" s="46" t="str" cm="1">
        <f t="array" ref="G24">IF($J24&lt;&gt;"",INDEX(Connections!$B$4:$V$345,$J24,MATCH(G$16,Connections!$B$3:$V$3,0)),"")</f>
        <v>1GB COPPER</v>
      </c>
      <c r="H24" s="46" t="str" cm="1">
        <f t="array" ref="H24">IF($J24&lt;&gt;"",INDEX(Connections!$B$4:$V$345,$J24,MATCH(H$16,Connections!$B$3:$V$3,0)),"")</f>
        <v>Ecom Testing Port/data (Physical Server)</v>
      </c>
      <c r="J24" s="118">
        <f>_xlfn.IFNA(MATCH(SHEET_NAME&amp;" "&amp;B24,Connections!$L$4:$L$345,0),"")</f>
        <v>250</v>
      </c>
    </row>
    <row r="25" spans="1:12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connect</v>
      </c>
      <c r="D25" s="46" cm="1">
        <f t="array" ref="D25">IF($J25&lt;&gt;"",INDEX(Connections!$B$4:$V$345,$J25,MATCH(D$16,Connections!$B$3:$V$3,0)),"")</f>
        <v>32</v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>auto</v>
      </c>
      <c r="G25" s="46" t="str" cm="1">
        <f t="array" ref="G25">IF($J25&lt;&gt;"",INDEX(Connections!$B$4:$V$345,$J25,MATCH(G$16,Connections!$B$3:$V$3,0)),"")</f>
        <v>1GB COPPER</v>
      </c>
      <c r="H25" s="46" t="str" cm="1">
        <f t="array" ref="H25">IF($J25&lt;&gt;"",INDEX(Connections!$B$4:$V$345,$J25,MATCH(H$16,Connections!$B$3:$V$3,0)),"")</f>
        <v>StorageTek/LMU (Physical Server)</v>
      </c>
      <c r="J25" s="118">
        <f>_xlfn.IFNA(MATCH(SHEET_NAME&amp;" "&amp;B25,Connections!$L$4:$L$345,0),"")</f>
        <v>251</v>
      </c>
    </row>
    <row r="26" spans="1:12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46" t="str" cm="1">
        <f t="array" ref="D26">IF($J26&lt;&gt;"",INDEX(Connections!$B$4:$V$345,$J26,MATCH(D$16,Connections!$B$3:$V$3,0)),"")</f>
        <v/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/>
      </c>
      <c r="G26" s="46" t="str" cm="1">
        <f t="array" ref="G26">IF($J26&lt;&gt;"",INDEX(Connections!$B$4:$V$345,$J26,MATCH(G$16,Connections!$B$3:$V$3,0)),"")</f>
        <v/>
      </c>
      <c r="H26" s="46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2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46" t="str" cm="1">
        <f t="array" ref="D27">IF($J27&lt;&gt;"",INDEX(Connections!$B$4:$V$345,$J27,MATCH(D$16,Connections!$B$3:$V$3,0)),"")</f>
        <v/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/>
      </c>
      <c r="G27" s="46" t="str" cm="1">
        <f t="array" ref="G27">IF($J27&lt;&gt;"",INDEX(Connections!$B$4:$V$345,$J27,MATCH(G$16,Connections!$B$3:$V$3,0)),"")</f>
        <v/>
      </c>
      <c r="H27" s="46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2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46" t="str" cm="1">
        <f t="array" ref="D28">IF($J28&lt;&gt;"",INDEX(Connections!$B$4:$V$345,$J28,MATCH(D$16,Connections!$B$3:$V$3,0)),"")</f>
        <v/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/>
      </c>
      <c r="G28" s="46" t="str" cm="1">
        <f t="array" ref="G28">IF($J28&lt;&gt;"",INDEX(Connections!$B$4:$V$345,$J28,MATCH(G$16,Connections!$B$3:$V$3,0)),"")</f>
        <v/>
      </c>
      <c r="H28" s="46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2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46" t="str" cm="1">
        <f t="array" ref="D29">IF($J29&lt;&gt;"",INDEX(Connections!$B$4:$V$345,$J29,MATCH(D$16,Connections!$B$3:$V$3,0)),"")</f>
        <v/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/>
      </c>
      <c r="G29" s="46" t="str" cm="1">
        <f t="array" ref="G29">IF($J29&lt;&gt;"",INDEX(Connections!$B$4:$V$345,$J29,MATCH(G$16,Connections!$B$3:$V$3,0)),"")</f>
        <v/>
      </c>
      <c r="H29" s="46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2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connect</v>
      </c>
      <c r="D30" s="46" cm="1">
        <f t="array" ref="D30">IF($J30&lt;&gt;"",INDEX(Connections!$B$4:$V$345,$J30,MATCH(D$16,Connections!$B$3:$V$3,0)),"")</f>
        <v>220</v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>auto</v>
      </c>
      <c r="G30" s="46" t="str" cm="1">
        <f t="array" ref="G30">IF($J30&lt;&gt;"",INDEX(Connections!$B$4:$V$345,$J30,MATCH(G$16,Connections!$B$3:$V$3,0)),"")</f>
        <v>1GB COPPER</v>
      </c>
      <c r="H30" s="46" t="str" cm="1">
        <f t="array" ref="H30">IF($J30&lt;&gt;"",INDEX(Connections!$B$4:$V$345,$J30,MATCH(H$16,Connections!$B$3:$V$3,0)),"")</f>
        <v>DC1 OBA/data (Physical Server)</v>
      </c>
      <c r="J30" s="118">
        <f>_xlfn.IFNA(MATCH(SHEET_NAME&amp;" "&amp;B30,Connections!$L$4:$L$345,0),"")</f>
        <v>299</v>
      </c>
    </row>
    <row r="31" spans="1:12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connect</v>
      </c>
      <c r="D31" s="46" cm="1">
        <f t="array" ref="D31">IF($J31&lt;&gt;"",INDEX(Connections!$B$4:$V$345,$J31,MATCH(D$16,Connections!$B$3:$V$3,0)),"")</f>
        <v>220</v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>auto</v>
      </c>
      <c r="G31" s="46" t="str" cm="1">
        <f t="array" ref="G31">IF($J31&lt;&gt;"",INDEX(Connections!$B$4:$V$345,$J31,MATCH(G$16,Connections!$B$3:$V$3,0)),"")</f>
        <v>1GB COPPER</v>
      </c>
      <c r="H31" s="46" t="str" cm="1">
        <f t="array" ref="H31">IF($J31&lt;&gt;"",INDEX(Connections!$B$4:$V$345,$J31,MATCH(H$16,Connections!$B$3:$V$3,0)),"")</f>
        <v>DC2 OBA/data (Physical Server)</v>
      </c>
      <c r="J31" s="118">
        <f>_xlfn.IFNA(MATCH(SHEET_NAME&amp;" "&amp;B31,Connections!$L$4:$L$345,0),"")</f>
        <v>300</v>
      </c>
    </row>
    <row r="32" spans="1:12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46" t="str" cm="1">
        <f t="array" ref="D32">IF($J32&lt;&gt;"",INDEX(Connections!$B$4:$V$345,$J32,MATCH(D$16,Connections!$B$3:$V$3,0)),"")</f>
        <v/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/>
      </c>
      <c r="G32" s="46" t="str" cm="1">
        <f t="array" ref="G32">IF($J32&lt;&gt;"",INDEX(Connections!$B$4:$V$345,$J32,MATCH(G$16,Connections!$B$3:$V$3,0)),"")</f>
        <v/>
      </c>
      <c r="H32" s="46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46" t="str" cm="1">
        <f t="array" ref="D33">IF($J33&lt;&gt;"",INDEX(Connections!$B$4:$V$345,$J33,MATCH(D$16,Connections!$B$3:$V$3,0)),"")</f>
        <v/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/>
      </c>
      <c r="G33" s="46" t="str" cm="1">
        <f t="array" ref="G33">IF($J33&lt;&gt;"",INDEX(Connections!$B$4:$V$345,$J33,MATCH(G$16,Connections!$B$3:$V$3,0)),"")</f>
        <v/>
      </c>
      <c r="H33" s="46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2611</v>
      </c>
      <c r="D36" s="46" cm="1">
        <f t="array" ref="D36">IF($J36&lt;&gt;"",INDEX(Connections!$B$4:$V$345,$J36,MATCH(D$16,Connections!$B$3:$V$3,0)),"")</f>
        <v>4</v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>half 100</v>
      </c>
      <c r="G36" s="46" t="str" cm="1">
        <f t="array" ref="G36">IF($J36&lt;&gt;"",INDEX(Connections!$B$4:$V$345,$J36,MATCH(G$16,Connections!$B$3:$V$3,0)),"")</f>
        <v>1GB COPPER</v>
      </c>
      <c r="H36" s="46" t="str" cm="1">
        <f t="array" ref="H36">IF($J36&lt;&gt;"",INDEX(Connections!$B$4:$V$345,$J36,MATCH(H$16,Connections!$B$3:$V$3,0)),"")</f>
        <v>RSCLA001/Backup (Physical Server)</v>
      </c>
      <c r="J36" s="118">
        <f>_xlfn.IFNA(MATCH(SHEET_NAME&amp;" "&amp;B36,Connections!$L$4:$L$345,0),"")</f>
        <v>291</v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46" t="str" cm="1">
        <f t="array" ref="D37">IF($J37&lt;&gt;"",INDEX(Connections!$B$4:$V$345,$J37,MATCH(D$16,Connections!$B$3:$V$3,0)),"")</f>
        <v/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/>
      </c>
      <c r="G37" s="46" t="str" cm="1">
        <f t="array" ref="G37">IF($J37&lt;&gt;"",INDEX(Connections!$B$4:$V$345,$J37,MATCH(G$16,Connections!$B$3:$V$3,0)),"")</f>
        <v/>
      </c>
      <c r="H37" s="46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connect</v>
      </c>
      <c r="D38" s="46" cm="1">
        <f t="array" ref="D38">IF($J38&lt;&gt;"",INDEX(Connections!$B$4:$V$345,$J38,MATCH(D$16,Connections!$B$3:$V$3,0)),"")</f>
        <v>32</v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>auto</v>
      </c>
      <c r="G38" s="46" t="str" cm="1">
        <f t="array" ref="G38">IF($J38&lt;&gt;"",INDEX(Connections!$B$4:$V$345,$J38,MATCH(G$16,Connections!$B$3:$V$3,0)),"")</f>
        <v>1GB COPPER</v>
      </c>
      <c r="H38" s="46" t="str" cm="1">
        <f t="array" ref="H38">IF($J38&lt;&gt;"",INDEX(Connections!$B$4:$V$345,$J38,MATCH(H$16,Connections!$B$3:$V$3,0)),"")</f>
        <v>FGHFWAdmin/data (Physical Server)</v>
      </c>
      <c r="J38" s="118">
        <f>_xlfn.IFNA(MATCH(SHEET_NAME&amp;" "&amp;B38,Connections!$L$4:$L$345,0),"")</f>
        <v>293</v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46" t="str" cm="1">
        <f t="array" ref="D39">IF($J39&lt;&gt;"",INDEX(Connections!$B$4:$V$345,$J39,MATCH(D$16,Connections!$B$3:$V$3,0)),"")</f>
        <v/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/>
      </c>
      <c r="G39" s="46" t="str" cm="1">
        <f t="array" ref="G39">IF($J39&lt;&gt;"",INDEX(Connections!$B$4:$V$345,$J39,MATCH(G$16,Connections!$B$3:$V$3,0)),"")</f>
        <v/>
      </c>
      <c r="H39" s="46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>gi1/0/25</v>
      </c>
      <c r="C41" s="122" t="str" cm="1">
        <f t="array" ref="C41">_xlfn.IFS($B41="","",$B41=$B$71,"reserved",$B41=$B$72,"reserved",$B41=$G$11,"connect",$B41=$G$13,"connect",J41&lt;&gt;"","connect",1=1,"disabled")</f>
        <v>disabled</v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gi1/0/26</v>
      </c>
      <c r="C42" s="122" t="str" cm="1">
        <f t="array" ref="C42">_xlfn.IFS($B42="","",$B42=$B$71,"reserved",$B42=$B$72,"reserved",$B42=$G$11,"connect",$B42=$G$13,"connect",J42&lt;&gt;"","connect",1=1,"disabled")</f>
        <v>disabled</v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gi1/0/27</v>
      </c>
      <c r="C43" s="122" t="str" cm="1">
        <f t="array" ref="C43">_xlfn.IFS($B43="","",$B43=$B$71,"reserved",$B43=$B$72,"reserved",$B43=$G$11,"connect",$B43=$G$13,"connect",J43&lt;&gt;"","connect",1=1,"disabled")</f>
        <v>connect</v>
      </c>
      <c r="D43" s="46" cm="1">
        <f t="array" ref="D43">IF($J43&lt;&gt;"",INDEX(Connections!$B$4:$V$345,$J43,MATCH(D$16,Connections!$B$3:$V$3,0)),"")</f>
        <v>32</v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>half 10</v>
      </c>
      <c r="G43" s="46" t="str" cm="1">
        <f t="array" ref="G43">IF($J43&lt;&gt;"",INDEX(Connections!$B$4:$V$345,$J43,MATCH(G$16,Connections!$B$3:$V$3,0)),"")</f>
        <v>1GB COPPER</v>
      </c>
      <c r="H43" s="46" t="str" cm="1">
        <f t="array" ref="H43">IF($J43&lt;&gt;"",INDEX(Connections!$B$4:$V$345,$J43,MATCH(H$16,Connections!$B$3:$V$3,0)),"")</f>
        <v>RSCLA001/data (Physical Server)</v>
      </c>
      <c r="J43" s="118">
        <f>_xlfn.IFNA(MATCH(SHEET_NAME&amp;" "&amp;B43,Connections!$L$4:$L$345,0),"")</f>
        <v>290</v>
      </c>
    </row>
    <row r="44" spans="1:10">
      <c r="A44" s="121">
        <f t="shared" si="1"/>
        <v>28</v>
      </c>
      <c r="B44" s="116" t="str">
        <f t="shared" si="0"/>
        <v>gi1/0/28</v>
      </c>
      <c r="C44" s="122" t="s">
        <v>2611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gi1/0/29</v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gi1/0/30</v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gi1/0/31</v>
      </c>
      <c r="C47" s="122" t="str" cm="1">
        <f t="array" ref="C47">_xlfn.IFS($B47="","",$B47=$B$71,"reserved",$B47=$B$72,"reserved",$B47=$G$11,"connect",$B47=$G$13,"connect",J47&lt;&gt;"","connect",1=1,"disabled")</f>
        <v>disabled</v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gi1/0/32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gi1/0/33</v>
      </c>
      <c r="C49" s="122" t="str" cm="1">
        <f t="array" ref="C49">_xlfn.IFS($B49="","",$B49=$B$71,"reserved",$B49=$B$72,"reserved",$B49=$G$11,"connect",$B49=$G$13,"connect",J49&lt;&gt;"","connect",1=1,"disabled")</f>
        <v>connect</v>
      </c>
      <c r="D49" s="46" cm="1">
        <f t="array" ref="D49">IF($J49&lt;&gt;"",INDEX(Connections!$B$4:$V$345,$J49,MATCH(D$16,Connections!$B$3:$V$3,0)),"")</f>
        <v>220</v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>auto</v>
      </c>
      <c r="G49" s="46" t="str" cm="1">
        <f t="array" ref="G49">IF($J49&lt;&gt;"",INDEX(Connections!$B$4:$V$345,$J49,MATCH(G$16,Connections!$B$3:$V$3,0)),"")</f>
        <v>1GB COPPER</v>
      </c>
      <c r="H49" s="46" t="str" cm="1">
        <f t="array" ref="H49">IF($J49&lt;&gt;"",INDEX(Connections!$B$4:$V$345,$J49,MATCH(H$16,Connections!$B$3:$V$3,0)),"")</f>
        <v>SAS04/Mgmt (Physical Server)</v>
      </c>
      <c r="J49" s="118">
        <f>_xlfn.IFNA(MATCH(SHEET_NAME&amp;" "&amp;B49,Connections!$L$4:$L$345,0),"")</f>
        <v>266</v>
      </c>
    </row>
    <row r="50" spans="1:10">
      <c r="A50" s="121">
        <f t="shared" si="1"/>
        <v>34</v>
      </c>
      <c r="B50" s="116" t="str">
        <f t="shared" si="0"/>
        <v>gi1/0/34</v>
      </c>
      <c r="C50" s="122" t="str" cm="1">
        <f t="array" ref="C50">_xlfn.IFS($B50="","",$B50=$B$71,"reserved",$B50=$B$72,"reserved",$B50=$G$11,"connect",$B50=$G$13,"connect",J50&lt;&gt;"","connect",1=1,"disabled")</f>
        <v>connect</v>
      </c>
      <c r="D50" s="46" cm="1">
        <f t="array" ref="D50">IF($J50&lt;&gt;"",INDEX(Connections!$B$4:$V$345,$J50,MATCH(D$16,Connections!$B$3:$V$3,0)),"")</f>
        <v>230</v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>auto</v>
      </c>
      <c r="G50" s="46" t="str" cm="1">
        <f t="array" ref="G50">IF($J50&lt;&gt;"",INDEX(Connections!$B$4:$V$345,$J50,MATCH(G$16,Connections!$B$3:$V$3,0)),"")</f>
        <v>1GB COPPER</v>
      </c>
      <c r="H50" s="46" t="str" cm="1">
        <f t="array" ref="H50">IF($J50&lt;&gt;"",INDEX(Connections!$B$4:$V$345,$J50,MATCH(H$16,Connections!$B$3:$V$3,0)),"")</f>
        <v>SAS04/data 1 (Physical Server)</v>
      </c>
      <c r="J50" s="118">
        <f>_xlfn.IFNA(MATCH(SHEET_NAME&amp;" "&amp;B50,Connections!$L$4:$L$345,0),"")</f>
        <v>267</v>
      </c>
    </row>
    <row r="51" spans="1:10">
      <c r="A51" s="121">
        <f t="shared" si="1"/>
        <v>35</v>
      </c>
      <c r="B51" s="116" t="str">
        <f t="shared" si="0"/>
        <v>gi1/0/35</v>
      </c>
      <c r="C51" s="122" t="str" cm="1">
        <f t="array" ref="C51">_xlfn.IFS($B51="","",$B51=$B$71,"reserved",$B51=$B$72,"reserved",$B51=$G$11,"connect",$B51=$G$13,"connect",J51&lt;&gt;"","connect",1=1,"disabled")</f>
        <v>connect</v>
      </c>
      <c r="D51" s="46" cm="1">
        <f t="array" ref="D51">IF($J51&lt;&gt;"",INDEX(Connections!$B$4:$V$345,$J51,MATCH(D$16,Connections!$B$3:$V$3,0)),"")</f>
        <v>230</v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>auto</v>
      </c>
      <c r="G51" s="46" t="str" cm="1">
        <f t="array" ref="G51">IF($J51&lt;&gt;"",INDEX(Connections!$B$4:$V$345,$J51,MATCH(G$16,Connections!$B$3:$V$3,0)),"")</f>
        <v>1GB COPPER</v>
      </c>
      <c r="H51" s="46" t="str" cm="1">
        <f t="array" ref="H51">IF($J51&lt;&gt;"",INDEX(Connections!$B$4:$V$345,$J51,MATCH(H$16,Connections!$B$3:$V$3,0)),"")</f>
        <v>SAS04/data 2 (Physical Server)</v>
      </c>
      <c r="J51" s="118">
        <f>_xlfn.IFNA(MATCH(SHEET_NAME&amp;" "&amp;B51,Connections!$L$4:$L$345,0),"")</f>
        <v>268</v>
      </c>
    </row>
    <row r="52" spans="1:10">
      <c r="A52" s="121">
        <f t="shared" si="1"/>
        <v>36</v>
      </c>
      <c r="B52" s="116" t="str">
        <f t="shared" si="0"/>
        <v>gi1/0/36</v>
      </c>
      <c r="C52" s="122" t="str" cm="1">
        <f t="array" ref="C52">_xlfn.IFS($B52="","",$B52=$B$71,"reserved",$B52=$B$72,"reserved",$B52=$G$11,"connect",$B52=$G$13,"connect",J52&lt;&gt;"","connect",1=1,"disabled")</f>
        <v>connect</v>
      </c>
      <c r="D52" s="46" cm="1">
        <f t="array" ref="D52">IF($J52&lt;&gt;"",INDEX(Connections!$B$4:$V$345,$J52,MATCH(D$16,Connections!$B$3:$V$3,0)),"")</f>
        <v>220</v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>auto</v>
      </c>
      <c r="G52" s="46" t="str" cm="1">
        <f t="array" ref="G52">IF($J52&lt;&gt;"",INDEX(Connections!$B$4:$V$345,$J52,MATCH(G$16,Connections!$B$3:$V$3,0)),"")</f>
        <v>1GB COPPER</v>
      </c>
      <c r="H52" s="46" t="str" cm="1">
        <f t="array" ref="H52">IF($J52&lt;&gt;"",INDEX(Connections!$B$4:$V$345,$J52,MATCH(H$16,Connections!$B$3:$V$3,0)),"")</f>
        <v>SAS06/Mgmt (Physical Server)</v>
      </c>
      <c r="J52" s="118">
        <f>_xlfn.IFNA(MATCH(SHEET_NAME&amp;" "&amp;B52,Connections!$L$4:$L$345,0),"")</f>
        <v>272</v>
      </c>
    </row>
    <row r="53" spans="1:10">
      <c r="A53" s="121">
        <f t="shared" si="1"/>
        <v>37</v>
      </c>
      <c r="B53" s="116" t="str">
        <f t="shared" si="0"/>
        <v>gi1/0/37</v>
      </c>
      <c r="C53" s="122" t="str" cm="1">
        <f t="array" ref="C53">_xlfn.IFS($B53="","",$B53=$B$71,"reserved",$B53=$B$72,"reserved",$B53=$G$11,"connect",$B53=$G$13,"connect",J53&lt;&gt;"","connect",1=1,"disabled")</f>
        <v>connect</v>
      </c>
      <c r="D53" s="46" cm="1">
        <f t="array" ref="D53">IF($J53&lt;&gt;"",INDEX(Connections!$B$4:$V$345,$J53,MATCH(D$16,Connections!$B$3:$V$3,0)),"")</f>
        <v>230</v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>auto</v>
      </c>
      <c r="G53" s="46" t="str" cm="1">
        <f t="array" ref="G53">IF($J53&lt;&gt;"",INDEX(Connections!$B$4:$V$345,$J53,MATCH(G$16,Connections!$B$3:$V$3,0)),"")</f>
        <v>1GB COPPER</v>
      </c>
      <c r="H53" s="46" t="str" cm="1">
        <f t="array" ref="H53">IF($J53&lt;&gt;"",INDEX(Connections!$B$4:$V$345,$J53,MATCH(H$16,Connections!$B$3:$V$3,0)),"")</f>
        <v>SAS06/data 1 (Physical Server)</v>
      </c>
      <c r="J53" s="118">
        <f>_xlfn.IFNA(MATCH(SHEET_NAME&amp;" "&amp;B53,Connections!$L$4:$L$345,0),"")</f>
        <v>273</v>
      </c>
    </row>
    <row r="54" spans="1:10">
      <c r="A54" s="121">
        <f t="shared" si="1"/>
        <v>38</v>
      </c>
      <c r="B54" s="116" t="str">
        <f t="shared" si="0"/>
        <v>gi1/0/38</v>
      </c>
      <c r="C54" s="122" t="str" cm="1">
        <f t="array" ref="C54">_xlfn.IFS($B54="","",$B54=$B$71,"reserved",$B54=$B$72,"reserved",$B54=$G$11,"connect",$B54=$G$13,"connect",J54&lt;&gt;"","connect",1=1,"disabled")</f>
        <v>connect</v>
      </c>
      <c r="D54" s="46" cm="1">
        <f t="array" ref="D54">IF($J54&lt;&gt;"",INDEX(Connections!$B$4:$V$345,$J54,MATCH(D$16,Connections!$B$3:$V$3,0)),"")</f>
        <v>230</v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>auto</v>
      </c>
      <c r="G54" s="46" t="str" cm="1">
        <f t="array" ref="G54">IF($J54&lt;&gt;"",INDEX(Connections!$B$4:$V$345,$J54,MATCH(G$16,Connections!$B$3:$V$3,0)),"")</f>
        <v>1GB COPPER</v>
      </c>
      <c r="H54" s="46" t="str" cm="1">
        <f t="array" ref="H54">IF($J54&lt;&gt;"",INDEX(Connections!$B$4:$V$345,$J54,MATCH(H$16,Connections!$B$3:$V$3,0)),"")</f>
        <v>SAS06/data 2 (Physical Server)</v>
      </c>
      <c r="J54" s="118">
        <f>_xlfn.IFNA(MATCH(SHEET_NAME&amp;" "&amp;B54,Connections!$L$4:$L$345,0),"")</f>
        <v>274</v>
      </c>
    </row>
    <row r="55" spans="1:10">
      <c r="A55" s="121">
        <f t="shared" si="1"/>
        <v>39</v>
      </c>
      <c r="B55" s="116" t="str">
        <f t="shared" si="0"/>
        <v>gi1/0/39</v>
      </c>
      <c r="C55" s="122" t="str" cm="1">
        <f t="array" ref="C55">_xlfn.IFS($B55="","",$B55=$B$71,"reserved",$B55=$B$72,"reserved",$B55=$G$11,"connect",$B55=$G$13,"connect",J55&lt;&gt;"","connect",1=1,"disabled")</f>
        <v>connect</v>
      </c>
      <c r="D55" s="46" cm="1">
        <f t="array" ref="D55">IF($J55&lt;&gt;"",INDEX(Connections!$B$4:$V$345,$J55,MATCH(D$16,Connections!$B$3:$V$3,0)),"")</f>
        <v>220</v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>auto</v>
      </c>
      <c r="G55" s="46" t="str" cm="1">
        <f t="array" ref="G55">IF($J55&lt;&gt;"",INDEX(Connections!$B$4:$V$345,$J55,MATCH(G$16,Connections!$B$3:$V$3,0)),"")</f>
        <v>1GB COPPER</v>
      </c>
      <c r="H55" s="46" t="str" cm="1">
        <f t="array" ref="H55">IF($J55&lt;&gt;"",INDEX(Connections!$B$4:$V$345,$J55,MATCH(H$16,Connections!$B$3:$V$3,0)),"")</f>
        <v>SAS10/Mgmt (Physical Server)</v>
      </c>
      <c r="J55" s="118">
        <f>_xlfn.IFNA(MATCH(SHEET_NAME&amp;" "&amp;B55,Connections!$L$4:$L$345,0),"")</f>
        <v>281</v>
      </c>
    </row>
    <row r="56" spans="1:10">
      <c r="A56" s="121">
        <f t="shared" si="1"/>
        <v>40</v>
      </c>
      <c r="B56" s="116" t="str">
        <f t="shared" si="0"/>
        <v>gi1/0/40</v>
      </c>
      <c r="C56" s="122" t="str" cm="1">
        <f t="array" ref="C56">_xlfn.IFS($B56="","",$B56=$B$71,"reserved",$B56=$B$72,"reserved",$B56=$G$11,"connect",$B56=$G$13,"connect",J56&lt;&gt;"","connect",1=1,"disabled")</f>
        <v>connect</v>
      </c>
      <c r="D56" s="46" cm="1">
        <f t="array" ref="D56">IF($J56&lt;&gt;"",INDEX(Connections!$B$4:$V$345,$J56,MATCH(D$16,Connections!$B$3:$V$3,0)),"")</f>
        <v>230</v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>auto</v>
      </c>
      <c r="G56" s="46" t="str" cm="1">
        <f t="array" ref="G56">IF($J56&lt;&gt;"",INDEX(Connections!$B$4:$V$345,$J56,MATCH(G$16,Connections!$B$3:$V$3,0)),"")</f>
        <v>1GB COPPER</v>
      </c>
      <c r="H56" s="46" t="str" cm="1">
        <f t="array" ref="H56">IF($J56&lt;&gt;"",INDEX(Connections!$B$4:$V$345,$J56,MATCH(H$16,Connections!$B$3:$V$3,0)),"")</f>
        <v>SAS10/data 1 (Physical Server)</v>
      </c>
      <c r="J56" s="118">
        <f>_xlfn.IFNA(MATCH(SHEET_NAME&amp;" "&amp;B56,Connections!$L$4:$L$345,0),"")</f>
        <v>282</v>
      </c>
    </row>
    <row r="57" spans="1:10">
      <c r="A57" s="121">
        <f t="shared" si="1"/>
        <v>41</v>
      </c>
      <c r="B57" s="116" t="str">
        <f t="shared" si="0"/>
        <v>gi1/0/41</v>
      </c>
      <c r="C57" s="122" t="str" cm="1">
        <f t="array" ref="C57">_xlfn.IFS($B57="","",$B57=$B$71,"reserved",$B57=$B$72,"reserved",$B57=$G$11,"connect",$B57=$G$13,"connect",J57&lt;&gt;"","connect",1=1,"disabled")</f>
        <v>connect</v>
      </c>
      <c r="D57" s="46" cm="1">
        <f t="array" ref="D57">IF($J57&lt;&gt;"",INDEX(Connections!$B$4:$V$345,$J57,MATCH(D$16,Connections!$B$3:$V$3,0)),"")</f>
        <v>230</v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>auto</v>
      </c>
      <c r="G57" s="46" t="str" cm="1">
        <f t="array" ref="G57">IF($J57&lt;&gt;"",INDEX(Connections!$B$4:$V$345,$J57,MATCH(G$16,Connections!$B$3:$V$3,0)),"")</f>
        <v>1GB COPPER</v>
      </c>
      <c r="H57" s="46" t="str" cm="1">
        <f t="array" ref="H57">IF($J57&lt;&gt;"",INDEX(Connections!$B$4:$V$345,$J57,MATCH(H$16,Connections!$B$3:$V$3,0)),"")</f>
        <v>SAS10/data 2 (Physical Server)</v>
      </c>
      <c r="J57" s="118">
        <f>_xlfn.IFNA(MATCH(SHEET_NAME&amp;" "&amp;B57,Connections!$L$4:$L$345,0),"")</f>
        <v>283</v>
      </c>
    </row>
    <row r="58" spans="1:10">
      <c r="A58" s="121">
        <f t="shared" si="1"/>
        <v>42</v>
      </c>
      <c r="B58" s="116" t="str">
        <f t="shared" si="0"/>
        <v>gi1/0/42</v>
      </c>
      <c r="C58" s="122" t="str" cm="1">
        <f t="array" ref="C58">_xlfn.IFS($B58="","",$B58=$B$71,"reserved",$B58=$B$72,"reserved",$B58=$G$11,"connect",$B58=$G$13,"connect",J58&lt;&gt;"","connect",1=1,"disabled")</f>
        <v>connect</v>
      </c>
      <c r="D58" s="46" cm="1">
        <f t="array" ref="D58">IF($J58&lt;&gt;"",INDEX(Connections!$B$4:$V$345,$J58,MATCH(D$16,Connections!$B$3:$V$3,0)),"")</f>
        <v>220</v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>auto</v>
      </c>
      <c r="G58" s="46" t="str" cm="1">
        <f t="array" ref="G58">IF($J58&lt;&gt;"",INDEX(Connections!$B$4:$V$345,$J58,MATCH(G$16,Connections!$B$3:$V$3,0)),"")</f>
        <v>1GB COPPER</v>
      </c>
      <c r="H58" s="46" t="str" cm="1">
        <f t="array" ref="H58">IF($J58&lt;&gt;"",INDEX(Connections!$B$4:$V$345,$J58,MATCH(H$16,Connections!$B$3:$V$3,0)),"")</f>
        <v>SAS12/Mgmt (Physical Server)</v>
      </c>
      <c r="J58" s="118">
        <f>_xlfn.IFNA(MATCH(SHEET_NAME&amp;" "&amp;B58,Connections!$L$4:$L$345,0),"")</f>
        <v>287</v>
      </c>
    </row>
    <row r="59" spans="1:10">
      <c r="A59" s="121">
        <f t="shared" si="1"/>
        <v>43</v>
      </c>
      <c r="B59" s="116" t="str">
        <f t="shared" si="0"/>
        <v>gi1/0/43</v>
      </c>
      <c r="C59" s="122" t="str" cm="1">
        <f t="array" ref="C59">_xlfn.IFS($B59="","",$B59=$B$71,"reserved",$B59=$B$72,"reserved",$B59=$G$11,"connect",$B59=$G$13,"connect",J59&lt;&gt;"","connect",1=1,"disabled")</f>
        <v>connect</v>
      </c>
      <c r="D59" s="46" cm="1">
        <f t="array" ref="D59">IF($J59&lt;&gt;"",INDEX(Connections!$B$4:$V$345,$J59,MATCH(D$16,Connections!$B$3:$V$3,0)),"")</f>
        <v>230</v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>auto</v>
      </c>
      <c r="G59" s="46" t="str" cm="1">
        <f t="array" ref="G59">IF($J59&lt;&gt;"",INDEX(Connections!$B$4:$V$345,$J59,MATCH(G$16,Connections!$B$3:$V$3,0)),"")</f>
        <v>1GB COPPER</v>
      </c>
      <c r="H59" s="46" t="str" cm="1">
        <f t="array" ref="H59">IF($J59&lt;&gt;"",INDEX(Connections!$B$4:$V$345,$J59,MATCH(H$16,Connections!$B$3:$V$3,0)),"")</f>
        <v>SAS12/data 1 (Physical Server)</v>
      </c>
      <c r="J59" s="118">
        <f>_xlfn.IFNA(MATCH(SHEET_NAME&amp;" "&amp;B59,Connections!$L$4:$L$345,0),"")</f>
        <v>288</v>
      </c>
    </row>
    <row r="60" spans="1:10">
      <c r="A60" s="121">
        <f t="shared" si="1"/>
        <v>44</v>
      </c>
      <c r="B60" s="116" t="str">
        <f t="shared" si="0"/>
        <v>gi1/0/44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46" cm="1">
        <f t="array" ref="D60">IF($J60&lt;&gt;"",INDEX(Connections!$B$4:$V$345,$J60,MATCH(D$16,Connections!$B$3:$V$3,0)),"")</f>
        <v>230</v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>auto</v>
      </c>
      <c r="G60" s="46" t="str" cm="1">
        <f t="array" ref="G60">IF($J60&lt;&gt;"",INDEX(Connections!$B$4:$V$345,$J60,MATCH(G$16,Connections!$B$3:$V$3,0)),"")</f>
        <v>1GB COPPER</v>
      </c>
      <c r="H60" s="46" t="str" cm="1">
        <f t="array" ref="H60">IF($J60&lt;&gt;"",INDEX(Connections!$B$4:$V$345,$J60,MATCH(H$16,Connections!$B$3:$V$3,0)),"")</f>
        <v>SAS12/data 2 (Physical Server)</v>
      </c>
      <c r="J60" s="118">
        <f>_xlfn.IFNA(MATCH(SHEET_NAME&amp;" "&amp;B60,Connections!$L$4:$L$345,0),"")</f>
        <v>289</v>
      </c>
    </row>
    <row r="61" spans="1:10">
      <c r="A61" s="121">
        <f t="shared" si="1"/>
        <v>45</v>
      </c>
      <c r="B61" s="116" t="str">
        <f t="shared" si="0"/>
        <v>gi1/0/45</v>
      </c>
      <c r="C61" s="122" t="str" cm="1">
        <f t="array" ref="C61">_xlfn.IFS($B61="","",$B61=$B$71,"reserved",$B61=$B$72,"reserved",$B61=$G$11,"connect",$B61=$G$13,"connect",J61&lt;&gt;"","connect",1=1,"disabled")</f>
        <v>connect</v>
      </c>
      <c r="D61" s="46" cm="1">
        <f t="array" ref="D61">IF($J61&lt;&gt;"",INDEX(Connections!$B$4:$V$345,$J61,MATCH(D$16,Connections!$B$3:$V$3,0)),"")</f>
        <v>220</v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>auto</v>
      </c>
      <c r="G61" s="46" t="str" cm="1">
        <f t="array" ref="G61">IF($J61&lt;&gt;"",INDEX(Connections!$B$4:$V$345,$J61,MATCH(G$16,Connections!$B$3:$V$3,0)),"")</f>
        <v>1GB COPPER</v>
      </c>
      <c r="H61" s="46" t="str" cm="1">
        <f t="array" ref="H61">IF($J61&lt;&gt;"",INDEX(Connections!$B$4:$V$345,$J61,MATCH(H$16,Connections!$B$3:$V$3,0)),"")</f>
        <v>SAS02/Mgmt (Physical Server)</v>
      </c>
      <c r="J61" s="118">
        <f>_xlfn.IFNA(MATCH(SHEET_NAME&amp;" "&amp;B61,Connections!$L$4:$L$345,0),"")</f>
        <v>260</v>
      </c>
    </row>
    <row r="62" spans="1:10">
      <c r="A62" s="121">
        <f t="shared" si="1"/>
        <v>46</v>
      </c>
      <c r="B62" s="116" t="str">
        <f t="shared" si="0"/>
        <v>gi1/0/46</v>
      </c>
      <c r="C62" s="122" t="str" cm="1">
        <f t="array" ref="C62">_xlfn.IFS($B62="","",$B62=$B$71,"reserved",$B62=$B$72,"reserved",$B62=$G$11,"connect",$B62=$G$13,"connect",J62&lt;&gt;"","connect",1=1,"disabled")</f>
        <v>connect</v>
      </c>
      <c r="D62" s="46" cm="1">
        <f t="array" ref="D62">IF($J62&lt;&gt;"",INDEX(Connections!$B$4:$V$345,$J62,MATCH(D$16,Connections!$B$3:$V$3,0)),"")</f>
        <v>230</v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>auto</v>
      </c>
      <c r="G62" s="46" t="str" cm="1">
        <f t="array" ref="G62">IF($J62&lt;&gt;"",INDEX(Connections!$B$4:$V$345,$J62,MATCH(G$16,Connections!$B$3:$V$3,0)),"")</f>
        <v>1GB COPPER</v>
      </c>
      <c r="H62" s="46" t="str" cm="1">
        <f t="array" ref="H62">IF($J62&lt;&gt;"",INDEX(Connections!$B$4:$V$345,$J62,MATCH(H$16,Connections!$B$3:$V$3,0)),"")</f>
        <v>SAS02/data 1 (Physical Server)</v>
      </c>
      <c r="J62" s="118">
        <f>_xlfn.IFNA(MATCH(SHEET_NAME&amp;" "&amp;B62,Connections!$L$4:$L$345,0),"")</f>
        <v>261</v>
      </c>
    </row>
    <row r="63" spans="1:10">
      <c r="A63" s="121">
        <f t="shared" si="1"/>
        <v>47</v>
      </c>
      <c r="B63" s="116" t="str">
        <f t="shared" si="0"/>
        <v>gi1/0/47</v>
      </c>
      <c r="C63" s="122" t="str" cm="1">
        <f t="array" ref="C63">_xlfn.IFS($B63="","",$B63=$B$71,"reserved",$B63=$B$72,"reserved",$B63=$G$11,"connect",$B63=$G$13,"connect",J63&lt;&gt;"","connect",1=1,"disabled")</f>
        <v>connect</v>
      </c>
      <c r="D63" s="46" cm="1">
        <f t="array" ref="D63">IF($J63&lt;&gt;"",INDEX(Connections!$B$4:$V$345,$J63,MATCH(D$16,Connections!$B$3:$V$3,0)),"")</f>
        <v>230</v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>auto</v>
      </c>
      <c r="G63" s="46" t="str" cm="1">
        <f t="array" ref="G63">IF($J63&lt;&gt;"",INDEX(Connections!$B$4:$V$345,$J63,MATCH(G$16,Connections!$B$3:$V$3,0)),"")</f>
        <v>1GB COPPER</v>
      </c>
      <c r="H63" s="46" t="str" cm="1">
        <f t="array" ref="H63">IF($J63&lt;&gt;"",INDEX(Connections!$B$4:$V$345,$J63,MATCH(H$16,Connections!$B$3:$V$3,0)),"")</f>
        <v>SAS02/data 2 (Physical Server)</v>
      </c>
      <c r="J63" s="118">
        <f>_xlfn.IFNA(MATCH(SHEET_NAME&amp;" "&amp;B63,Connections!$L$4:$L$345,0),"")</f>
        <v>262</v>
      </c>
    </row>
    <row r="64" spans="1:10">
      <c r="A64" s="121">
        <f t="shared" si="1"/>
        <v>48</v>
      </c>
      <c r="B64" s="116" t="str">
        <f t="shared" si="0"/>
        <v>gi1/0/48</v>
      </c>
      <c r="C64" s="122" t="str" cm="1">
        <f t="array" ref="C64">_xlfn.IFS($B64="","",$B64=$B$71,"reserved",$B64=$B$72,"reserved",$B64=$G$11,"connect",$B64=$G$13,"connect",J64&lt;&gt;"","connect",1=1,"disabled")</f>
        <v>disabled</v>
      </c>
      <c r="D64" s="46" t="str" cm="1">
        <f t="array" ref="D64">IF($J64&lt;&gt;"",INDEX(Connections!$B$4:$V$345,$J64,MATCH(D$16,Connections!$B$3:$V$3,0)),"")</f>
        <v/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/>
      </c>
      <c r="G64" s="46" t="str" cm="1">
        <f t="array" ref="G64">IF($J64&lt;&gt;"",INDEX(Connections!$B$4:$V$345,$J64,MATCH(G$16,Connections!$B$3:$V$3,0)),"")</f>
        <v/>
      </c>
      <c r="H64" s="46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48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1GB COPPER</v>
      </c>
      <c r="H68" s="17" t="str" cm="1">
        <f t="array" ref="H68">_xlfn.IFS($B68="","",$B68=$G$11,$G$12&amp;" "&amp;H12,$B68=$G$13,$G$14&amp;" "&amp;$H$14,1=1,"")</f>
        <v>FGHLHN41-1 twe1/0/47</v>
      </c>
      <c r="J68" s="127" t="str" cm="1">
        <f t="array" ref="J68">_xlfn.IFNA(MATCH(1,(SHEET_NAME=SWITCH_TABLE[Remote Device 2])*(B68=SWITCH_TABLE[Remote Port 2]),0),"")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48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1GB COPPER</v>
      </c>
      <c r="H69" s="17" t="str" cm="1">
        <f t="array" ref="H69">_xlfn.IFS($B69="","",$B69=$G$11,$G$12&amp;" "&amp;H13,$B69=$G$13,$G$14&amp;" "&amp;$H$14,1=1,"")</f>
        <v>FGHLHN41-2 twe2/0/47</v>
      </c>
      <c r="J69" s="127" t="str">
        <f t="array" ref="J69">_xlfn.IFNA(MATCH(1,(SHEET_NAME=SWITCH_TABLE[Remote Device 2])*(B69=SWITCH_TABLE[Remote Port 2]),0),"")</f>
        <v/>
      </c>
    </row>
    <row r="70" spans="1:10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2])*(B70=SWITCH_TABLE[Remote Port 2]),0),"")</f>
        <v/>
      </c>
    </row>
    <row r="71" spans="1:10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2])*(B71=SWITCH_TABLE[Remote Port 2]),0),"")</f>
        <v/>
      </c>
    </row>
    <row r="72" spans="1:10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2])*(B72=SWITCH_TABLE[Remote Port 2]),0),"")</f>
        <v/>
      </c>
    </row>
    <row r="73" spans="1:10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2])*(B73=SWITCH_TABLE[Remote Port 2]),0),"")</f>
        <v/>
      </c>
    </row>
    <row r="74" spans="1:10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2])*(B74=SWITCH_TABLE[Remote Port 2]),0),"")</f>
        <v/>
      </c>
    </row>
    <row r="75" spans="1:10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cm="1">
        <f t="array" ref="B79">IF($C$12="","",INDEX(SWITCH_TABLE[#Data],$H$3,MATCH("Stack Port "&amp;A79,SWITCH_TABLE[#Headers],0)))</f>
        <v>0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cm="1">
        <f t="array" ref="G79">IF($C$12="","",INDEX(SWITCH_TABLE[#Data],$H$3,MATCH("Stack Port "&amp;A79&amp;" SFP",SWITCH_TABLE[#Headers],0)))</f>
        <v>0</v>
      </c>
      <c r="H79" s="118" t="str">
        <f>C13&amp;" "&amp;D13</f>
        <v>0 0</v>
      </c>
    </row>
    <row r="80" spans="1:10">
      <c r="A80" s="121">
        <f>ROW(A80)-ROW($A$78)+$A$78</f>
        <v>2</v>
      </c>
      <c r="B80" s="116" cm="1">
        <f t="array" ref="B80">IF($C$12="","",INDEX(SWITCH_TABLE[#Data],$H$3,MATCH("Stack Port "&amp;A80,SWITCH_TABLE[#Headers],0)))</f>
        <v>0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cm="1">
        <f t="array" ref="G80">IF($C$12="","",INDEX(SWITCH_TABLE[#Data],$H$3,MATCH("Stack Port "&amp;A80&amp;" SFP",SWITCH_TABLE[#Headers],0)))</f>
        <v>0</v>
      </c>
      <c r="H80" s="118" t="str">
        <f>C14&amp;" "&amp;D14</f>
        <v>0 0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990" priority="21" operator="equal">
      <formula>"reserved"</formula>
    </cfRule>
    <cfRule type="cellIs" dxfId="989" priority="22" operator="equal">
      <formula>"notconnect"</formula>
    </cfRule>
    <cfRule type="cellIs" dxfId="988" priority="23" operator="equal">
      <formula>"disabled"</formula>
    </cfRule>
    <cfRule type="cellIs" dxfId="987" priority="24" operator="equal">
      <formula>"connect"</formula>
    </cfRule>
  </conditionalFormatting>
  <conditionalFormatting sqref="C79:C80">
    <cfRule type="cellIs" dxfId="986" priority="17" operator="equal">
      <formula>"reserved"</formula>
    </cfRule>
    <cfRule type="cellIs" dxfId="985" priority="18" operator="equal">
      <formula>"notconnect"</formula>
    </cfRule>
    <cfRule type="cellIs" dxfId="984" priority="19" operator="equal">
      <formula>"disabled"</formula>
    </cfRule>
    <cfRule type="cellIs" dxfId="983" priority="20" operator="equal">
      <formula>"connect"</formula>
    </cfRule>
  </conditionalFormatting>
  <conditionalFormatting sqref="C17:C21">
    <cfRule type="cellIs" dxfId="982" priority="1" operator="equal">
      <formula>"reserved"</formula>
    </cfRule>
    <cfRule type="cellIs" dxfId="981" priority="2" operator="equal">
      <formula>"notconnect"</formula>
    </cfRule>
    <cfRule type="cellIs" dxfId="980" priority="3" operator="equal">
      <formula>"disabled"</formula>
    </cfRule>
    <cfRule type="cellIs" dxfId="979" priority="4" operator="equal">
      <formula>"connect"</formula>
    </cfRule>
  </conditionalFormatting>
  <conditionalFormatting sqref="C58:C60 C22:C56">
    <cfRule type="cellIs" dxfId="978" priority="13" operator="equal">
      <formula>"reserved"</formula>
    </cfRule>
    <cfRule type="cellIs" dxfId="977" priority="14" operator="equal">
      <formula>"notconnect"</formula>
    </cfRule>
    <cfRule type="cellIs" dxfId="976" priority="15" operator="equal">
      <formula>"disabled"</formula>
    </cfRule>
    <cfRule type="cellIs" dxfId="975" priority="16" operator="equal">
      <formula>"connect"</formula>
    </cfRule>
  </conditionalFormatting>
  <conditionalFormatting sqref="C61:C64">
    <cfRule type="cellIs" dxfId="974" priority="9" operator="equal">
      <formula>"reserved"</formula>
    </cfRule>
    <cfRule type="cellIs" dxfId="973" priority="10" operator="equal">
      <formula>"notconnect"</formula>
    </cfRule>
    <cfRule type="cellIs" dxfId="972" priority="11" operator="equal">
      <formula>"disabled"</formula>
    </cfRule>
    <cfRule type="cellIs" dxfId="971" priority="12" operator="equal">
      <formula>"connect"</formula>
    </cfRule>
  </conditionalFormatting>
  <conditionalFormatting sqref="C57">
    <cfRule type="cellIs" dxfId="970" priority="5" operator="equal">
      <formula>"reserved"</formula>
    </cfRule>
    <cfRule type="cellIs" dxfId="969" priority="6" operator="equal">
      <formula>"notconnect"</formula>
    </cfRule>
    <cfRule type="cellIs" dxfId="968" priority="7" operator="equal">
      <formula>"disabled"</formula>
    </cfRule>
    <cfRule type="cellIs" dxfId="967" priority="8" operator="equal">
      <formula>"connect"</formula>
    </cfRule>
  </conditionalFormatting>
  <dataValidations count="5">
    <dataValidation type="list" allowBlank="1" showInputMessage="1" sqref="C68:C75 C79:C80 C17:C64" xr:uid="{490C54E4-2528-4DF8-A56F-01C61DF49E84}">
      <formula1>PORT_STATE_LIST</formula1>
    </dataValidation>
    <dataValidation allowBlank="1" showInputMessage="1" sqref="E68:E75 E17:E64" xr:uid="{C773A256-2333-42E9-A467-B91A4A3B8F27}"/>
    <dataValidation type="list" allowBlank="1" showInputMessage="1" sqref="F17:F64" xr:uid="{49F706B8-36C4-4DAF-B07E-BF8ADE1530FB}">
      <formula1>SPEED_DUPLEX_LIST</formula1>
    </dataValidation>
    <dataValidation type="list" allowBlank="1" showInputMessage="1" sqref="G68:G75 G17:G64" xr:uid="{43741D5A-AACF-4247-B747-9EA9FC67AD26}">
      <formula1>PORT_TYPE_LIST</formula1>
    </dataValidation>
    <dataValidation type="list" allowBlank="1" showInputMessage="1" sqref="D68:D75" xr:uid="{781D3AD2-7FB4-4785-A815-1DB836656DB2}">
      <formula1>VLAN_ID_LIST</formula1>
    </dataValidation>
  </dataValidation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90135-C47E-422D-AFA7-AD8F87E7C8B9}">
  <sheetPr>
    <tabColor rgb="FF0070C0"/>
  </sheetPr>
  <dimension ref="A1:L81"/>
  <sheetViews>
    <sheetView workbookViewId="0">
      <selection activeCell="G8" sqref="G8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2888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C9200-24P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13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FGHLHN144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Server Access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READY</v>
      </c>
      <c r="F6" s="116" t="s">
        <v>1570</v>
      </c>
      <c r="G6" s="117"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">
        <v>1018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10.224.21.144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0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COPPER</v>
      </c>
    </row>
    <row r="12" spans="1:10">
      <c r="B12" s="116" t="s">
        <v>1833</v>
      </c>
      <c r="C12" s="117">
        <f>INDEX(SWITCH_TABLE[#Data],$H$3,MATCH(B12,SWITCH_TABLE[#Headers],0))</f>
        <v>0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FGHLHN42-1</v>
      </c>
      <c r="H12" s="118" t="str" cm="1">
        <f t="array" ref="H12">IF(G12="","",INDEX(SWITCH_TABLE[#Data],$H$3,MATCH("Remote Port 1",SWITCH_TABLE[#Headers],0)))</f>
        <v>twe1/0/47</v>
      </c>
    </row>
    <row r="13" spans="1:10">
      <c r="B13" s="116" t="s">
        <v>1837</v>
      </c>
      <c r="C13" s="117">
        <f>INDEX(SWITCH_TABLE[#Data],$H$3,MATCH(B13,SWITCH_TABLE[#Headers],0))</f>
        <v>0</v>
      </c>
      <c r="D13" s="117">
        <f>INDEX(SWITCH_TABLE[#Data],$H$3,MATCH("Next Port",SWITCH_TABLE[#Headers],0))</f>
        <v>0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COPPER</v>
      </c>
    </row>
    <row r="14" spans="1:10">
      <c r="B14" s="116" t="s">
        <v>1842</v>
      </c>
      <c r="C14" s="117">
        <f>INDEX(SWITCH_TABLE[#Data],$H$3,MATCH(B14,SWITCH_TABLE[#Headers],0))</f>
        <v>0</v>
      </c>
      <c r="D14" s="117">
        <f>INDEX(SWITCH_TABLE[#Data],$H$3,MATCH("Prev Port",SWITCH_TABLE[#Headers],0))</f>
        <v>0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FGHLHN42-2</v>
      </c>
      <c r="H14" s="118" t="str" cm="1">
        <f t="array" ref="H14">IF(G14="","",INDEX(SWITCH_TABLE[#Data],$H$3,MATCH("Remote Port 2",SWITCH_TABLE[#Headers],0)))</f>
        <v>twe2/0/47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2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cm="1">
        <f t="array" ref="D17">IF($J17&lt;&gt;"",INDEX(Connections!$B$4:$V$345,$J17,MATCH(D$16,Connections!$B$3:$V$3,0)),"")</f>
        <v>0</v>
      </c>
      <c r="E17" s="51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46" t="str" cm="1">
        <f t="array" ref="F17">IF($J17&lt;&gt;"",INDEX(Connections!$B$4:$V$345,$J17,MATCH(F$16,Connections!$B$3:$V$3,0)),"")</f>
        <v>auto</v>
      </c>
      <c r="G17" s="46" t="str" cm="1">
        <f t="array" ref="G17">IF($J17&lt;&gt;"",INDEX(Connections!$B$4:$V$345,$J17,MATCH(G$16,Connections!$B$3:$V$3,0)),"")</f>
        <v>1GB COPPER</v>
      </c>
      <c r="H17" s="46" t="str" cm="1">
        <f t="array" ref="H17">IF($J17&lt;&gt;"",INDEX(Connections!$B$4:$V$345,$J17,MATCH(H$16,Connections!$B$3:$V$3,0)),"")</f>
        <v>Security camera In/Camera 1 (Camera)</v>
      </c>
      <c r="J17" s="118">
        <f>_xlfn.IFNA(MATCH(SHEET_NAME&amp;" "&amp;B17,Connections!$L$4:$L$345,0),"")</f>
        <v>329</v>
      </c>
      <c r="L17" s="111" t="s">
        <v>2661</v>
      </c>
    </row>
    <row r="18" spans="1:12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cm="1">
        <f t="array" ref="D18">IF($J18&lt;&gt;"",INDEX(Connections!$B$4:$V$345,$J18,MATCH(D$16,Connections!$B$3:$V$3,0)),"")</f>
        <v>0</v>
      </c>
      <c r="E18" s="51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46" t="str" cm="1">
        <f t="array" ref="F18">IF($J18&lt;&gt;"",INDEX(Connections!$B$4:$V$345,$J18,MATCH(F$16,Connections!$B$3:$V$3,0)),"")</f>
        <v>auto</v>
      </c>
      <c r="G18" s="46" t="str" cm="1">
        <f t="array" ref="G18">IF($J18&lt;&gt;"",INDEX(Connections!$B$4:$V$345,$J18,MATCH(G$16,Connections!$B$3:$V$3,0)),"")</f>
        <v>1GB COPPER</v>
      </c>
      <c r="H18" s="46" t="str" cm="1">
        <f t="array" ref="H18">IF($J18&lt;&gt;"",INDEX(Connections!$B$4:$V$345,$J18,MATCH(H$16,Connections!$B$3:$V$3,0)),"")</f>
        <v>Security Camera Out/Camera 2 (Camera)</v>
      </c>
      <c r="J18" s="118">
        <f>_xlfn.IFNA(MATCH(SHEET_NAME&amp;" "&amp;B18,Connections!$L$4:$L$345,0),"")</f>
        <v>330</v>
      </c>
    </row>
    <row r="19" spans="1:12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cm="1">
        <f t="array" ref="D19">IF($J19&lt;&gt;"",INDEX(Connections!$B$4:$V$345,$J19,MATCH(D$16,Connections!$B$3:$V$3,0)),"")</f>
        <v>0</v>
      </c>
      <c r="E19" s="51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46" t="str" cm="1">
        <f t="array" ref="F19">IF($J19&lt;&gt;"",INDEX(Connections!$B$4:$V$345,$J19,MATCH(F$16,Connections!$B$3:$V$3,0)),"")</f>
        <v>auto</v>
      </c>
      <c r="G19" s="46" t="str" cm="1">
        <f t="array" ref="G19">IF($J19&lt;&gt;"",INDEX(Connections!$B$4:$V$345,$J19,MATCH(G$16,Connections!$B$3:$V$3,0)),"")</f>
        <v>1GB COPPER</v>
      </c>
      <c r="H19" s="46" t="str" cm="1">
        <f t="array" ref="H19">IF($J19&lt;&gt;"",INDEX(Connections!$B$4:$V$345,$J19,MATCH(H$16,Connections!$B$3:$V$3,0)),"")</f>
        <v>CR2 Phone/Phone (Phone)</v>
      </c>
      <c r="J19" s="118">
        <f>_xlfn.IFNA(MATCH(SHEET_NAME&amp;" "&amp;B19,Connections!$L$4:$L$345,0),"")</f>
        <v>331</v>
      </c>
    </row>
    <row r="20" spans="1:12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cm="1">
        <f t="array" ref="D20">IF($J20&lt;&gt;"",INDEX(Connections!$B$4:$V$345,$J20,MATCH(D$16,Connections!$B$3:$V$3,0)),"")</f>
        <v>220</v>
      </c>
      <c r="E20" s="51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46" t="str" cm="1">
        <f t="array" ref="F20">IF($J20&lt;&gt;"",INDEX(Connections!$B$4:$V$345,$J20,MATCH(F$16,Connections!$B$3:$V$3,0)),"")</f>
        <v>auto</v>
      </c>
      <c r="G20" s="46" t="str" cm="1">
        <f t="array" ref="G20">IF($J20&lt;&gt;"",INDEX(Connections!$B$4:$V$345,$J20,MATCH(G$16,Connections!$B$3:$V$3,0)),"")</f>
        <v>1GB COPPER</v>
      </c>
      <c r="H20" s="46" t="str" cm="1">
        <f t="array" ref="H20">IF($J20&lt;&gt;"",INDEX(Connections!$B$4:$V$345,$J20,MATCH(H$16,Connections!$B$3:$V$3,0)),"")</f>
        <v>FGH-Vsphere22/data1 (Physical Server)</v>
      </c>
      <c r="J20" s="118">
        <f>_xlfn.IFNA(MATCH(SHEET_NAME&amp;" "&amp;B20,Connections!$L$4:$L$345,0),"")</f>
        <v>319</v>
      </c>
    </row>
    <row r="21" spans="1:12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cm="1">
        <f t="array" ref="D21">IF($J21&lt;&gt;"",INDEX(Connections!$B$4:$V$345,$J21,MATCH(D$16,Connections!$B$3:$V$3,0)),"")</f>
        <v>300</v>
      </c>
      <c r="E21" s="51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46" t="str" cm="1">
        <f t="array" ref="F21">IF($J21&lt;&gt;"",INDEX(Connections!$B$4:$V$345,$J21,MATCH(F$16,Connections!$B$3:$V$3,0)),"")</f>
        <v>auto</v>
      </c>
      <c r="G21" s="46" t="str" cm="1">
        <f t="array" ref="G21">IF($J21&lt;&gt;"",INDEX(Connections!$B$4:$V$345,$J21,MATCH(G$16,Connections!$B$3:$V$3,0)),"")</f>
        <v>1GB COPPER</v>
      </c>
      <c r="H21" s="46" t="str" cm="1">
        <f t="array" ref="H21">IF($J21&lt;&gt;"",INDEX(Connections!$B$4:$V$345,$J21,MATCH(H$16,Connections!$B$3:$V$3,0)),"")</f>
        <v>FGH-Vsphere22/data2 (Physical Server)</v>
      </c>
      <c r="J21" s="118">
        <f>_xlfn.IFNA(MATCH(SHEET_NAME&amp;" "&amp;B21,Connections!$L$4:$L$345,0),"")</f>
        <v>320</v>
      </c>
    </row>
    <row r="22" spans="1:12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cm="1">
        <f t="array" ref="D22">IF($J22&lt;&gt;"",INDEX(Connections!$B$4:$V$345,$J22,MATCH(D$16,Connections!$B$3:$V$3,0)),"")</f>
        <v>32</v>
      </c>
      <c r="E22" s="51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46" t="str" cm="1">
        <f t="array" ref="F22">IF($J22&lt;&gt;"",INDEX(Connections!$B$4:$V$345,$J22,MATCH(F$16,Connections!$B$3:$V$3,0)),"")</f>
        <v>auto</v>
      </c>
      <c r="G22" s="46" t="str" cm="1">
        <f t="array" ref="G22">IF($J22&lt;&gt;"",INDEX(Connections!$B$4:$V$345,$J22,MATCH(G$16,Connections!$B$3:$V$3,0)),"")</f>
        <v>1GB COPPER</v>
      </c>
      <c r="H22" s="46" t="str" cm="1">
        <f t="array" ref="H22">IF($J22&lt;&gt;"",INDEX(Connections!$B$4:$V$345,$J22,MATCH(H$16,Connections!$B$3:$V$3,0)),"")</f>
        <v>FGH-Vsphere22/data3 (Physical Server)</v>
      </c>
      <c r="J22" s="118">
        <f>_xlfn.IFNA(MATCH(SHEET_NAME&amp;" "&amp;B22,Connections!$L$4:$L$345,0),"")</f>
        <v>321</v>
      </c>
    </row>
    <row r="23" spans="1:12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connect</v>
      </c>
      <c r="D23" s="46" cm="1">
        <f t="array" ref="D23">IF($J23&lt;&gt;"",INDEX(Connections!$B$4:$V$345,$J23,MATCH(D$16,Connections!$B$3:$V$3,0)),"")</f>
        <v>230</v>
      </c>
      <c r="E23" s="51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46" t="str" cm="1">
        <f t="array" ref="F23">IF($J23&lt;&gt;"",INDEX(Connections!$B$4:$V$345,$J23,MATCH(F$16,Connections!$B$3:$V$3,0)),"")</f>
        <v>auto</v>
      </c>
      <c r="G23" s="46" t="str" cm="1">
        <f t="array" ref="G23">IF($J23&lt;&gt;"",INDEX(Connections!$B$4:$V$345,$J23,MATCH(G$16,Connections!$B$3:$V$3,0)),"")</f>
        <v>1GB COPPER</v>
      </c>
      <c r="H23" s="46" t="str" cm="1">
        <f t="array" ref="H23">IF($J23&lt;&gt;"",INDEX(Connections!$B$4:$V$345,$J23,MATCH(H$16,Connections!$B$3:$V$3,0)),"")</f>
        <v>MDL02/data1 (Physical Server)</v>
      </c>
      <c r="J23" s="118">
        <f>_xlfn.IFNA(MATCH(SHEET_NAME&amp;" "&amp;B23,Connections!$L$4:$L$345,0),"")</f>
        <v>322</v>
      </c>
    </row>
    <row r="24" spans="1:12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connect</v>
      </c>
      <c r="D24" s="46" cm="1">
        <f t="array" ref="D24">IF($J24&lt;&gt;"",INDEX(Connections!$B$4:$V$345,$J24,MATCH(D$16,Connections!$B$3:$V$3,0)),"")</f>
        <v>230</v>
      </c>
      <c r="E24" s="51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46" t="str" cm="1">
        <f t="array" ref="F24">IF($J24&lt;&gt;"",INDEX(Connections!$B$4:$V$345,$J24,MATCH(F$16,Connections!$B$3:$V$3,0)),"")</f>
        <v>auto</v>
      </c>
      <c r="G24" s="46" t="str" cm="1">
        <f t="array" ref="G24">IF($J24&lt;&gt;"",INDEX(Connections!$B$4:$V$345,$J24,MATCH(G$16,Connections!$B$3:$V$3,0)),"")</f>
        <v>1GB COPPER</v>
      </c>
      <c r="H24" s="46" t="str" cm="1">
        <f t="array" ref="H24">IF($J24&lt;&gt;"",INDEX(Connections!$B$4:$V$345,$J24,MATCH(H$16,Connections!$B$3:$V$3,0)),"")</f>
        <v>MDL02/data2 (Physical Server)</v>
      </c>
      <c r="J24" s="118">
        <f>_xlfn.IFNA(MATCH(SHEET_NAME&amp;" "&amp;B24,Connections!$L$4:$L$345,0),"")</f>
        <v>323</v>
      </c>
    </row>
    <row r="25" spans="1:12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connect</v>
      </c>
      <c r="D25" s="46" cm="1">
        <f t="array" ref="D25">IF($J25&lt;&gt;"",INDEX(Connections!$B$4:$V$345,$J25,MATCH(D$16,Connections!$B$3:$V$3,0)),"")</f>
        <v>230</v>
      </c>
      <c r="E25" s="51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46" t="str" cm="1">
        <f t="array" ref="F25">IF($J25&lt;&gt;"",INDEX(Connections!$B$4:$V$345,$J25,MATCH(F$16,Connections!$B$3:$V$3,0)),"")</f>
        <v>auto</v>
      </c>
      <c r="G25" s="46" t="str" cm="1">
        <f t="array" ref="G25">IF($J25&lt;&gt;"",INDEX(Connections!$B$4:$V$345,$J25,MATCH(G$16,Connections!$B$3:$V$3,0)),"")</f>
        <v>1GB COPPER</v>
      </c>
      <c r="H25" s="46" t="str" cm="1">
        <f t="array" ref="H25">IF($J25&lt;&gt;"",INDEX(Connections!$B$4:$V$345,$J25,MATCH(H$16,Connections!$B$3:$V$3,0)),"")</f>
        <v>QNAP Tier3-1/data1 (Physical Server)</v>
      </c>
      <c r="J25" s="118">
        <f>_xlfn.IFNA(MATCH(SHEET_NAME&amp;" "&amp;B25,Connections!$L$4:$L$345,0),"")</f>
        <v>324</v>
      </c>
    </row>
    <row r="26" spans="1:12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connect</v>
      </c>
      <c r="D26" s="46" cm="1">
        <f t="array" ref="D26">IF($J26&lt;&gt;"",INDEX(Connections!$B$4:$V$345,$J26,MATCH(D$16,Connections!$B$3:$V$3,0)),"")</f>
        <v>300</v>
      </c>
      <c r="E26" s="51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46" t="str" cm="1">
        <f t="array" ref="F26">IF($J26&lt;&gt;"",INDEX(Connections!$B$4:$V$345,$J26,MATCH(F$16,Connections!$B$3:$V$3,0)),"")</f>
        <v>auto</v>
      </c>
      <c r="G26" s="46" t="str" cm="1">
        <f t="array" ref="G26">IF($J26&lt;&gt;"",INDEX(Connections!$B$4:$V$345,$J26,MATCH(G$16,Connections!$B$3:$V$3,0)),"")</f>
        <v>1GB COPPER</v>
      </c>
      <c r="H26" s="46" t="str" cm="1">
        <f t="array" ref="H26">IF($J26&lt;&gt;"",INDEX(Connections!$B$4:$V$345,$J26,MATCH(H$16,Connections!$B$3:$V$3,0)),"")</f>
        <v>QNAP Tier3-1/data2 (Physical Server)</v>
      </c>
      <c r="J26" s="118">
        <f>_xlfn.IFNA(MATCH(SHEET_NAME&amp;" "&amp;B26,Connections!$L$4:$L$345,0),"")</f>
        <v>325</v>
      </c>
    </row>
    <row r="27" spans="1:12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connect</v>
      </c>
      <c r="D27" s="46" cm="1">
        <f t="array" ref="D27">IF($J27&lt;&gt;"",INDEX(Connections!$B$4:$V$345,$J27,MATCH(D$16,Connections!$B$3:$V$3,0)),"")</f>
        <v>230</v>
      </c>
      <c r="E27" s="51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46" t="str" cm="1">
        <f t="array" ref="F27">IF($J27&lt;&gt;"",INDEX(Connections!$B$4:$V$345,$J27,MATCH(F$16,Connections!$B$3:$V$3,0)),"")</f>
        <v>auto</v>
      </c>
      <c r="G27" s="46" t="str" cm="1">
        <f t="array" ref="G27">IF($J27&lt;&gt;"",INDEX(Connections!$B$4:$V$345,$J27,MATCH(G$16,Connections!$B$3:$V$3,0)),"")</f>
        <v>1GB COPPER</v>
      </c>
      <c r="H27" s="46" t="str" cm="1">
        <f t="array" ref="H27">IF($J27&lt;&gt;"",INDEX(Connections!$B$4:$V$345,$J27,MATCH(H$16,Connections!$B$3:$V$3,0)),"")</f>
        <v>MD3000i/data1 (Physical Server)</v>
      </c>
      <c r="J27" s="118">
        <f>_xlfn.IFNA(MATCH(SHEET_NAME&amp;" "&amp;B27,Connections!$L$4:$L$345,0),"")</f>
        <v>326</v>
      </c>
    </row>
    <row r="28" spans="1:12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connect</v>
      </c>
      <c r="D28" s="46" cm="1">
        <f t="array" ref="D28">IF($J28&lt;&gt;"",INDEX(Connections!$B$4:$V$345,$J28,MATCH(D$16,Connections!$B$3:$V$3,0)),"")</f>
        <v>230</v>
      </c>
      <c r="E28" s="51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46" t="str" cm="1">
        <f t="array" ref="F28">IF($J28&lt;&gt;"",INDEX(Connections!$B$4:$V$345,$J28,MATCH(F$16,Connections!$B$3:$V$3,0)),"")</f>
        <v>auto</v>
      </c>
      <c r="G28" s="46" t="str" cm="1">
        <f t="array" ref="G28">IF($J28&lt;&gt;"",INDEX(Connections!$B$4:$V$345,$J28,MATCH(G$16,Connections!$B$3:$V$3,0)),"")</f>
        <v>1GB COPPER</v>
      </c>
      <c r="H28" s="46" t="str" cm="1">
        <f t="array" ref="H28">IF($J28&lt;&gt;"",INDEX(Connections!$B$4:$V$345,$J28,MATCH(H$16,Connections!$B$3:$V$3,0)),"")</f>
        <v>MD3000i/data2 (Physical Server)</v>
      </c>
      <c r="J28" s="118">
        <f>_xlfn.IFNA(MATCH(SHEET_NAME&amp;" "&amp;B28,Connections!$L$4:$L$345,0),"")</f>
        <v>327</v>
      </c>
    </row>
    <row r="29" spans="1:12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connect</v>
      </c>
      <c r="D29" s="46" cm="1">
        <f t="array" ref="D29">IF($J29&lt;&gt;"",INDEX(Connections!$B$4:$V$345,$J29,MATCH(D$16,Connections!$B$3:$V$3,0)),"")</f>
        <v>230</v>
      </c>
      <c r="E29" s="51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46" t="str" cm="1">
        <f t="array" ref="F29">IF($J29&lt;&gt;"",INDEX(Connections!$B$4:$V$345,$J29,MATCH(F$16,Connections!$B$3:$V$3,0)),"")</f>
        <v>auto</v>
      </c>
      <c r="G29" s="46" t="str" cm="1">
        <f t="array" ref="G29">IF($J29&lt;&gt;"",INDEX(Connections!$B$4:$V$345,$J29,MATCH(G$16,Connections!$B$3:$V$3,0)),"")</f>
        <v>1GB COPPER</v>
      </c>
      <c r="H29" s="46" t="str" cm="1">
        <f t="array" ref="H29">IF($J29&lt;&gt;"",INDEX(Connections!$B$4:$V$345,$J29,MATCH(H$16,Connections!$B$3:$V$3,0)),"")</f>
        <v>MDL01/data (Physical Server)</v>
      </c>
      <c r="J29" s="118">
        <f>_xlfn.IFNA(MATCH(SHEET_NAME&amp;" "&amp;B29,Connections!$L$4:$L$345,0),"")</f>
        <v>328</v>
      </c>
    </row>
    <row r="30" spans="1:12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46" t="str" cm="1">
        <f t="array" ref="D30">IF($J30&lt;&gt;"",INDEX(Connections!$B$4:$V$345,$J30,MATCH(D$16,Connections!$B$3:$V$3,0)),"")</f>
        <v/>
      </c>
      <c r="E30" s="51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46" t="str" cm="1">
        <f t="array" ref="F30">IF($J30&lt;&gt;"",INDEX(Connections!$B$4:$V$345,$J30,MATCH(F$16,Connections!$B$3:$V$3,0)),"")</f>
        <v/>
      </c>
      <c r="G30" s="46" t="str" cm="1">
        <f t="array" ref="G30">IF($J30&lt;&gt;"",INDEX(Connections!$B$4:$V$345,$J30,MATCH(G$16,Connections!$B$3:$V$3,0)),"")</f>
        <v/>
      </c>
      <c r="H30" s="46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2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46" t="str" cm="1">
        <f t="array" ref="D31">IF($J31&lt;&gt;"",INDEX(Connections!$B$4:$V$345,$J31,MATCH(D$16,Connections!$B$3:$V$3,0)),"")</f>
        <v/>
      </c>
      <c r="E31" s="51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46" t="str" cm="1">
        <f t="array" ref="F31">IF($J31&lt;&gt;"",INDEX(Connections!$B$4:$V$345,$J31,MATCH(F$16,Connections!$B$3:$V$3,0)),"")</f>
        <v/>
      </c>
      <c r="G31" s="46" t="str" cm="1">
        <f t="array" ref="G31">IF($J31&lt;&gt;"",INDEX(Connections!$B$4:$V$345,$J31,MATCH(G$16,Connections!$B$3:$V$3,0)),"")</f>
        <v/>
      </c>
      <c r="H31" s="46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2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46" t="str" cm="1">
        <f t="array" ref="D32">IF($J32&lt;&gt;"",INDEX(Connections!$B$4:$V$345,$J32,MATCH(D$16,Connections!$B$3:$V$3,0)),"")</f>
        <v/>
      </c>
      <c r="E32" s="51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46" t="str" cm="1">
        <f t="array" ref="F32">IF($J32&lt;&gt;"",INDEX(Connections!$B$4:$V$345,$J32,MATCH(F$16,Connections!$B$3:$V$3,0)),"")</f>
        <v/>
      </c>
      <c r="G32" s="46" t="str" cm="1">
        <f t="array" ref="G32">IF($J32&lt;&gt;"",INDEX(Connections!$B$4:$V$345,$J32,MATCH(G$16,Connections!$B$3:$V$3,0)),"")</f>
        <v/>
      </c>
      <c r="H32" s="46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46" t="str" cm="1">
        <f t="array" ref="D33">IF($J33&lt;&gt;"",INDEX(Connections!$B$4:$V$345,$J33,MATCH(D$16,Connections!$B$3:$V$3,0)),"")</f>
        <v/>
      </c>
      <c r="E33" s="51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46" t="str" cm="1">
        <f t="array" ref="F33">IF($J33&lt;&gt;"",INDEX(Connections!$B$4:$V$345,$J33,MATCH(F$16,Connections!$B$3:$V$3,0)),"")</f>
        <v/>
      </c>
      <c r="G33" s="46" t="str" cm="1">
        <f t="array" ref="G33">IF($J33&lt;&gt;"",INDEX(Connections!$B$4:$V$345,$J33,MATCH(G$16,Connections!$B$3:$V$3,0)),"")</f>
        <v/>
      </c>
      <c r="H33" s="46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2611</v>
      </c>
      <c r="D34" s="46" t="str" cm="1">
        <f t="array" ref="D34">IF($J34&lt;&gt;"",INDEX(Connections!$B$4:$V$345,$J34,MATCH(D$16,Connections!$B$3:$V$3,0)),"")</f>
        <v/>
      </c>
      <c r="E34" s="51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46" t="str" cm="1">
        <f t="array" ref="F34">IF($J34&lt;&gt;"",INDEX(Connections!$B$4:$V$345,$J34,MATCH(F$16,Connections!$B$3:$V$3,0)),"")</f>
        <v/>
      </c>
      <c r="G34" s="46" t="str" cm="1">
        <f t="array" ref="G34">IF($J34&lt;&gt;"",INDEX(Connections!$B$4:$V$345,$J34,MATCH(G$16,Connections!$B$3:$V$3,0)),"")</f>
        <v/>
      </c>
      <c r="H34" s="46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2611</v>
      </c>
      <c r="D35" s="46" t="str" cm="1">
        <f t="array" ref="D35">IF($J35&lt;&gt;"",INDEX(Connections!$B$4:$V$345,$J35,MATCH(D$16,Connections!$B$3:$V$3,0)),"")</f>
        <v/>
      </c>
      <c r="E35" s="51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46" t="str" cm="1">
        <f t="array" ref="F35">IF($J35&lt;&gt;"",INDEX(Connections!$B$4:$V$345,$J35,MATCH(F$16,Connections!$B$3:$V$3,0)),"")</f>
        <v/>
      </c>
      <c r="G35" s="46" t="str" cm="1">
        <f t="array" ref="G35">IF($J35&lt;&gt;"",INDEX(Connections!$B$4:$V$345,$J35,MATCH(G$16,Connections!$B$3:$V$3,0)),"")</f>
        <v/>
      </c>
      <c r="H35" s="46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2611</v>
      </c>
      <c r="D36" s="46" t="str" cm="1">
        <f t="array" ref="D36">IF($J36&lt;&gt;"",INDEX(Connections!$B$4:$V$345,$J36,MATCH(D$16,Connections!$B$3:$V$3,0)),"")</f>
        <v/>
      </c>
      <c r="E36" s="51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46" t="str" cm="1">
        <f t="array" ref="F36">IF($J36&lt;&gt;"",INDEX(Connections!$B$4:$V$345,$J36,MATCH(F$16,Connections!$B$3:$V$3,0)),"")</f>
        <v/>
      </c>
      <c r="G36" s="46" t="str" cm="1">
        <f t="array" ref="G36">IF($J36&lt;&gt;"",INDEX(Connections!$B$4:$V$345,$J36,MATCH(G$16,Connections!$B$3:$V$3,0)),"")</f>
        <v/>
      </c>
      <c r="H36" s="46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46" t="str" cm="1">
        <f t="array" ref="D37">IF($J37&lt;&gt;"",INDEX(Connections!$B$4:$V$345,$J37,MATCH(D$16,Connections!$B$3:$V$3,0)),"")</f>
        <v/>
      </c>
      <c r="E37" s="51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46" t="str" cm="1">
        <f t="array" ref="F37">IF($J37&lt;&gt;"",INDEX(Connections!$B$4:$V$345,$J37,MATCH(F$16,Connections!$B$3:$V$3,0)),"")</f>
        <v/>
      </c>
      <c r="G37" s="46" t="str" cm="1">
        <f t="array" ref="G37">IF($J37&lt;&gt;"",INDEX(Connections!$B$4:$V$345,$J37,MATCH(G$16,Connections!$B$3:$V$3,0)),"")</f>
        <v/>
      </c>
      <c r="H37" s="46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46" t="str" cm="1">
        <f t="array" ref="D38">IF($J38&lt;&gt;"",INDEX(Connections!$B$4:$V$345,$J38,MATCH(D$16,Connections!$B$3:$V$3,0)),"")</f>
        <v/>
      </c>
      <c r="E38" s="51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46" t="str" cm="1">
        <f t="array" ref="F38">IF($J38&lt;&gt;"",INDEX(Connections!$B$4:$V$345,$J38,MATCH(F$16,Connections!$B$3:$V$3,0)),"")</f>
        <v/>
      </c>
      <c r="G38" s="46" t="str" cm="1">
        <f t="array" ref="G38">IF($J38&lt;&gt;"",INDEX(Connections!$B$4:$V$345,$J38,MATCH(G$16,Connections!$B$3:$V$3,0)),"")</f>
        <v/>
      </c>
      <c r="H38" s="46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46" t="str" cm="1">
        <f t="array" ref="D39">IF($J39&lt;&gt;"",INDEX(Connections!$B$4:$V$345,$J39,MATCH(D$16,Connections!$B$3:$V$3,0)),"")</f>
        <v/>
      </c>
      <c r="E39" s="51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46" t="str" cm="1">
        <f t="array" ref="F39">IF($J39&lt;&gt;"",INDEX(Connections!$B$4:$V$345,$J39,MATCH(F$16,Connections!$B$3:$V$3,0)),"")</f>
        <v/>
      </c>
      <c r="G39" s="46" t="str" cm="1">
        <f t="array" ref="G39">IF($J39&lt;&gt;"",INDEX(Connections!$B$4:$V$345,$J39,MATCH(G$16,Connections!$B$3:$V$3,0)),"")</f>
        <v/>
      </c>
      <c r="H39" s="46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46" t="str" cm="1">
        <f t="array" ref="D40">IF($J40&lt;&gt;"",INDEX(Connections!$B$4:$V$345,$J40,MATCH(D$16,Connections!$B$3:$V$3,0)),"")</f>
        <v/>
      </c>
      <c r="E40" s="51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46" t="str" cm="1">
        <f t="array" ref="F40">IF($J40&lt;&gt;"",INDEX(Connections!$B$4:$V$345,$J40,MATCH(F$16,Connections!$B$3:$V$3,0)),"")</f>
        <v/>
      </c>
      <c r="G40" s="46" t="str" cm="1">
        <f t="array" ref="G40">IF($J40&lt;&gt;"",INDEX(Connections!$B$4:$V$345,$J40,MATCH(G$16,Connections!$B$3:$V$3,0)),"")</f>
        <v/>
      </c>
      <c r="H40" s="46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46" t="str" cm="1">
        <f t="array" ref="D41">IF($J41&lt;&gt;"",INDEX(Connections!$B$4:$V$345,$J41,MATCH(D$16,Connections!$B$3:$V$3,0)),"")</f>
        <v/>
      </c>
      <c r="E41" s="51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46" t="str" cm="1">
        <f t="array" ref="F41">IF($J41&lt;&gt;"",INDEX(Connections!$B$4:$V$345,$J41,MATCH(F$16,Connections!$B$3:$V$3,0)),"")</f>
        <v/>
      </c>
      <c r="G41" s="46" t="str" cm="1">
        <f t="array" ref="G41">IF($J41&lt;&gt;"",INDEX(Connections!$B$4:$V$345,$J41,MATCH(G$16,Connections!$B$3:$V$3,0)),"")</f>
        <v/>
      </c>
      <c r="H41" s="46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46" t="str" cm="1">
        <f t="array" ref="D42">IF($J42&lt;&gt;"",INDEX(Connections!$B$4:$V$345,$J42,MATCH(D$16,Connections!$B$3:$V$3,0)),"")</f>
        <v/>
      </c>
      <c r="E42" s="51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46" t="str" cm="1">
        <f t="array" ref="F42">IF($J42&lt;&gt;"",INDEX(Connections!$B$4:$V$345,$J42,MATCH(F$16,Connections!$B$3:$V$3,0)),"")</f>
        <v/>
      </c>
      <c r="G42" s="46" t="str" cm="1">
        <f t="array" ref="G42">IF($J42&lt;&gt;"",INDEX(Connections!$B$4:$V$345,$J42,MATCH(G$16,Connections!$B$3:$V$3,0)),"")</f>
        <v/>
      </c>
      <c r="H42" s="46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46" t="str" cm="1">
        <f t="array" ref="D43">IF($J43&lt;&gt;"",INDEX(Connections!$B$4:$V$345,$J43,MATCH(D$16,Connections!$B$3:$V$3,0)),"")</f>
        <v/>
      </c>
      <c r="E43" s="51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46" t="str" cm="1">
        <f t="array" ref="F43">IF($J43&lt;&gt;"",INDEX(Connections!$B$4:$V$345,$J43,MATCH(F$16,Connections!$B$3:$V$3,0)),"")</f>
        <v/>
      </c>
      <c r="G43" s="46" t="str" cm="1">
        <f t="array" ref="G43">IF($J43&lt;&gt;"",INDEX(Connections!$B$4:$V$345,$J43,MATCH(G$16,Connections!$B$3:$V$3,0)),"")</f>
        <v/>
      </c>
      <c r="H43" s="46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">
        <v>2611</v>
      </c>
      <c r="D44" s="46" t="str" cm="1">
        <f t="array" ref="D44">IF($J44&lt;&gt;"",INDEX(Connections!$B$4:$V$345,$J44,MATCH(D$16,Connections!$B$3:$V$3,0)),"")</f>
        <v/>
      </c>
      <c r="E44" s="51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46" t="str" cm="1">
        <f t="array" ref="F44">IF($J44&lt;&gt;"",INDEX(Connections!$B$4:$V$345,$J44,MATCH(F$16,Connections!$B$3:$V$3,0)),"")</f>
        <v/>
      </c>
      <c r="G44" s="46" t="str" cm="1">
        <f t="array" ref="G44">IF($J44&lt;&gt;"",INDEX(Connections!$B$4:$V$345,$J44,MATCH(G$16,Connections!$B$3:$V$3,0)),"")</f>
        <v/>
      </c>
      <c r="H44" s="46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">
        <v>2611</v>
      </c>
      <c r="D45" s="46" t="str" cm="1">
        <f t="array" ref="D45">IF($J45&lt;&gt;"",INDEX(Connections!$B$4:$V$345,$J45,MATCH(D$16,Connections!$B$3:$V$3,0)),"")</f>
        <v/>
      </c>
      <c r="E45" s="51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46" t="str" cm="1">
        <f t="array" ref="F45">IF($J45&lt;&gt;"",INDEX(Connections!$B$4:$V$345,$J45,MATCH(F$16,Connections!$B$3:$V$3,0)),"")</f>
        <v/>
      </c>
      <c r="G45" s="46" t="str" cm="1">
        <f t="array" ref="G45">IF($J45&lt;&gt;"",INDEX(Connections!$B$4:$V$345,$J45,MATCH(G$16,Connections!$B$3:$V$3,0)),"")</f>
        <v/>
      </c>
      <c r="H45" s="46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">
        <v>2611</v>
      </c>
      <c r="D46" s="46" t="str" cm="1">
        <f t="array" ref="D46">IF($J46&lt;&gt;"",INDEX(Connections!$B$4:$V$345,$J46,MATCH(D$16,Connections!$B$3:$V$3,0)),"")</f>
        <v/>
      </c>
      <c r="E46" s="51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46" t="str" cm="1">
        <f t="array" ref="F46">IF($J46&lt;&gt;"",INDEX(Connections!$B$4:$V$345,$J46,MATCH(F$16,Connections!$B$3:$V$3,0)),"")</f>
        <v/>
      </c>
      <c r="G46" s="46" t="str" cm="1">
        <f t="array" ref="G46">IF($J46&lt;&gt;"",INDEX(Connections!$B$4:$V$345,$J46,MATCH(G$16,Connections!$B$3:$V$3,0)),"")</f>
        <v/>
      </c>
      <c r="H46" s="46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46" t="str" cm="1">
        <f t="array" ref="D47">IF($J47&lt;&gt;"",INDEX(Connections!$B$4:$V$345,$J47,MATCH(D$16,Connections!$B$3:$V$3,0)),"")</f>
        <v/>
      </c>
      <c r="E47" s="51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46" t="str" cm="1">
        <f t="array" ref="F47">IF($J47&lt;&gt;"",INDEX(Connections!$B$4:$V$345,$J47,MATCH(F$16,Connections!$B$3:$V$3,0)),"")</f>
        <v/>
      </c>
      <c r="G47" s="46" t="str" cm="1">
        <f t="array" ref="G47">IF($J47&lt;&gt;"",INDEX(Connections!$B$4:$V$345,$J47,MATCH(G$16,Connections!$B$3:$V$3,0)),"")</f>
        <v/>
      </c>
      <c r="H47" s="46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46" t="str" cm="1">
        <f t="array" ref="D48">IF($J48&lt;&gt;"",INDEX(Connections!$B$4:$V$345,$J48,MATCH(D$16,Connections!$B$3:$V$3,0)),"")</f>
        <v/>
      </c>
      <c r="E48" s="51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46" t="str" cm="1">
        <f t="array" ref="F48">IF($J48&lt;&gt;"",INDEX(Connections!$B$4:$V$345,$J48,MATCH(F$16,Connections!$B$3:$V$3,0)),"")</f>
        <v/>
      </c>
      <c r="G48" s="46" t="str" cm="1">
        <f t="array" ref="G48">IF($J48&lt;&gt;"",INDEX(Connections!$B$4:$V$345,$J48,MATCH(G$16,Connections!$B$3:$V$3,0)),"")</f>
        <v/>
      </c>
      <c r="H48" s="46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46" t="str" cm="1">
        <f t="array" ref="D49">IF($J49&lt;&gt;"",INDEX(Connections!$B$4:$V$345,$J49,MATCH(D$16,Connections!$B$3:$V$3,0)),"")</f>
        <v/>
      </c>
      <c r="E49" s="51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46" t="str" cm="1">
        <f t="array" ref="F49">IF($J49&lt;&gt;"",INDEX(Connections!$B$4:$V$345,$J49,MATCH(F$16,Connections!$B$3:$V$3,0)),"")</f>
        <v/>
      </c>
      <c r="G49" s="46" t="str" cm="1">
        <f t="array" ref="G49">IF($J49&lt;&gt;"",INDEX(Connections!$B$4:$V$345,$J49,MATCH(G$16,Connections!$B$3:$V$3,0)),"")</f>
        <v/>
      </c>
      <c r="H49" s="46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46" t="str" cm="1">
        <f t="array" ref="D50">IF($J50&lt;&gt;"",INDEX(Connections!$B$4:$V$345,$J50,MATCH(D$16,Connections!$B$3:$V$3,0)),"")</f>
        <v/>
      </c>
      <c r="E50" s="51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46" t="str" cm="1">
        <f t="array" ref="F50">IF($J50&lt;&gt;"",INDEX(Connections!$B$4:$V$345,$J50,MATCH(F$16,Connections!$B$3:$V$3,0)),"")</f>
        <v/>
      </c>
      <c r="G50" s="46" t="str" cm="1">
        <f t="array" ref="G50">IF($J50&lt;&gt;"",INDEX(Connections!$B$4:$V$345,$J50,MATCH(G$16,Connections!$B$3:$V$3,0)),"")</f>
        <v/>
      </c>
      <c r="H50" s="46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46" t="str" cm="1">
        <f t="array" ref="D51">IF($J51&lt;&gt;"",INDEX(Connections!$B$4:$V$345,$J51,MATCH(D$16,Connections!$B$3:$V$3,0)),"")</f>
        <v/>
      </c>
      <c r="E51" s="51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46" t="str" cm="1">
        <f t="array" ref="F51">IF($J51&lt;&gt;"",INDEX(Connections!$B$4:$V$345,$J51,MATCH(F$16,Connections!$B$3:$V$3,0)),"")</f>
        <v/>
      </c>
      <c r="G51" s="46" t="str" cm="1">
        <f t="array" ref="G51">IF($J51&lt;&gt;"",INDEX(Connections!$B$4:$V$345,$J51,MATCH(G$16,Connections!$B$3:$V$3,0)),"")</f>
        <v/>
      </c>
      <c r="H51" s="46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46" t="str" cm="1">
        <f t="array" ref="D52">IF($J52&lt;&gt;"",INDEX(Connections!$B$4:$V$345,$J52,MATCH(D$16,Connections!$B$3:$V$3,0)),"")</f>
        <v/>
      </c>
      <c r="E52" s="51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46" t="str" cm="1">
        <f t="array" ref="F52">IF($J52&lt;&gt;"",INDEX(Connections!$B$4:$V$345,$J52,MATCH(F$16,Connections!$B$3:$V$3,0)),"")</f>
        <v/>
      </c>
      <c r="G52" s="46" t="str" cm="1">
        <f t="array" ref="G52">IF($J52&lt;&gt;"",INDEX(Connections!$B$4:$V$345,$J52,MATCH(G$16,Connections!$B$3:$V$3,0)),"")</f>
        <v/>
      </c>
      <c r="H52" s="46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46" t="str" cm="1">
        <f t="array" ref="D53">IF($J53&lt;&gt;"",INDEX(Connections!$B$4:$V$345,$J53,MATCH(D$16,Connections!$B$3:$V$3,0)),"")</f>
        <v/>
      </c>
      <c r="E53" s="51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46" t="str" cm="1">
        <f t="array" ref="F53">IF($J53&lt;&gt;"",INDEX(Connections!$B$4:$V$345,$J53,MATCH(F$16,Connections!$B$3:$V$3,0)),"")</f>
        <v/>
      </c>
      <c r="G53" s="46" t="str" cm="1">
        <f t="array" ref="G53">IF($J53&lt;&gt;"",INDEX(Connections!$B$4:$V$345,$J53,MATCH(G$16,Connections!$B$3:$V$3,0)),"")</f>
        <v/>
      </c>
      <c r="H53" s="46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46" t="str" cm="1">
        <f t="array" ref="D54">IF($J54&lt;&gt;"",INDEX(Connections!$B$4:$V$345,$J54,MATCH(D$16,Connections!$B$3:$V$3,0)),"")</f>
        <v/>
      </c>
      <c r="E54" s="51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46" t="str" cm="1">
        <f t="array" ref="F54">IF($J54&lt;&gt;"",INDEX(Connections!$B$4:$V$345,$J54,MATCH(F$16,Connections!$B$3:$V$3,0)),"")</f>
        <v/>
      </c>
      <c r="G54" s="46" t="str" cm="1">
        <f t="array" ref="G54">IF($J54&lt;&gt;"",INDEX(Connections!$B$4:$V$345,$J54,MATCH(G$16,Connections!$B$3:$V$3,0)),"")</f>
        <v/>
      </c>
      <c r="H54" s="46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46" t="str" cm="1">
        <f t="array" ref="D55">IF($J55&lt;&gt;"",INDEX(Connections!$B$4:$V$345,$J55,MATCH(D$16,Connections!$B$3:$V$3,0)),"")</f>
        <v/>
      </c>
      <c r="E55" s="51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46" t="str" cm="1">
        <f t="array" ref="F55">IF($J55&lt;&gt;"",INDEX(Connections!$B$4:$V$345,$J55,MATCH(F$16,Connections!$B$3:$V$3,0)),"")</f>
        <v/>
      </c>
      <c r="G55" s="46" t="str" cm="1">
        <f t="array" ref="G55">IF($J55&lt;&gt;"",INDEX(Connections!$B$4:$V$345,$J55,MATCH(G$16,Connections!$B$3:$V$3,0)),"")</f>
        <v/>
      </c>
      <c r="H55" s="46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46" t="str" cm="1">
        <f t="array" ref="D56">IF($J56&lt;&gt;"",INDEX(Connections!$B$4:$V$345,$J56,MATCH(D$16,Connections!$B$3:$V$3,0)),"")</f>
        <v/>
      </c>
      <c r="E56" s="51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46" t="str" cm="1">
        <f t="array" ref="F56">IF($J56&lt;&gt;"",INDEX(Connections!$B$4:$V$345,$J56,MATCH(F$16,Connections!$B$3:$V$3,0)),"")</f>
        <v/>
      </c>
      <c r="G56" s="46" t="str" cm="1">
        <f t="array" ref="G56">IF($J56&lt;&gt;"",INDEX(Connections!$B$4:$V$345,$J56,MATCH(G$16,Connections!$B$3:$V$3,0)),"")</f>
        <v/>
      </c>
      <c r="H56" s="46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46" t="str" cm="1">
        <f t="array" ref="D57">IF($J57&lt;&gt;"",INDEX(Connections!$B$4:$V$345,$J57,MATCH(D$16,Connections!$B$3:$V$3,0)),"")</f>
        <v/>
      </c>
      <c r="E57" s="51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46" t="str" cm="1">
        <f t="array" ref="F57">IF($J57&lt;&gt;"",INDEX(Connections!$B$4:$V$345,$J57,MATCH(F$16,Connections!$B$3:$V$3,0)),"")</f>
        <v/>
      </c>
      <c r="G57" s="46" t="str" cm="1">
        <f t="array" ref="G57">IF($J57&lt;&gt;"",INDEX(Connections!$B$4:$V$345,$J57,MATCH(G$16,Connections!$B$3:$V$3,0)),"")</f>
        <v/>
      </c>
      <c r="H57" s="46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46" t="str" cm="1">
        <f t="array" ref="D58">IF($J58&lt;&gt;"",INDEX(Connections!$B$4:$V$345,$J58,MATCH(D$16,Connections!$B$3:$V$3,0)),"")</f>
        <v/>
      </c>
      <c r="E58" s="51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46" t="str" cm="1">
        <f t="array" ref="F58">IF($J58&lt;&gt;"",INDEX(Connections!$B$4:$V$345,$J58,MATCH(F$16,Connections!$B$3:$V$3,0)),"")</f>
        <v/>
      </c>
      <c r="G58" s="46" t="str" cm="1">
        <f t="array" ref="G58">IF($J58&lt;&gt;"",INDEX(Connections!$B$4:$V$345,$J58,MATCH(G$16,Connections!$B$3:$V$3,0)),"")</f>
        <v/>
      </c>
      <c r="H58" s="46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46" t="str" cm="1">
        <f t="array" ref="D59">IF($J59&lt;&gt;"",INDEX(Connections!$B$4:$V$345,$J59,MATCH(D$16,Connections!$B$3:$V$3,0)),"")</f>
        <v/>
      </c>
      <c r="E59" s="51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46" t="str" cm="1">
        <f t="array" ref="F59">IF($J59&lt;&gt;"",INDEX(Connections!$B$4:$V$345,$J59,MATCH(F$16,Connections!$B$3:$V$3,0)),"")</f>
        <v/>
      </c>
      <c r="G59" s="46" t="str" cm="1">
        <f t="array" ref="G59">IF($J59&lt;&gt;"",INDEX(Connections!$B$4:$V$345,$J59,MATCH(G$16,Connections!$B$3:$V$3,0)),"")</f>
        <v/>
      </c>
      <c r="H59" s="46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46" t="str" cm="1">
        <f t="array" ref="D60">IF($J60&lt;&gt;"",INDEX(Connections!$B$4:$V$345,$J60,MATCH(D$16,Connections!$B$3:$V$3,0)),"")</f>
        <v/>
      </c>
      <c r="E60" s="51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46" t="str" cm="1">
        <f t="array" ref="F60">IF($J60&lt;&gt;"",INDEX(Connections!$B$4:$V$345,$J60,MATCH(F$16,Connections!$B$3:$V$3,0)),"")</f>
        <v/>
      </c>
      <c r="G60" s="46" t="str" cm="1">
        <f t="array" ref="G60">IF($J60&lt;&gt;"",INDEX(Connections!$B$4:$V$345,$J60,MATCH(G$16,Connections!$B$3:$V$3,0)),"")</f>
        <v/>
      </c>
      <c r="H60" s="46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46" t="str" cm="1">
        <f t="array" ref="D61">IF($J61&lt;&gt;"",INDEX(Connections!$B$4:$V$345,$J61,MATCH(D$16,Connections!$B$3:$V$3,0)),"")</f>
        <v/>
      </c>
      <c r="E61" s="51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46" t="str" cm="1">
        <f t="array" ref="F61">IF($J61&lt;&gt;"",INDEX(Connections!$B$4:$V$345,$J61,MATCH(F$16,Connections!$B$3:$V$3,0)),"")</f>
        <v/>
      </c>
      <c r="G61" s="46" t="str" cm="1">
        <f t="array" ref="G61">IF($J61&lt;&gt;"",INDEX(Connections!$B$4:$V$345,$J61,MATCH(G$16,Connections!$B$3:$V$3,0)),"")</f>
        <v/>
      </c>
      <c r="H61" s="46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46" t="str" cm="1">
        <f t="array" ref="D62">IF($J62&lt;&gt;"",INDEX(Connections!$B$4:$V$345,$J62,MATCH(D$16,Connections!$B$3:$V$3,0)),"")</f>
        <v/>
      </c>
      <c r="E62" s="51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46" t="str" cm="1">
        <f t="array" ref="F62">IF($J62&lt;&gt;"",INDEX(Connections!$B$4:$V$345,$J62,MATCH(F$16,Connections!$B$3:$V$3,0)),"")</f>
        <v/>
      </c>
      <c r="G62" s="46" t="str" cm="1">
        <f t="array" ref="G62">IF($J62&lt;&gt;"",INDEX(Connections!$B$4:$V$345,$J62,MATCH(G$16,Connections!$B$3:$V$3,0)),"")</f>
        <v/>
      </c>
      <c r="H62" s="46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46" t="str" cm="1">
        <f t="array" ref="D63">IF($J63&lt;&gt;"",INDEX(Connections!$B$4:$V$345,$J63,MATCH(D$16,Connections!$B$3:$V$3,0)),"")</f>
        <v/>
      </c>
      <c r="E63" s="51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46" t="str" cm="1">
        <f t="array" ref="F63">IF($J63&lt;&gt;"",INDEX(Connections!$B$4:$V$345,$J63,MATCH(F$16,Connections!$B$3:$V$3,0)),"")</f>
        <v/>
      </c>
      <c r="G63" s="46" t="str" cm="1">
        <f t="array" ref="G63">IF($J63&lt;&gt;"",INDEX(Connections!$B$4:$V$345,$J63,MATCH(G$16,Connections!$B$3:$V$3,0)),"")</f>
        <v/>
      </c>
      <c r="H63" s="46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46" t="str" cm="1">
        <f t="array" ref="D64">IF($J64&lt;&gt;"",INDEX(Connections!$B$4:$V$345,$J64,MATCH(D$16,Connections!$B$3:$V$3,0)),"")</f>
        <v/>
      </c>
      <c r="E64" s="51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46" t="str" cm="1">
        <f t="array" ref="F64">IF($J64&lt;&gt;"",INDEX(Connections!$B$4:$V$345,$J64,MATCH(F$16,Connections!$B$3:$V$3,0)),"")</f>
        <v/>
      </c>
      <c r="G64" s="46" t="str" cm="1">
        <f t="array" ref="G64">IF($J64&lt;&gt;"",INDEX(Connections!$B$4:$V$345,$J64,MATCH(G$16,Connections!$B$3:$V$3,0)),"")</f>
        <v/>
      </c>
      <c r="H64" s="46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25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1GB COPPER</v>
      </c>
      <c r="H68" s="17" t="str" cm="1">
        <f t="array" ref="H68">_xlfn.IFS($B68="","",$B68=$G$11,$G$12&amp;" "&amp;H12,$B68=$G$13,$G$14&amp;" "&amp;$H$14,1=1,"")</f>
        <v>FGHLHN42-1 twe1/0/47</v>
      </c>
      <c r="J68" s="127" t="str" cm="1">
        <f t="array" ref="J68">_xlfn.IFNA(MATCH(1,(SHEET_NAME=SWITCH_TABLE[Remote Device 2])*(B68=SWITCH_TABLE[Remote Port 2]),0),"")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25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1GB COPPER</v>
      </c>
      <c r="H69" s="17" t="str" cm="1">
        <f t="array" ref="H69">_xlfn.IFS($B69="","",$B69=$G$11,$G$12&amp;" "&amp;H13,$B69=$G$13,$G$14&amp;" "&amp;$H$14,1=1,"")</f>
        <v>FGHLHN42-2 twe2/0/47</v>
      </c>
      <c r="J69" s="127" t="str">
        <f t="array" ref="J69">_xlfn.IFNA(MATCH(1,(SHEET_NAME=SWITCH_TABLE[Remote Device 2])*(B69=SWITCH_TABLE[Remote Port 2]),0),"")</f>
        <v/>
      </c>
    </row>
    <row r="70" spans="1:10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7" t="str" cm="1">
        <f t="array" ref="D70">_xlfn.IFS($B70="","",$B70=$G$11,"TRUNK",$B70=$G$13,"TRUNK",1=1,"")</f>
        <v/>
      </c>
      <c r="E70" s="159" t="str" cm="1">
        <f t="array" ref="E70">_xlfn.IFS($B70="","",OR($B70=$G$11,$B70=$G$13),INDEX(SWITCH_TABLE[#Data],$H$3,MATCH("Local EC",SWITCH_TABLE[#Headers],0)),1=1,"")</f>
        <v/>
      </c>
      <c r="F70" s="17" t="str" cm="1">
        <f t="array" ref="F70">_xlfn.IFS($B70="","",$B70=$G$11,"Uplink Port 1",$B70=$G$13,"Uplink Port 2",$B70=$B$79,"Stack Port 1",$B70=$B$80,"Stack Port 2",1=1,"")</f>
        <v/>
      </c>
      <c r="G70" s="17" t="str" cm="1">
        <f t="array" ref="G70">_xlfn.IFS($B70="","",$B70=$G$11,$H$11,$B70=$G$13,$H$13,1=1,"")</f>
        <v/>
      </c>
      <c r="H70" s="17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2])*(B70=SWITCH_TABLE[Remote Port 2]),0),"")</f>
        <v/>
      </c>
    </row>
    <row r="71" spans="1:10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7" t="str" cm="1">
        <f t="array" ref="D71">_xlfn.IFS($B71="","",$B71=$G$11,"TRUNK",$B71=$G$13,"TRUNK",1=1,"")</f>
        <v/>
      </c>
      <c r="E71" s="159" t="str" cm="1">
        <f t="array" ref="E71">_xlfn.IFS($B71="","",OR($B71=$G$11,$B71=$G$13),INDEX(SWITCH_TABLE[#Data],$H$3,MATCH("Local EC",SWITCH_TABLE[#Headers],0)),1=1,"")</f>
        <v/>
      </c>
      <c r="F71" s="17" t="str" cm="1">
        <f t="array" ref="F71">_xlfn.IFS($B71="","",$B71=$G$11,"Uplink Port 1",$B71=$G$13,"Uplink Port 2",$B71=$B$79,"Stack Port 1",$B71=$B$80,"Stack Port 2",1=1,"")</f>
        <v/>
      </c>
      <c r="G71" s="17" t="str" cm="1">
        <f t="array" ref="G71">_xlfn.IFS($B71="","",$B71=$G$11,$H$11,$B71=$G$13,$H$13,1=1,"")</f>
        <v/>
      </c>
      <c r="H71" s="17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2])*(B71=SWITCH_TABLE[Remote Port 2]),0),"")</f>
        <v/>
      </c>
    </row>
    <row r="72" spans="1:10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7" t="str" cm="1">
        <f t="array" ref="D72">_xlfn.IFS($B72="","",$B72=$G$11,"TRUNK",$B72=$G$13,"TRUNK",1=1,"")</f>
        <v/>
      </c>
      <c r="E72" s="159" t="str" cm="1">
        <f t="array" ref="E72">_xlfn.IFS($B72="","",OR($B72=$G$11,$B72=$G$13),INDEX(SWITCH_TABLE[#Data],$H$3,MATCH("Local EC",SWITCH_TABLE[#Headers],0)),1=1,"")</f>
        <v/>
      </c>
      <c r="F72" s="17" t="str" cm="1">
        <f t="array" ref="F72">_xlfn.IFS($B72="","",$B72=$G$11,"Uplink Port 1",$B72=$G$13,"Uplink Port 2",$B72=$B$79,"Stack Port 1",$B72=$B$80,"Stack Port 2",1=1,"")</f>
        <v/>
      </c>
      <c r="G72" s="17" t="str" cm="1">
        <f t="array" ref="G72">_xlfn.IFS($B72="","",$B72=$G$11,$H$11,$B72=$G$13,$H$13,1=1,"")</f>
        <v/>
      </c>
      <c r="H72" s="17" t="str" cm="1">
        <f t="array" ref="H72">_xlfn.IFS($B72="","",$B72=$G$11,$G$12&amp;" "&amp;#REF!,$B72=$G$13,$G$14&amp;" "&amp;$H$14,1=1,"")</f>
        <v/>
      </c>
      <c r="J72" s="127" t="str">
        <f t="array" ref="J72">_xlfn.IFNA(MATCH(1,(SHEET_NAME=SWITCH_TABLE[Remote Device 2])*(B72=SWITCH_TABLE[Remote Port 2]),0),"")</f>
        <v/>
      </c>
    </row>
    <row r="73" spans="1:10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7" t="str" cm="1">
        <f t="array" ref="D73">_xlfn.IFS($B73="","",$B73=$G$11,"TRUNK",$B73=$G$13,"TRUNK",1=1,"")</f>
        <v/>
      </c>
      <c r="E73" s="159" t="str" cm="1">
        <f t="array" ref="E73">_xlfn.IFS($B73="","",OR($B73=$G$11,$B73=$G$13),INDEX(SWITCH_TABLE[#Data],$H$3,MATCH("Local EC",SWITCH_TABLE[#Headers],0)),1=1,"")</f>
        <v/>
      </c>
      <c r="F73" s="17" t="str" cm="1">
        <f t="array" ref="F73">_xlfn.IFS($B73="","",$B73=$G$11,"Uplink Port 1",$B73=$G$13,"Uplink Port 2",$B73=$B$79,"Stack Port 1",$B73=$B$80,"Stack Port 2",1=1,"")</f>
        <v/>
      </c>
      <c r="G73" s="17" t="str" cm="1">
        <f t="array" ref="G73">_xlfn.IFS($B73="","",$B73=$G$11,$H$11,$B73=$G$13,$H$13,1=1,"")</f>
        <v/>
      </c>
      <c r="H73" s="17" t="str" cm="1">
        <f t="array" ref="H73">_xlfn.IFS($B73="","",$B73=$G$11,$G$12&amp;" "&amp;#REF!,$B73=$G$13,$G$14&amp;" "&amp;$H$14,1=1,"")</f>
        <v/>
      </c>
      <c r="J73" s="127" t="str">
        <f t="array" ref="J73">_xlfn.IFNA(MATCH(1,(SHEET_NAME=SWITCH_TABLE[Remote Device 2])*(B73=SWITCH_TABLE[Remote Port 2]),0),"")</f>
        <v/>
      </c>
    </row>
    <row r="74" spans="1:10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7" t="str" cm="1">
        <f t="array" ref="D74">_xlfn.IFS($B74="","",$B74=$G$11,"TRUNK",$B74=$G$13,"TRUNK",1=1,"")</f>
        <v/>
      </c>
      <c r="E74" s="159" t="str" cm="1">
        <f t="array" ref="E74">_xlfn.IFS($B74="","",OR($B74=$G$11,$B74=$G$13),INDEX(SWITCH_TABLE[#Data],$H$3,MATCH("Local EC",SWITCH_TABLE[#Headers],0)),1=1,"")</f>
        <v/>
      </c>
      <c r="F74" s="17" t="str" cm="1">
        <f t="array" ref="F74">_xlfn.IFS($B74="","",$B74=$G$11,"Uplink Port 1",$B74=$G$13,"Uplink Port 2",$B74=$B$79,"Stack Port 1",$B74=$B$80,"Stack Port 2",1=1,"")</f>
        <v/>
      </c>
      <c r="G74" s="17" t="str" cm="1">
        <f t="array" ref="G74">_xlfn.IFS($B74="","",$B74=$G$11,$H$11,$B74=$G$13,$H$13,1=1,"")</f>
        <v/>
      </c>
      <c r="H74" s="17" t="str" cm="1">
        <f t="array" ref="H74">_xlfn.IFS($B74="","",$B74=$G$11,$G$12&amp;" "&amp;#REF!,$B74=$G$13,$G$14&amp;" "&amp;$H$14,1=1,"")</f>
        <v/>
      </c>
      <c r="J74" s="127" t="str">
        <f t="array" ref="J74">_xlfn.IFNA(MATCH(1,(SHEET_NAME=SWITCH_TABLE[Remote Device 2])*(B74=SWITCH_TABLE[Remote Port 2]),0),"")</f>
        <v/>
      </c>
    </row>
    <row r="75" spans="1:10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7" t="str" cm="1">
        <f t="array" ref="D75">_xlfn.IFS($B75="","",$B75=$G$11,"TRUNK",$B75=$G$13,"TRUNK",1=1,"")</f>
        <v/>
      </c>
      <c r="E75" s="159" t="str" cm="1">
        <f t="array" ref="E75">_xlfn.IFS($B75="","",OR($B75=$G$11,$B75=$G$13),INDEX(SWITCH_TABLE[#Data],$H$3,MATCH("Local EC",SWITCH_TABLE[#Headers],0)),1=1,"")</f>
        <v/>
      </c>
      <c r="F75" s="17" t="str" cm="1">
        <f t="array" ref="F75">_xlfn.IFS($B75="","",$B75=$G$11,"Uplink Port 1",$B75=$G$13,"Uplink Port 2",$B75=$B$79,"Stack Port 1",$B75=$B$80,"Stack Port 2",1=1,"")</f>
        <v/>
      </c>
      <c r="G75" s="17" t="str" cm="1">
        <f t="array" ref="G75">_xlfn.IFS($B75="","",$B75=$G$11,$H$11,$B75=$G$13,$H$13,1=1,"")</f>
        <v/>
      </c>
      <c r="H75" s="17" t="str" cm="1">
        <f t="array" ref="H75">_xlfn.IFS($B75="","",$B75=$G$11,$G$12&amp;" "&amp;#REF!,$B75=$G$13,$G$14&amp;" "&amp;$H$14,1=1,"")</f>
        <v/>
      </c>
      <c r="J75" s="127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cm="1">
        <f t="array" ref="B79">IF($C$12="","",INDEX(SWITCH_TABLE[#Data],$H$3,MATCH("Stack Port "&amp;A79,SWITCH_TABLE[#Headers],0)))</f>
        <v>0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cm="1">
        <f t="array" ref="G79">IF($C$12="","",INDEX(SWITCH_TABLE[#Data],$H$3,MATCH("Stack Port "&amp;A79&amp;" SFP",SWITCH_TABLE[#Headers],0)))</f>
        <v>0</v>
      </c>
      <c r="H79" s="118" t="str">
        <f>C13&amp;" "&amp;D13</f>
        <v>0 0</v>
      </c>
    </row>
    <row r="80" spans="1:10">
      <c r="A80" s="121">
        <f>ROW(A80)-ROW($A$78)+$A$78</f>
        <v>2</v>
      </c>
      <c r="B80" s="116" cm="1">
        <f t="array" ref="B80">IF($C$12="","",INDEX(SWITCH_TABLE[#Data],$H$3,MATCH("Stack Port "&amp;A80,SWITCH_TABLE[#Headers],0)))</f>
        <v>0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cm="1">
        <f t="array" ref="G80">IF($C$12="","",INDEX(SWITCH_TABLE[#Data],$H$3,MATCH("Stack Port "&amp;A80&amp;" SFP",SWITCH_TABLE[#Headers],0)))</f>
        <v>0</v>
      </c>
      <c r="H80" s="118" t="str">
        <f>C14&amp;" "&amp;D14</f>
        <v>0 0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966" priority="21" operator="equal">
      <formula>"reserved"</formula>
    </cfRule>
    <cfRule type="cellIs" dxfId="965" priority="22" operator="equal">
      <formula>"notconnect"</formula>
    </cfRule>
    <cfRule type="cellIs" dxfId="964" priority="23" operator="equal">
      <formula>"disabled"</formula>
    </cfRule>
    <cfRule type="cellIs" dxfId="963" priority="24" operator="equal">
      <formula>"connect"</formula>
    </cfRule>
  </conditionalFormatting>
  <conditionalFormatting sqref="C79:C80">
    <cfRule type="cellIs" dxfId="962" priority="17" operator="equal">
      <formula>"reserved"</formula>
    </cfRule>
    <cfRule type="cellIs" dxfId="961" priority="18" operator="equal">
      <formula>"notconnect"</formula>
    </cfRule>
    <cfRule type="cellIs" dxfId="960" priority="19" operator="equal">
      <formula>"disabled"</formula>
    </cfRule>
    <cfRule type="cellIs" dxfId="959" priority="20" operator="equal">
      <formula>"connect"</formula>
    </cfRule>
  </conditionalFormatting>
  <conditionalFormatting sqref="C17:C21">
    <cfRule type="cellIs" dxfId="958" priority="1" operator="equal">
      <formula>"reserved"</formula>
    </cfRule>
    <cfRule type="cellIs" dxfId="957" priority="2" operator="equal">
      <formula>"notconnect"</formula>
    </cfRule>
    <cfRule type="cellIs" dxfId="956" priority="3" operator="equal">
      <formula>"disabled"</formula>
    </cfRule>
    <cfRule type="cellIs" dxfId="955" priority="4" operator="equal">
      <formula>"connect"</formula>
    </cfRule>
  </conditionalFormatting>
  <conditionalFormatting sqref="C58:C60 C22:C56">
    <cfRule type="cellIs" dxfId="954" priority="13" operator="equal">
      <formula>"reserved"</formula>
    </cfRule>
    <cfRule type="cellIs" dxfId="953" priority="14" operator="equal">
      <formula>"notconnect"</formula>
    </cfRule>
    <cfRule type="cellIs" dxfId="952" priority="15" operator="equal">
      <formula>"disabled"</formula>
    </cfRule>
    <cfRule type="cellIs" dxfId="951" priority="16" operator="equal">
      <formula>"connect"</formula>
    </cfRule>
  </conditionalFormatting>
  <conditionalFormatting sqref="C61:C64">
    <cfRule type="cellIs" dxfId="950" priority="9" operator="equal">
      <formula>"reserved"</formula>
    </cfRule>
    <cfRule type="cellIs" dxfId="949" priority="10" operator="equal">
      <formula>"notconnect"</formula>
    </cfRule>
    <cfRule type="cellIs" dxfId="948" priority="11" operator="equal">
      <formula>"disabled"</formula>
    </cfRule>
    <cfRule type="cellIs" dxfId="947" priority="12" operator="equal">
      <formula>"connect"</formula>
    </cfRule>
  </conditionalFormatting>
  <conditionalFormatting sqref="C57">
    <cfRule type="cellIs" dxfId="946" priority="5" operator="equal">
      <formula>"reserved"</formula>
    </cfRule>
    <cfRule type="cellIs" dxfId="945" priority="6" operator="equal">
      <formula>"notconnect"</formula>
    </cfRule>
    <cfRule type="cellIs" dxfId="944" priority="7" operator="equal">
      <formula>"disabled"</formula>
    </cfRule>
    <cfRule type="cellIs" dxfId="943" priority="8" operator="equal">
      <formula>"connect"</formula>
    </cfRule>
  </conditionalFormatting>
  <dataValidations count="5">
    <dataValidation type="list" allowBlank="1" showInputMessage="1" sqref="C68:C75 C79:C80 C17:C64" xr:uid="{8BA46D25-7FDD-4929-83C8-5FBA39ECABD8}">
      <formula1>PORT_STATE_LIST</formula1>
    </dataValidation>
    <dataValidation allowBlank="1" showInputMessage="1" sqref="E68:E75 E17:E64" xr:uid="{E12FEFF7-200C-48DA-946F-67E4F245AC62}"/>
    <dataValidation type="list" allowBlank="1" showInputMessage="1" sqref="F17:F64" xr:uid="{4A42DE15-E037-4CD1-8069-3BE304A98709}">
      <formula1>SPEED_DUPLEX_LIST</formula1>
    </dataValidation>
    <dataValidation type="list" allowBlank="1" showInputMessage="1" sqref="G68:G75 G17:G64" xr:uid="{5010DEB2-1687-4444-B816-A2BA4A809D70}">
      <formula1>PORT_TYPE_LIST</formula1>
    </dataValidation>
    <dataValidation type="list" allowBlank="1" showInputMessage="1" sqref="D68:D75" xr:uid="{25395FD3-43A5-447C-B99F-A3F957D205F6}">
      <formula1>VLAN_ID_LIST</formula1>
    </dataValidation>
  </dataValidation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E6B6-4A28-4863-A571-5DA65E55D7F8}">
  <sheetPr codeName="Sheet29">
    <tabColor rgb="FF0070C0"/>
    <pageSetUpPr fitToPage="1"/>
  </sheetPr>
  <dimension ref="A1:J81"/>
  <sheetViews>
    <sheetView topLeftCell="A13" zoomScaleNormal="100" workbookViewId="0">
      <selection activeCell="L34" sqref="L34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6384" width="9" style="111"/>
  </cols>
  <sheetData>
    <row r="1" spans="1:10" ht="24" customHeight="1">
      <c r="A1" s="108" t="s">
        <v>982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17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eCommerce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FCW2319G0GG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10.224.21.171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te1/1/1</v>
      </c>
      <c r="H11" s="118" t="str" cm="1">
        <f t="array" ref="H11">IF(G11="","",INDEX(SWITCH_TABLE[#Data],$H$3,MATCH("Uplink 1 SFP",SWITCH_TABLE[#Headers],0)))</f>
        <v>10GB SFP+ DAC</v>
      </c>
    </row>
    <row r="12" spans="1:10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FGHLHN41-1</v>
      </c>
      <c r="H12" s="118" t="str" cm="1">
        <f t="array" ref="H12">IF(G12="","",INDEX(SWITCH_TABLE[#Data],$H$3,MATCH("Remote Port 1",SWITCH_TABLE[#Headers],0)))</f>
        <v>twe1/0/46</v>
      </c>
    </row>
    <row r="13" spans="1:10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te1/1/2</v>
      </c>
      <c r="H13" s="118" t="str" cm="1">
        <f t="array" ref="H13">IF(G13="","",INDEX(SWITCH_TABLE[#Data],$H$3,MATCH("Uplink 2 SFP",SWITCH_TABLE[#Headers],0)))</f>
        <v>10GB SFP+ DAC</v>
      </c>
    </row>
    <row r="14" spans="1:10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FGHLHN41-2</v>
      </c>
      <c r="H14" s="118" t="str" cm="1">
        <f t="array" ref="H14">IF(G14="","",INDEX(SWITCH_TABLE[#Data],$H$3,MATCH("Remote Port 2",SWITCH_TABLE[#Headers],0)))</f>
        <v>twe2/0/46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4093</v>
      </c>
      <c r="E17" s="123" t="s">
        <v>78</v>
      </c>
      <c r="F17" s="122"/>
      <c r="G17" s="122" t="s">
        <v>78</v>
      </c>
      <c r="H17" s="125" t="s">
        <v>2698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">
        <v>2608</v>
      </c>
      <c r="D18" s="129">
        <v>4093</v>
      </c>
      <c r="E18" s="123" t="s">
        <v>78</v>
      </c>
      <c r="F18" s="122" t="s">
        <v>78</v>
      </c>
      <c r="G18" s="122" t="s">
        <v>78</v>
      </c>
      <c r="H18" s="125" t="s">
        <v>2699</v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4093</v>
      </c>
      <c r="E19" s="123" t="s">
        <v>78</v>
      </c>
      <c r="F19" s="122" t="s">
        <v>78</v>
      </c>
      <c r="G19" s="122" t="s">
        <v>78</v>
      </c>
      <c r="H19" s="125" t="s">
        <v>78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">
        <v>2608</v>
      </c>
      <c r="D21" s="129">
        <v>4084</v>
      </c>
      <c r="E21" s="123" t="s">
        <v>78</v>
      </c>
      <c r="F21" s="122" t="s">
        <v>78</v>
      </c>
      <c r="G21" s="122" t="s">
        <v>78</v>
      </c>
      <c r="H21" s="125" t="s">
        <v>2700</v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">
        <v>2608</v>
      </c>
      <c r="D22" s="129">
        <v>4084</v>
      </c>
      <c r="E22" s="123" t="s">
        <v>78</v>
      </c>
      <c r="F22" s="122" t="s">
        <v>78</v>
      </c>
      <c r="G22" s="122" t="s">
        <v>78</v>
      </c>
      <c r="H22" s="125" t="s">
        <v>78</v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">
        <v>2608</v>
      </c>
      <c r="D24" s="129">
        <v>4090</v>
      </c>
      <c r="E24" s="123" t="s">
        <v>78</v>
      </c>
      <c r="F24" s="122" t="s">
        <v>78</v>
      </c>
      <c r="G24" s="122" t="s">
        <v>78</v>
      </c>
      <c r="H24" s="125" t="s">
        <v>2701</v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">
        <v>2608</v>
      </c>
      <c r="D25" s="129">
        <v>4090</v>
      </c>
      <c r="E25" s="123" t="s">
        <v>78</v>
      </c>
      <c r="F25" s="122" t="s">
        <v>78</v>
      </c>
      <c r="G25" s="122" t="s">
        <v>78</v>
      </c>
      <c r="H25" s="125" t="s">
        <v>78</v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">
        <v>2608</v>
      </c>
      <c r="D27" s="129">
        <v>4091</v>
      </c>
      <c r="E27" s="123" t="s">
        <v>78</v>
      </c>
      <c r="F27" s="122" t="s">
        <v>78</v>
      </c>
      <c r="G27" s="122" t="s">
        <v>78</v>
      </c>
      <c r="H27" s="125" t="s">
        <v>2702</v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">
        <v>2608</v>
      </c>
      <c r="D28" s="129">
        <v>4091</v>
      </c>
      <c r="E28" s="123" t="s">
        <v>78</v>
      </c>
      <c r="F28" s="122" t="s">
        <v>78</v>
      </c>
      <c r="G28" s="122" t="s">
        <v>78</v>
      </c>
      <c r="H28" s="125" t="s">
        <v>2703</v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">
        <v>2608</v>
      </c>
      <c r="D29" s="129">
        <v>4091</v>
      </c>
      <c r="E29" s="123" t="s">
        <v>78</v>
      </c>
      <c r="F29" s="122" t="s">
        <v>78</v>
      </c>
      <c r="G29" s="122" t="s">
        <v>78</v>
      </c>
      <c r="H29" s="125" t="s">
        <v>78</v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">
        <v>2608</v>
      </c>
      <c r="D30" s="129">
        <v>4091</v>
      </c>
      <c r="E30" s="123" t="s">
        <v>78</v>
      </c>
      <c r="F30" s="122" t="s">
        <v>78</v>
      </c>
      <c r="G30" s="122" t="s">
        <v>78</v>
      </c>
      <c r="H30" s="125" t="s">
        <v>78</v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">
        <v>2608</v>
      </c>
      <c r="D33" s="129">
        <v>4092</v>
      </c>
      <c r="E33" s="123" t="s">
        <v>78</v>
      </c>
      <c r="F33" s="122" t="s">
        <v>78</v>
      </c>
      <c r="G33" s="122" t="s">
        <v>78</v>
      </c>
      <c r="H33" s="125" t="s">
        <v>2704</v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2608</v>
      </c>
      <c r="D34" s="129">
        <v>4092</v>
      </c>
      <c r="E34" s="123" t="s">
        <v>78</v>
      </c>
      <c r="F34" s="122" t="s">
        <v>78</v>
      </c>
      <c r="G34" s="122" t="s">
        <v>78</v>
      </c>
      <c r="H34" s="125" t="s">
        <v>2705</v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2608</v>
      </c>
      <c r="D35" s="129">
        <v>4092</v>
      </c>
      <c r="E35" s="123" t="s">
        <v>78</v>
      </c>
      <c r="F35" s="122" t="s">
        <v>78</v>
      </c>
      <c r="G35" s="122" t="s">
        <v>78</v>
      </c>
      <c r="H35" s="125" t="s">
        <v>78</v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">
        <v>2608</v>
      </c>
      <c r="D37" s="129">
        <v>4080</v>
      </c>
      <c r="E37" s="123" t="s">
        <v>78</v>
      </c>
      <c r="F37" s="122" t="s">
        <v>78</v>
      </c>
      <c r="G37" s="122" t="s">
        <v>78</v>
      </c>
      <c r="H37" s="125" t="s">
        <v>2706</v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">
        <v>2608</v>
      </c>
      <c r="D38" s="129">
        <v>4080</v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">
        <v>2886</v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">
        <v>2608</v>
      </c>
      <c r="D39" s="129">
        <v>4081</v>
      </c>
      <c r="E39" s="123" t="s">
        <v>78</v>
      </c>
      <c r="F39" s="122" t="s">
        <v>78</v>
      </c>
      <c r="G39" s="122" t="s">
        <v>78</v>
      </c>
      <c r="H39" s="125" t="s">
        <v>2707</v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">
        <v>2608</v>
      </c>
      <c r="D40" s="129">
        <v>4081</v>
      </c>
      <c r="E40" s="123" t="s">
        <v>78</v>
      </c>
      <c r="F40" s="122" t="s">
        <v>78</v>
      </c>
      <c r="G40" s="122" t="s">
        <v>78</v>
      </c>
      <c r="H40" s="125" t="s">
        <v>2708</v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>gi1/0/25</v>
      </c>
      <c r="C41" s="122" t="s">
        <v>2608</v>
      </c>
      <c r="D41" s="129">
        <v>4081</v>
      </c>
      <c r="E41" s="123" t="s">
        <v>78</v>
      </c>
      <c r="F41" s="122" t="s">
        <v>78</v>
      </c>
      <c r="G41" s="122" t="s">
        <v>78</v>
      </c>
      <c r="H41" s="125" t="s">
        <v>78</v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>gi1/0/26</v>
      </c>
      <c r="C42" s="122" t="s">
        <v>2608</v>
      </c>
      <c r="D42" s="129">
        <v>4081</v>
      </c>
      <c r="E42" s="123" t="s">
        <v>78</v>
      </c>
      <c r="F42" s="122" t="s">
        <v>78</v>
      </c>
      <c r="G42" s="122" t="s">
        <v>78</v>
      </c>
      <c r="H42" s="125" t="s">
        <v>78</v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gi1/0/27</v>
      </c>
      <c r="C43" s="122" t="str" cm="1">
        <f t="array" ref="C43">_xlfn.IFS($B43="","",$B43=$B$71,"reserved",$B43=$B$72,"reserved",$B43=$G$11,"connect",$B43=$G$13,"connect",J43&lt;&gt;"","connect",1=1,"disabled")</f>
        <v>disabled</v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>gi1/0/28</v>
      </c>
      <c r="C44" s="122" t="str" cm="1">
        <f t="array" ref="C44">_xlfn.IFS($B44="","",$B44=$B$71,"reserved",$B44=$B$72,"reserved",$B44=$G$11,"connect",$B44=$G$13,"connect",J44&lt;&gt;"","connect",1=1,"disabled")</f>
        <v>disabled</v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>gi1/0/29</v>
      </c>
      <c r="C45" s="122" t="s">
        <v>2608</v>
      </c>
      <c r="D45" s="129">
        <v>4082</v>
      </c>
      <c r="E45" s="123" t="s">
        <v>78</v>
      </c>
      <c r="F45" s="122" t="s">
        <v>78</v>
      </c>
      <c r="G45" s="122" t="s">
        <v>78</v>
      </c>
      <c r="H45" s="125" t="s">
        <v>2709</v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gi1/0/30</v>
      </c>
      <c r="C46" s="122" t="s">
        <v>2608</v>
      </c>
      <c r="D46" s="129">
        <v>4082</v>
      </c>
      <c r="E46" s="123" t="s">
        <v>78</v>
      </c>
      <c r="F46" s="122" t="s">
        <v>78</v>
      </c>
      <c r="G46" s="122" t="s">
        <v>78</v>
      </c>
      <c r="H46" s="125" t="s">
        <v>2710</v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gi1/0/31</v>
      </c>
      <c r="C47" s="122" t="s">
        <v>2608</v>
      </c>
      <c r="D47" s="129">
        <v>4082</v>
      </c>
      <c r="E47" s="123" t="s">
        <v>78</v>
      </c>
      <c r="F47" s="122" t="s">
        <v>78</v>
      </c>
      <c r="G47" s="122" t="s">
        <v>78</v>
      </c>
      <c r="H47" s="125" t="s">
        <v>2711</v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gi1/0/32</v>
      </c>
      <c r="C48" s="122" t="str" cm="1">
        <f t="array" ref="C48">_xlfn.IFS($B48="","",$B48=$B$71,"reserved",$B48=$B$72,"reserved",$B48=$G$11,"connect",$B48=$G$13,"connect",J48&lt;&gt;"","connect",1=1,"disabled")</f>
        <v>disabled</v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>gi1/0/33</v>
      </c>
      <c r="C49" s="122" t="s">
        <v>2608</v>
      </c>
      <c r="D49" s="129">
        <v>2000</v>
      </c>
      <c r="E49" s="123" t="s">
        <v>78</v>
      </c>
      <c r="F49" s="122" t="s">
        <v>78</v>
      </c>
      <c r="G49" s="122" t="s">
        <v>78</v>
      </c>
      <c r="H49" s="125" t="s">
        <v>2712</v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gi1/0/34</v>
      </c>
      <c r="C50" s="122" t="s">
        <v>2608</v>
      </c>
      <c r="D50" s="129">
        <v>2000</v>
      </c>
      <c r="E50" s="123" t="s">
        <v>78</v>
      </c>
      <c r="F50" s="122" t="s">
        <v>78</v>
      </c>
      <c r="G50" s="122" t="s">
        <v>78</v>
      </c>
      <c r="H50" s="125" t="s">
        <v>78</v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>gi1/0/35</v>
      </c>
      <c r="C51" s="122" t="s">
        <v>2608</v>
      </c>
      <c r="D51" s="129">
        <v>2000</v>
      </c>
      <c r="E51" s="123" t="s">
        <v>78</v>
      </c>
      <c r="F51" s="122" t="s">
        <v>78</v>
      </c>
      <c r="G51" s="122" t="s">
        <v>78</v>
      </c>
      <c r="H51" s="125" t="s">
        <v>78</v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>gi1/0/36</v>
      </c>
      <c r="C52" s="122" t="s">
        <v>2608</v>
      </c>
      <c r="D52" s="129">
        <v>2000</v>
      </c>
      <c r="E52" s="123" t="s">
        <v>78</v>
      </c>
      <c r="F52" s="122" t="s">
        <v>78</v>
      </c>
      <c r="G52" s="122" t="s">
        <v>78</v>
      </c>
      <c r="H52" s="125" t="s">
        <v>78</v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>gi1/0/37</v>
      </c>
      <c r="C53" s="122" t="s">
        <v>2608</v>
      </c>
      <c r="D53" s="129">
        <v>2000</v>
      </c>
      <c r="E53" s="123" t="s">
        <v>78</v>
      </c>
      <c r="F53" s="122" t="s">
        <v>78</v>
      </c>
      <c r="G53" s="122" t="s">
        <v>78</v>
      </c>
      <c r="H53" s="125" t="s">
        <v>78</v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>gi1/0/38</v>
      </c>
      <c r="C54" s="122" t="s">
        <v>2608</v>
      </c>
      <c r="D54" s="129">
        <v>2000</v>
      </c>
      <c r="E54" s="123" t="s">
        <v>78</v>
      </c>
      <c r="F54" s="122" t="s">
        <v>78</v>
      </c>
      <c r="G54" s="122" t="s">
        <v>78</v>
      </c>
      <c r="H54" s="125" t="s">
        <v>78</v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>gi1/0/39</v>
      </c>
      <c r="C55" s="122" t="s">
        <v>2608</v>
      </c>
      <c r="D55" s="129">
        <v>2000</v>
      </c>
      <c r="E55" s="123" t="s">
        <v>78</v>
      </c>
      <c r="F55" s="122" t="s">
        <v>78</v>
      </c>
      <c r="G55" s="122" t="s">
        <v>78</v>
      </c>
      <c r="H55" s="125" t="s">
        <v>78</v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>gi1/0/40</v>
      </c>
      <c r="C56" s="122" t="s">
        <v>2608</v>
      </c>
      <c r="D56" s="129">
        <v>2000</v>
      </c>
      <c r="E56" s="123" t="s">
        <v>78</v>
      </c>
      <c r="F56" s="122" t="s">
        <v>78</v>
      </c>
      <c r="G56" s="122" t="s">
        <v>78</v>
      </c>
      <c r="H56" s="125" t="s">
        <v>2713</v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>gi1/0/41</v>
      </c>
      <c r="C57" s="122" t="s">
        <v>2608</v>
      </c>
      <c r="D57" s="129">
        <v>2000</v>
      </c>
      <c r="E57" s="123" t="s">
        <v>78</v>
      </c>
      <c r="F57" s="122" t="s">
        <v>78</v>
      </c>
      <c r="G57" s="122" t="s">
        <v>78</v>
      </c>
      <c r="H57" s="125" t="s">
        <v>2713</v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>gi1/0/42</v>
      </c>
      <c r="C58" s="122" t="s">
        <v>2608</v>
      </c>
      <c r="D58" s="129">
        <v>2000</v>
      </c>
      <c r="E58" s="123" t="s">
        <v>78</v>
      </c>
      <c r="F58" s="122" t="s">
        <v>78</v>
      </c>
      <c r="G58" s="122" t="s">
        <v>78</v>
      </c>
      <c r="H58" s="125" t="s">
        <v>2714</v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>gi1/0/43</v>
      </c>
      <c r="C59" s="122" t="str" cm="1">
        <f t="array" ref="C59">_xlfn.IFS($B59="","",$B59=$B$71,"reserved",$B59=$B$72,"reserved",$B59=$G$11,"connect",$B59=$G$13,"connect",J59&lt;&gt;"","connect",1=1,"disabled")</f>
        <v>disabled</v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>gi1/0/44</v>
      </c>
      <c r="C60" s="122" t="str" cm="1">
        <f t="array" ref="C60">_xlfn.IFS($B60="","",$B60=$B$71,"reserved",$B60=$B$72,"reserved",$B60=$G$11,"connect",$B60=$G$13,"connect",J60&lt;&gt;"","connect",1=1,"disabled")</f>
        <v>connect</v>
      </c>
      <c r="D60" s="129" t="str" cm="1">
        <f t="array" ref="D60">IF($J60&lt;&gt;"",INDEX(Connections!$B$4:$V$345,$J60,MATCH(D$16,Connections!$B$3:$V$3,0)),"")</f>
        <v>TRUNK</v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>auto</v>
      </c>
      <c r="G60" s="122" t="str" cm="1">
        <f t="array" ref="G60">IF($J60&lt;&gt;"",INDEX(Connections!$B$4:$V$345,$J60,MATCH(G$16,Connections!$B$3:$V$3,0)),"")</f>
        <v>1GB COPPER</v>
      </c>
      <c r="H60" s="125" t="str" cm="1">
        <f t="array" ref="H60">IF($J60&lt;&gt;"",INDEX(Connections!$B$4:$V$345,$J60,MATCH(H$16,Connections!$B$3:$V$3,0)),"")</f>
        <v>EcomSw02a/1 (eCommerce)</v>
      </c>
      <c r="J60" s="118">
        <f>_xlfn.IFNA(MATCH(SHEET_NAME&amp;" "&amp;B60,Connections!$L$4:$L$345,0),"")</f>
        <v>205</v>
      </c>
    </row>
    <row r="61" spans="1:10">
      <c r="A61" s="121">
        <f t="shared" si="1"/>
        <v>45</v>
      </c>
      <c r="B61" s="116" t="str">
        <f t="shared" si="0"/>
        <v>gi1/0/45</v>
      </c>
      <c r="C61" s="122" t="s">
        <v>2608</v>
      </c>
      <c r="D61" s="129" t="s">
        <v>2075</v>
      </c>
      <c r="E61" s="123">
        <v>45</v>
      </c>
      <c r="F61" s="122" t="s">
        <v>78</v>
      </c>
      <c r="G61" s="122" t="s">
        <v>78</v>
      </c>
      <c r="H61" s="125" t="s">
        <v>2715</v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gi1/0/46</v>
      </c>
      <c r="C62" s="122" t="s">
        <v>2608</v>
      </c>
      <c r="D62" s="129" t="s">
        <v>2075</v>
      </c>
      <c r="E62" s="123">
        <v>45</v>
      </c>
      <c r="F62" s="122" t="s">
        <v>78</v>
      </c>
      <c r="G62" s="122" t="s">
        <v>78</v>
      </c>
      <c r="H62" s="125" t="s">
        <v>2716</v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>gi1/0/47</v>
      </c>
      <c r="C63" s="122" t="s">
        <v>2608</v>
      </c>
      <c r="D63" s="129" t="s">
        <v>2075</v>
      </c>
      <c r="E63" s="123">
        <v>47</v>
      </c>
      <c r="F63" s="122" t="s">
        <v>78</v>
      </c>
      <c r="G63" s="122" t="s">
        <v>78</v>
      </c>
      <c r="H63" s="125" t="s">
        <v>2717</v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>gi1/0/48</v>
      </c>
      <c r="C64" s="122" t="s">
        <v>2608</v>
      </c>
      <c r="D64" s="129" t="s">
        <v>2075</v>
      </c>
      <c r="E64" s="123">
        <v>47</v>
      </c>
      <c r="F64" s="122" t="s">
        <v>78</v>
      </c>
      <c r="G64" s="122" t="s">
        <v>78</v>
      </c>
      <c r="H64" s="125" t="s">
        <v>2718</v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te1/1/1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49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10GB SFP+ DAC</v>
      </c>
      <c r="H68" s="17" t="str" cm="1">
        <f t="array" ref="H68">_xlfn.IFS($B68="","",$B68=$G$11,$G$12&amp;" "&amp;H12,$B68=$G$13,$G$14&amp;" "&amp;$H$14,1=1,"")</f>
        <v>FGHLHN41-1 twe1/0/46</v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te1/1/2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49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10GB SFP+ DAC</v>
      </c>
      <c r="H69" s="17" t="str" cm="1">
        <f t="array" ref="H69">_xlfn.IFS($B69="","",$B69=$G$11,$G$12&amp;" "&amp;H13,$B69=$G$13,$G$14&amp;" "&amp;$H$14,1=1,"")</f>
        <v>FGHLHN41-2 twe2/0/46</v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te1/1/3</v>
      </c>
      <c r="C70" s="122" t="s">
        <v>2608</v>
      </c>
      <c r="D70" s="122">
        <v>2000</v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">
        <v>1879</v>
      </c>
      <c r="H70" s="131" t="s">
        <v>2719</v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te1/1/4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>te1/1/5</v>
      </c>
      <c r="C72" s="122" t="s">
        <v>2608</v>
      </c>
      <c r="D72" s="129" t="s">
        <v>2075</v>
      </c>
      <c r="E72" s="123">
        <v>53</v>
      </c>
      <c r="F72" s="122" t="s">
        <v>78</v>
      </c>
      <c r="G72" s="122" t="s">
        <v>1879</v>
      </c>
      <c r="H72" s="125" t="s">
        <v>2720</v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>te1/1/6</v>
      </c>
      <c r="C73" s="122" t="s">
        <v>2608</v>
      </c>
      <c r="D73" s="129" t="s">
        <v>2075</v>
      </c>
      <c r="E73" s="123">
        <v>53</v>
      </c>
      <c r="F73" s="122" t="s">
        <v>78</v>
      </c>
      <c r="G73" s="122" t="s">
        <v>1879</v>
      </c>
      <c r="H73" s="125" t="s">
        <v>2721</v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>te1/1/7</v>
      </c>
      <c r="C74" s="122" t="s">
        <v>2608</v>
      </c>
      <c r="D74" s="129" t="s">
        <v>2075</v>
      </c>
      <c r="E74" s="123">
        <v>55</v>
      </c>
      <c r="F74" s="122" t="s">
        <v>78</v>
      </c>
      <c r="G74" s="122" t="s">
        <v>1879</v>
      </c>
      <c r="H74" s="125" t="s">
        <v>2722</v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>te1/1/8</v>
      </c>
      <c r="C75" s="122" t="s">
        <v>2608</v>
      </c>
      <c r="D75" s="129" t="s">
        <v>2075</v>
      </c>
      <c r="E75" s="123">
        <v>55</v>
      </c>
      <c r="F75" s="122" t="s">
        <v>78</v>
      </c>
      <c r="G75" s="122" t="s">
        <v>1879</v>
      </c>
      <c r="H75" s="125" t="s">
        <v>2723</v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2")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942" priority="89" operator="equal">
      <formula>"reserved"</formula>
    </cfRule>
    <cfRule type="cellIs" dxfId="941" priority="90" operator="equal">
      <formula>"notconnect"</formula>
    </cfRule>
    <cfRule type="cellIs" dxfId="940" priority="91" operator="equal">
      <formula>"disabled"</formula>
    </cfRule>
    <cfRule type="cellIs" dxfId="939" priority="92" operator="equal">
      <formula>"connect"</formula>
    </cfRule>
  </conditionalFormatting>
  <conditionalFormatting sqref="C68:C71 C74:C75">
    <cfRule type="cellIs" dxfId="938" priority="97" operator="equal">
      <formula>"reserved"</formula>
    </cfRule>
    <cfRule type="cellIs" dxfId="937" priority="98" operator="equal">
      <formula>"notconnect"</formula>
    </cfRule>
    <cfRule type="cellIs" dxfId="936" priority="99" operator="equal">
      <formula>"disabled"</formula>
    </cfRule>
    <cfRule type="cellIs" dxfId="935" priority="100" operator="equal">
      <formula>"connect"</formula>
    </cfRule>
  </conditionalFormatting>
  <conditionalFormatting sqref="C79:C80">
    <cfRule type="cellIs" dxfId="934" priority="93" operator="equal">
      <formula>"reserved"</formula>
    </cfRule>
    <cfRule type="cellIs" dxfId="933" priority="94" operator="equal">
      <formula>"notconnect"</formula>
    </cfRule>
    <cfRule type="cellIs" dxfId="932" priority="95" operator="equal">
      <formula>"disabled"</formula>
    </cfRule>
    <cfRule type="cellIs" dxfId="931" priority="96" operator="equal">
      <formula>"connect"</formula>
    </cfRule>
  </conditionalFormatting>
  <conditionalFormatting sqref="C63:C64">
    <cfRule type="cellIs" dxfId="930" priority="85" operator="equal">
      <formula>"reserved"</formula>
    </cfRule>
    <cfRule type="cellIs" dxfId="929" priority="86" operator="equal">
      <formula>"notconnect"</formula>
    </cfRule>
    <cfRule type="cellIs" dxfId="928" priority="87" operator="equal">
      <formula>"disabled"</formula>
    </cfRule>
    <cfRule type="cellIs" dxfId="927" priority="88" operator="equal">
      <formula>"connect"</formula>
    </cfRule>
  </conditionalFormatting>
  <conditionalFormatting sqref="C72:C73">
    <cfRule type="cellIs" dxfId="926" priority="61" operator="equal">
      <formula>"reserved"</formula>
    </cfRule>
    <cfRule type="cellIs" dxfId="925" priority="62" operator="equal">
      <formula>"notconnect"</formula>
    </cfRule>
    <cfRule type="cellIs" dxfId="924" priority="63" operator="equal">
      <formula>"disabled"</formula>
    </cfRule>
    <cfRule type="cellIs" dxfId="923" priority="64" operator="equal">
      <formula>"connect"</formula>
    </cfRule>
  </conditionalFormatting>
  <conditionalFormatting sqref="C17:C19 C21:C22">
    <cfRule type="cellIs" dxfId="922" priority="81" operator="equal">
      <formula>"reserved"</formula>
    </cfRule>
    <cfRule type="cellIs" dxfId="921" priority="82" operator="equal">
      <formula>"notconnect"</formula>
    </cfRule>
    <cfRule type="cellIs" dxfId="920" priority="83" operator="equal">
      <formula>"disabled"</formula>
    </cfRule>
    <cfRule type="cellIs" dxfId="919" priority="84" operator="equal">
      <formula>"connect"</formula>
    </cfRule>
  </conditionalFormatting>
  <conditionalFormatting sqref="C40:C42 C45:C47">
    <cfRule type="cellIs" dxfId="918" priority="77" operator="equal">
      <formula>"reserved"</formula>
    </cfRule>
    <cfRule type="cellIs" dxfId="917" priority="78" operator="equal">
      <formula>"notconnect"</formula>
    </cfRule>
    <cfRule type="cellIs" dxfId="916" priority="79" operator="equal">
      <formula>"disabled"</formula>
    </cfRule>
    <cfRule type="cellIs" dxfId="915" priority="80" operator="equal">
      <formula>"connect"</formula>
    </cfRule>
  </conditionalFormatting>
  <conditionalFormatting sqref="C42 C45:C47">
    <cfRule type="cellIs" dxfId="914" priority="73" operator="equal">
      <formula>"reserved"</formula>
    </cfRule>
    <cfRule type="cellIs" dxfId="913" priority="74" operator="equal">
      <formula>"notconnect"</formula>
    </cfRule>
    <cfRule type="cellIs" dxfId="912" priority="75" operator="equal">
      <formula>"disabled"</formula>
    </cfRule>
    <cfRule type="cellIs" dxfId="911" priority="76" operator="equal">
      <formula>"connect"</formula>
    </cfRule>
  </conditionalFormatting>
  <conditionalFormatting sqref="C46:C47 C49">
    <cfRule type="cellIs" dxfId="910" priority="69" operator="equal">
      <formula>"reserved"</formula>
    </cfRule>
    <cfRule type="cellIs" dxfId="909" priority="70" operator="equal">
      <formula>"notconnect"</formula>
    </cfRule>
    <cfRule type="cellIs" dxfId="908" priority="71" operator="equal">
      <formula>"disabled"</formula>
    </cfRule>
    <cfRule type="cellIs" dxfId="907" priority="72" operator="equal">
      <formula>"connect"</formula>
    </cfRule>
  </conditionalFormatting>
  <conditionalFormatting sqref="C61:C62">
    <cfRule type="cellIs" dxfId="906" priority="65" operator="equal">
      <formula>"reserved"</formula>
    </cfRule>
    <cfRule type="cellIs" dxfId="905" priority="66" operator="equal">
      <formula>"notconnect"</formula>
    </cfRule>
    <cfRule type="cellIs" dxfId="904" priority="67" operator="equal">
      <formula>"disabled"</formula>
    </cfRule>
    <cfRule type="cellIs" dxfId="903" priority="68" operator="equal">
      <formula>"connect"</formula>
    </cfRule>
  </conditionalFormatting>
  <conditionalFormatting sqref="C50">
    <cfRule type="cellIs" dxfId="902" priority="57" operator="equal">
      <formula>"reserved"</formula>
    </cfRule>
    <cfRule type="cellIs" dxfId="901" priority="58" operator="equal">
      <formula>"notconnect"</formula>
    </cfRule>
    <cfRule type="cellIs" dxfId="900" priority="59" operator="equal">
      <formula>"disabled"</formula>
    </cfRule>
    <cfRule type="cellIs" dxfId="899" priority="60" operator="equal">
      <formula>"connect"</formula>
    </cfRule>
  </conditionalFormatting>
  <conditionalFormatting sqref="C49:C52">
    <cfRule type="cellIs" dxfId="898" priority="53" operator="equal">
      <formula>"reserved"</formula>
    </cfRule>
    <cfRule type="cellIs" dxfId="897" priority="54" operator="equal">
      <formula>"notconnect"</formula>
    </cfRule>
    <cfRule type="cellIs" dxfId="896" priority="55" operator="equal">
      <formula>"disabled"</formula>
    </cfRule>
    <cfRule type="cellIs" dxfId="895" priority="56" operator="equal">
      <formula>"connect"</formula>
    </cfRule>
  </conditionalFormatting>
  <conditionalFormatting sqref="C51:C56">
    <cfRule type="cellIs" dxfId="894" priority="49" operator="equal">
      <formula>"reserved"</formula>
    </cfRule>
    <cfRule type="cellIs" dxfId="893" priority="50" operator="equal">
      <formula>"notconnect"</formula>
    </cfRule>
    <cfRule type="cellIs" dxfId="892" priority="51" operator="equal">
      <formula>"disabled"</formula>
    </cfRule>
    <cfRule type="cellIs" dxfId="891" priority="52" operator="equal">
      <formula>"connect"</formula>
    </cfRule>
  </conditionalFormatting>
  <conditionalFormatting sqref="C55:C58">
    <cfRule type="cellIs" dxfId="890" priority="45" operator="equal">
      <formula>"reserved"</formula>
    </cfRule>
    <cfRule type="cellIs" dxfId="889" priority="46" operator="equal">
      <formula>"notconnect"</formula>
    </cfRule>
    <cfRule type="cellIs" dxfId="888" priority="47" operator="equal">
      <formula>"disabled"</formula>
    </cfRule>
    <cfRule type="cellIs" dxfId="887" priority="48" operator="equal">
      <formula>"connect"</formula>
    </cfRule>
  </conditionalFormatting>
  <conditionalFormatting sqref="C58 C49">
    <cfRule type="cellIs" dxfId="886" priority="41" operator="equal">
      <formula>"reserved"</formula>
    </cfRule>
    <cfRule type="cellIs" dxfId="885" priority="42" operator="equal">
      <formula>"notconnect"</formula>
    </cfRule>
    <cfRule type="cellIs" dxfId="884" priority="43" operator="equal">
      <formula>"disabled"</formula>
    </cfRule>
    <cfRule type="cellIs" dxfId="883" priority="44" operator="equal">
      <formula>"connect"</formula>
    </cfRule>
  </conditionalFormatting>
  <conditionalFormatting sqref="C59:C60">
    <cfRule type="cellIs" dxfId="882" priority="37" operator="equal">
      <formula>"reserved"</formula>
    </cfRule>
    <cfRule type="cellIs" dxfId="881" priority="38" operator="equal">
      <formula>"notconnect"</formula>
    </cfRule>
    <cfRule type="cellIs" dxfId="880" priority="39" operator="equal">
      <formula>"disabled"</formula>
    </cfRule>
    <cfRule type="cellIs" dxfId="879" priority="40" operator="equal">
      <formula>"connect"</formula>
    </cfRule>
  </conditionalFormatting>
  <conditionalFormatting sqref="C48">
    <cfRule type="cellIs" dxfId="878" priority="33" operator="equal">
      <formula>"reserved"</formula>
    </cfRule>
    <cfRule type="cellIs" dxfId="877" priority="34" operator="equal">
      <formula>"notconnect"</formula>
    </cfRule>
    <cfRule type="cellIs" dxfId="876" priority="35" operator="equal">
      <formula>"disabled"</formula>
    </cfRule>
    <cfRule type="cellIs" dxfId="875" priority="36" operator="equal">
      <formula>"connect"</formula>
    </cfRule>
  </conditionalFormatting>
  <conditionalFormatting sqref="C43:C44">
    <cfRule type="cellIs" dxfId="874" priority="29" operator="equal">
      <formula>"reserved"</formula>
    </cfRule>
    <cfRule type="cellIs" dxfId="873" priority="30" operator="equal">
      <formula>"notconnect"</formula>
    </cfRule>
    <cfRule type="cellIs" dxfId="872" priority="31" operator="equal">
      <formula>"disabled"</formula>
    </cfRule>
    <cfRule type="cellIs" dxfId="871" priority="32" operator="equal">
      <formula>"connect"</formula>
    </cfRule>
  </conditionalFormatting>
  <conditionalFormatting sqref="C36">
    <cfRule type="cellIs" dxfId="870" priority="21" operator="equal">
      <formula>"reserved"</formula>
    </cfRule>
    <cfRule type="cellIs" dxfId="869" priority="22" operator="equal">
      <formula>"notconnect"</formula>
    </cfRule>
    <cfRule type="cellIs" dxfId="868" priority="23" operator="equal">
      <formula>"disabled"</formula>
    </cfRule>
    <cfRule type="cellIs" dxfId="867" priority="24" operator="equal">
      <formula>"connect"</formula>
    </cfRule>
  </conditionalFormatting>
  <conditionalFormatting sqref="C31:C32">
    <cfRule type="cellIs" dxfId="866" priority="17" operator="equal">
      <formula>"reserved"</formula>
    </cfRule>
    <cfRule type="cellIs" dxfId="865" priority="18" operator="equal">
      <formula>"notconnect"</formula>
    </cfRule>
    <cfRule type="cellIs" dxfId="864" priority="19" operator="equal">
      <formula>"disabled"</formula>
    </cfRule>
    <cfRule type="cellIs" dxfId="863" priority="20" operator="equal">
      <formula>"connect"</formula>
    </cfRule>
  </conditionalFormatting>
  <conditionalFormatting sqref="C26">
    <cfRule type="cellIs" dxfId="862" priority="13" operator="equal">
      <formula>"reserved"</formula>
    </cfRule>
    <cfRule type="cellIs" dxfId="861" priority="14" operator="equal">
      <formula>"notconnect"</formula>
    </cfRule>
    <cfRule type="cellIs" dxfId="860" priority="15" operator="equal">
      <formula>"disabled"</formula>
    </cfRule>
    <cfRule type="cellIs" dxfId="859" priority="16" operator="equal">
      <formula>"connect"</formula>
    </cfRule>
  </conditionalFormatting>
  <conditionalFormatting sqref="C23">
    <cfRule type="cellIs" dxfId="858" priority="9" operator="equal">
      <formula>"reserved"</formula>
    </cfRule>
    <cfRule type="cellIs" dxfId="857" priority="10" operator="equal">
      <formula>"notconnect"</formula>
    </cfRule>
    <cfRule type="cellIs" dxfId="856" priority="11" operator="equal">
      <formula>"disabled"</formula>
    </cfRule>
    <cfRule type="cellIs" dxfId="855" priority="12" operator="equal">
      <formula>"connect"</formula>
    </cfRule>
  </conditionalFormatting>
  <conditionalFormatting sqref="C20">
    <cfRule type="cellIs" dxfId="854" priority="5" operator="equal">
      <formula>"reserved"</formula>
    </cfRule>
    <cfRule type="cellIs" dxfId="853" priority="6" operator="equal">
      <formula>"notconnect"</formula>
    </cfRule>
    <cfRule type="cellIs" dxfId="852" priority="7" operator="equal">
      <formula>"disabled"</formula>
    </cfRule>
    <cfRule type="cellIs" dxfId="851" priority="8" operator="equal">
      <formula>"connect"</formula>
    </cfRule>
  </conditionalFormatting>
  <conditionalFormatting sqref="C38">
    <cfRule type="cellIs" dxfId="850" priority="1" operator="equal">
      <formula>"reserved"</formula>
    </cfRule>
    <cfRule type="cellIs" dxfId="849" priority="2" operator="equal">
      <formula>"notconnect"</formula>
    </cfRule>
    <cfRule type="cellIs" dxfId="848" priority="3" operator="equal">
      <formula>"disabled"</formula>
    </cfRule>
    <cfRule type="cellIs" dxfId="847" priority="4" operator="equal">
      <formula>"connect"</formula>
    </cfRule>
  </conditionalFormatting>
  <dataValidations count="5">
    <dataValidation type="list" allowBlank="1" showInputMessage="1" sqref="G68:G75 G17:G64" xr:uid="{E73D4455-BD28-467D-9B56-0F58E766EF52}">
      <formula1>PORT_TYPE_LIST</formula1>
    </dataValidation>
    <dataValidation type="list" allowBlank="1" showInputMessage="1" sqref="C68:C75 C79:C80 C17:C64" xr:uid="{7C4B0E5E-8269-459B-B6BB-B7A8F0D9E32E}">
      <formula1>PORT_STATE_LIST</formula1>
    </dataValidation>
    <dataValidation type="list" allowBlank="1" showInputMessage="1" sqref="D68:D71" xr:uid="{85409235-909A-435F-91C0-748FDBB110B3}">
      <formula1>VLAN_ID_LIST</formula1>
    </dataValidation>
    <dataValidation type="list" allowBlank="1" showInputMessage="1" sqref="F72:F75 F17:F64" xr:uid="{F97B3CFA-C2A6-42CB-AF77-BF2388F21C7F}">
      <formula1>SPEED_DUPLEX_LIST</formula1>
    </dataValidation>
    <dataValidation allowBlank="1" showInputMessage="1" sqref="E68:E75 E17:E64" xr:uid="{1D1ED312-1934-4F35-A95C-9CEA252B5AE9}"/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7F15-0D9C-4BF5-863A-03EA75A494C7}">
  <sheetPr codeName="Sheet30">
    <tabColor rgb="FF0070C0"/>
    <pageSetUpPr fitToPage="1"/>
  </sheetPr>
  <dimension ref="A1:J81"/>
  <sheetViews>
    <sheetView topLeftCell="A31" zoomScaleNormal="100" workbookViewId="0">
      <selection activeCell="C63" sqref="C63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6384" width="9" style="111"/>
  </cols>
  <sheetData>
    <row r="1" spans="1:10" ht="24" customHeight="1">
      <c r="A1" s="108" t="s">
        <v>1001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C9300-48T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18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FGHLHN172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eCommerce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48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FOC2319U03K</v>
      </c>
    </row>
    <row r="8" spans="1:10">
      <c r="B8" s="116" t="s">
        <v>2656</v>
      </c>
      <c r="C8" s="117">
        <f>VLOOKUP($H$1,MODEL_TABLE[#Data],MATCH("Uplinks",MODEL_TABLE[#Headers],0),FALSE)</f>
        <v>8</v>
      </c>
      <c r="D8" s="118" t="str">
        <f>VLOOKUP($H$1,MODEL_TABLE[#Data],MATCH("Uplink Type",MODEL_TABLE[#Headers],0),FALSE)</f>
        <v>te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10.224.21.172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te1/1/1</v>
      </c>
      <c r="H11" s="118" t="str" cm="1">
        <f t="array" ref="H11">IF(G11="","",INDEX(SWITCH_TABLE[#Data],$H$3,MATCH("Uplink 1 SFP",SWITCH_TABLE[#Headers],0)))</f>
        <v>10GB SFP+ DAC</v>
      </c>
    </row>
    <row r="12" spans="1:10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FGHLHN42-1</v>
      </c>
      <c r="H12" s="118" t="str" cm="1">
        <f t="array" ref="H12">IF(G12="","",INDEX(SWITCH_TABLE[#Data],$H$3,MATCH("Remote Port 1",SWITCH_TABLE[#Headers],0)))</f>
        <v>twe1/0/46</v>
      </c>
    </row>
    <row r="13" spans="1:10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te1/1/2</v>
      </c>
      <c r="H13" s="118" t="str" cm="1">
        <f t="array" ref="H13">IF(G13="","",INDEX(SWITCH_TABLE[#Data],$H$3,MATCH("Uplink 2 SFP",SWITCH_TABLE[#Headers],0)))</f>
        <v>10GB SFP+ DAC</v>
      </c>
    </row>
    <row r="14" spans="1:10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FGHLHN42-2</v>
      </c>
      <c r="H14" s="118" t="str" cm="1">
        <f t="array" ref="H14">IF(G14="","",INDEX(SWITCH_TABLE[#Data],$H$3,MATCH("Remote Port 2",SWITCH_TABLE[#Headers],0)))</f>
        <v>twe2/0/46</v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4093</v>
      </c>
      <c r="E17" s="123" t="s">
        <v>78</v>
      </c>
      <c r="F17" s="122"/>
      <c r="G17" s="122" t="s">
        <v>78</v>
      </c>
      <c r="H17" s="125" t="s">
        <v>2724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">
        <v>2608</v>
      </c>
      <c r="D18" s="129">
        <v>4093</v>
      </c>
      <c r="E18" s="123" t="s">
        <v>78</v>
      </c>
      <c r="F18" s="122" t="s">
        <v>78</v>
      </c>
      <c r="G18" s="122" t="s">
        <v>78</v>
      </c>
      <c r="H18" s="125" t="s">
        <v>2725</v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4093</v>
      </c>
      <c r="E19" s="123" t="s">
        <v>78</v>
      </c>
      <c r="F19" s="122" t="s">
        <v>78</v>
      </c>
      <c r="G19" s="122" t="s">
        <v>78</v>
      </c>
      <c r="H19" s="125" t="s">
        <v>78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">
        <v>2610</v>
      </c>
      <c r="D20" s="129"/>
      <c r="E20" s="123" t="s">
        <v>78</v>
      </c>
      <c r="F20" s="122" t="s">
        <v>78</v>
      </c>
      <c r="G20" s="122" t="s">
        <v>78</v>
      </c>
      <c r="H20" s="125"/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">
        <v>2608</v>
      </c>
      <c r="D21" s="129">
        <v>4084</v>
      </c>
      <c r="E21" s="123" t="s">
        <v>78</v>
      </c>
      <c r="F21" s="122" t="s">
        <v>78</v>
      </c>
      <c r="G21" s="122" t="s">
        <v>78</v>
      </c>
      <c r="H21" s="125" t="s">
        <v>2726</v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">
        <v>2608</v>
      </c>
      <c r="D22" s="129">
        <v>4084</v>
      </c>
      <c r="E22" s="123" t="s">
        <v>78</v>
      </c>
      <c r="F22" s="122" t="s">
        <v>78</v>
      </c>
      <c r="G22" s="122" t="s">
        <v>78</v>
      </c>
      <c r="H22" s="125" t="s">
        <v>78</v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">
        <v>2610</v>
      </c>
      <c r="D23" s="129"/>
      <c r="E23" s="123"/>
      <c r="F23" s="122"/>
      <c r="G23" s="122"/>
      <c r="H23" s="125"/>
      <c r="J23" s="118"/>
    </row>
    <row r="24" spans="1:10">
      <c r="A24" s="121">
        <f t="shared" si="1"/>
        <v>8</v>
      </c>
      <c r="B24" s="116" t="str">
        <f t="shared" si="0"/>
        <v>gi1/0/8</v>
      </c>
      <c r="C24" s="122" t="s">
        <v>2608</v>
      </c>
      <c r="D24" s="129">
        <v>4090</v>
      </c>
      <c r="E24" s="123" t="s">
        <v>78</v>
      </c>
      <c r="F24" s="122" t="s">
        <v>78</v>
      </c>
      <c r="G24" s="122" t="s">
        <v>78</v>
      </c>
      <c r="H24" s="125" t="s">
        <v>2727</v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">
        <v>2608</v>
      </c>
      <c r="D25" s="129">
        <v>4090</v>
      </c>
      <c r="E25" s="123" t="s">
        <v>78</v>
      </c>
      <c r="F25" s="122" t="s">
        <v>78</v>
      </c>
      <c r="G25" s="122" t="s">
        <v>78</v>
      </c>
      <c r="H25" s="125" t="s">
        <v>78</v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">
        <v>2610</v>
      </c>
      <c r="D26" s="129"/>
      <c r="E26" s="123"/>
      <c r="F26" s="122"/>
      <c r="G26" s="122"/>
      <c r="H26" s="125"/>
      <c r="J26" s="118"/>
    </row>
    <row r="27" spans="1:10">
      <c r="A27" s="121">
        <f t="shared" si="1"/>
        <v>11</v>
      </c>
      <c r="B27" s="116" t="str">
        <f t="shared" si="0"/>
        <v>gi1/0/11</v>
      </c>
      <c r="C27" s="122" t="s">
        <v>2608</v>
      </c>
      <c r="D27" s="129">
        <v>4091</v>
      </c>
      <c r="E27" s="123" t="s">
        <v>78</v>
      </c>
      <c r="F27" s="122" t="s">
        <v>78</v>
      </c>
      <c r="G27" s="122" t="s">
        <v>78</v>
      </c>
      <c r="H27" s="125" t="s">
        <v>2728</v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">
        <v>2608</v>
      </c>
      <c r="D28" s="129">
        <v>4091</v>
      </c>
      <c r="E28" s="123" t="s">
        <v>78</v>
      </c>
      <c r="F28" s="122" t="s">
        <v>78</v>
      </c>
      <c r="G28" s="122" t="s">
        <v>78</v>
      </c>
      <c r="H28" s="125" t="s">
        <v>2729</v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">
        <v>2608</v>
      </c>
      <c r="D29" s="129">
        <v>4091</v>
      </c>
      <c r="E29" s="123" t="s">
        <v>78</v>
      </c>
      <c r="F29" s="122" t="s">
        <v>78</v>
      </c>
      <c r="G29" s="122" t="s">
        <v>78</v>
      </c>
      <c r="H29" s="125" t="s">
        <v>78</v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">
        <v>2608</v>
      </c>
      <c r="D30" s="129">
        <v>4091</v>
      </c>
      <c r="E30" s="123" t="s">
        <v>78</v>
      </c>
      <c r="F30" s="122" t="s">
        <v>78</v>
      </c>
      <c r="G30" s="122" t="s">
        <v>78</v>
      </c>
      <c r="H30" s="125" t="s">
        <v>78</v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">
        <v>2610</v>
      </c>
      <c r="D31" s="129"/>
      <c r="E31" s="123"/>
      <c r="F31" s="122"/>
      <c r="G31" s="122"/>
      <c r="H31" s="125"/>
      <c r="J31" s="118"/>
    </row>
    <row r="32" spans="1:10">
      <c r="A32" s="121">
        <f t="shared" si="1"/>
        <v>16</v>
      </c>
      <c r="B32" s="116" t="str">
        <f t="shared" si="0"/>
        <v>gi1/0/16</v>
      </c>
      <c r="C32" s="122" t="s">
        <v>2610</v>
      </c>
      <c r="D32" s="129"/>
      <c r="E32" s="123"/>
      <c r="F32" s="122"/>
      <c r="G32" s="122"/>
      <c r="H32" s="125"/>
      <c r="J32" s="118"/>
    </row>
    <row r="33" spans="1:10">
      <c r="A33" s="121">
        <f t="shared" si="1"/>
        <v>17</v>
      </c>
      <c r="B33" s="116" t="str">
        <f t="shared" si="0"/>
        <v>gi1/0/17</v>
      </c>
      <c r="C33" s="122" t="s">
        <v>2608</v>
      </c>
      <c r="D33" s="129">
        <v>4092</v>
      </c>
      <c r="E33" s="123" t="s">
        <v>78</v>
      </c>
      <c r="F33" s="122" t="s">
        <v>78</v>
      </c>
      <c r="G33" s="122" t="s">
        <v>78</v>
      </c>
      <c r="H33" s="125" t="s">
        <v>2730</v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">
        <v>2608</v>
      </c>
      <c r="D34" s="129">
        <v>4092</v>
      </c>
      <c r="E34" s="123" t="s">
        <v>78</v>
      </c>
      <c r="F34" s="122" t="s">
        <v>78</v>
      </c>
      <c r="G34" s="122" t="s">
        <v>78</v>
      </c>
      <c r="H34" s="125" t="s">
        <v>2731</v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">
        <v>2608</v>
      </c>
      <c r="D35" s="129">
        <v>4092</v>
      </c>
      <c r="E35" s="123" t="s">
        <v>78</v>
      </c>
      <c r="F35" s="122" t="s">
        <v>78</v>
      </c>
      <c r="G35" s="122" t="s">
        <v>78</v>
      </c>
      <c r="H35" s="125" t="s">
        <v>78</v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">
        <v>2610</v>
      </c>
      <c r="D36" s="129"/>
      <c r="E36" s="123"/>
      <c r="F36" s="122"/>
      <c r="G36" s="122"/>
      <c r="H36" s="125"/>
      <c r="J36" s="118"/>
    </row>
    <row r="37" spans="1:10">
      <c r="A37" s="121">
        <f t="shared" si="1"/>
        <v>21</v>
      </c>
      <c r="B37" s="116" t="str">
        <f t="shared" si="0"/>
        <v>gi1/0/21</v>
      </c>
      <c r="C37" s="122" t="s">
        <v>2608</v>
      </c>
      <c r="D37" s="129">
        <v>4080</v>
      </c>
      <c r="E37" s="123" t="s">
        <v>78</v>
      </c>
      <c r="F37" s="122" t="s">
        <v>78</v>
      </c>
      <c r="G37" s="122" t="s">
        <v>78</v>
      </c>
      <c r="H37" s="125" t="s">
        <v>2732</v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">
        <v>2610</v>
      </c>
      <c r="D38" s="129"/>
      <c r="E38" s="123"/>
      <c r="F38" s="122"/>
      <c r="G38" s="122"/>
      <c r="H38" s="125"/>
      <c r="J38" s="118"/>
    </row>
    <row r="39" spans="1:10">
      <c r="A39" s="121">
        <f t="shared" si="1"/>
        <v>23</v>
      </c>
      <c r="B39" s="116" t="str">
        <f t="shared" si="0"/>
        <v>gi1/0/23</v>
      </c>
      <c r="C39" s="122" t="s">
        <v>2608</v>
      </c>
      <c r="D39" s="129">
        <v>4081</v>
      </c>
      <c r="E39" s="123" t="s">
        <v>78</v>
      </c>
      <c r="F39" s="122" t="s">
        <v>78</v>
      </c>
      <c r="G39" s="122" t="s">
        <v>78</v>
      </c>
      <c r="H39" s="125" t="s">
        <v>2733</v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">
        <v>2608</v>
      </c>
      <c r="D40" s="129">
        <v>4081</v>
      </c>
      <c r="E40" s="123" t="s">
        <v>78</v>
      </c>
      <c r="F40" s="122" t="s">
        <v>78</v>
      </c>
      <c r="G40" s="122" t="s">
        <v>78</v>
      </c>
      <c r="H40" s="125" t="s">
        <v>2734</v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>gi1/0/25</v>
      </c>
      <c r="C41" s="122" t="s">
        <v>2610</v>
      </c>
      <c r="D41" s="129"/>
      <c r="E41" s="123"/>
      <c r="F41" s="122"/>
      <c r="G41" s="122"/>
      <c r="H41" s="125"/>
      <c r="J41" s="118"/>
    </row>
    <row r="42" spans="1:10">
      <c r="A42" s="121">
        <f t="shared" si="1"/>
        <v>26</v>
      </c>
      <c r="B42" s="116" t="str">
        <f t="shared" si="0"/>
        <v>gi1/0/26</v>
      </c>
      <c r="C42" s="122" t="s">
        <v>2608</v>
      </c>
      <c r="D42" s="129">
        <v>4081</v>
      </c>
      <c r="E42" s="123" t="s">
        <v>78</v>
      </c>
      <c r="F42" s="122" t="s">
        <v>78</v>
      </c>
      <c r="G42" s="122" t="s">
        <v>78</v>
      </c>
      <c r="H42" s="125" t="s">
        <v>78</v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>gi1/0/27</v>
      </c>
      <c r="C43" s="122" t="s">
        <v>2610</v>
      </c>
      <c r="D43" s="129"/>
      <c r="E43" s="123"/>
      <c r="F43" s="122"/>
      <c r="G43" s="122"/>
      <c r="H43" s="125"/>
      <c r="J43" s="118"/>
    </row>
    <row r="44" spans="1:10">
      <c r="A44" s="121">
        <f t="shared" si="1"/>
        <v>28</v>
      </c>
      <c r="B44" s="116" t="str">
        <f t="shared" si="0"/>
        <v>gi1/0/28</v>
      </c>
      <c r="C44" s="122" t="s">
        <v>2610</v>
      </c>
      <c r="D44" s="129"/>
      <c r="E44" s="123"/>
      <c r="F44" s="122"/>
      <c r="G44" s="122"/>
      <c r="H44" s="125"/>
      <c r="J44" s="118"/>
    </row>
    <row r="45" spans="1:10">
      <c r="A45" s="121">
        <f t="shared" si="1"/>
        <v>29</v>
      </c>
      <c r="B45" s="116" t="str">
        <f t="shared" si="0"/>
        <v>gi1/0/29</v>
      </c>
      <c r="C45" s="122" t="s">
        <v>2608</v>
      </c>
      <c r="D45" s="129">
        <v>4082</v>
      </c>
      <c r="E45" s="123" t="s">
        <v>78</v>
      </c>
      <c r="F45" s="122" t="s">
        <v>78</v>
      </c>
      <c r="G45" s="122" t="s">
        <v>78</v>
      </c>
      <c r="H45" s="125" t="s">
        <v>2735</v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>gi1/0/30</v>
      </c>
      <c r="C46" s="122" t="s">
        <v>2608</v>
      </c>
      <c r="D46" s="129">
        <v>4082</v>
      </c>
      <c r="E46" s="123" t="s">
        <v>78</v>
      </c>
      <c r="F46" s="122" t="s">
        <v>78</v>
      </c>
      <c r="G46" s="122" t="s">
        <v>78</v>
      </c>
      <c r="H46" s="125" t="s">
        <v>2736</v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>gi1/0/31</v>
      </c>
      <c r="C47" s="122" t="s">
        <v>2608</v>
      </c>
      <c r="D47" s="129">
        <v>4082</v>
      </c>
      <c r="E47" s="123" t="s">
        <v>78</v>
      </c>
      <c r="F47" s="122" t="s">
        <v>78</v>
      </c>
      <c r="G47" s="122" t="s">
        <v>78</v>
      </c>
      <c r="H47" s="125" t="s">
        <v>2737</v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>gi1/0/32</v>
      </c>
      <c r="C48" s="122" t="s">
        <v>2610</v>
      </c>
      <c r="D48" s="129"/>
      <c r="E48" s="123"/>
      <c r="F48" s="122"/>
      <c r="G48" s="122"/>
      <c r="H48" s="125"/>
      <c r="J48" s="118"/>
    </row>
    <row r="49" spans="1:10">
      <c r="A49" s="121">
        <f t="shared" si="1"/>
        <v>33</v>
      </c>
      <c r="B49" s="116" t="str">
        <f t="shared" si="0"/>
        <v>gi1/0/33</v>
      </c>
      <c r="C49" s="122" t="s">
        <v>2608</v>
      </c>
      <c r="D49" s="129">
        <v>2000</v>
      </c>
      <c r="E49" s="123" t="s">
        <v>78</v>
      </c>
      <c r="F49" s="122" t="s">
        <v>78</v>
      </c>
      <c r="G49" s="122" t="s">
        <v>78</v>
      </c>
      <c r="H49" s="125" t="s">
        <v>2738</v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>gi1/0/34</v>
      </c>
      <c r="C50" s="122" t="s">
        <v>2610</v>
      </c>
      <c r="D50" s="129"/>
      <c r="E50" s="123"/>
      <c r="F50" s="122"/>
      <c r="G50" s="122"/>
      <c r="H50" s="125"/>
      <c r="J50" s="118"/>
    </row>
    <row r="51" spans="1:10">
      <c r="A51" s="121">
        <f t="shared" si="1"/>
        <v>35</v>
      </c>
      <c r="B51" s="116" t="str">
        <f t="shared" si="0"/>
        <v>gi1/0/35</v>
      </c>
      <c r="C51" s="122" t="s">
        <v>2610</v>
      </c>
      <c r="D51" s="129"/>
      <c r="E51" s="123"/>
      <c r="F51" s="122"/>
      <c r="G51" s="122"/>
      <c r="H51" s="125"/>
      <c r="J51" s="118"/>
    </row>
    <row r="52" spans="1:10">
      <c r="A52" s="121">
        <f t="shared" si="1"/>
        <v>36</v>
      </c>
      <c r="B52" s="116" t="str">
        <f t="shared" si="0"/>
        <v>gi1/0/36</v>
      </c>
      <c r="C52" s="122" t="s">
        <v>2610</v>
      </c>
      <c r="D52" s="129"/>
      <c r="E52" s="123"/>
      <c r="F52" s="122"/>
      <c r="G52" s="122"/>
      <c r="H52" s="125"/>
      <c r="J52" s="118"/>
    </row>
    <row r="53" spans="1:10">
      <c r="A53" s="121">
        <f t="shared" si="1"/>
        <v>37</v>
      </c>
      <c r="B53" s="116" t="str">
        <f t="shared" si="0"/>
        <v>gi1/0/37</v>
      </c>
      <c r="C53" s="122" t="s">
        <v>2610</v>
      </c>
      <c r="D53" s="129"/>
      <c r="E53" s="123"/>
      <c r="F53" s="122"/>
      <c r="G53" s="122"/>
      <c r="H53" s="125"/>
      <c r="J53" s="118"/>
    </row>
    <row r="54" spans="1:10">
      <c r="A54" s="121">
        <f t="shared" si="1"/>
        <v>38</v>
      </c>
      <c r="B54" s="116" t="str">
        <f t="shared" si="0"/>
        <v>gi1/0/38</v>
      </c>
      <c r="C54" s="122" t="s">
        <v>2610</v>
      </c>
      <c r="D54" s="129"/>
      <c r="E54" s="123"/>
      <c r="F54" s="122"/>
      <c r="G54" s="122"/>
      <c r="H54" s="125"/>
      <c r="J54" s="118"/>
    </row>
    <row r="55" spans="1:10">
      <c r="A55" s="121">
        <f t="shared" si="1"/>
        <v>39</v>
      </c>
      <c r="B55" s="116" t="str">
        <f t="shared" si="0"/>
        <v>gi1/0/39</v>
      </c>
      <c r="C55" s="122" t="s">
        <v>2610</v>
      </c>
      <c r="D55" s="129"/>
      <c r="E55" s="123"/>
      <c r="F55" s="122"/>
      <c r="G55" s="122"/>
      <c r="H55" s="125"/>
      <c r="J55" s="118"/>
    </row>
    <row r="56" spans="1:10">
      <c r="A56" s="121">
        <f t="shared" si="1"/>
        <v>40</v>
      </c>
      <c r="B56" s="116" t="str">
        <f t="shared" si="0"/>
        <v>gi1/0/40</v>
      </c>
      <c r="C56" s="122" t="s">
        <v>2610</v>
      </c>
      <c r="D56" s="129"/>
      <c r="E56" s="123"/>
      <c r="F56" s="122"/>
      <c r="G56" s="122"/>
      <c r="H56" s="125"/>
      <c r="J56" s="118"/>
    </row>
    <row r="57" spans="1:10">
      <c r="A57" s="121">
        <f t="shared" si="1"/>
        <v>41</v>
      </c>
      <c r="B57" s="116" t="str">
        <f t="shared" si="0"/>
        <v>gi1/0/41</v>
      </c>
      <c r="C57" s="122" t="s">
        <v>2610</v>
      </c>
      <c r="D57" s="129"/>
      <c r="E57" s="123"/>
      <c r="F57" s="122"/>
      <c r="G57" s="122"/>
      <c r="H57" s="125"/>
      <c r="J57" s="118"/>
    </row>
    <row r="58" spans="1:10">
      <c r="A58" s="121">
        <f t="shared" si="1"/>
        <v>42</v>
      </c>
      <c r="B58" s="116" t="str">
        <f t="shared" si="0"/>
        <v>gi1/0/42</v>
      </c>
      <c r="C58" s="122" t="s">
        <v>2610</v>
      </c>
      <c r="D58" s="129"/>
      <c r="E58" s="123"/>
      <c r="F58" s="122"/>
      <c r="G58" s="122"/>
      <c r="H58" s="125"/>
      <c r="J58" s="118"/>
    </row>
    <row r="59" spans="1:10">
      <c r="A59" s="121">
        <f t="shared" si="1"/>
        <v>43</v>
      </c>
      <c r="B59" s="116" t="str">
        <f t="shared" si="0"/>
        <v>gi1/0/43</v>
      </c>
      <c r="C59" s="122" t="s">
        <v>2610</v>
      </c>
      <c r="D59" s="129"/>
      <c r="E59" s="123"/>
      <c r="F59" s="122"/>
      <c r="G59" s="122"/>
      <c r="H59" s="125"/>
      <c r="J59" s="118"/>
    </row>
    <row r="60" spans="1:10">
      <c r="A60" s="121">
        <f t="shared" si="1"/>
        <v>44</v>
      </c>
      <c r="B60" s="116" t="str">
        <f t="shared" si="0"/>
        <v>gi1/0/44</v>
      </c>
      <c r="C60" s="122" t="s">
        <v>2610</v>
      </c>
      <c r="D60" s="129" t="s">
        <v>78</v>
      </c>
      <c r="E60" s="123" t="s">
        <v>78</v>
      </c>
      <c r="F60" s="122" t="s">
        <v>78</v>
      </c>
      <c r="G60" s="122" t="s">
        <v>78</v>
      </c>
      <c r="H60" s="125" t="s">
        <v>78</v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>gi1/0/45</v>
      </c>
      <c r="C61" s="122" t="s">
        <v>2608</v>
      </c>
      <c r="D61" s="129" t="s">
        <v>2075</v>
      </c>
      <c r="E61" s="123">
        <v>45</v>
      </c>
      <c r="F61" s="122" t="s">
        <v>78</v>
      </c>
      <c r="G61" s="122" t="s">
        <v>78</v>
      </c>
      <c r="H61" s="125" t="s">
        <v>2739</v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>gi1/0/46</v>
      </c>
      <c r="C62" s="122" t="s">
        <v>2608</v>
      </c>
      <c r="D62" s="129" t="s">
        <v>2075</v>
      </c>
      <c r="E62" s="123">
        <v>45</v>
      </c>
      <c r="F62" s="122" t="s">
        <v>78</v>
      </c>
      <c r="G62" s="122" t="s">
        <v>78</v>
      </c>
      <c r="H62" s="125" t="s">
        <v>2740</v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>gi1/0/47</v>
      </c>
      <c r="C63" s="122" t="s">
        <v>2608</v>
      </c>
      <c r="D63" s="129" t="s">
        <v>2075</v>
      </c>
      <c r="E63" s="123">
        <v>47</v>
      </c>
      <c r="F63" s="122" t="s">
        <v>78</v>
      </c>
      <c r="G63" s="122" t="s">
        <v>78</v>
      </c>
      <c r="H63" s="125" t="s">
        <v>2741</v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>gi1/0/48</v>
      </c>
      <c r="C64" s="122" t="s">
        <v>2608</v>
      </c>
      <c r="D64" s="129" t="s">
        <v>2075</v>
      </c>
      <c r="E64" s="123">
        <v>47</v>
      </c>
      <c r="F64" s="122" t="s">
        <v>78</v>
      </c>
      <c r="G64" s="122" t="s">
        <v>78</v>
      </c>
      <c r="H64" s="125" t="s">
        <v>2742</v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>IF(A68&gt;$C$8,"",$D$8&amp;$C$11&amp;"/1/"&amp;A68)</f>
        <v>te1/1/1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49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10GB SFP+ DAC</v>
      </c>
      <c r="H68" s="17" t="str" cm="1">
        <f t="array" ref="H68">_xlfn.IFS($B68="","",$B68=$G$11,$G$12&amp;" "&amp;H12,$B68=$G$13,$G$14&amp;" "&amp;$H$14,1=1,"")</f>
        <v>FGHLHN42-1 twe1/0/46</v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ref="B69:B75" si="3">IF(A69&lt;=$C$8,$D$8&amp;$C$11&amp;"/1/"&amp;A69,"")</f>
        <v>te1/1/2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49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10GB SFP+ DAC</v>
      </c>
      <c r="H69" s="17" t="str" cm="1">
        <f t="array" ref="H69">_xlfn.IFS($B69="","",$B69=$G$11,$G$12&amp;" "&amp;H13,$B69=$G$13,$G$14&amp;" "&amp;$H$14,1=1,"")</f>
        <v>FGHLHN42-2 twe2/0/46</v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te1/1/3</v>
      </c>
      <c r="C70" s="122" t="s">
        <v>2608</v>
      </c>
      <c r="D70" s="122">
        <v>2000</v>
      </c>
      <c r="E70" s="123" t="str" cm="1">
        <f t="array" ref="E70">_xlfn.IFS($B70="","",OR($B70=$G$11,$B70=$G$13),INDEX(SWITCH_TABLE[#Data],$H$3,MATCH("Local EC",SWITCH_TABLE[#Headers],0)),1=1,"")</f>
        <v/>
      </c>
      <c r="F70" s="45" t="str" cm="1">
        <f t="array" ref="F70">_xlfn.IFS($B70="","",$B70=$G$11,"Uplink Port 1",$B70=$G$13,"Uplink Port 2",$B70=$B$79,"Stack Port 1",$B70=$B$80,"Stack Port 2",1=1,"")</f>
        <v/>
      </c>
      <c r="G70" s="122" t="s">
        <v>1879</v>
      </c>
      <c r="H70" s="131" t="s">
        <v>2719</v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te1/1/4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45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"&amp;#REF!,$B71=$G$13,$G$14&amp;"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>te1/1/5</v>
      </c>
      <c r="C72" s="122" t="s">
        <v>2608</v>
      </c>
      <c r="D72" s="129" t="s">
        <v>2075</v>
      </c>
      <c r="E72" s="123">
        <v>53</v>
      </c>
      <c r="F72" s="122" t="s">
        <v>78</v>
      </c>
      <c r="G72" s="122" t="s">
        <v>1879</v>
      </c>
      <c r="H72" s="125" t="s">
        <v>2743</v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>te1/1/6</v>
      </c>
      <c r="C73" s="122" t="s">
        <v>2608</v>
      </c>
      <c r="D73" s="129" t="s">
        <v>2075</v>
      </c>
      <c r="E73" s="123">
        <v>53</v>
      </c>
      <c r="F73" s="122" t="s">
        <v>78</v>
      </c>
      <c r="G73" s="122" t="s">
        <v>1879</v>
      </c>
      <c r="H73" s="125" t="s">
        <v>2744</v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>te1/1/7</v>
      </c>
      <c r="C74" s="122" t="s">
        <v>2608</v>
      </c>
      <c r="D74" s="129" t="s">
        <v>2075</v>
      </c>
      <c r="E74" s="123">
        <v>55</v>
      </c>
      <c r="F74" s="122" t="s">
        <v>78</v>
      </c>
      <c r="G74" s="122" t="s">
        <v>1879</v>
      </c>
      <c r="H74" s="125" t="s">
        <v>2745</v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>te1/1/8</v>
      </c>
      <c r="C75" s="122" t="s">
        <v>2608</v>
      </c>
      <c r="D75" s="129" t="s">
        <v>2075</v>
      </c>
      <c r="E75" s="123">
        <v>55</v>
      </c>
      <c r="F75" s="122" t="s">
        <v>78</v>
      </c>
      <c r="G75" s="122" t="s">
        <v>1879</v>
      </c>
      <c r="H75" s="125" t="s">
        <v>2746</v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2")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0 C49 C22:C47">
    <cfRule type="cellIs" dxfId="846" priority="61" operator="equal">
      <formula>"reserved"</formula>
    </cfRule>
    <cfRule type="cellIs" dxfId="845" priority="62" operator="equal">
      <formula>"notconnect"</formula>
    </cfRule>
    <cfRule type="cellIs" dxfId="844" priority="63" operator="equal">
      <formula>"disabled"</formula>
    </cfRule>
    <cfRule type="cellIs" dxfId="843" priority="64" operator="equal">
      <formula>"connect"</formula>
    </cfRule>
  </conditionalFormatting>
  <conditionalFormatting sqref="C68:C71 C74:C75">
    <cfRule type="cellIs" dxfId="842" priority="69" operator="equal">
      <formula>"reserved"</formula>
    </cfRule>
    <cfRule type="cellIs" dxfId="841" priority="70" operator="equal">
      <formula>"notconnect"</formula>
    </cfRule>
    <cfRule type="cellIs" dxfId="840" priority="71" operator="equal">
      <formula>"disabled"</formula>
    </cfRule>
    <cfRule type="cellIs" dxfId="839" priority="72" operator="equal">
      <formula>"connect"</formula>
    </cfRule>
  </conditionalFormatting>
  <conditionalFormatting sqref="C79:C80">
    <cfRule type="cellIs" dxfId="838" priority="65" operator="equal">
      <formula>"reserved"</formula>
    </cfRule>
    <cfRule type="cellIs" dxfId="837" priority="66" operator="equal">
      <formula>"notconnect"</formula>
    </cfRule>
    <cfRule type="cellIs" dxfId="836" priority="67" operator="equal">
      <formula>"disabled"</formula>
    </cfRule>
    <cfRule type="cellIs" dxfId="835" priority="68" operator="equal">
      <formula>"connect"</formula>
    </cfRule>
  </conditionalFormatting>
  <conditionalFormatting sqref="C63:C64">
    <cfRule type="cellIs" dxfId="834" priority="57" operator="equal">
      <formula>"reserved"</formula>
    </cfRule>
    <cfRule type="cellIs" dxfId="833" priority="58" operator="equal">
      <formula>"notconnect"</formula>
    </cfRule>
    <cfRule type="cellIs" dxfId="832" priority="59" operator="equal">
      <formula>"disabled"</formula>
    </cfRule>
    <cfRule type="cellIs" dxfId="831" priority="60" operator="equal">
      <formula>"connect"</formula>
    </cfRule>
  </conditionalFormatting>
  <conditionalFormatting sqref="C17:C22">
    <cfRule type="cellIs" dxfId="830" priority="53" operator="equal">
      <formula>"reserved"</formula>
    </cfRule>
    <cfRule type="cellIs" dxfId="829" priority="54" operator="equal">
      <formula>"notconnect"</formula>
    </cfRule>
    <cfRule type="cellIs" dxfId="828" priority="55" operator="equal">
      <formula>"disabled"</formula>
    </cfRule>
    <cfRule type="cellIs" dxfId="827" priority="56" operator="equal">
      <formula>"connect"</formula>
    </cfRule>
  </conditionalFormatting>
  <conditionalFormatting sqref="C40:C47">
    <cfRule type="cellIs" dxfId="826" priority="49" operator="equal">
      <formula>"reserved"</formula>
    </cfRule>
    <cfRule type="cellIs" dxfId="825" priority="50" operator="equal">
      <formula>"notconnect"</formula>
    </cfRule>
    <cfRule type="cellIs" dxfId="824" priority="51" operator="equal">
      <formula>"disabled"</formula>
    </cfRule>
    <cfRule type="cellIs" dxfId="823" priority="52" operator="equal">
      <formula>"connect"</formula>
    </cfRule>
  </conditionalFormatting>
  <conditionalFormatting sqref="C42:C47">
    <cfRule type="cellIs" dxfId="822" priority="45" operator="equal">
      <formula>"reserved"</formula>
    </cfRule>
    <cfRule type="cellIs" dxfId="821" priority="46" operator="equal">
      <formula>"notconnect"</formula>
    </cfRule>
    <cfRule type="cellIs" dxfId="820" priority="47" operator="equal">
      <formula>"disabled"</formula>
    </cfRule>
    <cfRule type="cellIs" dxfId="819" priority="48" operator="equal">
      <formula>"connect"</formula>
    </cfRule>
  </conditionalFormatting>
  <conditionalFormatting sqref="C46:C47 C49">
    <cfRule type="cellIs" dxfId="818" priority="41" operator="equal">
      <formula>"reserved"</formula>
    </cfRule>
    <cfRule type="cellIs" dxfId="817" priority="42" operator="equal">
      <formula>"notconnect"</formula>
    </cfRule>
    <cfRule type="cellIs" dxfId="816" priority="43" operator="equal">
      <formula>"disabled"</formula>
    </cfRule>
    <cfRule type="cellIs" dxfId="815" priority="44" operator="equal">
      <formula>"connect"</formula>
    </cfRule>
  </conditionalFormatting>
  <conditionalFormatting sqref="C61:C62">
    <cfRule type="cellIs" dxfId="814" priority="37" operator="equal">
      <formula>"reserved"</formula>
    </cfRule>
    <cfRule type="cellIs" dxfId="813" priority="38" operator="equal">
      <formula>"notconnect"</formula>
    </cfRule>
    <cfRule type="cellIs" dxfId="812" priority="39" operator="equal">
      <formula>"disabled"</formula>
    </cfRule>
    <cfRule type="cellIs" dxfId="811" priority="40" operator="equal">
      <formula>"connect"</formula>
    </cfRule>
  </conditionalFormatting>
  <conditionalFormatting sqref="C72:C73">
    <cfRule type="cellIs" dxfId="810" priority="33" operator="equal">
      <formula>"reserved"</formula>
    </cfRule>
    <cfRule type="cellIs" dxfId="809" priority="34" operator="equal">
      <formula>"notconnect"</formula>
    </cfRule>
    <cfRule type="cellIs" dxfId="808" priority="35" operator="equal">
      <formula>"disabled"</formula>
    </cfRule>
    <cfRule type="cellIs" dxfId="807" priority="36" operator="equal">
      <formula>"connect"</formula>
    </cfRule>
  </conditionalFormatting>
  <conditionalFormatting sqref="C50">
    <cfRule type="cellIs" dxfId="806" priority="29" operator="equal">
      <formula>"reserved"</formula>
    </cfRule>
    <cfRule type="cellIs" dxfId="805" priority="30" operator="equal">
      <formula>"notconnect"</formula>
    </cfRule>
    <cfRule type="cellIs" dxfId="804" priority="31" operator="equal">
      <formula>"disabled"</formula>
    </cfRule>
    <cfRule type="cellIs" dxfId="803" priority="32" operator="equal">
      <formula>"connect"</formula>
    </cfRule>
  </conditionalFormatting>
  <conditionalFormatting sqref="C49:C50">
    <cfRule type="cellIs" dxfId="802" priority="25" operator="equal">
      <formula>"reserved"</formula>
    </cfRule>
    <cfRule type="cellIs" dxfId="801" priority="26" operator="equal">
      <formula>"notconnect"</formula>
    </cfRule>
    <cfRule type="cellIs" dxfId="800" priority="27" operator="equal">
      <formula>"disabled"</formula>
    </cfRule>
    <cfRule type="cellIs" dxfId="799" priority="28" operator="equal">
      <formula>"connect"</formula>
    </cfRule>
  </conditionalFormatting>
  <conditionalFormatting sqref="C56">
    <cfRule type="cellIs" dxfId="798" priority="21" operator="equal">
      <formula>"reserved"</formula>
    </cfRule>
    <cfRule type="cellIs" dxfId="797" priority="22" operator="equal">
      <formula>"notconnect"</formula>
    </cfRule>
    <cfRule type="cellIs" dxfId="796" priority="23" operator="equal">
      <formula>"disabled"</formula>
    </cfRule>
    <cfRule type="cellIs" dxfId="795" priority="24" operator="equal">
      <formula>"connect"</formula>
    </cfRule>
  </conditionalFormatting>
  <conditionalFormatting sqref="C56:C58">
    <cfRule type="cellIs" dxfId="794" priority="17" operator="equal">
      <formula>"reserved"</formula>
    </cfRule>
    <cfRule type="cellIs" dxfId="793" priority="18" operator="equal">
      <formula>"notconnect"</formula>
    </cfRule>
    <cfRule type="cellIs" dxfId="792" priority="19" operator="equal">
      <formula>"disabled"</formula>
    </cfRule>
    <cfRule type="cellIs" dxfId="791" priority="20" operator="equal">
      <formula>"connect"</formula>
    </cfRule>
  </conditionalFormatting>
  <conditionalFormatting sqref="C58 C49">
    <cfRule type="cellIs" dxfId="790" priority="13" operator="equal">
      <formula>"reserved"</formula>
    </cfRule>
    <cfRule type="cellIs" dxfId="789" priority="14" operator="equal">
      <formula>"notconnect"</formula>
    </cfRule>
    <cfRule type="cellIs" dxfId="788" priority="15" operator="equal">
      <formula>"disabled"</formula>
    </cfRule>
    <cfRule type="cellIs" dxfId="787" priority="16" operator="equal">
      <formula>"connect"</formula>
    </cfRule>
  </conditionalFormatting>
  <conditionalFormatting sqref="C59 C48">
    <cfRule type="cellIs" dxfId="786" priority="9" operator="equal">
      <formula>"reserved"</formula>
    </cfRule>
    <cfRule type="cellIs" dxfId="785" priority="10" operator="equal">
      <formula>"notconnect"</formula>
    </cfRule>
    <cfRule type="cellIs" dxfId="784" priority="11" operator="equal">
      <formula>"disabled"</formula>
    </cfRule>
    <cfRule type="cellIs" dxfId="783" priority="12" operator="equal">
      <formula>"connect"</formula>
    </cfRule>
  </conditionalFormatting>
  <conditionalFormatting sqref="C51:C55">
    <cfRule type="cellIs" dxfId="782" priority="5" operator="equal">
      <formula>"reserved"</formula>
    </cfRule>
    <cfRule type="cellIs" dxfId="781" priority="6" operator="equal">
      <formula>"notconnect"</formula>
    </cfRule>
    <cfRule type="cellIs" dxfId="780" priority="7" operator="equal">
      <formula>"disabled"</formula>
    </cfRule>
    <cfRule type="cellIs" dxfId="779" priority="8" operator="equal">
      <formula>"connect"</formula>
    </cfRule>
  </conditionalFormatting>
  <conditionalFormatting sqref="C51:C55">
    <cfRule type="cellIs" dxfId="778" priority="1" operator="equal">
      <formula>"reserved"</formula>
    </cfRule>
    <cfRule type="cellIs" dxfId="777" priority="2" operator="equal">
      <formula>"notconnect"</formula>
    </cfRule>
    <cfRule type="cellIs" dxfId="776" priority="3" operator="equal">
      <formula>"disabled"</formula>
    </cfRule>
    <cfRule type="cellIs" dxfId="775" priority="4" operator="equal">
      <formula>"connect"</formula>
    </cfRule>
  </conditionalFormatting>
  <dataValidations count="5">
    <dataValidation allowBlank="1" showInputMessage="1" sqref="E68:E75 E17:E64" xr:uid="{C2BB349C-758D-4BFD-9F90-305EB94189EC}"/>
    <dataValidation type="list" allowBlank="1" showInputMessage="1" sqref="F72:F75 F17:F64" xr:uid="{B4E4DA9E-D680-4E3C-8765-08033D4811EC}">
      <formula1>SPEED_DUPLEX_LIST</formula1>
    </dataValidation>
    <dataValidation type="list" allowBlank="1" showInputMessage="1" sqref="D68:D71" xr:uid="{10E89BA5-FBB3-43A9-91D3-6376A2400B4C}">
      <formula1>VLAN_ID_LIST</formula1>
    </dataValidation>
    <dataValidation type="list" allowBlank="1" showInputMessage="1" sqref="C68:C75 C79:C80 C17:C64" xr:uid="{F8392313-7D76-4363-B81A-0FF268B99D67}">
      <formula1>PORT_STATE_LIST</formula1>
    </dataValidation>
    <dataValidation type="list" allowBlank="1" showInputMessage="1" sqref="G68:G75 G17:G64" xr:uid="{9CC57410-E1CA-4357-8A3B-EE198299AAAE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B3F4-D3D0-4945-9B7C-F11A9CFCB4E6}">
  <sheetPr codeName="Sheet33">
    <tabColor rgb="FFEDCAC9"/>
    <pageSetUpPr fitToPage="1"/>
  </sheetPr>
  <dimension ref="A1:L81"/>
  <sheetViews>
    <sheetView topLeftCell="B1" zoomScale="115" zoomScaleNormal="115" workbookViewId="0">
      <selection activeCell="H17" sqref="H17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2" width="9.109375" style="111" bestFit="1" customWidth="1"/>
    <col min="13" max="16384" width="9" style="111"/>
  </cols>
  <sheetData>
    <row r="1" spans="1:12" ht="24" customHeight="1">
      <c r="A1" s="108" t="s">
        <v>991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2" ht="13.2">
      <c r="B2" s="112"/>
      <c r="C2" s="112"/>
      <c r="D2" s="112"/>
      <c r="E2" s="112"/>
      <c r="F2" s="112"/>
      <c r="G2" s="112"/>
      <c r="L2" s="113" t="s">
        <v>2697</v>
      </c>
    </row>
    <row r="3" spans="1:12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15</v>
      </c>
      <c r="L3" s="142" t="s">
        <v>2747</v>
      </c>
    </row>
    <row r="4" spans="1:12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  <c r="L4" s="142" t="s">
        <v>2748</v>
      </c>
    </row>
    <row r="5" spans="1:12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CR1</v>
      </c>
      <c r="L5" s="142" t="s">
        <v>2749</v>
      </c>
    </row>
    <row r="6" spans="1:12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READY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  <c r="L6" s="142"/>
    </row>
    <row r="7" spans="1:12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FCW2323L09G</v>
      </c>
      <c r="L7" s="142"/>
    </row>
    <row r="8" spans="1:12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10.227.176.2</v>
      </c>
      <c r="L8" s="142"/>
    </row>
    <row r="9" spans="1:12">
      <c r="G9" s="111"/>
      <c r="L9" s="142"/>
    </row>
    <row r="10" spans="1:12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  <c r="L10" s="142"/>
    </row>
    <row r="11" spans="1:12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SFP SX</v>
      </c>
      <c r="L11" s="142"/>
    </row>
    <row r="12" spans="1:12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FGHLHN72</v>
      </c>
      <c r="H12" s="118" t="str" cm="1">
        <f t="array" ref="H12">IF(G12="","",INDEX(SWITCH_TABLE[#Data],$H$3,MATCH("Remote Port 1",SWITCH_TABLE[#Headers],0)))</f>
        <v>gi1/1/1</v>
      </c>
      <c r="L12" s="142"/>
    </row>
    <row r="13" spans="1:12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SFP SX</v>
      </c>
      <c r="L13" s="142"/>
    </row>
    <row r="14" spans="1:12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FGHLHN72</v>
      </c>
      <c r="H14" s="118" t="str" cm="1">
        <f t="array" ref="H14">IF(G14="","",INDEX(SWITCH_TABLE[#Data],$H$3,MATCH("Remote Port 2",SWITCH_TABLE[#Headers],0)))</f>
        <v>gi1/1/2</v>
      </c>
      <c r="L14" s="142"/>
    </row>
    <row r="15" spans="1:12">
      <c r="H15" s="114"/>
      <c r="L15" s="142"/>
    </row>
    <row r="16" spans="1:12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  <c r="L16" s="127"/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3177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2752</v>
      </c>
      <c r="G17" s="122" t="s">
        <v>1991</v>
      </c>
      <c r="H17" s="142" t="s">
        <v>2751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29" t="str" cm="1">
        <f t="array" ref="D18">IF($J18&lt;&gt;"",INDEX(Connections!$B$4:$V$345,$J18,MATCH(D$16,Connections!$B$3:$V$3,0)),"")</f>
        <v/>
      </c>
      <c r="E18" s="123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122" t="str" cm="1">
        <f t="array" ref="F18">IF($J18&lt;&gt;"",INDEX(Connections!$B$4:$V$345,$J18,MATCH(F$16,Connections!$B$3:$V$3,0)),"")</f>
        <v/>
      </c>
      <c r="G18" s="122" t="str" cm="1">
        <f t="array" ref="G18">IF($J18&lt;&gt;"",INDEX(Connections!$B$4:$V$345,$J18,MATCH(G$16,Connections!$B$3:$V$3,0)),"")</f>
        <v/>
      </c>
      <c r="H18" s="125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3178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2752</v>
      </c>
      <c r="G19" s="122" t="s">
        <v>1991</v>
      </c>
      <c r="H19" s="125" t="s">
        <v>2753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129" t="str" cm="1">
        <f t="array" ref="D21">IF($J21&lt;&gt;"",INDEX(Connections!$B$4:$V$345,$J21,MATCH(D$16,Connections!$B$3:$V$3,0)),"")</f>
        <v/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tr" cm="1">
        <f t="array" ref="F21">IF($J21&lt;&gt;"",INDEX(Connections!$B$4:$V$345,$J21,MATCH(F$16,Connections!$B$3:$V$3,0)),"")</f>
        <v/>
      </c>
      <c r="G21" s="122" t="str" cm="1">
        <f t="array" ref="G21">IF($J21&lt;&gt;"",INDEX(Connections!$B$4:$V$345,$J21,MATCH(G$16,Connections!$B$3:$V$3,0)),"")</f>
        <v/>
      </c>
      <c r="H21" s="125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2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2">
      <c r="L66" s="111" t="s">
        <v>1816</v>
      </c>
    </row>
    <row r="67" spans="1:12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2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25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1GB SFP SX</v>
      </c>
      <c r="H68" s="17" t="str" cm="1">
        <f t="array" ref="H68">_xlfn.IFS($B68="","",$B68=$G$11,$G$12&amp;" "&amp;H12,$B68=$G$13,$G$14&amp;" "&amp;$H$14,1=1,"")</f>
        <v>FGHLHN72 gi1/1/1</v>
      </c>
      <c r="J68" s="127">
        <f t="array" ref="J68">_xlfn.IFNA(MATCH(1,(SHEET_NAME=SWITCH_TABLE[Remote Device 1])*(B68=SWITCH_TABLE[Remote Port 1]),0),"")</f>
        <v>16</v>
      </c>
    </row>
    <row r="69" spans="1:12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25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1GB SFP SX</v>
      </c>
      <c r="H69" s="17" t="str" cm="1">
        <f t="array" ref="H69">_xlfn.IFS($B69="","",$B69=$G$11,$G$12&amp;" "&amp;H13,$B69=$G$13,$G$14&amp;" "&amp;$H$14,1=1,"")</f>
        <v>FGHLHN72 gi1/1/2</v>
      </c>
      <c r="J69" s="127" t="str">
        <f t="array" ref="J69">_xlfn.IFNA(MATCH(1,(SHEET_NAME=SWITCH_TABLE[Remote Device 1])*(B69=SWITCH_TABLE[Remote Port 1]),0),"")</f>
        <v/>
      </c>
    </row>
    <row r="70" spans="1:12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2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2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2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2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2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2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2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2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2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1")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  <c r="L80" s="111" t="s">
        <v>1816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774" priority="113" operator="equal">
      <formula>"reserved"</formula>
    </cfRule>
    <cfRule type="cellIs" dxfId="773" priority="114" operator="equal">
      <formula>"notconnect"</formula>
    </cfRule>
    <cfRule type="cellIs" dxfId="772" priority="115" operator="equal">
      <formula>"disabled"</formula>
    </cfRule>
    <cfRule type="cellIs" dxfId="771" priority="116" operator="equal">
      <formula>"connect"</formula>
    </cfRule>
  </conditionalFormatting>
  <conditionalFormatting sqref="C63:C64">
    <cfRule type="cellIs" dxfId="770" priority="109" operator="equal">
      <formula>"reserved"</formula>
    </cfRule>
    <cfRule type="cellIs" dxfId="769" priority="110" operator="equal">
      <formula>"notconnect"</formula>
    </cfRule>
    <cfRule type="cellIs" dxfId="768" priority="111" operator="equal">
      <formula>"disabled"</formula>
    </cfRule>
    <cfRule type="cellIs" dxfId="767" priority="112" operator="equal">
      <formula>"connect"</formula>
    </cfRule>
  </conditionalFormatting>
  <conditionalFormatting sqref="C22">
    <cfRule type="cellIs" dxfId="766" priority="105" operator="equal">
      <formula>"reserved"</formula>
    </cfRule>
    <cfRule type="cellIs" dxfId="765" priority="106" operator="equal">
      <formula>"notconnect"</formula>
    </cfRule>
    <cfRule type="cellIs" dxfId="764" priority="107" operator="equal">
      <formula>"disabled"</formula>
    </cfRule>
    <cfRule type="cellIs" dxfId="763" priority="108" operator="equal">
      <formula>"connect"</formula>
    </cfRule>
  </conditionalFormatting>
  <conditionalFormatting sqref="C40:C42 C45:C47">
    <cfRule type="cellIs" dxfId="762" priority="101" operator="equal">
      <formula>"reserved"</formula>
    </cfRule>
    <cfRule type="cellIs" dxfId="761" priority="102" operator="equal">
      <formula>"notconnect"</formula>
    </cfRule>
    <cfRule type="cellIs" dxfId="760" priority="103" operator="equal">
      <formula>"disabled"</formula>
    </cfRule>
    <cfRule type="cellIs" dxfId="759" priority="104" operator="equal">
      <formula>"connect"</formula>
    </cfRule>
  </conditionalFormatting>
  <conditionalFormatting sqref="C42 C45:C47">
    <cfRule type="cellIs" dxfId="758" priority="97" operator="equal">
      <formula>"reserved"</formula>
    </cfRule>
    <cfRule type="cellIs" dxfId="757" priority="98" operator="equal">
      <formula>"notconnect"</formula>
    </cfRule>
    <cfRule type="cellIs" dxfId="756" priority="99" operator="equal">
      <formula>"disabled"</formula>
    </cfRule>
    <cfRule type="cellIs" dxfId="755" priority="100" operator="equal">
      <formula>"connect"</formula>
    </cfRule>
  </conditionalFormatting>
  <conditionalFormatting sqref="C46:C47 C49">
    <cfRule type="cellIs" dxfId="754" priority="93" operator="equal">
      <formula>"reserved"</formula>
    </cfRule>
    <cfRule type="cellIs" dxfId="753" priority="94" operator="equal">
      <formula>"notconnect"</formula>
    </cfRule>
    <cfRule type="cellIs" dxfId="752" priority="95" operator="equal">
      <formula>"disabled"</formula>
    </cfRule>
    <cfRule type="cellIs" dxfId="751" priority="96" operator="equal">
      <formula>"connect"</formula>
    </cfRule>
  </conditionalFormatting>
  <conditionalFormatting sqref="C61:C62">
    <cfRule type="cellIs" dxfId="750" priority="89" operator="equal">
      <formula>"reserved"</formula>
    </cfRule>
    <cfRule type="cellIs" dxfId="749" priority="90" operator="equal">
      <formula>"notconnect"</formula>
    </cfRule>
    <cfRule type="cellIs" dxfId="748" priority="91" operator="equal">
      <formula>"disabled"</formula>
    </cfRule>
    <cfRule type="cellIs" dxfId="747" priority="92" operator="equal">
      <formula>"connect"</formula>
    </cfRule>
  </conditionalFormatting>
  <conditionalFormatting sqref="C50">
    <cfRule type="cellIs" dxfId="746" priority="85" operator="equal">
      <formula>"reserved"</formula>
    </cfRule>
    <cfRule type="cellIs" dxfId="745" priority="86" operator="equal">
      <formula>"notconnect"</formula>
    </cfRule>
    <cfRule type="cellIs" dxfId="744" priority="87" operator="equal">
      <formula>"disabled"</formula>
    </cfRule>
    <cfRule type="cellIs" dxfId="743" priority="88" operator="equal">
      <formula>"connect"</formula>
    </cfRule>
  </conditionalFormatting>
  <conditionalFormatting sqref="C49:C52">
    <cfRule type="cellIs" dxfId="742" priority="81" operator="equal">
      <formula>"reserved"</formula>
    </cfRule>
    <cfRule type="cellIs" dxfId="741" priority="82" operator="equal">
      <formula>"notconnect"</formula>
    </cfRule>
    <cfRule type="cellIs" dxfId="740" priority="83" operator="equal">
      <formula>"disabled"</formula>
    </cfRule>
    <cfRule type="cellIs" dxfId="739" priority="84" operator="equal">
      <formula>"connect"</formula>
    </cfRule>
  </conditionalFormatting>
  <conditionalFormatting sqref="C51:C56">
    <cfRule type="cellIs" dxfId="738" priority="77" operator="equal">
      <formula>"reserved"</formula>
    </cfRule>
    <cfRule type="cellIs" dxfId="737" priority="78" operator="equal">
      <formula>"notconnect"</formula>
    </cfRule>
    <cfRule type="cellIs" dxfId="736" priority="79" operator="equal">
      <formula>"disabled"</formula>
    </cfRule>
    <cfRule type="cellIs" dxfId="735" priority="80" operator="equal">
      <formula>"connect"</formula>
    </cfRule>
  </conditionalFormatting>
  <conditionalFormatting sqref="C55:C58">
    <cfRule type="cellIs" dxfId="734" priority="73" operator="equal">
      <formula>"reserved"</formula>
    </cfRule>
    <cfRule type="cellIs" dxfId="733" priority="74" operator="equal">
      <formula>"notconnect"</formula>
    </cfRule>
    <cfRule type="cellIs" dxfId="732" priority="75" operator="equal">
      <formula>"disabled"</formula>
    </cfRule>
    <cfRule type="cellIs" dxfId="731" priority="76" operator="equal">
      <formula>"connect"</formula>
    </cfRule>
  </conditionalFormatting>
  <conditionalFormatting sqref="C58 C49">
    <cfRule type="cellIs" dxfId="730" priority="69" operator="equal">
      <formula>"reserved"</formula>
    </cfRule>
    <cfRule type="cellIs" dxfId="729" priority="70" operator="equal">
      <formula>"notconnect"</formula>
    </cfRule>
    <cfRule type="cellIs" dxfId="728" priority="71" operator="equal">
      <formula>"disabled"</formula>
    </cfRule>
    <cfRule type="cellIs" dxfId="727" priority="72" operator="equal">
      <formula>"connect"</formula>
    </cfRule>
  </conditionalFormatting>
  <conditionalFormatting sqref="C60">
    <cfRule type="cellIs" dxfId="726" priority="65" operator="equal">
      <formula>"reserved"</formula>
    </cfRule>
    <cfRule type="cellIs" dxfId="725" priority="66" operator="equal">
      <formula>"notconnect"</formula>
    </cfRule>
    <cfRule type="cellIs" dxfId="724" priority="67" operator="equal">
      <formula>"disabled"</formula>
    </cfRule>
    <cfRule type="cellIs" dxfId="723" priority="68" operator="equal">
      <formula>"connect"</formula>
    </cfRule>
  </conditionalFormatting>
  <conditionalFormatting sqref="C48">
    <cfRule type="cellIs" dxfId="722" priority="61" operator="equal">
      <formula>"reserved"</formula>
    </cfRule>
    <cfRule type="cellIs" dxfId="721" priority="62" operator="equal">
      <formula>"notconnect"</formula>
    </cfRule>
    <cfRule type="cellIs" dxfId="720" priority="63" operator="equal">
      <formula>"disabled"</formula>
    </cfRule>
    <cfRule type="cellIs" dxfId="719" priority="64" operator="equal">
      <formula>"connect"</formula>
    </cfRule>
  </conditionalFormatting>
  <conditionalFormatting sqref="C43:C44">
    <cfRule type="cellIs" dxfId="718" priority="57" operator="equal">
      <formula>"reserved"</formula>
    </cfRule>
    <cfRule type="cellIs" dxfId="717" priority="58" operator="equal">
      <formula>"notconnect"</formula>
    </cfRule>
    <cfRule type="cellIs" dxfId="716" priority="59" operator="equal">
      <formula>"disabled"</formula>
    </cfRule>
    <cfRule type="cellIs" dxfId="715" priority="60" operator="equal">
      <formula>"connect"</formula>
    </cfRule>
  </conditionalFormatting>
  <conditionalFormatting sqref="C38">
    <cfRule type="cellIs" dxfId="714" priority="53" operator="equal">
      <formula>"reserved"</formula>
    </cfRule>
    <cfRule type="cellIs" dxfId="713" priority="54" operator="equal">
      <formula>"notconnect"</formula>
    </cfRule>
    <cfRule type="cellIs" dxfId="712" priority="55" operator="equal">
      <formula>"disabled"</formula>
    </cfRule>
    <cfRule type="cellIs" dxfId="711" priority="56" operator="equal">
      <formula>"connect"</formula>
    </cfRule>
  </conditionalFormatting>
  <conditionalFormatting sqref="C36">
    <cfRule type="cellIs" dxfId="710" priority="49" operator="equal">
      <formula>"reserved"</formula>
    </cfRule>
    <cfRule type="cellIs" dxfId="709" priority="50" operator="equal">
      <formula>"notconnect"</formula>
    </cfRule>
    <cfRule type="cellIs" dxfId="708" priority="51" operator="equal">
      <formula>"disabled"</formula>
    </cfRule>
    <cfRule type="cellIs" dxfId="707" priority="52" operator="equal">
      <formula>"connect"</formula>
    </cfRule>
  </conditionalFormatting>
  <conditionalFormatting sqref="C31:C32">
    <cfRule type="cellIs" dxfId="706" priority="45" operator="equal">
      <formula>"reserved"</formula>
    </cfRule>
    <cfRule type="cellIs" dxfId="705" priority="46" operator="equal">
      <formula>"notconnect"</formula>
    </cfRule>
    <cfRule type="cellIs" dxfId="704" priority="47" operator="equal">
      <formula>"disabled"</formula>
    </cfRule>
    <cfRule type="cellIs" dxfId="703" priority="48" operator="equal">
      <formula>"connect"</formula>
    </cfRule>
  </conditionalFormatting>
  <conditionalFormatting sqref="C26">
    <cfRule type="cellIs" dxfId="702" priority="41" operator="equal">
      <formula>"reserved"</formula>
    </cfRule>
    <cfRule type="cellIs" dxfId="701" priority="42" operator="equal">
      <formula>"notconnect"</formula>
    </cfRule>
    <cfRule type="cellIs" dxfId="700" priority="43" operator="equal">
      <formula>"disabled"</formula>
    </cfRule>
    <cfRule type="cellIs" dxfId="699" priority="44" operator="equal">
      <formula>"connect"</formula>
    </cfRule>
  </conditionalFormatting>
  <conditionalFormatting sqref="C23">
    <cfRule type="cellIs" dxfId="698" priority="37" operator="equal">
      <formula>"reserved"</formula>
    </cfRule>
    <cfRule type="cellIs" dxfId="697" priority="38" operator="equal">
      <formula>"notconnect"</formula>
    </cfRule>
    <cfRule type="cellIs" dxfId="696" priority="39" operator="equal">
      <formula>"disabled"</formula>
    </cfRule>
    <cfRule type="cellIs" dxfId="695" priority="40" operator="equal">
      <formula>"connect"</formula>
    </cfRule>
  </conditionalFormatting>
  <conditionalFormatting sqref="C20">
    <cfRule type="cellIs" dxfId="694" priority="33" operator="equal">
      <formula>"reserved"</formula>
    </cfRule>
    <cfRule type="cellIs" dxfId="693" priority="34" operator="equal">
      <formula>"notconnect"</formula>
    </cfRule>
    <cfRule type="cellIs" dxfId="692" priority="35" operator="equal">
      <formula>"disabled"</formula>
    </cfRule>
    <cfRule type="cellIs" dxfId="691" priority="36" operator="equal">
      <formula>"connect"</formula>
    </cfRule>
  </conditionalFormatting>
  <conditionalFormatting sqref="C20 C22:C64">
    <cfRule type="cellIs" dxfId="690" priority="29" operator="equal">
      <formula>"reserved"</formula>
    </cfRule>
    <cfRule type="cellIs" dxfId="689" priority="30" operator="equal">
      <formula>"notconnect"</formula>
    </cfRule>
    <cfRule type="cellIs" dxfId="688" priority="31" operator="equal">
      <formula>"disabled"</formula>
    </cfRule>
    <cfRule type="cellIs" dxfId="687" priority="32" operator="equal">
      <formula>"connect"</formula>
    </cfRule>
  </conditionalFormatting>
  <conditionalFormatting sqref="C68:C75">
    <cfRule type="cellIs" dxfId="686" priority="25" operator="equal">
      <formula>"reserved"</formula>
    </cfRule>
    <cfRule type="cellIs" dxfId="685" priority="26" operator="equal">
      <formula>"notconnect"</formula>
    </cfRule>
    <cfRule type="cellIs" dxfId="684" priority="27" operator="equal">
      <formula>"disabled"</formula>
    </cfRule>
    <cfRule type="cellIs" dxfId="683" priority="28" operator="equal">
      <formula>"connect"</formula>
    </cfRule>
  </conditionalFormatting>
  <conditionalFormatting sqref="C79:C80">
    <cfRule type="cellIs" dxfId="682" priority="21" operator="equal">
      <formula>"reserved"</formula>
    </cfRule>
    <cfRule type="cellIs" dxfId="681" priority="22" operator="equal">
      <formula>"notconnect"</formula>
    </cfRule>
    <cfRule type="cellIs" dxfId="680" priority="23" operator="equal">
      <formula>"disabled"</formula>
    </cfRule>
    <cfRule type="cellIs" dxfId="679" priority="24" operator="equal">
      <formula>"connect"</formula>
    </cfRule>
  </conditionalFormatting>
  <conditionalFormatting sqref="C21">
    <cfRule type="cellIs" dxfId="678" priority="17" operator="equal">
      <formula>"reserved"</formula>
    </cfRule>
    <cfRule type="cellIs" dxfId="677" priority="18" operator="equal">
      <formula>"notconnect"</formula>
    </cfRule>
    <cfRule type="cellIs" dxfId="676" priority="19" operator="equal">
      <formula>"disabled"</formula>
    </cfRule>
    <cfRule type="cellIs" dxfId="675" priority="20" operator="equal">
      <formula>"connect"</formula>
    </cfRule>
  </conditionalFormatting>
  <conditionalFormatting sqref="C21">
    <cfRule type="cellIs" dxfId="674" priority="13" operator="equal">
      <formula>"reserved"</formula>
    </cfRule>
    <cfRule type="cellIs" dxfId="673" priority="14" operator="equal">
      <formula>"notconnect"</formula>
    </cfRule>
    <cfRule type="cellIs" dxfId="672" priority="15" operator="equal">
      <formula>"disabled"</formula>
    </cfRule>
    <cfRule type="cellIs" dxfId="671" priority="16" operator="equal">
      <formula>"connect"</formula>
    </cfRule>
  </conditionalFormatting>
  <conditionalFormatting sqref="C21">
    <cfRule type="cellIs" dxfId="670" priority="9" operator="equal">
      <formula>"reserved"</formula>
    </cfRule>
    <cfRule type="cellIs" dxfId="669" priority="10" operator="equal">
      <formula>"notconnect"</formula>
    </cfRule>
    <cfRule type="cellIs" dxfId="668" priority="11" operator="equal">
      <formula>"disabled"</formula>
    </cfRule>
    <cfRule type="cellIs" dxfId="667" priority="12" operator="equal">
      <formula>"connect"</formula>
    </cfRule>
  </conditionalFormatting>
  <conditionalFormatting sqref="C17:C19">
    <cfRule type="cellIs" dxfId="666" priority="5" operator="equal">
      <formula>"reserved"</formula>
    </cfRule>
    <cfRule type="cellIs" dxfId="665" priority="6" operator="equal">
      <formula>"notconnect"</formula>
    </cfRule>
    <cfRule type="cellIs" dxfId="664" priority="7" operator="equal">
      <formula>"disabled"</formula>
    </cfRule>
    <cfRule type="cellIs" dxfId="663" priority="8" operator="equal">
      <formula>"connect"</formula>
    </cfRule>
  </conditionalFormatting>
  <conditionalFormatting sqref="C17:C19">
    <cfRule type="cellIs" dxfId="662" priority="1" operator="equal">
      <formula>"reserved"</formula>
    </cfRule>
    <cfRule type="cellIs" dxfId="661" priority="2" operator="equal">
      <formula>"notconnect"</formula>
    </cfRule>
    <cfRule type="cellIs" dxfId="660" priority="3" operator="equal">
      <formula>"disabled"</formula>
    </cfRule>
    <cfRule type="cellIs" dxfId="659" priority="4" operator="equal">
      <formula>"connect"</formula>
    </cfRule>
  </conditionalFormatting>
  <dataValidations count="5">
    <dataValidation type="list" allowBlank="1" showInputMessage="1" sqref="G68:G75 G17:G64" xr:uid="{D9C1E498-9126-4EAF-A4DE-0A4FA9C5522D}">
      <formula1>PORT_TYPE_LIST</formula1>
    </dataValidation>
    <dataValidation type="list" allowBlank="1" showInputMessage="1" sqref="C79:C80 C68:C75 C17:C64" xr:uid="{382FAD9A-1603-49DD-BA4C-F333C411CAB3}">
      <formula1>PORT_STATE_LIST</formula1>
    </dataValidation>
    <dataValidation type="list" allowBlank="1" showInputMessage="1" sqref="D68:D75" xr:uid="{A4041131-C820-4B3A-8625-23D0619C85F8}">
      <formula1>VLAN_ID_LIST</formula1>
    </dataValidation>
    <dataValidation type="list" allowBlank="1" showInputMessage="1" sqref="F17:F64" xr:uid="{4FDE8184-44D7-4F47-A972-C5B46B26B245}">
      <formula1>SPEED_DUPLEX_LIST</formula1>
    </dataValidation>
    <dataValidation allowBlank="1" showInputMessage="1" sqref="E68:E75 E17:E64" xr:uid="{636C8421-22B0-48A1-A331-5F073B2729A2}"/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F1A5D-4D33-4AB8-8345-3F3AFAAD7AEB}">
  <sheetPr codeName="Sheet34">
    <tabColor rgb="FFEDCAC9"/>
    <pageSetUpPr fitToPage="1"/>
  </sheetPr>
  <dimension ref="A1:L81"/>
  <sheetViews>
    <sheetView topLeftCell="A25" zoomScale="115" zoomScaleNormal="115" workbookViewId="0">
      <selection activeCell="C21" sqref="C21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2" width="9.109375" style="111" bestFit="1" customWidth="1"/>
    <col min="13" max="16384" width="9" style="111"/>
  </cols>
  <sheetData>
    <row r="1" spans="1:12" ht="24" customHeight="1">
      <c r="A1" s="108" t="s">
        <v>1004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2" ht="13.2">
      <c r="B2" s="112"/>
      <c r="C2" s="112"/>
      <c r="D2" s="112"/>
      <c r="E2" s="112"/>
      <c r="F2" s="112"/>
      <c r="G2" s="112"/>
      <c r="L2" s="113" t="s">
        <v>2697</v>
      </c>
    </row>
    <row r="3" spans="1:12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16</v>
      </c>
      <c r="L3" s="142" t="s">
        <v>2747</v>
      </c>
    </row>
    <row r="4" spans="1:12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FGHLHN72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Listerhills</v>
      </c>
      <c r="L4" s="142" t="s">
        <v>2748</v>
      </c>
    </row>
    <row r="5" spans="1:12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CR2</v>
      </c>
      <c r="L5" s="142" t="s">
        <v>2749</v>
      </c>
    </row>
    <row r="6" spans="1:12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READY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  <c r="L6" s="142"/>
    </row>
    <row r="7" spans="1:12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FCW2323D08J</v>
      </c>
      <c r="L7" s="142"/>
    </row>
    <row r="8" spans="1:12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10.227.176.3</v>
      </c>
      <c r="L8" s="142"/>
    </row>
    <row r="9" spans="1:12">
      <c r="G9" s="111"/>
      <c r="L9" s="142"/>
    </row>
    <row r="10" spans="1:12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  <c r="L10" s="142"/>
    </row>
    <row r="11" spans="1:12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SFP SX</v>
      </c>
      <c r="L11" s="142"/>
    </row>
    <row r="12" spans="1:12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FGHLHN71</v>
      </c>
      <c r="H12" s="118" t="str" cm="1">
        <f t="array" ref="H12">IF(G12="","",INDEX(SWITCH_TABLE[#Data],$H$3,MATCH("Remote Port 1",SWITCH_TABLE[#Headers],0)))</f>
        <v>gi1/1/1</v>
      </c>
      <c r="L12" s="142"/>
    </row>
    <row r="13" spans="1:12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SFP SX</v>
      </c>
      <c r="L13" s="142"/>
    </row>
    <row r="14" spans="1:12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FGHLHN71</v>
      </c>
      <c r="H14" s="118" t="str" cm="1">
        <f t="array" ref="H14">IF(G14="","",INDEX(SWITCH_TABLE[#Data],$H$3,MATCH("Remote Port 2",SWITCH_TABLE[#Headers],0)))</f>
        <v>gi1/1/2</v>
      </c>
      <c r="L14" s="142"/>
    </row>
    <row r="15" spans="1:12">
      <c r="H15" s="114"/>
      <c r="L15" s="142"/>
    </row>
    <row r="16" spans="1:12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  <c r="L16" s="127"/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3177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2752</v>
      </c>
      <c r="G17" s="122" t="s">
        <v>1991</v>
      </c>
      <c r="H17" s="142" t="s">
        <v>2751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29" t="str" cm="1">
        <f t="array" ref="D18">IF($J18&lt;&gt;"",INDEX(Connections!$B$4:$V$345,$J18,MATCH(D$16,Connections!$B$3:$V$3,0)),"")</f>
        <v/>
      </c>
      <c r="E18" s="123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122" t="str" cm="1">
        <f t="array" ref="F18">IF($J18&lt;&gt;"",INDEX(Connections!$B$4:$V$345,$J18,MATCH(F$16,Connections!$B$3:$V$3,0)),"")</f>
        <v/>
      </c>
      <c r="G18" s="122" t="str" cm="1">
        <f t="array" ref="G18">IF($J18&lt;&gt;"",INDEX(Connections!$B$4:$V$345,$J18,MATCH(G$16,Connections!$B$3:$V$3,0)),"")</f>
        <v/>
      </c>
      <c r="H18" s="125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3178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2752</v>
      </c>
      <c r="G19" s="122" t="s">
        <v>1991</v>
      </c>
      <c r="H19" s="125" t="s">
        <v>2753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129" t="str" cm="1">
        <f t="array" ref="D21">IF($J21&lt;&gt;"",INDEX(Connections!$B$4:$V$345,$J21,MATCH(D$16,Connections!$B$3:$V$3,0)),"")</f>
        <v/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tr" cm="1">
        <f t="array" ref="F21">IF($J21&lt;&gt;"",INDEX(Connections!$B$4:$V$345,$J21,MATCH(F$16,Connections!$B$3:$V$3,0)),"")</f>
        <v/>
      </c>
      <c r="G21" s="122" t="str" cm="1">
        <f t="array" ref="G21">IF($J21&lt;&gt;"",INDEX(Connections!$B$4:$V$345,$J21,MATCH(G$16,Connections!$B$3:$V$3,0)),"")</f>
        <v/>
      </c>
      <c r="H21" s="125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2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2">
      <c r="L66" s="111" t="s">
        <v>1816</v>
      </c>
    </row>
    <row r="67" spans="1:12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2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7" t="str" cm="1">
        <f t="array" ref="D68">_xlfn.IFS($B68="","",$B68=$G$11,"TRUNK",$B68=$G$13,"TRUNK",1=1,"")</f>
        <v>TRUNK</v>
      </c>
      <c r="E68" s="159" cm="1">
        <f t="array" ref="E68">_xlfn.IFS($B68="","",OR($B68=$G$11,$B68=$G$13),INDEX(SWITCH_TABLE[#Data],$H$3,MATCH("Local EC",SWITCH_TABLE[#Headers],0)),1=1,"")</f>
        <v>25</v>
      </c>
      <c r="F68" s="17" t="str" cm="1">
        <f t="array" ref="F68">_xlfn.IFS($B68="","",$B68=$G$11,"Uplink Port 1",$B68=$G$13,"Uplink Port 2",$B68=$B$79,"Stack Port 1",$B68=$B$80,"Stack Port 2",1=1,"")</f>
        <v>Uplink Port 1</v>
      </c>
      <c r="G68" s="17" t="str" cm="1">
        <f t="array" ref="G68">_xlfn.IFS($B68="","",$B68=$G$11,$H$11,$B68=$G$13,$H$13,1=1,"")</f>
        <v>1GB SFP SX</v>
      </c>
      <c r="H68" s="17" t="str" cm="1">
        <f t="array" ref="H68">_xlfn.IFS($B68="","",$B68=$G$11,$G$12&amp;" "&amp;H12,$B68=$G$13,$G$14&amp;" "&amp;$H$14,1=1,"")</f>
        <v>FGHLHN71 gi1/1/1</v>
      </c>
      <c r="J68" s="127">
        <f t="array" ref="J68">_xlfn.IFNA(MATCH(1,(SHEET_NAME=SWITCH_TABLE[Remote Device 1])*(B68=SWITCH_TABLE[Remote Port 1]),0),"")</f>
        <v>15</v>
      </c>
    </row>
    <row r="69" spans="1:12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7" t="str" cm="1">
        <f t="array" ref="D69">_xlfn.IFS($B69="","",$B69=$G$11,"TRUNK",$B69=$G$13,"TRUNK",1=1,"")</f>
        <v>TRUNK</v>
      </c>
      <c r="E69" s="159" cm="1">
        <f t="array" ref="E69">_xlfn.IFS($B69="","",OR($B69=$G$11,$B69=$G$13),INDEX(SWITCH_TABLE[#Data],$H$3,MATCH("Local EC",SWITCH_TABLE[#Headers],0)),1=1,"")</f>
        <v>25</v>
      </c>
      <c r="F69" s="17" t="str" cm="1">
        <f t="array" ref="F69">_xlfn.IFS($B69="","",$B69=$G$11,"Uplink Port 1",$B69=$G$13,"Uplink Port 2",$B69=$B$79,"Stack Port 1",$B69=$B$80,"Stack Port 2",1=1,"")</f>
        <v>Uplink Port 2</v>
      </c>
      <c r="G69" s="17" t="str" cm="1">
        <f t="array" ref="G69">_xlfn.IFS($B69="","",$B69=$G$11,$H$11,$B69=$G$13,$H$13,1=1,"")</f>
        <v>1GB SFP SX</v>
      </c>
      <c r="H69" s="17" t="str" cm="1">
        <f t="array" ref="H69">_xlfn.IFS($B69="","",$B69=$G$11,$G$12&amp;" "&amp;H13,$B69=$G$13,$G$14&amp;" "&amp;$H$14,1=1,"")</f>
        <v>FGHLHN71 gi1/1/2</v>
      </c>
      <c r="J69" s="127" t="str">
        <f t="array" ref="J69">_xlfn.IFNA(MATCH(1,(SHEET_NAME=SWITCH_TABLE[Remote Device 1])*(B69=SWITCH_TABLE[Remote Port 1]),0),"")</f>
        <v/>
      </c>
    </row>
    <row r="70" spans="1:12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2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2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2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2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2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2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2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2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2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1")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  <c r="L80" s="111" t="s">
        <v>1816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658" priority="105" operator="equal">
      <formula>"reserved"</formula>
    </cfRule>
    <cfRule type="cellIs" dxfId="657" priority="106" operator="equal">
      <formula>"notconnect"</formula>
    </cfRule>
    <cfRule type="cellIs" dxfId="656" priority="107" operator="equal">
      <formula>"disabled"</formula>
    </cfRule>
    <cfRule type="cellIs" dxfId="655" priority="108" operator="equal">
      <formula>"connect"</formula>
    </cfRule>
  </conditionalFormatting>
  <conditionalFormatting sqref="C63:C64">
    <cfRule type="cellIs" dxfId="654" priority="101" operator="equal">
      <formula>"reserved"</formula>
    </cfRule>
    <cfRule type="cellIs" dxfId="653" priority="102" operator="equal">
      <formula>"notconnect"</formula>
    </cfRule>
    <cfRule type="cellIs" dxfId="652" priority="103" operator="equal">
      <formula>"disabled"</formula>
    </cfRule>
    <cfRule type="cellIs" dxfId="651" priority="104" operator="equal">
      <formula>"connect"</formula>
    </cfRule>
  </conditionalFormatting>
  <conditionalFormatting sqref="C22 C17:C19">
    <cfRule type="cellIs" dxfId="650" priority="97" operator="equal">
      <formula>"reserved"</formula>
    </cfRule>
    <cfRule type="cellIs" dxfId="649" priority="98" operator="equal">
      <formula>"notconnect"</formula>
    </cfRule>
    <cfRule type="cellIs" dxfId="648" priority="99" operator="equal">
      <formula>"disabled"</formula>
    </cfRule>
    <cfRule type="cellIs" dxfId="647" priority="100" operator="equal">
      <formula>"connect"</formula>
    </cfRule>
  </conditionalFormatting>
  <conditionalFormatting sqref="C40:C42 C45:C47">
    <cfRule type="cellIs" dxfId="646" priority="93" operator="equal">
      <formula>"reserved"</formula>
    </cfRule>
    <cfRule type="cellIs" dxfId="645" priority="94" operator="equal">
      <formula>"notconnect"</formula>
    </cfRule>
    <cfRule type="cellIs" dxfId="644" priority="95" operator="equal">
      <formula>"disabled"</formula>
    </cfRule>
    <cfRule type="cellIs" dxfId="643" priority="96" operator="equal">
      <formula>"connect"</formula>
    </cfRule>
  </conditionalFormatting>
  <conditionalFormatting sqref="C42 C45:C47">
    <cfRule type="cellIs" dxfId="642" priority="89" operator="equal">
      <formula>"reserved"</formula>
    </cfRule>
    <cfRule type="cellIs" dxfId="641" priority="90" operator="equal">
      <formula>"notconnect"</formula>
    </cfRule>
    <cfRule type="cellIs" dxfId="640" priority="91" operator="equal">
      <formula>"disabled"</formula>
    </cfRule>
    <cfRule type="cellIs" dxfId="639" priority="92" operator="equal">
      <formula>"connect"</formula>
    </cfRule>
  </conditionalFormatting>
  <conditionalFormatting sqref="C46:C47 C49">
    <cfRule type="cellIs" dxfId="638" priority="85" operator="equal">
      <formula>"reserved"</formula>
    </cfRule>
    <cfRule type="cellIs" dxfId="637" priority="86" operator="equal">
      <formula>"notconnect"</formula>
    </cfRule>
    <cfRule type="cellIs" dxfId="636" priority="87" operator="equal">
      <formula>"disabled"</formula>
    </cfRule>
    <cfRule type="cellIs" dxfId="635" priority="88" operator="equal">
      <formula>"connect"</formula>
    </cfRule>
  </conditionalFormatting>
  <conditionalFormatting sqref="C61:C62">
    <cfRule type="cellIs" dxfId="634" priority="81" operator="equal">
      <formula>"reserved"</formula>
    </cfRule>
    <cfRule type="cellIs" dxfId="633" priority="82" operator="equal">
      <formula>"notconnect"</formula>
    </cfRule>
    <cfRule type="cellIs" dxfId="632" priority="83" operator="equal">
      <formula>"disabled"</formula>
    </cfRule>
    <cfRule type="cellIs" dxfId="631" priority="84" operator="equal">
      <formula>"connect"</formula>
    </cfRule>
  </conditionalFormatting>
  <conditionalFormatting sqref="C50">
    <cfRule type="cellIs" dxfId="630" priority="77" operator="equal">
      <formula>"reserved"</formula>
    </cfRule>
    <cfRule type="cellIs" dxfId="629" priority="78" operator="equal">
      <formula>"notconnect"</formula>
    </cfRule>
    <cfRule type="cellIs" dxfId="628" priority="79" operator="equal">
      <formula>"disabled"</formula>
    </cfRule>
    <cfRule type="cellIs" dxfId="627" priority="80" operator="equal">
      <formula>"connect"</formula>
    </cfRule>
  </conditionalFormatting>
  <conditionalFormatting sqref="C49:C52">
    <cfRule type="cellIs" dxfId="626" priority="73" operator="equal">
      <formula>"reserved"</formula>
    </cfRule>
    <cfRule type="cellIs" dxfId="625" priority="74" operator="equal">
      <formula>"notconnect"</formula>
    </cfRule>
    <cfRule type="cellIs" dxfId="624" priority="75" operator="equal">
      <formula>"disabled"</formula>
    </cfRule>
    <cfRule type="cellIs" dxfId="623" priority="76" operator="equal">
      <formula>"connect"</formula>
    </cfRule>
  </conditionalFormatting>
  <conditionalFormatting sqref="C51:C56">
    <cfRule type="cellIs" dxfId="622" priority="69" operator="equal">
      <formula>"reserved"</formula>
    </cfRule>
    <cfRule type="cellIs" dxfId="621" priority="70" operator="equal">
      <formula>"notconnect"</formula>
    </cfRule>
    <cfRule type="cellIs" dxfId="620" priority="71" operator="equal">
      <formula>"disabled"</formula>
    </cfRule>
    <cfRule type="cellIs" dxfId="619" priority="72" operator="equal">
      <formula>"connect"</formula>
    </cfRule>
  </conditionalFormatting>
  <conditionalFormatting sqref="C55:C58">
    <cfRule type="cellIs" dxfId="618" priority="65" operator="equal">
      <formula>"reserved"</formula>
    </cfRule>
    <cfRule type="cellIs" dxfId="617" priority="66" operator="equal">
      <formula>"notconnect"</formula>
    </cfRule>
    <cfRule type="cellIs" dxfId="616" priority="67" operator="equal">
      <formula>"disabled"</formula>
    </cfRule>
    <cfRule type="cellIs" dxfId="615" priority="68" operator="equal">
      <formula>"connect"</formula>
    </cfRule>
  </conditionalFormatting>
  <conditionalFormatting sqref="C58 C49">
    <cfRule type="cellIs" dxfId="614" priority="61" operator="equal">
      <formula>"reserved"</formula>
    </cfRule>
    <cfRule type="cellIs" dxfId="613" priority="62" operator="equal">
      <formula>"notconnect"</formula>
    </cfRule>
    <cfRule type="cellIs" dxfId="612" priority="63" operator="equal">
      <formula>"disabled"</formula>
    </cfRule>
    <cfRule type="cellIs" dxfId="611" priority="64" operator="equal">
      <formula>"connect"</formula>
    </cfRule>
  </conditionalFormatting>
  <conditionalFormatting sqref="C60">
    <cfRule type="cellIs" dxfId="610" priority="57" operator="equal">
      <formula>"reserved"</formula>
    </cfRule>
    <cfRule type="cellIs" dxfId="609" priority="58" operator="equal">
      <formula>"notconnect"</formula>
    </cfRule>
    <cfRule type="cellIs" dxfId="608" priority="59" operator="equal">
      <formula>"disabled"</formula>
    </cfRule>
    <cfRule type="cellIs" dxfId="607" priority="60" operator="equal">
      <formula>"connect"</formula>
    </cfRule>
  </conditionalFormatting>
  <conditionalFormatting sqref="C48">
    <cfRule type="cellIs" dxfId="606" priority="53" operator="equal">
      <formula>"reserved"</formula>
    </cfRule>
    <cfRule type="cellIs" dxfId="605" priority="54" operator="equal">
      <formula>"notconnect"</formula>
    </cfRule>
    <cfRule type="cellIs" dxfId="604" priority="55" operator="equal">
      <formula>"disabled"</formula>
    </cfRule>
    <cfRule type="cellIs" dxfId="603" priority="56" operator="equal">
      <formula>"connect"</formula>
    </cfRule>
  </conditionalFormatting>
  <conditionalFormatting sqref="C43:C44">
    <cfRule type="cellIs" dxfId="602" priority="49" operator="equal">
      <formula>"reserved"</formula>
    </cfRule>
    <cfRule type="cellIs" dxfId="601" priority="50" operator="equal">
      <formula>"notconnect"</formula>
    </cfRule>
    <cfRule type="cellIs" dxfId="600" priority="51" operator="equal">
      <formula>"disabled"</formula>
    </cfRule>
    <cfRule type="cellIs" dxfId="599" priority="52" operator="equal">
      <formula>"connect"</formula>
    </cfRule>
  </conditionalFormatting>
  <conditionalFormatting sqref="C38">
    <cfRule type="cellIs" dxfId="598" priority="45" operator="equal">
      <formula>"reserved"</formula>
    </cfRule>
    <cfRule type="cellIs" dxfId="597" priority="46" operator="equal">
      <formula>"notconnect"</formula>
    </cfRule>
    <cfRule type="cellIs" dxfId="596" priority="47" operator="equal">
      <formula>"disabled"</formula>
    </cfRule>
    <cfRule type="cellIs" dxfId="595" priority="48" operator="equal">
      <formula>"connect"</formula>
    </cfRule>
  </conditionalFormatting>
  <conditionalFormatting sqref="C36">
    <cfRule type="cellIs" dxfId="594" priority="41" operator="equal">
      <formula>"reserved"</formula>
    </cfRule>
    <cfRule type="cellIs" dxfId="593" priority="42" operator="equal">
      <formula>"notconnect"</formula>
    </cfRule>
    <cfRule type="cellIs" dxfId="592" priority="43" operator="equal">
      <formula>"disabled"</formula>
    </cfRule>
    <cfRule type="cellIs" dxfId="591" priority="44" operator="equal">
      <formula>"connect"</formula>
    </cfRule>
  </conditionalFormatting>
  <conditionalFormatting sqref="C31:C32">
    <cfRule type="cellIs" dxfId="590" priority="37" operator="equal">
      <formula>"reserved"</formula>
    </cfRule>
    <cfRule type="cellIs" dxfId="589" priority="38" operator="equal">
      <formula>"notconnect"</formula>
    </cfRule>
    <cfRule type="cellIs" dxfId="588" priority="39" operator="equal">
      <formula>"disabled"</formula>
    </cfRule>
    <cfRule type="cellIs" dxfId="587" priority="40" operator="equal">
      <formula>"connect"</formula>
    </cfRule>
  </conditionalFormatting>
  <conditionalFormatting sqref="C26">
    <cfRule type="cellIs" dxfId="586" priority="33" operator="equal">
      <formula>"reserved"</formula>
    </cfRule>
    <cfRule type="cellIs" dxfId="585" priority="34" operator="equal">
      <formula>"notconnect"</formula>
    </cfRule>
    <cfRule type="cellIs" dxfId="584" priority="35" operator="equal">
      <formula>"disabled"</formula>
    </cfRule>
    <cfRule type="cellIs" dxfId="583" priority="36" operator="equal">
      <formula>"connect"</formula>
    </cfRule>
  </conditionalFormatting>
  <conditionalFormatting sqref="C23">
    <cfRule type="cellIs" dxfId="582" priority="29" operator="equal">
      <formula>"reserved"</formula>
    </cfRule>
    <cfRule type="cellIs" dxfId="581" priority="30" operator="equal">
      <formula>"notconnect"</formula>
    </cfRule>
    <cfRule type="cellIs" dxfId="580" priority="31" operator="equal">
      <formula>"disabled"</formula>
    </cfRule>
    <cfRule type="cellIs" dxfId="579" priority="32" operator="equal">
      <formula>"connect"</formula>
    </cfRule>
  </conditionalFormatting>
  <conditionalFormatting sqref="C20">
    <cfRule type="cellIs" dxfId="578" priority="25" operator="equal">
      <formula>"reserved"</formula>
    </cfRule>
    <cfRule type="cellIs" dxfId="577" priority="26" operator="equal">
      <formula>"notconnect"</formula>
    </cfRule>
    <cfRule type="cellIs" dxfId="576" priority="27" operator="equal">
      <formula>"disabled"</formula>
    </cfRule>
    <cfRule type="cellIs" dxfId="575" priority="28" operator="equal">
      <formula>"connect"</formula>
    </cfRule>
  </conditionalFormatting>
  <conditionalFormatting sqref="C17:C20 C22:C64">
    <cfRule type="cellIs" dxfId="574" priority="21" operator="equal">
      <formula>"reserved"</formula>
    </cfRule>
    <cfRule type="cellIs" dxfId="573" priority="22" operator="equal">
      <formula>"notconnect"</formula>
    </cfRule>
    <cfRule type="cellIs" dxfId="572" priority="23" operator="equal">
      <formula>"disabled"</formula>
    </cfRule>
    <cfRule type="cellIs" dxfId="571" priority="24" operator="equal">
      <formula>"connect"</formula>
    </cfRule>
  </conditionalFormatting>
  <conditionalFormatting sqref="C68:C75">
    <cfRule type="cellIs" dxfId="570" priority="17" operator="equal">
      <formula>"reserved"</formula>
    </cfRule>
    <cfRule type="cellIs" dxfId="569" priority="18" operator="equal">
      <formula>"notconnect"</formula>
    </cfRule>
    <cfRule type="cellIs" dxfId="568" priority="19" operator="equal">
      <formula>"disabled"</formula>
    </cfRule>
    <cfRule type="cellIs" dxfId="567" priority="20" operator="equal">
      <formula>"connect"</formula>
    </cfRule>
  </conditionalFormatting>
  <conditionalFormatting sqref="C79:C80">
    <cfRule type="cellIs" dxfId="566" priority="13" operator="equal">
      <formula>"reserved"</formula>
    </cfRule>
    <cfRule type="cellIs" dxfId="565" priority="14" operator="equal">
      <formula>"notconnect"</formula>
    </cfRule>
    <cfRule type="cellIs" dxfId="564" priority="15" operator="equal">
      <formula>"disabled"</formula>
    </cfRule>
    <cfRule type="cellIs" dxfId="563" priority="16" operator="equal">
      <formula>"connect"</formula>
    </cfRule>
  </conditionalFormatting>
  <conditionalFormatting sqref="C21">
    <cfRule type="cellIs" dxfId="562" priority="9" operator="equal">
      <formula>"reserved"</formula>
    </cfRule>
    <cfRule type="cellIs" dxfId="561" priority="10" operator="equal">
      <formula>"notconnect"</formula>
    </cfRule>
    <cfRule type="cellIs" dxfId="560" priority="11" operator="equal">
      <formula>"disabled"</formula>
    </cfRule>
    <cfRule type="cellIs" dxfId="559" priority="12" operator="equal">
      <formula>"connect"</formula>
    </cfRule>
  </conditionalFormatting>
  <conditionalFormatting sqref="C21">
    <cfRule type="cellIs" dxfId="558" priority="5" operator="equal">
      <formula>"reserved"</formula>
    </cfRule>
    <cfRule type="cellIs" dxfId="557" priority="6" operator="equal">
      <formula>"notconnect"</formula>
    </cfRule>
    <cfRule type="cellIs" dxfId="556" priority="7" operator="equal">
      <formula>"disabled"</formula>
    </cfRule>
    <cfRule type="cellIs" dxfId="555" priority="8" operator="equal">
      <formula>"connect"</formula>
    </cfRule>
  </conditionalFormatting>
  <conditionalFormatting sqref="C21">
    <cfRule type="cellIs" dxfId="554" priority="1" operator="equal">
      <formula>"reserved"</formula>
    </cfRule>
    <cfRule type="cellIs" dxfId="553" priority="2" operator="equal">
      <formula>"notconnect"</formula>
    </cfRule>
    <cfRule type="cellIs" dxfId="552" priority="3" operator="equal">
      <formula>"disabled"</formula>
    </cfRule>
    <cfRule type="cellIs" dxfId="551" priority="4" operator="equal">
      <formula>"connect"</formula>
    </cfRule>
  </conditionalFormatting>
  <dataValidations count="5">
    <dataValidation allowBlank="1" showInputMessage="1" sqref="E68:E75 E17:E64" xr:uid="{1A5E5D45-CFAF-4E50-92D5-AD437CDC4543}"/>
    <dataValidation type="list" allowBlank="1" showInputMessage="1" sqref="F17:F64" xr:uid="{91EB5F8B-50B1-4EBC-9DE3-C377DE874730}">
      <formula1>SPEED_DUPLEX_LIST</formula1>
    </dataValidation>
    <dataValidation type="list" allowBlank="1" showInputMessage="1" sqref="D68:D75" xr:uid="{48CAF529-69BA-4871-9570-F7493AAA130C}">
      <formula1>VLAN_ID_LIST</formula1>
    </dataValidation>
    <dataValidation type="list" allowBlank="1" showInputMessage="1" sqref="C79:C80 C68:C75 C17:C64" xr:uid="{EA167318-5CBB-47C6-88E1-7AFF92F8601E}">
      <formula1>PORT_STATE_LIST</formula1>
    </dataValidation>
    <dataValidation type="list" allowBlank="1" showInputMessage="1" sqref="G68:G75 G17:G64" xr:uid="{BF459DEB-5F26-461D-9A8E-D6C0500AB471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8C3AE-C612-4A48-99E4-F97FCD8C93EB}">
  <sheetPr codeName="Sheet24">
    <tabColor rgb="FF00B050"/>
  </sheetPr>
  <dimension ref="A1:J81"/>
  <sheetViews>
    <sheetView topLeftCell="A10" workbookViewId="0">
      <selection activeCell="H43" sqref="H43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customWidth="1"/>
    <col min="11" max="16384" width="9" style="111"/>
  </cols>
  <sheetData>
    <row r="1" spans="1:10" ht="24" customHeight="1">
      <c r="A1" s="108" t="s">
        <v>1359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C9500-24Y4C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46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FGHVLN43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Vicar Lane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Distribution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Ground FLOOR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CAT2330L6S8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10.227.21.254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>WARNING: No Uplinks</v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FGHVLN43-2</v>
      </c>
      <c r="D13" s="117" t="str">
        <f>INDEX(SWITCH_TABLE[#Data],$H$3,MATCH("Next Port",SWITCH_TABLE[#Headers],0))</f>
        <v>hu2/0/28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FGHVLN43-2</v>
      </c>
      <c r="D14" s="117" t="str">
        <f>INDEX(SWITCH_TABLE[#Data],$H$3,MATCH("Prev Port",SWITCH_TABLE[#Headers],0))</f>
        <v>hu2/0/27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2582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twe1/0/1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t="str">
        <f t="shared" ref="D17:D22" si="1">IF(J17&lt;&gt;"","TRUNK","")</f>
        <v>TRUNK</v>
      </c>
      <c r="E17" s="51" cm="1">
        <f t="array" ref="E17">IF($J17&lt;&gt;"",INDEX(SWITCH_TABLE[#Data],$J17,MATCH("Remote EC",SWITCH_TABLE[#Headers],0)),"")</f>
        <v>1</v>
      </c>
      <c r="F17" s="46"/>
      <c r="G17" s="46" t="str" cm="1">
        <f t="array" ref="G17">IF($J17&lt;&gt;"",INDEX(SWITCH_TABLE[#Data],$J17,MATCH("Uplink 1 SFP",SWITCH_TABLE[#Headers],0)),"")</f>
        <v>1G SFP SX</v>
      </c>
      <c r="H17" s="46" t="str">
        <f>IF($J17&lt;&gt;"",INDEX(SWITCH_TABLE[#Data],$J17,MATCH("Device Name",SWITCH_TABLE[#Headers],0)) &amp; " " &amp; INDEX(SWITCH_TABLE[#Data],$J17,MATCH("Uplink Port 1",SWITCH_TABLE[#Headers],0)),"")</f>
        <v>FGHVLN11-1 gi1/1/1</v>
      </c>
      <c r="J17" s="118">
        <f t="array" ref="J17">_xlfn.IFNA(MATCH(1,(SHEET_NAME=SWITCH_TABLE[Remote Device 1])*(B17=SWITCH_TABLE[Remote Port 1]),0),"")</f>
        <v>50</v>
      </c>
    </row>
    <row r="18" spans="1:10">
      <c r="A18" s="121">
        <f t="shared" ref="A18:A64" si="2">ROW(A18)-ROW($A$16)+$A$16</f>
        <v>2</v>
      </c>
      <c r="B18" s="116" t="str">
        <f t="shared" si="0"/>
        <v>twe1/0/2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t="str">
        <f t="shared" si="1"/>
        <v>TRUNK</v>
      </c>
      <c r="E18" s="51" cm="1">
        <f t="array" ref="E18">IF($J18&lt;&gt;"",INDEX(SWITCH_TABLE[#Data],$J18,MATCH("Remote EC",SWITCH_TABLE[#Headers],0)),"")</f>
        <v>2</v>
      </c>
      <c r="F18" s="46"/>
      <c r="G18" s="46" t="str" cm="1">
        <f t="array" ref="G18">IF($J18&lt;&gt;"",INDEX(SWITCH_TABLE[#Data],$J18,MATCH("Uplink 1 SFP",SWITCH_TABLE[#Headers],0)),"")</f>
        <v>1G SFP SX</v>
      </c>
      <c r="H18" s="46" t="str">
        <f>IF($J18&lt;&gt;"",INDEX(SWITCH_TABLE[#Data],$J18,MATCH("Device Name",SWITCH_TABLE[#Headers],0)) &amp; " " &amp; INDEX(SWITCH_TABLE[#Data],$J18,MATCH("Uplink Port 1",SWITCH_TABLE[#Headers],0)),"")</f>
        <v>FGHVLN12-1 gi1/1/1</v>
      </c>
      <c r="J18" s="118">
        <f t="array" ref="J18">_xlfn.IFNA(MATCH(1,(SHEET_NAME=SWITCH_TABLE[Remote Device 1])*(B18=SWITCH_TABLE[Remote Port 1]),0),"")</f>
        <v>54</v>
      </c>
    </row>
    <row r="19" spans="1:10">
      <c r="A19" s="121">
        <f t="shared" si="2"/>
        <v>3</v>
      </c>
      <c r="B19" s="116" t="str">
        <f t="shared" si="0"/>
        <v>twe1/0/3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t="str">
        <f t="shared" si="1"/>
        <v>TRUNK</v>
      </c>
      <c r="E19" s="51" cm="1">
        <f t="array" ref="E19">IF($J19&lt;&gt;"",INDEX(SWITCH_TABLE[#Data],$J19,MATCH("Remote EC",SWITCH_TABLE[#Headers],0)),"")</f>
        <v>3</v>
      </c>
      <c r="F19" s="46"/>
      <c r="G19" s="46" t="str" cm="1">
        <f t="array" ref="G19">IF($J19&lt;&gt;"",INDEX(SWITCH_TABLE[#Data],$J19,MATCH("Uplink 1 SFP",SWITCH_TABLE[#Headers],0)),"")</f>
        <v>1G SFP SX</v>
      </c>
      <c r="H19" s="46" t="str">
        <f>IF($J19&lt;&gt;"",INDEX(SWITCH_TABLE[#Data],$J19,MATCH("Device Name",SWITCH_TABLE[#Headers],0)) &amp; " " &amp; INDEX(SWITCH_TABLE[#Data],$J19,MATCH("Uplink Port 1",SWITCH_TABLE[#Headers],0)),"")</f>
        <v>FGHVLN13-1 gi1/1/1</v>
      </c>
      <c r="J19" s="118">
        <f t="array" ref="J19">_xlfn.IFNA(MATCH(1,(SHEET_NAME=SWITCH_TABLE[Remote Device 1])*(B19=SWITCH_TABLE[Remote Port 1]),0),"")</f>
        <v>58</v>
      </c>
    </row>
    <row r="20" spans="1:10">
      <c r="A20" s="121">
        <f t="shared" si="2"/>
        <v>4</v>
      </c>
      <c r="B20" s="116" t="str">
        <f t="shared" si="0"/>
        <v>twe1/0/4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t="str">
        <f t="shared" si="1"/>
        <v>TRUNK</v>
      </c>
      <c r="E20" s="51" cm="1">
        <f t="array" ref="E20">IF($J20&lt;&gt;"",INDEX(SWITCH_TABLE[#Data],$J20,MATCH("Remote EC",SWITCH_TABLE[#Headers],0)),"")</f>
        <v>4</v>
      </c>
      <c r="F20" s="46"/>
      <c r="G20" s="46" t="str" cm="1">
        <f t="array" ref="G20">IF($J20&lt;&gt;"",INDEX(SWITCH_TABLE[#Data],$J20,MATCH("Uplink 1 SFP",SWITCH_TABLE[#Headers],0)),"")</f>
        <v>1G SFP SX</v>
      </c>
      <c r="H20" s="46" t="str">
        <f>IF($J20&lt;&gt;"",INDEX(SWITCH_TABLE[#Data],$J20,MATCH("Device Name",SWITCH_TABLE[#Headers],0)) &amp; " " &amp; INDEX(SWITCH_TABLE[#Data],$J20,MATCH("Uplink Port 1",SWITCH_TABLE[#Headers],0)),"")</f>
        <v>FGHVLN14-1 gi1/1/1</v>
      </c>
      <c r="J20" s="118">
        <f t="array" ref="J20">_xlfn.IFNA(MATCH(1,(SHEET_NAME=SWITCH_TABLE[Remote Device 1])*(B20=SWITCH_TABLE[Remote Port 1]),0),"")</f>
        <v>62</v>
      </c>
    </row>
    <row r="21" spans="1:10">
      <c r="A21" s="121">
        <f t="shared" si="2"/>
        <v>5</v>
      </c>
      <c r="B21" s="116" t="str">
        <f t="shared" si="0"/>
        <v>twe1/0/5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t="str">
        <f t="shared" si="1"/>
        <v>TRUNK</v>
      </c>
      <c r="E21" s="51" cm="1">
        <f t="array" ref="E21">IF($J21&lt;&gt;"",INDEX(SWITCH_TABLE[#Data],$J21,MATCH("Remote EC",SWITCH_TABLE[#Headers],0)),"")</f>
        <v>5</v>
      </c>
      <c r="F21" s="46"/>
      <c r="G21" s="46" t="str" cm="1">
        <f t="array" ref="G21">IF($J21&lt;&gt;"",INDEX(SWITCH_TABLE[#Data],$J21,MATCH("Uplink 1 SFP",SWITCH_TABLE[#Headers],0)),"")</f>
        <v>1G SFP SX</v>
      </c>
      <c r="H21" s="46" t="str">
        <f>IF($J21&lt;&gt;"",INDEX(SWITCH_TABLE[#Data],$J21,MATCH("Device Name",SWITCH_TABLE[#Headers],0)) &amp; " " &amp; INDEX(SWITCH_TABLE[#Data],$J21,MATCH("Uplink Port 1",SWITCH_TABLE[#Headers],0)),"")</f>
        <v>FGHVLN15 gi1/1/1</v>
      </c>
      <c r="J21" s="118">
        <f t="array" ref="J21">_xlfn.IFNA(MATCH(1,(SHEET_NAME=SWITCH_TABLE[Remote Device 1])*(B21=SWITCH_TABLE[Remote Port 1]),0),"")</f>
        <v>66</v>
      </c>
    </row>
    <row r="22" spans="1:10">
      <c r="A22" s="121">
        <f t="shared" si="2"/>
        <v>6</v>
      </c>
      <c r="B22" s="116" t="str">
        <f t="shared" si="0"/>
        <v>twe1/0/6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t="str">
        <f t="shared" si="1"/>
        <v>TRUNK</v>
      </c>
      <c r="E22" s="51" cm="1">
        <f t="array" ref="E22">IF($J22&lt;&gt;"",INDEX(SWITCH_TABLE[#Data],$J22,MATCH("Remote EC",SWITCH_TABLE[#Headers],0)),"")</f>
        <v>6</v>
      </c>
      <c r="F22" s="46"/>
      <c r="G22" s="46" t="str" cm="1">
        <f t="array" ref="G22">IF($J22&lt;&gt;"",INDEX(SWITCH_TABLE[#Data],$J22,MATCH("Uplink 1 SFP",SWITCH_TABLE[#Headers],0)),"")</f>
        <v>1G SFP CU</v>
      </c>
      <c r="H22" s="46" t="str">
        <f>IF($J22&lt;&gt;"",INDEX(SWITCH_TABLE[#Data],$J22,MATCH("Device Name",SWITCH_TABLE[#Headers],0)) &amp; " " &amp; INDEX(SWITCH_TABLE[#Data],$J22,MATCH("Uplink Port 1",SWITCH_TABLE[#Headers],0)),"")</f>
        <v>FGHVLN16 gi1/1/1</v>
      </c>
      <c r="J22" s="118">
        <f t="array" ref="J22">_xlfn.IFNA(MATCH(1,(SHEET_NAME=SWITCH_TABLE[Remote Device 1])*(B22=SWITCH_TABLE[Remote Port 1]),0),"")</f>
        <v>67</v>
      </c>
    </row>
    <row r="23" spans="1:10">
      <c r="A23" s="121">
        <f t="shared" si="2"/>
        <v>7</v>
      </c>
      <c r="B23" s="116" t="str">
        <f t="shared" si="0"/>
        <v>twe1/0/7</v>
      </c>
      <c r="C23" s="122" t="s">
        <v>2611</v>
      </c>
      <c r="D23" s="46" t="str">
        <f t="shared" ref="D23:D24" si="3">IF(J23&lt;&gt;"","TRUNK","")</f>
        <v/>
      </c>
      <c r="E23" s="51" t="str" cm="1">
        <f t="array" ref="E23">IF($J23&lt;&gt;"",INDEX(SWITCH_TABLE[#Data],$J23,MATCH("Remote EC",SWITCH_TABLE[#Headers],0)),"")</f>
        <v/>
      </c>
      <c r="F23" s="46"/>
      <c r="G23" s="46" t="str" cm="1">
        <f t="array" ref="G23">IF($J23&lt;&gt;"",INDEX(SWITCH_TABLE[#Data],$J23,MATCH("Uplink 1 SFP",SWITCH_TABLE[#Headers],0)),"")</f>
        <v/>
      </c>
      <c r="H23" s="46" t="str">
        <f>IF($J23&lt;&gt;"",INDEX(SWITCH_TABLE[#Data],$J23,MATCH("Device Name",SWITCH_TABLE[#Headers],0)) &amp; " " &amp; INDEX(SWITCH_TABLE[#Data],$J23,MATCH("Uplink Port 1",SWITCH_TABLE[#Headers],0)),"")</f>
        <v/>
      </c>
      <c r="J23" s="118" t="str">
        <f t="array" ref="J23">_xlfn.IFNA(MATCH(1,(SHEET_NAME=SWITCH_TABLE[Remote Device 1])*(B23=SWITCH_TABLE[Remote Port 1]),0),"")</f>
        <v/>
      </c>
    </row>
    <row r="24" spans="1:10">
      <c r="A24" s="121">
        <f t="shared" si="2"/>
        <v>8</v>
      </c>
      <c r="B24" s="116" t="str">
        <f t="shared" si="0"/>
        <v>twe1/0/8</v>
      </c>
      <c r="C24" s="122" t="s">
        <v>2611</v>
      </c>
      <c r="D24" s="46" t="str">
        <f t="shared" si="3"/>
        <v/>
      </c>
      <c r="E24" s="51" t="str" cm="1">
        <f t="array" ref="E24">IF($J24&lt;&gt;"",INDEX(SWITCH_TABLE[#Data],$J24,MATCH("Remote EC",SWITCH_TABLE[#Headers],0)),"")</f>
        <v/>
      </c>
      <c r="F24" s="46"/>
      <c r="G24" s="46" t="str" cm="1">
        <f t="array" ref="G24">IF($J24&lt;&gt;"",INDEX(SWITCH_TABLE[#Data],$J24,MATCH("Uplink 1 SFP",SWITCH_TABLE[#Headers],0)),"")</f>
        <v/>
      </c>
      <c r="H24" s="46" t="str">
        <f>IF($J24&lt;&gt;"",INDEX(SWITCH_TABLE[#Data],$J24,MATCH("Device Name",SWITCH_TABLE[#Headers],0)) &amp; " " &amp; INDEX(SWITCH_TABLE[#Data],$J24,MATCH("Uplink Port 1",SWITCH_TABLE[#Headers],0)),"")</f>
        <v/>
      </c>
      <c r="J24" s="118" t="str">
        <f t="array" ref="J24">_xlfn.IFNA(MATCH(1,(SHEET_NAME=SWITCH_TABLE[Remote Device 1])*(B24=SWITCH_TABLE[Remote Port 1]),0),"")</f>
        <v/>
      </c>
    </row>
    <row r="25" spans="1:10">
      <c r="A25" s="121">
        <f t="shared" si="2"/>
        <v>9</v>
      </c>
      <c r="B25" s="116" t="str">
        <f t="shared" si="0"/>
        <v>twe1/0/9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2" t="str">
        <f t="shared" ref="D25:D30" si="4">IF(J25&lt;&gt;"","TRUNK","")</f>
        <v/>
      </c>
      <c r="E25" s="123" t="str" cm="1">
        <f t="array" ref="E25">IF($J25&lt;&gt;"",INDEX(SWITCH_TABLE[#Data],$J25,MATCH("Remote EC",SWITCH_TABLE[#Headers],0)),"")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IF($J25&lt;&gt;"",INDEX(SWITCH_TABLE[#Data],$J25,MATCH("Uplink 1 SFP",SWITCH_TABLE[#Headers],0)),"")</f>
        <v/>
      </c>
      <c r="H25" s="125" t="str">
        <f>IF($J25&lt;&gt;"",INDEX(SWITCH_TABLE[#Data],$J25,MATCH("Device Name",SWITCH_TABLE[#Headers],0)) &amp; " " &amp; INDEX(SWITCH_TABLE[#Data],$J25,MATCH("Uplink Port 1",SWITCH_TABLE[#Headers],0)),"")</f>
        <v/>
      </c>
      <c r="J25" s="118" t="str">
        <f t="array" ref="J25">_xlfn.IFNA(MATCH(1,(SHEET_NAME=SWITCH_TABLE[Remote Device 1])*(B25=SWITCH_TABLE[Remote Port 1]),0),"")</f>
        <v/>
      </c>
    </row>
    <row r="26" spans="1:10">
      <c r="A26" s="121">
        <f t="shared" si="2"/>
        <v>10</v>
      </c>
      <c r="B26" s="116" t="str">
        <f t="shared" si="0"/>
        <v>twe1/0/10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2" t="str">
        <f t="shared" si="4"/>
        <v/>
      </c>
      <c r="E26" s="123" t="str" cm="1">
        <f t="array" ref="E26">IF($J26&lt;&gt;"",INDEX(SWITCH_TABLE[#Data],$J26,MATCH("Remote EC",SWITCH_TABLE[#Headers],0)),"")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IF($J26&lt;&gt;"",INDEX(SWITCH_TABLE[#Data],$J26,MATCH("Uplink 1 SFP",SWITCH_TABLE[#Headers],0)),"")</f>
        <v/>
      </c>
      <c r="H26" s="125" t="str">
        <f>IF($J26&lt;&gt;"",INDEX(SWITCH_TABLE[#Data],$J26,MATCH("Device Name",SWITCH_TABLE[#Headers],0)) &amp; " " &amp; INDEX(SWITCH_TABLE[#Data],$J26,MATCH("Uplink Port 1",SWITCH_TABLE[#Headers],0)),"")</f>
        <v/>
      </c>
      <c r="J26" s="118" t="str">
        <f t="array" ref="J26">_xlfn.IFNA(MATCH(1,(SHEET_NAME=SWITCH_TABLE[Remote Device 1])*(B26=SWITCH_TABLE[Remote Port 1]),0),"")</f>
        <v/>
      </c>
    </row>
    <row r="27" spans="1:10">
      <c r="A27" s="121">
        <f t="shared" si="2"/>
        <v>11</v>
      </c>
      <c r="B27" s="116" t="str">
        <f t="shared" si="0"/>
        <v>twe1/0/11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2" t="str">
        <f t="shared" si="4"/>
        <v/>
      </c>
      <c r="E27" s="123" t="str" cm="1">
        <f t="array" ref="E27">IF($J27&lt;&gt;"",INDEX(SWITCH_TABLE[#Data],$J27,MATCH("Remote EC",SWITCH_TABLE[#Headers],0)),"")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IF($J27&lt;&gt;"",INDEX(SWITCH_TABLE[#Data],$J27,MATCH("Uplink 1 SFP",SWITCH_TABLE[#Headers],0)),"")</f>
        <v/>
      </c>
      <c r="H27" s="125" t="str">
        <f>IF($J27&lt;&gt;"",INDEX(SWITCH_TABLE[#Data],$J27,MATCH("Device Name",SWITCH_TABLE[#Headers],0)) &amp; " " &amp; INDEX(SWITCH_TABLE[#Data],$J27,MATCH("Uplink Port 1",SWITCH_TABLE[#Headers],0)),"")</f>
        <v/>
      </c>
      <c r="J27" s="118" t="str">
        <f t="array" ref="J27">_xlfn.IFNA(MATCH(1,(SHEET_NAME=SWITCH_TABLE[Remote Device 1])*(B27=SWITCH_TABLE[Remote Port 1]),0),"")</f>
        <v/>
      </c>
    </row>
    <row r="28" spans="1:10">
      <c r="A28" s="121">
        <f t="shared" si="2"/>
        <v>12</v>
      </c>
      <c r="B28" s="116" t="str">
        <f t="shared" si="0"/>
        <v>twe1/0/12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2" t="str">
        <f t="shared" si="4"/>
        <v/>
      </c>
      <c r="E28" s="123" t="str" cm="1">
        <f t="array" ref="E28">IF($J28&lt;&gt;"",INDEX(SWITCH_TABLE[#Data],$J28,MATCH("Remote EC",SWITCH_TABLE[#Headers],0)),"")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IF($J28&lt;&gt;"",INDEX(SWITCH_TABLE[#Data],$J28,MATCH("Uplink 1 SFP",SWITCH_TABLE[#Headers],0)),"")</f>
        <v/>
      </c>
      <c r="H28" s="125" t="str">
        <f>IF($J28&lt;&gt;"",INDEX(SWITCH_TABLE[#Data],$J28,MATCH("Device Name",SWITCH_TABLE[#Headers],0)) &amp; " " &amp; INDEX(SWITCH_TABLE[#Data],$J28,MATCH("Uplink Port 1",SWITCH_TABLE[#Headers],0)),"")</f>
        <v/>
      </c>
      <c r="J28" s="118" t="str">
        <f t="array" ref="J28">_xlfn.IFNA(MATCH(1,(SHEET_NAME=SWITCH_TABLE[Remote Device 1])*(B28=SWITCH_TABLE[Remote Port 1]),0),"")</f>
        <v/>
      </c>
    </row>
    <row r="29" spans="1:10">
      <c r="A29" s="121">
        <f t="shared" si="2"/>
        <v>13</v>
      </c>
      <c r="B29" s="116" t="str">
        <f t="shared" si="0"/>
        <v>twe1/0/13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2" t="str">
        <f t="shared" si="4"/>
        <v/>
      </c>
      <c r="E29" s="123" t="str" cm="1">
        <f t="array" ref="E29">IF($J29&lt;&gt;"",INDEX(SWITCH_TABLE[#Data],$J29,MATCH("Remote EC",SWITCH_TABLE[#Headers],0)),"")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IF($J29&lt;&gt;"",INDEX(SWITCH_TABLE[#Data],$J29,MATCH("Uplink 1 SFP",SWITCH_TABLE[#Headers],0)),"")</f>
        <v/>
      </c>
      <c r="H29" s="125" t="str">
        <f>IF($J29&lt;&gt;"",INDEX(SWITCH_TABLE[#Data],$J29,MATCH("Device Name",SWITCH_TABLE[#Headers],0)) &amp; " " &amp; INDEX(SWITCH_TABLE[#Data],$J29,MATCH("Uplink Port 1",SWITCH_TABLE[#Headers],0)),"")</f>
        <v/>
      </c>
      <c r="J29" s="118" t="str">
        <f t="array" ref="J29">_xlfn.IFNA(MATCH(1,(SHEET_NAME=SWITCH_TABLE[Remote Device 1])*(B29=SWITCH_TABLE[Remote Port 1]),0),"")</f>
        <v/>
      </c>
    </row>
    <row r="30" spans="1:10">
      <c r="A30" s="121">
        <f t="shared" si="2"/>
        <v>14</v>
      </c>
      <c r="B30" s="116" t="str">
        <f t="shared" si="0"/>
        <v>twe1/0/14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2" t="str">
        <f t="shared" si="4"/>
        <v/>
      </c>
      <c r="E30" s="123" t="str" cm="1">
        <f t="array" ref="E30">IF($J30&lt;&gt;"",INDEX(SWITCH_TABLE[#Data],$J30,MATCH("Remote EC",SWITCH_TABLE[#Headers],0)),"")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IF($J30&lt;&gt;"",INDEX(SWITCH_TABLE[#Data],$J30,MATCH("Uplink 1 SFP",SWITCH_TABLE[#Headers],0)),"")</f>
        <v/>
      </c>
      <c r="H30" s="125" t="str">
        <f>IF($J30&lt;&gt;"",INDEX(SWITCH_TABLE[#Data],$J30,MATCH("Device Name",SWITCH_TABLE[#Headers],0)) &amp; " " &amp; INDEX(SWITCH_TABLE[#Data],$J30,MATCH("Uplink Port 1",SWITCH_TABLE[#Headers],0)),"")</f>
        <v/>
      </c>
      <c r="J30" s="118" t="str">
        <f t="array" ref="J30">_xlfn.IFNA(MATCH(1,(SHEET_NAME=SWITCH_TABLE[Remote Device 1])*(B30=SWITCH_TABLE[Remote Port 1]),0),"")</f>
        <v/>
      </c>
    </row>
    <row r="31" spans="1:10">
      <c r="A31" s="121">
        <f t="shared" si="2"/>
        <v>15</v>
      </c>
      <c r="B31" s="116" t="str">
        <f t="shared" si="0"/>
        <v>twe1/0/15</v>
      </c>
      <c r="C31" s="122" t="s">
        <v>2608</v>
      </c>
      <c r="D31" s="143" t="s">
        <v>2075</v>
      </c>
      <c r="E31" s="123" t="str" cm="1">
        <f t="array" ref="E31">IF($J31&lt;&gt;"",INDEX(SWITCH_TABLE[#Data],$J31,MATCH("Remote EC",SWITCH_TABLE[#Headers],0)),"")</f>
        <v/>
      </c>
      <c r="F31" s="122" t="str" cm="1">
        <f t="array" ref="F31">IF($J31&lt;&gt;"",INDEX(Connections!$B$4:$V$345,$J31,MATCH(F$16,Connections!$B$3:$V$3,0)),"")</f>
        <v/>
      </c>
      <c r="G31" s="122" t="s">
        <v>1931</v>
      </c>
      <c r="H31" s="125" t="s">
        <v>2754</v>
      </c>
      <c r="J31" s="118" t="str">
        <f t="array" ref="J31">_xlfn.IFNA(MATCH(1,(SHEET_NAME=SWITCH_TABLE[Remote Device 1])*(B31=SWITCH_TABLE[Remote Port 1]),0),"")</f>
        <v/>
      </c>
    </row>
    <row r="32" spans="1:10">
      <c r="A32" s="121">
        <f t="shared" si="2"/>
        <v>16</v>
      </c>
      <c r="B32" s="116" t="str">
        <f t="shared" si="0"/>
        <v>twe1/0/16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2" t="str">
        <f>IF(J32&lt;&gt;"","TRUNK","")</f>
        <v/>
      </c>
      <c r="E32" s="123" t="str" cm="1">
        <f t="array" ref="E32">IF($J32&lt;&gt;"",INDEX(SWITCH_TABLE[#Data],$J32,MATCH("Remote EC",SWITCH_TABLE[#Headers],0)),"")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IF($J32&lt;&gt;"",INDEX(SWITCH_TABLE[#Data],$J32,MATCH("Uplink 1 SFP",SWITCH_TABLE[#Headers],0)),"")</f>
        <v/>
      </c>
      <c r="H32" s="125" t="str">
        <f>IF($J32&lt;&gt;"",INDEX(SWITCH_TABLE[#Data],$J32,MATCH("Device Name",SWITCH_TABLE[#Headers],0)) &amp; " " &amp; INDEX(SWITCH_TABLE[#Data],$J32,MATCH("Uplink Port 1",SWITCH_TABLE[#Headers],0)),"")</f>
        <v/>
      </c>
      <c r="J32" s="118" t="str">
        <f t="array" ref="J32">_xlfn.IFNA(MATCH(1,(SHEET_NAME=SWITCH_TABLE[Remote Device 1])*(B32=SWITCH_TABLE[Remote Port 1]),0),"")</f>
        <v/>
      </c>
    </row>
    <row r="33" spans="1:10">
      <c r="A33" s="121">
        <f t="shared" si="2"/>
        <v>17</v>
      </c>
      <c r="B33" s="116" t="str">
        <f t="shared" si="0"/>
        <v>twe1/0/17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2" t="str">
        <f>IF(J33&lt;&gt;"","TRUNK","")</f>
        <v/>
      </c>
      <c r="E33" s="123" t="str" cm="1">
        <f t="array" ref="E33">IF($J33&lt;&gt;"",INDEX(SWITCH_TABLE[#Data],$J33,MATCH("Remote EC",SWITCH_TABLE[#Headers],0)),"")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IF($J33&lt;&gt;"",INDEX(SWITCH_TABLE[#Data],$J33,MATCH("Uplink 1 SFP",SWITCH_TABLE[#Headers],0)),"")</f>
        <v/>
      </c>
      <c r="H33" s="125" t="str">
        <f>IF($J33&lt;&gt;"",INDEX(SWITCH_TABLE[#Data],$J33,MATCH("Device Name",SWITCH_TABLE[#Headers],0)) &amp; " " &amp; INDEX(SWITCH_TABLE[#Data],$J33,MATCH("Uplink Port 1",SWITCH_TABLE[#Headers],0)),"")</f>
        <v/>
      </c>
      <c r="J33" s="118" t="str">
        <f t="array" ref="J33">_xlfn.IFNA(MATCH(1,(SHEET_NAME=SWITCH_TABLE[Remote Device 1])*(B33=SWITCH_TABLE[Remote Port 1]),0),"")</f>
        <v/>
      </c>
    </row>
    <row r="34" spans="1:10">
      <c r="A34" s="121">
        <f t="shared" si="2"/>
        <v>18</v>
      </c>
      <c r="B34" s="116" t="str">
        <f t="shared" si="0"/>
        <v>twe1/0/18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2" t="str">
        <f>IF(J34&lt;&gt;"","TRUNK","")</f>
        <v/>
      </c>
      <c r="E34" s="123" t="str" cm="1">
        <f t="array" ref="E34">IF($J34&lt;&gt;"",INDEX(SWITCH_TABLE[#Data],$J34,MATCH("Remote EC",SWITCH_TABLE[#Headers],0)),"")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IF($J34&lt;&gt;"",INDEX(SWITCH_TABLE[#Data],$J34,MATCH("Uplink 1 SFP",SWITCH_TABLE[#Headers],0)),"")</f>
        <v/>
      </c>
      <c r="H34" s="125" t="str">
        <f>IF($J34&lt;&gt;"",INDEX(SWITCH_TABLE[#Data],$J34,MATCH("Device Name",SWITCH_TABLE[#Headers],0)) &amp; " " &amp; INDEX(SWITCH_TABLE[#Data],$J34,MATCH("Uplink Port 1",SWITCH_TABLE[#Headers],0)),"")</f>
        <v/>
      </c>
      <c r="J34" s="118" t="str">
        <f t="array" ref="J34">_xlfn.IFNA(MATCH(1,(SHEET_NAME=SWITCH_TABLE[Remote Device 1])*(B34=SWITCH_TABLE[Remote Port 1]),0),"")</f>
        <v/>
      </c>
    </row>
    <row r="35" spans="1:10">
      <c r="A35" s="121">
        <f t="shared" si="2"/>
        <v>19</v>
      </c>
      <c r="B35" s="116" t="str">
        <f t="shared" si="0"/>
        <v>twe1/0/19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2" t="str">
        <f>IF(J35&lt;&gt;"","TRUNK","")</f>
        <v/>
      </c>
      <c r="E35" s="123" t="str" cm="1">
        <f t="array" ref="E35">IF($J35&lt;&gt;"",INDEX(SWITCH_TABLE[#Data],$J35,MATCH("Remote EC",SWITCH_TABLE[#Headers],0)),"")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IF($J35&lt;&gt;"",INDEX(SWITCH_TABLE[#Data],$J35,MATCH("Uplink 1 SFP",SWITCH_TABLE[#Headers],0)),"")</f>
        <v/>
      </c>
      <c r="H35" s="125" t="str">
        <f>IF($J35&lt;&gt;"",INDEX(SWITCH_TABLE[#Data],$J35,MATCH("Device Name",SWITCH_TABLE[#Headers],0)) &amp; " " &amp; INDEX(SWITCH_TABLE[#Data],$J35,MATCH("Uplink Port 1",SWITCH_TABLE[#Headers],0)),"")</f>
        <v/>
      </c>
      <c r="J35" s="118" t="str">
        <f t="array" ref="J35">_xlfn.IFNA(MATCH(1,(SHEET_NAME=SWITCH_TABLE[Remote Device 1])*(B35=SWITCH_TABLE[Remote Port 1]),0),"")</f>
        <v/>
      </c>
    </row>
    <row r="36" spans="1:10">
      <c r="A36" s="121">
        <f t="shared" si="2"/>
        <v>20</v>
      </c>
      <c r="B36" s="116" t="str">
        <f t="shared" si="0"/>
        <v>twe1/0/20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2" t="str">
        <f>IF(J36&lt;&gt;"","TRUNK","")</f>
        <v/>
      </c>
      <c r="E36" s="123" t="str" cm="1">
        <f t="array" ref="E36">IF($J36&lt;&gt;"",INDEX(SWITCH_TABLE[#Data],$J36,MATCH("Remote EC",SWITCH_TABLE[#Headers],0)),"")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IF($J36&lt;&gt;"",INDEX(SWITCH_TABLE[#Data],$J36,MATCH("Uplink 1 SFP",SWITCH_TABLE[#Headers],0)),"")</f>
        <v/>
      </c>
      <c r="H36" s="125" t="str">
        <f>IF($J36&lt;&gt;"",INDEX(SWITCH_TABLE[#Data],$J36,MATCH("Device Name",SWITCH_TABLE[#Headers],0)) &amp; " " &amp; INDEX(SWITCH_TABLE[#Data],$J36,MATCH("Uplink Port 1",SWITCH_TABLE[#Headers],0)),"")</f>
        <v/>
      </c>
      <c r="J36" s="118" t="str">
        <f t="array" ref="J36">_xlfn.IFNA(MATCH(1,(SHEET_NAME=SWITCH_TABLE[Remote Device 1])*(B36=SWITCH_TABLE[Remote Port 1]),0),"")</f>
        <v/>
      </c>
    </row>
    <row r="37" spans="1:10">
      <c r="A37" s="121">
        <f t="shared" si="2"/>
        <v>21</v>
      </c>
      <c r="B37" s="116" t="str">
        <f t="shared" si="0"/>
        <v>twe1/0/21</v>
      </c>
      <c r="C37" s="122" t="s">
        <v>2608</v>
      </c>
      <c r="D37" s="122">
        <v>3128</v>
      </c>
      <c r="E37" s="123" t="str" cm="1">
        <f t="array" ref="E37">IF($J37&lt;&gt;"",INDEX(SWITCH_TABLE[#Data],$J37,MATCH("Remote EC",SWITCH_TABLE[#Headers],0)),"")</f>
        <v/>
      </c>
      <c r="F37" s="122" t="str" cm="1">
        <f t="array" ref="F37">IF($J37&lt;&gt;"",INDEX(Connections!$B$4:$V$345,$J37,MATCH(F$16,Connections!$B$3:$V$3,0)),"")</f>
        <v/>
      </c>
      <c r="G37" s="122" t="s">
        <v>1931</v>
      </c>
      <c r="H37" s="125" t="s">
        <v>2755</v>
      </c>
      <c r="J37" s="118" t="str">
        <f t="array" ref="J37">_xlfn.IFNA(MATCH(1,(SHEET_NAME=SWITCH_TABLE[Remote Device 1])*(B37=SWITCH_TABLE[Remote Port 1]),0),"")</f>
        <v/>
      </c>
    </row>
    <row r="38" spans="1:10">
      <c r="A38" s="121">
        <f t="shared" si="2"/>
        <v>22</v>
      </c>
      <c r="B38" s="116" t="str">
        <f t="shared" si="0"/>
        <v>twe1/0/22</v>
      </c>
      <c r="C38" s="122" t="s">
        <v>2608</v>
      </c>
      <c r="D38" s="122">
        <v>3128</v>
      </c>
      <c r="E38" s="123" t="str" cm="1">
        <f t="array" ref="E38">IF($J38&lt;&gt;"",INDEX(SWITCH_TABLE[#Data],$J38,MATCH("Remote EC",SWITCH_TABLE[#Headers],0)),"")</f>
        <v/>
      </c>
      <c r="F38" s="122" t="str" cm="1">
        <f t="array" ref="F38">IF($J38&lt;&gt;"",INDEX(Connections!$B$4:$V$345,$J38,MATCH(F$16,Connections!$B$3:$V$3,0)),"")</f>
        <v/>
      </c>
      <c r="G38" s="122" t="s">
        <v>1931</v>
      </c>
      <c r="H38" s="125" t="s">
        <v>2756</v>
      </c>
      <c r="J38" s="118" t="str">
        <f t="array" ref="J38">_xlfn.IFNA(MATCH(1,(SHEET_NAME=SWITCH_TABLE[Remote Device 1])*(B38=SWITCH_TABLE[Remote Port 1]),0),"")</f>
        <v/>
      </c>
    </row>
    <row r="39" spans="1:10">
      <c r="A39" s="121">
        <f t="shared" si="2"/>
        <v>23</v>
      </c>
      <c r="B39" s="116" t="str">
        <f t="shared" si="0"/>
        <v>twe1/0/23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2" t="str">
        <f t="shared" ref="D39:D64" si="5">IF(J39&lt;&gt;"","TRUNK","")</f>
        <v/>
      </c>
      <c r="E39" s="123" t="str" cm="1">
        <f t="array" ref="E39">IF($J39&lt;&gt;"",INDEX(SWITCH_TABLE[#Data],$J39,MATCH("Remote EC",SWITCH_TABLE[#Headers],0)),"")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IF($J39&lt;&gt;"",INDEX(SWITCH_TABLE[#Data],$J39,MATCH("Uplink 1 SFP",SWITCH_TABLE[#Headers],0)),"")</f>
        <v/>
      </c>
      <c r="H39" s="125" t="str">
        <f>IF($J39&lt;&gt;"",INDEX(SWITCH_TABLE[#Data],$J39,MATCH("Device Name",SWITCH_TABLE[#Headers],0)) &amp; " " &amp; INDEX(SWITCH_TABLE[#Data],$J39,MATCH("Uplink Port 1",SWITCH_TABLE[#Headers],0)),"")</f>
        <v/>
      </c>
      <c r="J39" s="118" t="str">
        <f t="array" ref="J39">_xlfn.IFNA(MATCH(1,(SHEET_NAME=SWITCH_TABLE[Remote Device 1])*(B39=SWITCH_TABLE[Remote Port 1]),0),"")</f>
        <v/>
      </c>
    </row>
    <row r="40" spans="1:10">
      <c r="A40" s="121">
        <f t="shared" si="2"/>
        <v>24</v>
      </c>
      <c r="B40" s="116" t="str">
        <f t="shared" si="0"/>
        <v>twe1/0/24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2" t="str">
        <f t="shared" si="5"/>
        <v/>
      </c>
      <c r="E40" s="123" t="str" cm="1">
        <f t="array" ref="E40">IF($J40&lt;&gt;"",INDEX(SWITCH_TABLE[#Data],$J40,MATCH("Remote EC",SWITCH_TABLE[#Headers],0)),"")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IF($J40&lt;&gt;"",INDEX(SWITCH_TABLE[#Data],$J40,MATCH("Uplink 1 SFP",SWITCH_TABLE[#Headers],0)),"")</f>
        <v/>
      </c>
      <c r="H40" s="125" t="str">
        <f>IF($J40&lt;&gt;"",INDEX(SWITCH_TABLE[#Data],$J40,MATCH("Device Name",SWITCH_TABLE[#Headers],0)) &amp; " " &amp; INDEX(SWITCH_TABLE[#Data],$J40,MATCH("Uplink Port 1",SWITCH_TABLE[#Headers],0)),"")</f>
        <v/>
      </c>
      <c r="J40" s="118" t="str">
        <f t="array" ref="J40">_xlfn.IFNA(MATCH(1,(SHEET_NAME=SWITCH_TABLE[Remote Device 1])*(B40=SWITCH_TABLE[Remote Port 1]),0),"")</f>
        <v/>
      </c>
    </row>
    <row r="41" spans="1:10">
      <c r="A41" s="121">
        <f t="shared" si="2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2" t="str">
        <f t="shared" si="5"/>
        <v/>
      </c>
      <c r="E41" s="123" t="str" cm="1">
        <f t="array" ref="E41">IF($J41&lt;&gt;"",INDEX(SWITCH_TABLE[#Data],$J41,MATCH("Remote EC",SWITCH_TABLE[#Headers],0)),"")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IF($J41&lt;&gt;"",INDEX(SWITCH_TABLE[#Data],$J41,MATCH("Uplink 1 SFP",SWITCH_TABLE[#Headers],0)),"")</f>
        <v/>
      </c>
      <c r="H41" s="125" t="str">
        <f>IF($J41&lt;&gt;"",INDEX(SWITCH_TABLE[#Data],$J41,MATCH("Device Name",SWITCH_TABLE[#Headers],0)) &amp; " " &amp; INDEX(SWITCH_TABLE[#Data],$J41,MATCH("Uplink Port 1",SWITCH_TABLE[#Headers],0)),"")</f>
        <v/>
      </c>
      <c r="J41" s="118" t="str">
        <f t="array" ref="J41">_xlfn.IFNA(MATCH(1,(SHEET_NAME=SWITCH_TABLE[Remote Device 1])*(B41=SWITCH_TABLE[Remote Port 1]),0),"")</f>
        <v/>
      </c>
    </row>
    <row r="42" spans="1:10">
      <c r="A42" s="121">
        <f t="shared" si="2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2" t="str">
        <f t="shared" si="5"/>
        <v/>
      </c>
      <c r="E42" s="123" t="str" cm="1">
        <f t="array" ref="E42">IF($J42&lt;&gt;"",INDEX(SWITCH_TABLE[#Data],$J42,MATCH("Remote EC",SWITCH_TABLE[#Headers],0)),"")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IF($J42&lt;&gt;"",INDEX(SWITCH_TABLE[#Data],$J42,MATCH("Uplink 1 SFP",SWITCH_TABLE[#Headers],0)),"")</f>
        <v/>
      </c>
      <c r="H42" s="125" t="str">
        <f>IF($J42&lt;&gt;"",INDEX(SWITCH_TABLE[#Data],$J42,MATCH("Device Name",SWITCH_TABLE[#Headers],0)) &amp; " " &amp; INDEX(SWITCH_TABLE[#Data],$J42,MATCH("Uplink Port 1",SWITCH_TABLE[#Headers],0)),"")</f>
        <v/>
      </c>
      <c r="J42" s="118" t="str">
        <f t="array" ref="J42">_xlfn.IFNA(MATCH(1,(SHEET_NAME=SWITCH_TABLE[Remote Device 1])*(B42=SWITCH_TABLE[Remote Port 1]),0),"")</f>
        <v/>
      </c>
    </row>
    <row r="43" spans="1:10">
      <c r="A43" s="121">
        <f t="shared" si="2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2" t="str">
        <f t="shared" si="5"/>
        <v/>
      </c>
      <c r="E43" s="123" t="str" cm="1">
        <f t="array" ref="E43">IF($J43&lt;&gt;"",INDEX(SWITCH_TABLE[#Data],$J43,MATCH("Remote EC",SWITCH_TABLE[#Headers],0)),"")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IF($J43&lt;&gt;"",INDEX(SWITCH_TABLE[#Data],$J43,MATCH("Uplink 1 SFP",SWITCH_TABLE[#Headers],0)),"")</f>
        <v/>
      </c>
      <c r="H43" s="125" t="str">
        <f>IF($J43&lt;&gt;"",INDEX(SWITCH_TABLE[#Data],$J43,MATCH("Device Name",SWITCH_TABLE[#Headers],0)) &amp; " " &amp; INDEX(SWITCH_TABLE[#Data],$J43,MATCH("Uplink Port 1",SWITCH_TABLE[#Headers],0)),"")</f>
        <v/>
      </c>
      <c r="J43" s="118" t="str">
        <f t="array" ref="J43">_xlfn.IFNA(MATCH(1,(SHEET_NAME=SWITCH_TABLE[Remote Device 1])*(B43=SWITCH_TABLE[Remote Port 1]),0),"")</f>
        <v/>
      </c>
    </row>
    <row r="44" spans="1:10">
      <c r="A44" s="121">
        <f t="shared" si="2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2" t="str">
        <f t="shared" si="5"/>
        <v/>
      </c>
      <c r="E44" s="123" t="str" cm="1">
        <f t="array" ref="E44">IF($J44&lt;&gt;"",INDEX(SWITCH_TABLE[#Data],$J44,MATCH("Remote EC",SWITCH_TABLE[#Headers],0)),"")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IF($J44&lt;&gt;"",INDEX(SWITCH_TABLE[#Data],$J44,MATCH("Uplink 1 SFP",SWITCH_TABLE[#Headers],0)),"")</f>
        <v/>
      </c>
      <c r="H44" s="125" t="str">
        <f>IF($J44&lt;&gt;"",INDEX(SWITCH_TABLE[#Data],$J44,MATCH("Device Name",SWITCH_TABLE[#Headers],0)) &amp; " " &amp; INDEX(SWITCH_TABLE[#Data],$J44,MATCH("Uplink Port 1",SWITCH_TABLE[#Headers],0)),"")</f>
        <v/>
      </c>
      <c r="J44" s="118" t="str">
        <f t="array" ref="J44">_xlfn.IFNA(MATCH(1,(SHEET_NAME=SWITCH_TABLE[Remote Device 1])*(B44=SWITCH_TABLE[Remote Port 1]),0),"")</f>
        <v/>
      </c>
    </row>
    <row r="45" spans="1:10">
      <c r="A45" s="121">
        <f t="shared" si="2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2" t="str">
        <f t="shared" si="5"/>
        <v/>
      </c>
      <c r="E45" s="123" t="str" cm="1">
        <f t="array" ref="E45">IF($J45&lt;&gt;"",INDEX(SWITCH_TABLE[#Data],$J45,MATCH("Remote EC",SWITCH_TABLE[#Headers],0)),"")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IF($J45&lt;&gt;"",INDEX(SWITCH_TABLE[#Data],$J45,MATCH("Uplink 1 SFP",SWITCH_TABLE[#Headers],0)),"")</f>
        <v/>
      </c>
      <c r="H45" s="125" t="str">
        <f>IF($J45&lt;&gt;"",INDEX(SWITCH_TABLE[#Data],$J45,MATCH("Device Name",SWITCH_TABLE[#Headers],0)) &amp; " " &amp; INDEX(SWITCH_TABLE[#Data],$J45,MATCH("Uplink Port 1",SWITCH_TABLE[#Headers],0)),"")</f>
        <v/>
      </c>
      <c r="J45" s="118" t="str">
        <f t="array" ref="J45">_xlfn.IFNA(MATCH(1,(SHEET_NAME=SWITCH_TABLE[Remote Device 1])*(B45=SWITCH_TABLE[Remote Port 1]),0),"")</f>
        <v/>
      </c>
    </row>
    <row r="46" spans="1:10">
      <c r="A46" s="121">
        <f t="shared" si="2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2" t="str">
        <f t="shared" si="5"/>
        <v/>
      </c>
      <c r="E46" s="123" t="str" cm="1">
        <f t="array" ref="E46">IF($J46&lt;&gt;"",INDEX(SWITCH_TABLE[#Data],$J46,MATCH("Remote EC",SWITCH_TABLE[#Headers],0)),"")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IF($J46&lt;&gt;"",INDEX(SWITCH_TABLE[#Data],$J46,MATCH("Uplink 1 SFP",SWITCH_TABLE[#Headers],0)),"")</f>
        <v/>
      </c>
      <c r="H46" s="125" t="str">
        <f>IF($J46&lt;&gt;"",INDEX(SWITCH_TABLE[#Data],$J46,MATCH("Device Name",SWITCH_TABLE[#Headers],0)) &amp; " " &amp; INDEX(SWITCH_TABLE[#Data],$J46,MATCH("Uplink Port 1",SWITCH_TABLE[#Headers],0)),"")</f>
        <v/>
      </c>
      <c r="J46" s="118" t="str">
        <f t="array" ref="J46">_xlfn.IFNA(MATCH(1,(SHEET_NAME=SWITCH_TABLE[Remote Device 1])*(B46=SWITCH_TABLE[Remote Port 1]),0),"")</f>
        <v/>
      </c>
    </row>
    <row r="47" spans="1:10">
      <c r="A47" s="121">
        <f t="shared" si="2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2" t="str">
        <f t="shared" si="5"/>
        <v/>
      </c>
      <c r="E47" s="123" t="str" cm="1">
        <f t="array" ref="E47">IF($J47&lt;&gt;"",INDEX(SWITCH_TABLE[#Data],$J47,MATCH("Remote EC",SWITCH_TABLE[#Headers],0)),"")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IF($J47&lt;&gt;"",INDEX(SWITCH_TABLE[#Data],$J47,MATCH("Uplink 1 SFP",SWITCH_TABLE[#Headers],0)),"")</f>
        <v/>
      </c>
      <c r="H47" s="125" t="str">
        <f>IF($J47&lt;&gt;"",INDEX(SWITCH_TABLE[#Data],$J47,MATCH("Device Name",SWITCH_TABLE[#Headers],0)) &amp; " " &amp; INDEX(SWITCH_TABLE[#Data],$J47,MATCH("Uplink Port 1",SWITCH_TABLE[#Headers],0)),"")</f>
        <v/>
      </c>
      <c r="J47" s="118" t="str">
        <f t="array" ref="J47">_xlfn.IFNA(MATCH(1,(SHEET_NAME=SWITCH_TABLE[Remote Device 1])*(B47=SWITCH_TABLE[Remote Port 1]),0),"")</f>
        <v/>
      </c>
    </row>
    <row r="48" spans="1:10">
      <c r="A48" s="121">
        <f t="shared" si="2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2" t="str">
        <f t="shared" si="5"/>
        <v/>
      </c>
      <c r="E48" s="123" t="str" cm="1">
        <f t="array" ref="E48">IF($J48&lt;&gt;"",INDEX(SWITCH_TABLE[#Data],$J48,MATCH("Remote EC",SWITCH_TABLE[#Headers],0)),"")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IF($J48&lt;&gt;"",INDEX(SWITCH_TABLE[#Data],$J48,MATCH("Uplink 1 SFP",SWITCH_TABLE[#Headers],0)),"")</f>
        <v/>
      </c>
      <c r="H48" s="125" t="str">
        <f>IF($J48&lt;&gt;"",INDEX(SWITCH_TABLE[#Data],$J48,MATCH("Device Name",SWITCH_TABLE[#Headers],0)) &amp; " " &amp; INDEX(SWITCH_TABLE[#Data],$J48,MATCH("Uplink Port 1",SWITCH_TABLE[#Headers],0)),"")</f>
        <v/>
      </c>
      <c r="J48" s="118" t="str">
        <f t="array" ref="J48">_xlfn.IFNA(MATCH(1,(SHEET_NAME=SWITCH_TABLE[Remote Device 1])*(B48=SWITCH_TABLE[Remote Port 1]),0),"")</f>
        <v/>
      </c>
    </row>
    <row r="49" spans="1:10">
      <c r="A49" s="121">
        <f t="shared" si="2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2" t="str">
        <f t="shared" si="5"/>
        <v/>
      </c>
      <c r="E49" s="123" t="str" cm="1">
        <f t="array" ref="E49">IF($J49&lt;&gt;"",INDEX(SWITCH_TABLE[#Data],$J49,MATCH("Remote EC",SWITCH_TABLE[#Headers],0)),"")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IF($J49&lt;&gt;"",INDEX(SWITCH_TABLE[#Data],$J49,MATCH("Uplink 1 SFP",SWITCH_TABLE[#Headers],0)),"")</f>
        <v/>
      </c>
      <c r="H49" s="125" t="str">
        <f>IF($J49&lt;&gt;"",INDEX(SWITCH_TABLE[#Data],$J49,MATCH("Device Name",SWITCH_TABLE[#Headers],0)) &amp; " " &amp; INDEX(SWITCH_TABLE[#Data],$J49,MATCH("Uplink Port 1",SWITCH_TABLE[#Headers],0)),"")</f>
        <v/>
      </c>
      <c r="J49" s="118" t="str">
        <f t="array" ref="J49">_xlfn.IFNA(MATCH(1,(SHEET_NAME=SWITCH_TABLE[Remote Device 1])*(B49=SWITCH_TABLE[Remote Port 1]),0),"")</f>
        <v/>
      </c>
    </row>
    <row r="50" spans="1:10">
      <c r="A50" s="121">
        <f t="shared" si="2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2" t="str">
        <f t="shared" si="5"/>
        <v/>
      </c>
      <c r="E50" s="123" t="str" cm="1">
        <f t="array" ref="E50">IF($J50&lt;&gt;"",INDEX(SWITCH_TABLE[#Data],$J50,MATCH("Remote EC",SWITCH_TABLE[#Headers],0)),"")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IF($J50&lt;&gt;"",INDEX(SWITCH_TABLE[#Data],$J50,MATCH("Uplink 1 SFP",SWITCH_TABLE[#Headers],0)),"")</f>
        <v/>
      </c>
      <c r="H50" s="125" t="str">
        <f>IF($J50&lt;&gt;"",INDEX(SWITCH_TABLE[#Data],$J50,MATCH("Device Name",SWITCH_TABLE[#Headers],0)) &amp; " " &amp; INDEX(SWITCH_TABLE[#Data],$J50,MATCH("Uplink Port 1",SWITCH_TABLE[#Headers],0)),"")</f>
        <v/>
      </c>
      <c r="J50" s="118" t="str">
        <f t="array" ref="J50">_xlfn.IFNA(MATCH(1,(SHEET_NAME=SWITCH_TABLE[Remote Device 1])*(B50=SWITCH_TABLE[Remote Port 1]),0),"")</f>
        <v/>
      </c>
    </row>
    <row r="51" spans="1:10">
      <c r="A51" s="121">
        <f t="shared" si="2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2" t="str">
        <f t="shared" si="5"/>
        <v/>
      </c>
      <c r="E51" s="123" t="str" cm="1">
        <f t="array" ref="E51">IF($J51&lt;&gt;"",INDEX(SWITCH_TABLE[#Data],$J51,MATCH("Remote EC",SWITCH_TABLE[#Headers],0)),"")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IF($J51&lt;&gt;"",INDEX(SWITCH_TABLE[#Data],$J51,MATCH("Uplink 1 SFP",SWITCH_TABLE[#Headers],0)),"")</f>
        <v/>
      </c>
      <c r="H51" s="125" t="str">
        <f>IF($J51&lt;&gt;"",INDEX(SWITCH_TABLE[#Data],$J51,MATCH("Device Name",SWITCH_TABLE[#Headers],0)) &amp; " " &amp; INDEX(SWITCH_TABLE[#Data],$J51,MATCH("Uplink Port 1",SWITCH_TABLE[#Headers],0)),"")</f>
        <v/>
      </c>
      <c r="J51" s="118" t="str">
        <f t="array" ref="J51">_xlfn.IFNA(MATCH(1,(SHEET_NAME=SWITCH_TABLE[Remote Device 1])*(B51=SWITCH_TABLE[Remote Port 1]),0),"")</f>
        <v/>
      </c>
    </row>
    <row r="52" spans="1:10">
      <c r="A52" s="121">
        <f t="shared" si="2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2" t="str">
        <f t="shared" si="5"/>
        <v/>
      </c>
      <c r="E52" s="123" t="str" cm="1">
        <f t="array" ref="E52">IF($J52&lt;&gt;"",INDEX(SWITCH_TABLE[#Data],$J52,MATCH("Remote EC",SWITCH_TABLE[#Headers],0)),"")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IF($J52&lt;&gt;"",INDEX(SWITCH_TABLE[#Data],$J52,MATCH("Uplink 1 SFP",SWITCH_TABLE[#Headers],0)),"")</f>
        <v/>
      </c>
      <c r="H52" s="125" t="str">
        <f>IF($J52&lt;&gt;"",INDEX(SWITCH_TABLE[#Data],$J52,MATCH("Device Name",SWITCH_TABLE[#Headers],0)) &amp; " " &amp; INDEX(SWITCH_TABLE[#Data],$J52,MATCH("Uplink Port 1",SWITCH_TABLE[#Headers],0)),"")</f>
        <v/>
      </c>
      <c r="J52" s="118" t="str">
        <f t="array" ref="J52">_xlfn.IFNA(MATCH(1,(SHEET_NAME=SWITCH_TABLE[Remote Device 1])*(B52=SWITCH_TABLE[Remote Port 1]),0),"")</f>
        <v/>
      </c>
    </row>
    <row r="53" spans="1:10">
      <c r="A53" s="121">
        <f t="shared" si="2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2" t="str">
        <f t="shared" si="5"/>
        <v/>
      </c>
      <c r="E53" s="123" t="str" cm="1">
        <f t="array" ref="E53">IF($J53&lt;&gt;"",INDEX(SWITCH_TABLE[#Data],$J53,MATCH("Remote EC",SWITCH_TABLE[#Headers],0)),"")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IF($J53&lt;&gt;"",INDEX(SWITCH_TABLE[#Data],$J53,MATCH("Uplink 1 SFP",SWITCH_TABLE[#Headers],0)),"")</f>
        <v/>
      </c>
      <c r="H53" s="125" t="str">
        <f>IF($J53&lt;&gt;"",INDEX(SWITCH_TABLE[#Data],$J53,MATCH("Device Name",SWITCH_TABLE[#Headers],0)) &amp; " " &amp; INDEX(SWITCH_TABLE[#Data],$J53,MATCH("Uplink Port 1",SWITCH_TABLE[#Headers],0)),"")</f>
        <v/>
      </c>
      <c r="J53" s="118" t="str">
        <f t="array" ref="J53">_xlfn.IFNA(MATCH(1,(SHEET_NAME=SWITCH_TABLE[Remote Device 1])*(B53=SWITCH_TABLE[Remote Port 1]),0),"")</f>
        <v/>
      </c>
    </row>
    <row r="54" spans="1:10">
      <c r="A54" s="121">
        <f t="shared" si="2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2" t="str">
        <f t="shared" si="5"/>
        <v/>
      </c>
      <c r="E54" s="123" t="str" cm="1">
        <f t="array" ref="E54">IF($J54&lt;&gt;"",INDEX(SWITCH_TABLE[#Data],$J54,MATCH("Remote EC",SWITCH_TABLE[#Headers],0)),"")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IF($J54&lt;&gt;"",INDEX(SWITCH_TABLE[#Data],$J54,MATCH("Uplink 1 SFP",SWITCH_TABLE[#Headers],0)),"")</f>
        <v/>
      </c>
      <c r="H54" s="125" t="str">
        <f>IF($J54&lt;&gt;"",INDEX(SWITCH_TABLE[#Data],$J54,MATCH("Device Name",SWITCH_TABLE[#Headers],0)) &amp; " " &amp; INDEX(SWITCH_TABLE[#Data],$J54,MATCH("Uplink Port 1",SWITCH_TABLE[#Headers],0)),"")</f>
        <v/>
      </c>
      <c r="J54" s="118" t="str">
        <f t="array" ref="J54">_xlfn.IFNA(MATCH(1,(SHEET_NAME=SWITCH_TABLE[Remote Device 1])*(B54=SWITCH_TABLE[Remote Port 1]),0),"")</f>
        <v/>
      </c>
    </row>
    <row r="55" spans="1:10">
      <c r="A55" s="121">
        <f t="shared" si="2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2" t="str">
        <f t="shared" si="5"/>
        <v/>
      </c>
      <c r="E55" s="123" t="str" cm="1">
        <f t="array" ref="E55">IF($J55&lt;&gt;"",INDEX(SWITCH_TABLE[#Data],$J55,MATCH("Remote EC",SWITCH_TABLE[#Headers],0)),"")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IF($J55&lt;&gt;"",INDEX(SWITCH_TABLE[#Data],$J55,MATCH("Uplink 1 SFP",SWITCH_TABLE[#Headers],0)),"")</f>
        <v/>
      </c>
      <c r="H55" s="125" t="str">
        <f>IF($J55&lt;&gt;"",INDEX(SWITCH_TABLE[#Data],$J55,MATCH("Device Name",SWITCH_TABLE[#Headers],0)) &amp; " " &amp; INDEX(SWITCH_TABLE[#Data],$J55,MATCH("Uplink Port 1",SWITCH_TABLE[#Headers],0)),"")</f>
        <v/>
      </c>
      <c r="J55" s="118" t="str">
        <f t="array" ref="J55">_xlfn.IFNA(MATCH(1,(SHEET_NAME=SWITCH_TABLE[Remote Device 1])*(B55=SWITCH_TABLE[Remote Port 1]),0),"")</f>
        <v/>
      </c>
    </row>
    <row r="56" spans="1:10">
      <c r="A56" s="121">
        <f t="shared" si="2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2" t="str">
        <f t="shared" si="5"/>
        <v/>
      </c>
      <c r="E56" s="123" t="str" cm="1">
        <f t="array" ref="E56">IF($J56&lt;&gt;"",INDEX(SWITCH_TABLE[#Data],$J56,MATCH("Remote EC",SWITCH_TABLE[#Headers],0)),"")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IF($J56&lt;&gt;"",INDEX(SWITCH_TABLE[#Data],$J56,MATCH("Uplink 1 SFP",SWITCH_TABLE[#Headers],0)),"")</f>
        <v/>
      </c>
      <c r="H56" s="125" t="str">
        <f>IF($J56&lt;&gt;"",INDEX(SWITCH_TABLE[#Data],$J56,MATCH("Device Name",SWITCH_TABLE[#Headers],0)) &amp; " " &amp; INDEX(SWITCH_TABLE[#Data],$J56,MATCH("Uplink Port 1",SWITCH_TABLE[#Headers],0)),"")</f>
        <v/>
      </c>
      <c r="J56" s="118" t="str">
        <f t="array" ref="J56">_xlfn.IFNA(MATCH(1,(SHEET_NAME=SWITCH_TABLE[Remote Device 1])*(B56=SWITCH_TABLE[Remote Port 1]),0),"")</f>
        <v/>
      </c>
    </row>
    <row r="57" spans="1:10">
      <c r="A57" s="121">
        <f t="shared" si="2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2" t="str">
        <f t="shared" si="5"/>
        <v/>
      </c>
      <c r="E57" s="123" t="str" cm="1">
        <f t="array" ref="E57">IF($J57&lt;&gt;"",INDEX(SWITCH_TABLE[#Data],$J57,MATCH("Remote EC",SWITCH_TABLE[#Headers],0)),"")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IF($J57&lt;&gt;"",INDEX(SWITCH_TABLE[#Data],$J57,MATCH("Uplink 1 SFP",SWITCH_TABLE[#Headers],0)),"")</f>
        <v/>
      </c>
      <c r="H57" s="125" t="str">
        <f>IF($J57&lt;&gt;"",INDEX(SWITCH_TABLE[#Data],$J57,MATCH("Device Name",SWITCH_TABLE[#Headers],0)) &amp; " " &amp; INDEX(SWITCH_TABLE[#Data],$J57,MATCH("Uplink Port 1",SWITCH_TABLE[#Headers],0)),"")</f>
        <v/>
      </c>
      <c r="J57" s="118" t="str">
        <f t="array" ref="J57">_xlfn.IFNA(MATCH(1,(SHEET_NAME=SWITCH_TABLE[Remote Device 1])*(B57=SWITCH_TABLE[Remote Port 1]),0),"")</f>
        <v/>
      </c>
    </row>
    <row r="58" spans="1:10">
      <c r="A58" s="121">
        <f t="shared" si="2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2" t="str">
        <f t="shared" si="5"/>
        <v/>
      </c>
      <c r="E58" s="123" t="str" cm="1">
        <f t="array" ref="E58">IF($J58&lt;&gt;"",INDEX(SWITCH_TABLE[#Data],$J58,MATCH("Remote EC",SWITCH_TABLE[#Headers],0)),"")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IF($J58&lt;&gt;"",INDEX(SWITCH_TABLE[#Data],$J58,MATCH("Uplink 1 SFP",SWITCH_TABLE[#Headers],0)),"")</f>
        <v/>
      </c>
      <c r="H58" s="125" t="str">
        <f>IF($J58&lt;&gt;"",INDEX(SWITCH_TABLE[#Data],$J58,MATCH("Device Name",SWITCH_TABLE[#Headers],0)) &amp; " " &amp; INDEX(SWITCH_TABLE[#Data],$J58,MATCH("Uplink Port 1",SWITCH_TABLE[#Headers],0)),"")</f>
        <v/>
      </c>
      <c r="J58" s="118" t="str">
        <f t="array" ref="J58">_xlfn.IFNA(MATCH(1,(SHEET_NAME=SWITCH_TABLE[Remote Device 1])*(B58=SWITCH_TABLE[Remote Port 1]),0),"")</f>
        <v/>
      </c>
    </row>
    <row r="59" spans="1:10">
      <c r="A59" s="121">
        <f t="shared" si="2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2" t="str">
        <f t="shared" si="5"/>
        <v/>
      </c>
      <c r="E59" s="123" t="str" cm="1">
        <f t="array" ref="E59">IF($J59&lt;&gt;"",INDEX(SWITCH_TABLE[#Data],$J59,MATCH("Remote EC",SWITCH_TABLE[#Headers],0)),"")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IF($J59&lt;&gt;"",INDEX(SWITCH_TABLE[#Data],$J59,MATCH("Uplink 1 SFP",SWITCH_TABLE[#Headers],0)),"")</f>
        <v/>
      </c>
      <c r="H59" s="125" t="str">
        <f>IF($J59&lt;&gt;"",INDEX(SWITCH_TABLE[#Data],$J59,MATCH("Device Name",SWITCH_TABLE[#Headers],0)) &amp; " " &amp; INDEX(SWITCH_TABLE[#Data],$J59,MATCH("Uplink Port 1",SWITCH_TABLE[#Headers],0)),"")</f>
        <v/>
      </c>
      <c r="J59" s="118" t="str">
        <f t="array" ref="J59">_xlfn.IFNA(MATCH(1,(SHEET_NAME=SWITCH_TABLE[Remote Device 1])*(B59=SWITCH_TABLE[Remote Port 1]),0),"")</f>
        <v/>
      </c>
    </row>
    <row r="60" spans="1:10">
      <c r="A60" s="121">
        <f t="shared" si="2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2" t="str">
        <f t="shared" si="5"/>
        <v/>
      </c>
      <c r="E60" s="123" t="str" cm="1">
        <f t="array" ref="E60">IF($J60&lt;&gt;"",INDEX(SWITCH_TABLE[#Data],$J60,MATCH("Remote EC",SWITCH_TABLE[#Headers],0)),"")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IF($J60&lt;&gt;"",INDEX(SWITCH_TABLE[#Data],$J60,MATCH("Uplink 1 SFP",SWITCH_TABLE[#Headers],0)),"")</f>
        <v/>
      </c>
      <c r="H60" s="125" t="str">
        <f>IF($J60&lt;&gt;"",INDEX(SWITCH_TABLE[#Data],$J60,MATCH("Device Name",SWITCH_TABLE[#Headers],0)) &amp; " " &amp; INDEX(SWITCH_TABLE[#Data],$J60,MATCH("Uplink Port 1",SWITCH_TABLE[#Headers],0)),"")</f>
        <v/>
      </c>
      <c r="J60" s="118" t="str">
        <f t="array" ref="J60">_xlfn.IFNA(MATCH(1,(SHEET_NAME=SWITCH_TABLE[Remote Device 1])*(B60=SWITCH_TABLE[Remote Port 1]),0),"")</f>
        <v/>
      </c>
    </row>
    <row r="61" spans="1:10">
      <c r="A61" s="121">
        <f t="shared" si="2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2" t="str">
        <f t="shared" si="5"/>
        <v/>
      </c>
      <c r="E61" s="123" t="str" cm="1">
        <f t="array" ref="E61">IF($J61&lt;&gt;"",INDEX(SWITCH_TABLE[#Data],$J61,MATCH("Remote EC",SWITCH_TABLE[#Headers],0)),"")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IF($J61&lt;&gt;"",INDEX(SWITCH_TABLE[#Data],$J61,MATCH("Uplink 1 SFP",SWITCH_TABLE[#Headers],0)),"")</f>
        <v/>
      </c>
      <c r="H61" s="125" t="str">
        <f>IF($J61&lt;&gt;"",INDEX(SWITCH_TABLE[#Data],$J61,MATCH("Device Name",SWITCH_TABLE[#Headers],0)) &amp; " " &amp; INDEX(SWITCH_TABLE[#Data],$J61,MATCH("Uplink Port 1",SWITCH_TABLE[#Headers],0)),"")</f>
        <v/>
      </c>
      <c r="J61" s="118" t="str">
        <f t="array" ref="J61">_xlfn.IFNA(MATCH(1,(SHEET_NAME=SWITCH_TABLE[Remote Device 1])*(B61=SWITCH_TABLE[Remote Port 1]),0),"")</f>
        <v/>
      </c>
    </row>
    <row r="62" spans="1:10">
      <c r="A62" s="121">
        <f t="shared" si="2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2" t="str">
        <f t="shared" si="5"/>
        <v/>
      </c>
      <c r="E62" s="123" t="str" cm="1">
        <f t="array" ref="E62">IF($J62&lt;&gt;"",INDEX(SWITCH_TABLE[#Data],$J62,MATCH("Remote EC",SWITCH_TABLE[#Headers],0)),"")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IF($J62&lt;&gt;"",INDEX(SWITCH_TABLE[#Data],$J62,MATCH("Uplink 1 SFP",SWITCH_TABLE[#Headers],0)),"")</f>
        <v/>
      </c>
      <c r="H62" s="125" t="str">
        <f>IF($J62&lt;&gt;"",INDEX(SWITCH_TABLE[#Data],$J62,MATCH("Device Name",SWITCH_TABLE[#Headers],0)) &amp; " " &amp; INDEX(SWITCH_TABLE[#Data],$J62,MATCH("Uplink Port 1",SWITCH_TABLE[#Headers],0)),"")</f>
        <v/>
      </c>
      <c r="J62" s="118" t="str">
        <f t="array" ref="J62">_xlfn.IFNA(MATCH(1,(SHEET_NAME=SWITCH_TABLE[Remote Device 1])*(B62=SWITCH_TABLE[Remote Port 1]),0),"")</f>
        <v/>
      </c>
    </row>
    <row r="63" spans="1:10">
      <c r="A63" s="121">
        <f t="shared" si="2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2" t="str">
        <f t="shared" si="5"/>
        <v/>
      </c>
      <c r="E63" s="123" t="str" cm="1">
        <f t="array" ref="E63">IF($J63&lt;&gt;"",INDEX(SWITCH_TABLE[#Data],$J63,MATCH("Remote EC",SWITCH_TABLE[#Headers],0)),"")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IF($J63&lt;&gt;"",INDEX(SWITCH_TABLE[#Data],$J63,MATCH("Uplink 1 SFP",SWITCH_TABLE[#Headers],0)),"")</f>
        <v/>
      </c>
      <c r="H63" s="125" t="str">
        <f>IF($J63&lt;&gt;"",INDEX(SWITCH_TABLE[#Data],$J63,MATCH("Device Name",SWITCH_TABLE[#Headers],0)) &amp; " " &amp; INDEX(SWITCH_TABLE[#Data],$J63,MATCH("Uplink Port 1",SWITCH_TABLE[#Headers],0)),"")</f>
        <v/>
      </c>
      <c r="J63" s="118" t="str">
        <f t="array" ref="J63">_xlfn.IFNA(MATCH(1,(SHEET_NAME=SWITCH_TABLE[Remote Device 1])*(B63=SWITCH_TABLE[Remote Port 1]),0),"")</f>
        <v/>
      </c>
    </row>
    <row r="64" spans="1:10">
      <c r="A64" s="121">
        <f t="shared" si="2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2" t="str">
        <f t="shared" si="5"/>
        <v/>
      </c>
      <c r="E64" s="123" t="str" cm="1">
        <f t="array" ref="E64">IF($J64&lt;&gt;"",INDEX(SWITCH_TABLE[#Data],$J64,MATCH("Remote EC",SWITCH_TABLE[#Headers],0)),"")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IF($J64&lt;&gt;"",INDEX(SWITCH_TABLE[#Data],$J64,MATCH("Uplink 1 SFP",SWITCH_TABLE[#Headers],0)),"")</f>
        <v/>
      </c>
      <c r="H64" s="125" t="str">
        <f>IF($J64&lt;&gt;"",INDEX(SWITCH_TABLE[#Data],$J64,MATCH("Device Name",SWITCH_TABLE[#Headers],0)) &amp; " " &amp; INDEX(SWITCH_TABLE[#Data],$J64,MATCH("Uplink Port 1",SWITCH_TABLE[#Headers],0)),"")</f>
        <v/>
      </c>
      <c r="J64" s="118" t="str">
        <f t="array" ref="J64">_xlfn.IFNA(MATCH(1,(SHEET_NAME=SWITCH_TABLE[Remote Device 1])*(B64=SWITCH_TABLE[Remote Port 1]),0),"")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6">ROW(A68)-ROW($A$67)+$A$67</f>
        <v>1</v>
      </c>
      <c r="B68" s="116" t="str">
        <f>IF(A68&gt;$C$8,"",$D$8&amp;$C$11&amp;"/1/"&amp;A68)</f>
        <v>hu1/1/1</v>
      </c>
      <c r="C68" s="122" t="str" cm="1">
        <f t="array" ref="C68">_xlfn.IFS($B68="","",$B68=$B$79,"reserved",$B68=$B$80,"reserved",$B68=$G$11,"connect",$B68=$G$13,"connect",1=1,"disabled")</f>
        <v>disabled</v>
      </c>
      <c r="D68" s="122" t="str" cm="1">
        <f t="array" ref="D68">_xlfn.IFS($B68="","",$B68=$G$11,"TRUNK",$B68=$G$13,"TRUNK",1=1,"")</f>
        <v/>
      </c>
      <c r="E68" s="123" t="str" cm="1">
        <f t="array" ref="E68">_xlfn.IFS($B68="","",OR($B68=$G$11,$B68=$G$13),INDEX(SWITCH_TABLE[#Data],$H$3,MATCH("Local EC",SWITCH_TABLE[#Headers],0)),1=1,"")</f>
        <v/>
      </c>
      <c r="F68" s="124" t="str" cm="1">
        <f t="array" ref="F68">_xlfn.IFS($B68="","",$B68=$G$11,"Uplink Port 1",$B68=$G$13,"Uplink Port 2",$B68=$B$79,"Stack Port 1",$B68=$B$80,"Stack Port 2",1=1,"")</f>
        <v/>
      </c>
      <c r="G68" s="122" t="str" cm="1">
        <f t="array" ref="G68">_xlfn.IFS($B68="","",$B68=$G$11,$H$11,$B68=$G$13,$H$13,1=1,"")</f>
        <v/>
      </c>
      <c r="H68" s="131" t="str" cm="1">
        <f t="array" ref="H68">_xlfn.IFS($B68="","",$B68=$G$11,$G$12&amp;" "&amp;H12,$B68=$G$13,$G$14&amp;" "&amp;$H$14,1=1,"")</f>
        <v/>
      </c>
      <c r="J68" s="118" t="str">
        <f t="array" ref="J68">_xlfn.IFNA(MATCH(1,(SHEET_NAME=SWITCH_TABLE[Remote Device 1])*(B68=SWITCH_TABLE[Remote Port 1]),0),"")</f>
        <v/>
      </c>
    </row>
    <row r="69" spans="1:10">
      <c r="A69" s="121">
        <f t="shared" si="6"/>
        <v>2</v>
      </c>
      <c r="B69" s="116" t="str">
        <f t="shared" ref="B69:B75" si="7">IF(A69&lt;=$C$8,$D$8&amp;$C$11&amp;"/1/"&amp;A69,"")</f>
        <v>hu1/1/2</v>
      </c>
      <c r="C69" s="122" t="str" cm="1">
        <f t="array" ref="C69">_xlfn.IFS($B69="","",$B69=$B$79,"reserved",$B69=$B$80,"reserved",$B69=$G$11,"connect",$B69=$G$13,"connect",1=1,"disabled")</f>
        <v>disabled</v>
      </c>
      <c r="D69" s="122" t="str" cm="1">
        <f t="array" ref="D69">_xlfn.IFS($B69="","",$B69=$G$11,"TRUNK",$B69=$G$13,"TRUNK",1=1,"")</f>
        <v/>
      </c>
      <c r="E69" s="123" t="str" cm="1">
        <f t="array" ref="E69">_xlfn.IFS($B69="","",OR($B69=$G$11,$B69=$G$13),INDEX(SWITCH_TABLE[#Data],$H$3,MATCH("Local EC",SWITCH_TABLE[#Headers],0)),1=1,"")</f>
        <v/>
      </c>
      <c r="F69" s="124" t="str" cm="1">
        <f t="array" ref="F69">_xlfn.IFS($B69="","",$B69=$G$11,"Uplink Port 1",$B69=$G$13,"Uplink Port 2",$B69=$B$79,"Stack Port 1",$B69=$B$80,"Stack Port 2",1=1,"")</f>
        <v/>
      </c>
      <c r="G69" s="122" t="str" cm="1">
        <f t="array" ref="G69">_xlfn.IFS($B69="","",$B69=$G$11,$H$11,$B69=$G$13,$H$13,1=1,"")</f>
        <v/>
      </c>
      <c r="H69" s="131" t="str" cm="1">
        <f t="array" ref="H69">_xlfn.IFS($B69="","",$B69=$G$11,$G$12&amp;" "&amp;H13,$B69=$G$13,$G$14&amp;" "&amp;$H$14,1=1,"")</f>
        <v/>
      </c>
      <c r="J69" s="118" t="str">
        <f t="array" ref="J69">_xlfn.IFNA(MATCH(1,(SHEET_NAME=SWITCH_TABLE[Remote Device 1])*(B69=SWITCH_TABLE[Remote Port 1]),0),"")</f>
        <v/>
      </c>
    </row>
    <row r="70" spans="1:10">
      <c r="A70" s="121">
        <f t="shared" si="6"/>
        <v>3</v>
      </c>
      <c r="B70" s="116" t="str">
        <f t="shared" si="7"/>
        <v>hu1/1/3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18" t="str">
        <f t="array" ref="J70">_xlfn.IFNA(MATCH(1,(SHEET_NAME=SWITCH_TABLE[Remote Device 1])*(B70=SWITCH_TABLE[Remote Port 1]),0),"")</f>
        <v/>
      </c>
    </row>
    <row r="71" spans="1:10">
      <c r="A71" s="121">
        <f t="shared" si="6"/>
        <v>4</v>
      </c>
      <c r="B71" s="116" t="str">
        <f t="shared" si="7"/>
        <v>hu1/1/4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"&amp;#REF!,$B71=$G$13,$G$14&amp;" "&amp;$H$14,1=1,"")</f>
        <v/>
      </c>
      <c r="J71" s="118" t="str">
        <f t="array" ref="J71">_xlfn.IFNA(MATCH(1,(SHEET_NAME=SWITCH_TABLE[Remote Device 1])*(B71=SWITCH_TABLE[Remote Port 1]),0),"")</f>
        <v/>
      </c>
    </row>
    <row r="72" spans="1:10">
      <c r="A72" s="121">
        <f t="shared" si="6"/>
        <v>5</v>
      </c>
      <c r="B72" s="116" t="str">
        <f t="shared" si="7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18" t="str">
        <f t="array" ref="J72">_xlfn.IFNA(MATCH(1,(SHEET_NAME=SWITCH_TABLE[Remote Device 1])*(B72=SWITCH_TABLE[Remote Port 1]),0),"")</f>
        <v/>
      </c>
    </row>
    <row r="73" spans="1:10">
      <c r="A73" s="121">
        <f t="shared" si="6"/>
        <v>6</v>
      </c>
      <c r="B73" s="116" t="str">
        <f t="shared" si="7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18" t="str">
        <f t="array" ref="J73">_xlfn.IFNA(MATCH(1,(SHEET_NAME=SWITCH_TABLE[Remote Device 1])*(B73=SWITCH_TABLE[Remote Port 1]),0),"")</f>
        <v/>
      </c>
    </row>
    <row r="74" spans="1:10">
      <c r="A74" s="121">
        <f t="shared" si="6"/>
        <v>7</v>
      </c>
      <c r="B74" s="116" t="str">
        <f t="shared" si="7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18" t="str">
        <f t="array" ref="J74">_xlfn.IFNA(MATCH(1,(SHEET_NAME=SWITCH_TABLE[Remote Device 1])*(B74=SWITCH_TABLE[Remote Port 1]),0),"")</f>
        <v/>
      </c>
    </row>
    <row r="75" spans="1:10">
      <c r="A75" s="121">
        <f t="shared" si="6"/>
        <v>8</v>
      </c>
      <c r="B75" s="116" t="str">
        <f t="shared" si="7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18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hu1/0/27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FGHVLN43-2 hu2/0/28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hu1/0/28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FGHVLN43-2 hu2/0/27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550" priority="13" operator="equal">
      <formula>"reserved"</formula>
    </cfRule>
    <cfRule type="cellIs" dxfId="549" priority="14" operator="equal">
      <formula>"notconnect"</formula>
    </cfRule>
    <cfRule type="cellIs" dxfId="548" priority="15" operator="equal">
      <formula>"disabled"</formula>
    </cfRule>
    <cfRule type="cellIs" dxfId="547" priority="16" operator="equal">
      <formula>"connect"</formula>
    </cfRule>
  </conditionalFormatting>
  <conditionalFormatting sqref="C79:C80">
    <cfRule type="cellIs" dxfId="546" priority="9" operator="equal">
      <formula>"reserved"</formula>
    </cfRule>
    <cfRule type="cellIs" dxfId="545" priority="10" operator="equal">
      <formula>"notconnect"</formula>
    </cfRule>
    <cfRule type="cellIs" dxfId="544" priority="11" operator="equal">
      <formula>"disabled"</formula>
    </cfRule>
    <cfRule type="cellIs" dxfId="543" priority="12" operator="equal">
      <formula>"connect"</formula>
    </cfRule>
  </conditionalFormatting>
  <conditionalFormatting sqref="C64">
    <cfRule type="cellIs" dxfId="542" priority="5" operator="equal">
      <formula>"reserved"</formula>
    </cfRule>
    <cfRule type="cellIs" dxfId="541" priority="6" operator="equal">
      <formula>"notconnect"</formula>
    </cfRule>
    <cfRule type="cellIs" dxfId="540" priority="7" operator="equal">
      <formula>"disabled"</formula>
    </cfRule>
    <cfRule type="cellIs" dxfId="539" priority="8" operator="equal">
      <formula>"connect"</formula>
    </cfRule>
  </conditionalFormatting>
  <conditionalFormatting sqref="C17:C63">
    <cfRule type="cellIs" dxfId="538" priority="1" operator="equal">
      <formula>"reserved"</formula>
    </cfRule>
    <cfRule type="cellIs" dxfId="537" priority="2" operator="equal">
      <formula>"notconnect"</formula>
    </cfRule>
    <cfRule type="cellIs" dxfId="536" priority="3" operator="equal">
      <formula>"disabled"</formula>
    </cfRule>
    <cfRule type="cellIs" dxfId="535" priority="4" operator="equal">
      <formula>"connect"</formula>
    </cfRule>
  </conditionalFormatting>
  <dataValidations count="5">
    <dataValidation allowBlank="1" showInputMessage="1" sqref="E68:E75 E17:E64" xr:uid="{A85BBD64-7AC3-41F5-AF96-082542DBCC7E}"/>
    <dataValidation type="list" allowBlank="1" showInputMessage="1" sqref="F17:F64" xr:uid="{2613C0F1-6DE9-4D8D-8DEB-B00BAE18AE3B}">
      <formula1>SPEED_DUPLEX_LIST</formula1>
    </dataValidation>
    <dataValidation type="list" allowBlank="1" showInputMessage="1" sqref="D68:D75 D17:D64" xr:uid="{A57443EC-AA8E-491A-B1CB-73357007E472}">
      <formula1>VLAN_ID_LIST</formula1>
    </dataValidation>
    <dataValidation type="list" allowBlank="1" showInputMessage="1" sqref="C68:C75 C79:C80 C17:C64" xr:uid="{9FA8A355-A639-4DEC-8FF2-699645A24DCB}">
      <formula1>PORT_STATE_LIST</formula1>
    </dataValidation>
    <dataValidation type="list" allowBlank="1" showInputMessage="1" sqref="G68:G75 G17:G64" xr:uid="{83CE1228-BE06-45C1-9215-6B562EB9EFBF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893-8B53-4CD0-9285-6933C0B4BC1F}">
  <sheetPr codeName="Sheet25">
    <tabColor rgb="FF00B050"/>
  </sheetPr>
  <dimension ref="A1:J81"/>
  <sheetViews>
    <sheetView topLeftCell="A4" workbookViewId="0">
      <selection activeCell="G27" sqref="G27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6384" width="9" style="111"/>
  </cols>
  <sheetData>
    <row r="1" spans="1:10" ht="24" customHeight="1">
      <c r="A1" s="108" t="s">
        <v>1365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C9500-24Y4C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47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FGHVLN43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Vicar Lane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Distribution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Ground FLOOR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twe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CAT2330L6S8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hu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10.227.21.254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>WARNING: No Uplinks</v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FGHVLN43-1</v>
      </c>
      <c r="D13" s="117" t="str">
        <f>INDEX(SWITCH_TABLE[#Data],$H$3,MATCH("Next Port",SWITCH_TABLE[#Headers],0))</f>
        <v>hu1/0/28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FGHVLN43-1</v>
      </c>
      <c r="D14" s="117" t="str">
        <f>INDEX(SWITCH_TABLE[#Data],$H$3,MATCH("Prev Port",SWITCH_TABLE[#Headers],0))</f>
        <v>hu1/0/27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2582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twe2/0/1</v>
      </c>
      <c r="C17" s="122" t="str" cm="1">
        <f t="array" ref="C17">_xlfn.IFS($B17="","",$B17=$B$71,"reserved",$B17=$B$72,"reserved",$B17=$G$11,"connect",$B17=$G$13,"connect",J17&lt;&gt;"","connect",1=1,"disabled")</f>
        <v>connect</v>
      </c>
      <c r="D17" s="46" t="str">
        <f t="shared" ref="D17:D22" si="1">IF(J17&lt;&gt;"","TRUNK","")</f>
        <v>TRUNK</v>
      </c>
      <c r="E17" s="51" cm="1">
        <f t="array" ref="E17">IF($J17&lt;&gt;"",INDEX(SWITCH_TABLE[#Data],$J17,MATCH("Remote EC",SWITCH_TABLE[#Headers],0)),"")</f>
        <v>1</v>
      </c>
      <c r="F17" s="46"/>
      <c r="G17" s="46" t="str" cm="1">
        <f t="array" ref="G17">IF($J17&lt;&gt;"",INDEX(SWITCH_TABLE[#Data],$J17,MATCH("Uplink 2 SFP",SWITCH_TABLE[#Headers],0)),"")</f>
        <v>1G SFP SX</v>
      </c>
      <c r="H17" s="46" t="str">
        <f>IF($J17&lt;&gt;"",INDEX(SWITCH_TABLE[#Data],$J17,MATCH("Device Name",SWITCH_TABLE[#Headers],0)) &amp; " " &amp; INDEX(SWITCH_TABLE[#Data],$J17,MATCH("Uplink Port 2",SWITCH_TABLE[#Headers],0)),"")</f>
        <v>FGHVLN11-4 gi4/1/2</v>
      </c>
      <c r="J17" s="118">
        <f t="array" ref="J17">_xlfn.IFNA(MATCH(1,(SHEET_NAME=SWITCH_TABLE[Remote Device 2])*(B17=SWITCH_TABLE[Remote Port 2]),0),"")</f>
        <v>53</v>
      </c>
    </row>
    <row r="18" spans="1:10">
      <c r="A18" s="121">
        <f t="shared" ref="A18:A64" si="2">ROW(A18)-ROW($A$16)+$A$16</f>
        <v>2</v>
      </c>
      <c r="B18" s="116" t="str">
        <f t="shared" si="0"/>
        <v>twe2/0/2</v>
      </c>
      <c r="C18" s="122" t="str" cm="1">
        <f t="array" ref="C18">_xlfn.IFS($B18="","",$B18=$B$71,"reserved",$B18=$B$72,"reserved",$B18=$G$11,"connect",$B18=$G$13,"connect",J18&lt;&gt;"","connect",1=1,"disabled")</f>
        <v>connect</v>
      </c>
      <c r="D18" s="46" t="str">
        <f t="shared" si="1"/>
        <v>TRUNK</v>
      </c>
      <c r="E18" s="51" cm="1">
        <f t="array" ref="E18">IF($J18&lt;&gt;"",INDEX(SWITCH_TABLE[#Data],$J18,MATCH("Remote EC",SWITCH_TABLE[#Headers],0)),"")</f>
        <v>2</v>
      </c>
      <c r="F18" s="46"/>
      <c r="G18" s="46" t="str" cm="1">
        <f t="array" ref="G18">IF($J18&lt;&gt;"",INDEX(SWITCH_TABLE[#Data],$J18,MATCH("Uplink 2 SFP",SWITCH_TABLE[#Headers],0)),"")</f>
        <v>1G SFP SX</v>
      </c>
      <c r="H18" s="46" t="str">
        <f>IF($J18&lt;&gt;"",INDEX(SWITCH_TABLE[#Data],$J18,MATCH("Device Name",SWITCH_TABLE[#Headers],0)) &amp; " " &amp; INDEX(SWITCH_TABLE[#Data],$J18,MATCH("Uplink Port 2",SWITCH_TABLE[#Headers],0)),"")</f>
        <v>FGHVLN12-4 gi4/1/2</v>
      </c>
      <c r="J18" s="118">
        <f t="array" ref="J18">_xlfn.IFNA(MATCH(1,(SHEET_NAME=SWITCH_TABLE[Remote Device 2])*(B18=SWITCH_TABLE[Remote Port 2]),0),"")</f>
        <v>57</v>
      </c>
    </row>
    <row r="19" spans="1:10">
      <c r="A19" s="121">
        <f t="shared" si="2"/>
        <v>3</v>
      </c>
      <c r="B19" s="116" t="str">
        <f t="shared" si="0"/>
        <v>twe2/0/3</v>
      </c>
      <c r="C19" s="122" t="str" cm="1">
        <f t="array" ref="C19">_xlfn.IFS($B19="","",$B19=$B$71,"reserved",$B19=$B$72,"reserved",$B19=$G$11,"connect",$B19=$G$13,"connect",J19&lt;&gt;"","connect",1=1,"disabled")</f>
        <v>connect</v>
      </c>
      <c r="D19" s="46" t="str">
        <f t="shared" si="1"/>
        <v>TRUNK</v>
      </c>
      <c r="E19" s="51" cm="1">
        <f t="array" ref="E19">IF($J19&lt;&gt;"",INDEX(SWITCH_TABLE[#Data],$J19,MATCH("Remote EC",SWITCH_TABLE[#Headers],0)),"")</f>
        <v>3</v>
      </c>
      <c r="F19" s="46"/>
      <c r="G19" s="46" t="str" cm="1">
        <f t="array" ref="G19">IF($J19&lt;&gt;"",INDEX(SWITCH_TABLE[#Data],$J19,MATCH("Uplink 2 SFP",SWITCH_TABLE[#Headers],0)),"")</f>
        <v>1G SFP SX</v>
      </c>
      <c r="H19" s="46" t="str">
        <f>IF($J19&lt;&gt;"",INDEX(SWITCH_TABLE[#Data],$J19,MATCH("Device Name",SWITCH_TABLE[#Headers],0)) &amp; " " &amp; INDEX(SWITCH_TABLE[#Data],$J19,MATCH("Uplink Port 2",SWITCH_TABLE[#Headers],0)),"")</f>
        <v>FGHVLN13-4 gi4/1/2</v>
      </c>
      <c r="J19" s="118">
        <f t="array" ref="J19">_xlfn.IFNA(MATCH(1,(SHEET_NAME=SWITCH_TABLE[Remote Device 2])*(B19=SWITCH_TABLE[Remote Port 2]),0),"")</f>
        <v>61</v>
      </c>
    </row>
    <row r="20" spans="1:10">
      <c r="A20" s="121">
        <f t="shared" si="2"/>
        <v>4</v>
      </c>
      <c r="B20" s="116" t="str">
        <f t="shared" si="0"/>
        <v>twe2/0/4</v>
      </c>
      <c r="C20" s="122" t="str" cm="1">
        <f t="array" ref="C20">_xlfn.IFS($B20="","",$B20=$B$71,"reserved",$B20=$B$72,"reserved",$B20=$G$11,"connect",$B20=$G$13,"connect",J20&lt;&gt;"","connect",1=1,"disabled")</f>
        <v>connect</v>
      </c>
      <c r="D20" s="46" t="str">
        <f t="shared" si="1"/>
        <v>TRUNK</v>
      </c>
      <c r="E20" s="51" cm="1">
        <f t="array" ref="E20">IF($J20&lt;&gt;"",INDEX(SWITCH_TABLE[#Data],$J20,MATCH("Remote EC",SWITCH_TABLE[#Headers],0)),"")</f>
        <v>4</v>
      </c>
      <c r="F20" s="46"/>
      <c r="G20" s="46" t="str" cm="1">
        <f t="array" ref="G20">IF($J20&lt;&gt;"",INDEX(SWITCH_TABLE[#Data],$J20,MATCH("Uplink 2 SFP",SWITCH_TABLE[#Headers],0)),"")</f>
        <v>1G SFP SX</v>
      </c>
      <c r="H20" s="46" t="str">
        <f>IF($J20&lt;&gt;"",INDEX(SWITCH_TABLE[#Data],$J20,MATCH("Device Name",SWITCH_TABLE[#Headers],0)) &amp; " " &amp; INDEX(SWITCH_TABLE[#Data],$J20,MATCH("Uplink Port 2",SWITCH_TABLE[#Headers],0)),"")</f>
        <v>FGHVLN14-4 gi4/1/2</v>
      </c>
      <c r="J20" s="118">
        <f t="array" ref="J20">_xlfn.IFNA(MATCH(1,(SHEET_NAME=SWITCH_TABLE[Remote Device 2])*(B20=SWITCH_TABLE[Remote Port 2]),0),"")</f>
        <v>65</v>
      </c>
    </row>
    <row r="21" spans="1:10">
      <c r="A21" s="121">
        <f t="shared" si="2"/>
        <v>5</v>
      </c>
      <c r="B21" s="116" t="str">
        <f t="shared" si="0"/>
        <v>twe2/0/5</v>
      </c>
      <c r="C21" s="122" t="str" cm="1">
        <f t="array" ref="C21">_xlfn.IFS($B21="","",$B21=$B$71,"reserved",$B21=$B$72,"reserved",$B21=$G$11,"connect",$B21=$G$13,"connect",J21&lt;&gt;"","connect",1=1,"disabled")</f>
        <v>connect</v>
      </c>
      <c r="D21" s="46" t="str">
        <f t="shared" si="1"/>
        <v>TRUNK</v>
      </c>
      <c r="E21" s="51" cm="1">
        <f t="array" ref="E21">IF($J21&lt;&gt;"",INDEX(SWITCH_TABLE[#Data],$J21,MATCH("Remote EC",SWITCH_TABLE[#Headers],0)),"")</f>
        <v>5</v>
      </c>
      <c r="F21" s="46"/>
      <c r="G21" s="46" t="str" cm="1">
        <f t="array" ref="G21">IF($J21&lt;&gt;"",INDEX(SWITCH_TABLE[#Data],$J21,MATCH("Uplink 2 SFP",SWITCH_TABLE[#Headers],0)),"")</f>
        <v>1G SFP CU</v>
      </c>
      <c r="H21" s="46" t="str">
        <f>IF($J21&lt;&gt;"",INDEX(SWITCH_TABLE[#Data],$J21,MATCH("Device Name",SWITCH_TABLE[#Headers],0)) &amp; " " &amp; INDEX(SWITCH_TABLE[#Data],$J21,MATCH("Uplink Port 2",SWITCH_TABLE[#Headers],0)),"")</f>
        <v>FGHVLN15 gi1/1/2</v>
      </c>
      <c r="J21" s="118">
        <f t="array" ref="J21">_xlfn.IFNA(MATCH(1,(SHEET_NAME=SWITCH_TABLE[Remote Device 2])*(B21=SWITCH_TABLE[Remote Port 2]),0),"")</f>
        <v>66</v>
      </c>
    </row>
    <row r="22" spans="1:10">
      <c r="A22" s="121">
        <f t="shared" si="2"/>
        <v>6</v>
      </c>
      <c r="B22" s="116" t="str">
        <f t="shared" si="0"/>
        <v>twe2/0/6</v>
      </c>
      <c r="C22" s="122" t="str" cm="1">
        <f t="array" ref="C22">_xlfn.IFS($B22="","",$B22=$B$71,"reserved",$B22=$B$72,"reserved",$B22=$G$11,"connect",$B22=$G$13,"connect",J22&lt;&gt;"","connect",1=1,"disabled")</f>
        <v>connect</v>
      </c>
      <c r="D22" s="46" t="str">
        <f t="shared" si="1"/>
        <v>TRUNK</v>
      </c>
      <c r="E22" s="51" cm="1">
        <f t="array" ref="E22">IF($J22&lt;&gt;"",INDEX(SWITCH_TABLE[#Data],$J22,MATCH("Remote EC",SWITCH_TABLE[#Headers],0)),"")</f>
        <v>6</v>
      </c>
      <c r="F22" s="46"/>
      <c r="G22" s="46" t="str" cm="1">
        <f t="array" ref="G22">IF($J22&lt;&gt;"",INDEX(SWITCH_TABLE[#Data],$J22,MATCH("Uplink 2 SFP",SWITCH_TABLE[#Headers],0)),"")</f>
        <v>1G SFP CU</v>
      </c>
      <c r="H22" s="46" t="str">
        <f>IF($J22&lt;&gt;"",INDEX(SWITCH_TABLE[#Data],$J22,MATCH("Device Name",SWITCH_TABLE[#Headers],0)) &amp; " " &amp; INDEX(SWITCH_TABLE[#Data],$J22,MATCH("Uplink Port 2",SWITCH_TABLE[#Headers],0)),"")</f>
        <v>FGHVLN16 gi1/1/2</v>
      </c>
      <c r="J22" s="118">
        <f t="array" ref="J22">_xlfn.IFNA(MATCH(1,(SHEET_NAME=SWITCH_TABLE[Remote Device 2])*(B22=SWITCH_TABLE[Remote Port 2]),0),"")</f>
        <v>67</v>
      </c>
    </row>
    <row r="23" spans="1:10">
      <c r="A23" s="121">
        <f t="shared" si="2"/>
        <v>7</v>
      </c>
      <c r="B23" s="116" t="str">
        <f t="shared" si="0"/>
        <v>twe2/0/7</v>
      </c>
      <c r="C23" s="122" t="s">
        <v>2611</v>
      </c>
      <c r="D23" s="46" t="str">
        <f t="shared" ref="D23:D24" si="3">IF(J23&lt;&gt;"","TRUNK","")</f>
        <v/>
      </c>
      <c r="E23" s="51" t="str" cm="1">
        <f t="array" ref="E23">IF($J23&lt;&gt;"",INDEX(SWITCH_TABLE[#Data],$J23,MATCH("Remote EC",SWITCH_TABLE[#Headers],0)),"")</f>
        <v/>
      </c>
      <c r="F23" s="46"/>
      <c r="G23" s="46" t="str" cm="1">
        <f t="array" ref="G23">IF($J23&lt;&gt;"",INDEX(SWITCH_TABLE[#Data],$J23,MATCH("Uplink 2 SFP",SWITCH_TABLE[#Headers],0)),"")</f>
        <v/>
      </c>
      <c r="H23" s="46" t="str">
        <f>IF($J23&lt;&gt;"",INDEX(SWITCH_TABLE[#Data],$J23,MATCH("Device Name",SWITCH_TABLE[#Headers],0)) &amp; " " &amp; INDEX(SWITCH_TABLE[#Data],$J23,MATCH("Uplink Port 2",SWITCH_TABLE[#Headers],0)),"")</f>
        <v/>
      </c>
      <c r="J23" s="118" t="str">
        <f t="array" ref="J23">_xlfn.IFNA(MATCH(1,(SHEET_NAME=SWITCH_TABLE[Remote Device 2])*(B23=SWITCH_TABLE[Remote Port 2]),0),"")</f>
        <v/>
      </c>
    </row>
    <row r="24" spans="1:10">
      <c r="A24" s="121">
        <f t="shared" si="2"/>
        <v>8</v>
      </c>
      <c r="B24" s="116" t="str">
        <f t="shared" si="0"/>
        <v>twe2/0/8</v>
      </c>
      <c r="C24" s="122" t="s">
        <v>2611</v>
      </c>
      <c r="D24" s="46" t="str">
        <f t="shared" si="3"/>
        <v/>
      </c>
      <c r="E24" s="51" t="str" cm="1">
        <f t="array" ref="E24">IF($J24&lt;&gt;"",INDEX(SWITCH_TABLE[#Data],$J24,MATCH("Remote EC",SWITCH_TABLE[#Headers],0)),"")</f>
        <v/>
      </c>
      <c r="F24" s="46"/>
      <c r="G24" s="46" t="str" cm="1">
        <f t="array" ref="G24">IF($J24&lt;&gt;"",INDEX(SWITCH_TABLE[#Data],$J24,MATCH("Uplink 2 SFP",SWITCH_TABLE[#Headers],0)),"")</f>
        <v/>
      </c>
      <c r="H24" s="46" t="str">
        <f>IF($J24&lt;&gt;"",INDEX(SWITCH_TABLE[#Data],$J24,MATCH("Device Name",SWITCH_TABLE[#Headers],0)) &amp; " " &amp; INDEX(SWITCH_TABLE[#Data],$J24,MATCH("Uplink Port 2",SWITCH_TABLE[#Headers],0)),"")</f>
        <v/>
      </c>
      <c r="J24" s="118" t="str">
        <f t="array" ref="J24">_xlfn.IFNA(MATCH(1,(SHEET_NAME=SWITCH_TABLE[Remote Device 2])*(B24=SWITCH_TABLE[Remote Port 2]),0),"")</f>
        <v/>
      </c>
    </row>
    <row r="25" spans="1:10">
      <c r="A25" s="121">
        <f t="shared" si="2"/>
        <v>9</v>
      </c>
      <c r="B25" s="116" t="str">
        <f t="shared" si="0"/>
        <v>twe2/0/9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2" t="str">
        <f t="shared" ref="D25:D37" si="4">IF(J25&lt;&gt;"","TRUNK","")</f>
        <v/>
      </c>
      <c r="E25" s="123" t="str" cm="1">
        <f t="array" ref="E25">IF($J25&lt;&gt;"",INDEX(SWITCH_TABLE[#Data],$J25,MATCH("Remote EC",SWITCH_TABLE[#Headers],0)),"")</f>
        <v/>
      </c>
      <c r="F25" s="122"/>
      <c r="G25" s="122" t="str" cm="1">
        <f t="array" ref="G25">IF($J25&lt;&gt;"",INDEX(SWITCH_TABLE[#Data],$J25,MATCH("Uplink 2 SFP",SWITCH_TABLE[#Headers],0)),"")</f>
        <v/>
      </c>
      <c r="H25" s="125" t="str">
        <f>IF($J25&lt;&gt;"",INDEX(SWITCH_TABLE[#Data],$J25,MATCH("Device Name",SWITCH_TABLE[#Headers],0)) &amp; " " &amp; INDEX(SWITCH_TABLE[#Data],$J25,MATCH("Uplink Port 2",SWITCH_TABLE[#Headers],0)),"")</f>
        <v/>
      </c>
      <c r="J25" s="118" t="str">
        <f t="array" ref="J25">_xlfn.IFNA(MATCH(1,(SHEET_NAME=SWITCH_TABLE[Remote Device 2])*(B25=SWITCH_TABLE[Remote Port 2]),0),"")</f>
        <v/>
      </c>
    </row>
    <row r="26" spans="1:10">
      <c r="A26" s="121">
        <f t="shared" si="2"/>
        <v>10</v>
      </c>
      <c r="B26" s="116" t="str">
        <f t="shared" si="0"/>
        <v>twe2/0/10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2" t="str">
        <f t="shared" si="4"/>
        <v/>
      </c>
      <c r="E26" s="123" t="str" cm="1">
        <f t="array" ref="E26">IF($J26&lt;&gt;"",INDEX(SWITCH_TABLE[#Data],$J26,MATCH("Remote EC",SWITCH_TABLE[#Headers],0)),"")</f>
        <v/>
      </c>
      <c r="F26" s="122"/>
      <c r="G26" s="122" t="str" cm="1">
        <f t="array" ref="G26">IF($J26&lt;&gt;"",INDEX(SWITCH_TABLE[#Data],$J26,MATCH("Uplink 2 SFP",SWITCH_TABLE[#Headers],0)),"")</f>
        <v/>
      </c>
      <c r="H26" s="125" t="str">
        <f>IF($J26&lt;&gt;"",INDEX(SWITCH_TABLE[#Data],$J26,MATCH("Device Name",SWITCH_TABLE[#Headers],0)) &amp; " " &amp; INDEX(SWITCH_TABLE[#Data],$J26,MATCH("Uplink Port 2",SWITCH_TABLE[#Headers],0)),"")</f>
        <v/>
      </c>
      <c r="J26" s="118" t="str">
        <f t="array" ref="J26">_xlfn.IFNA(MATCH(1,(SHEET_NAME=SWITCH_TABLE[Remote Device 2])*(B26=SWITCH_TABLE[Remote Port 2]),0),"")</f>
        <v/>
      </c>
    </row>
    <row r="27" spans="1:10">
      <c r="A27" s="121">
        <f t="shared" si="2"/>
        <v>11</v>
      </c>
      <c r="B27" s="116" t="str">
        <f t="shared" si="0"/>
        <v>twe2/0/11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2" t="str">
        <f t="shared" si="4"/>
        <v/>
      </c>
      <c r="E27" s="123" t="str" cm="1">
        <f t="array" ref="E27">IF($J27&lt;&gt;"",INDEX(SWITCH_TABLE[#Data],$J27,MATCH("Remote EC",SWITCH_TABLE[#Headers],0)),"")</f>
        <v/>
      </c>
      <c r="F27" s="122"/>
      <c r="G27" s="122" t="str" cm="1">
        <f t="array" ref="G27">IF($J27&lt;&gt;"",INDEX(SWITCH_TABLE[#Data],$J27,MATCH("Uplink 2 SFP",SWITCH_TABLE[#Headers],0)),"")</f>
        <v/>
      </c>
      <c r="H27" s="125" t="str">
        <f>IF($J27&lt;&gt;"",INDEX(SWITCH_TABLE[#Data],$J27,MATCH("Device Name",SWITCH_TABLE[#Headers],0)) &amp; " " &amp; INDEX(SWITCH_TABLE[#Data],$J27,MATCH("Uplink Port 2",SWITCH_TABLE[#Headers],0)),"")</f>
        <v/>
      </c>
      <c r="J27" s="118" t="str">
        <f t="array" ref="J27">_xlfn.IFNA(MATCH(1,(SHEET_NAME=SWITCH_TABLE[Remote Device 2])*(B27=SWITCH_TABLE[Remote Port 2]),0),"")</f>
        <v/>
      </c>
    </row>
    <row r="28" spans="1:10">
      <c r="A28" s="121">
        <f t="shared" si="2"/>
        <v>12</v>
      </c>
      <c r="B28" s="116" t="str">
        <f t="shared" si="0"/>
        <v>twe2/0/12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2" t="str">
        <f t="shared" si="4"/>
        <v/>
      </c>
      <c r="E28" s="123" t="str" cm="1">
        <f t="array" ref="E28">IF($J28&lt;&gt;"",INDEX(SWITCH_TABLE[#Data],$J28,MATCH("Remote EC",SWITCH_TABLE[#Headers],0)),"")</f>
        <v/>
      </c>
      <c r="F28" s="122"/>
      <c r="G28" s="122" t="str" cm="1">
        <f t="array" ref="G28">IF($J28&lt;&gt;"",INDEX(SWITCH_TABLE[#Data],$J28,MATCH("Uplink 2 SFP",SWITCH_TABLE[#Headers],0)),"")</f>
        <v/>
      </c>
      <c r="H28" s="125" t="str">
        <f>IF($J28&lt;&gt;"",INDEX(SWITCH_TABLE[#Data],$J28,MATCH("Device Name",SWITCH_TABLE[#Headers],0)) &amp; " " &amp; INDEX(SWITCH_TABLE[#Data],$J28,MATCH("Uplink Port 2",SWITCH_TABLE[#Headers],0)),"")</f>
        <v/>
      </c>
      <c r="J28" s="118" t="str">
        <f t="array" ref="J28">_xlfn.IFNA(MATCH(1,(SHEET_NAME=SWITCH_TABLE[Remote Device 2])*(B28=SWITCH_TABLE[Remote Port 2]),0),"")</f>
        <v/>
      </c>
    </row>
    <row r="29" spans="1:10">
      <c r="A29" s="121">
        <f t="shared" si="2"/>
        <v>13</v>
      </c>
      <c r="B29" s="116" t="str">
        <f t="shared" si="0"/>
        <v>twe2/0/13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2" t="str">
        <f t="shared" si="4"/>
        <v/>
      </c>
      <c r="E29" s="123" t="str" cm="1">
        <f t="array" ref="E29">IF($J29&lt;&gt;"",INDEX(SWITCH_TABLE[#Data],$J29,MATCH("Remote EC",SWITCH_TABLE[#Headers],0)),"")</f>
        <v/>
      </c>
      <c r="F29" s="122"/>
      <c r="G29" s="122" t="str" cm="1">
        <f t="array" ref="G29">IF($J29&lt;&gt;"",INDEX(SWITCH_TABLE[#Data],$J29,MATCH("Uplink 2 SFP",SWITCH_TABLE[#Headers],0)),"")</f>
        <v/>
      </c>
      <c r="H29" s="125" t="str">
        <f>IF($J29&lt;&gt;"",INDEX(SWITCH_TABLE[#Data],$J29,MATCH("Device Name",SWITCH_TABLE[#Headers],0)) &amp; " " &amp; INDEX(SWITCH_TABLE[#Data],$J29,MATCH("Uplink Port 2",SWITCH_TABLE[#Headers],0)),"")</f>
        <v/>
      </c>
      <c r="J29" s="118" t="str">
        <f t="array" ref="J29">_xlfn.IFNA(MATCH(1,(SHEET_NAME=SWITCH_TABLE[Remote Device 2])*(B29=SWITCH_TABLE[Remote Port 2]),0),"")</f>
        <v/>
      </c>
    </row>
    <row r="30" spans="1:10">
      <c r="A30" s="121">
        <f t="shared" si="2"/>
        <v>14</v>
      </c>
      <c r="B30" s="116" t="str">
        <f t="shared" si="0"/>
        <v>twe2/0/14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2" t="str">
        <f t="shared" si="4"/>
        <v/>
      </c>
      <c r="E30" s="123" t="str" cm="1">
        <f t="array" ref="E30">IF($J30&lt;&gt;"",INDEX(SWITCH_TABLE[#Data],$J30,MATCH("Remote EC",SWITCH_TABLE[#Headers],0)),"")</f>
        <v/>
      </c>
      <c r="F30" s="122"/>
      <c r="G30" s="122" t="str" cm="1">
        <f t="array" ref="G30">IF($J30&lt;&gt;"",INDEX(SWITCH_TABLE[#Data],$J30,MATCH("Uplink 2 SFP",SWITCH_TABLE[#Headers],0)),"")</f>
        <v/>
      </c>
      <c r="H30" s="125" t="str">
        <f>IF($J30&lt;&gt;"",INDEX(SWITCH_TABLE[#Data],$J30,MATCH("Device Name",SWITCH_TABLE[#Headers],0)) &amp; " " &amp; INDEX(SWITCH_TABLE[#Data],$J30,MATCH("Uplink Port 2",SWITCH_TABLE[#Headers],0)),"")</f>
        <v/>
      </c>
      <c r="J30" s="118" t="str">
        <f t="array" ref="J30">_xlfn.IFNA(MATCH(1,(SHEET_NAME=SWITCH_TABLE[Remote Device 2])*(B30=SWITCH_TABLE[Remote Port 2]),0),"")</f>
        <v/>
      </c>
    </row>
    <row r="31" spans="1:10">
      <c r="A31" s="121">
        <f t="shared" si="2"/>
        <v>15</v>
      </c>
      <c r="B31" s="116" t="str">
        <f t="shared" si="0"/>
        <v>twe2/0/15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2" t="str">
        <f t="shared" si="4"/>
        <v/>
      </c>
      <c r="E31" s="123" t="str" cm="1">
        <f t="array" ref="E31">IF($J31&lt;&gt;"",INDEX(SWITCH_TABLE[#Data],$J31,MATCH("Remote EC",SWITCH_TABLE[#Headers],0)),"")</f>
        <v/>
      </c>
      <c r="F31" s="122"/>
      <c r="G31" s="122" t="str" cm="1">
        <f t="array" ref="G31">IF($J31&lt;&gt;"",INDEX(SWITCH_TABLE[#Data],$J31,MATCH("Uplink 2 SFP",SWITCH_TABLE[#Headers],0)),"")</f>
        <v/>
      </c>
      <c r="H31" s="125" t="str">
        <f>IF($J31&lt;&gt;"",INDEX(SWITCH_TABLE[#Data],$J31,MATCH("Device Name",SWITCH_TABLE[#Headers],0)) &amp; " " &amp; INDEX(SWITCH_TABLE[#Data],$J31,MATCH("Uplink Port 2",SWITCH_TABLE[#Headers],0)),"")</f>
        <v/>
      </c>
      <c r="J31" s="118" t="str">
        <f t="array" ref="J31">_xlfn.IFNA(MATCH(1,(SHEET_NAME=SWITCH_TABLE[Remote Device 2])*(B31=SWITCH_TABLE[Remote Port 2]),0),"")</f>
        <v/>
      </c>
    </row>
    <row r="32" spans="1:10">
      <c r="A32" s="121">
        <f t="shared" si="2"/>
        <v>16</v>
      </c>
      <c r="B32" s="116" t="str">
        <f t="shared" si="0"/>
        <v>twe2/0/16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2" t="str">
        <f t="shared" si="4"/>
        <v/>
      </c>
      <c r="E32" s="123" t="str" cm="1">
        <f t="array" ref="E32">IF($J32&lt;&gt;"",INDEX(SWITCH_TABLE[#Data],$J32,MATCH("Remote EC",SWITCH_TABLE[#Headers],0)),"")</f>
        <v/>
      </c>
      <c r="F32" s="122"/>
      <c r="G32" s="122" t="str" cm="1">
        <f t="array" ref="G32">IF($J32&lt;&gt;"",INDEX(SWITCH_TABLE[#Data],$J32,MATCH("Uplink 2 SFP",SWITCH_TABLE[#Headers],0)),"")</f>
        <v/>
      </c>
      <c r="H32" s="125" t="str">
        <f>IF($J32&lt;&gt;"",INDEX(SWITCH_TABLE[#Data],$J32,MATCH("Device Name",SWITCH_TABLE[#Headers],0)) &amp; " " &amp; INDEX(SWITCH_TABLE[#Data],$J32,MATCH("Uplink Port 2",SWITCH_TABLE[#Headers],0)),"")</f>
        <v/>
      </c>
      <c r="J32" s="118" t="str">
        <f t="array" ref="J32">_xlfn.IFNA(MATCH(1,(SHEET_NAME=SWITCH_TABLE[Remote Device 2])*(B32=SWITCH_TABLE[Remote Port 2]),0),"")</f>
        <v/>
      </c>
    </row>
    <row r="33" spans="1:10">
      <c r="A33" s="121">
        <f t="shared" si="2"/>
        <v>17</v>
      </c>
      <c r="B33" s="116" t="str">
        <f t="shared" si="0"/>
        <v>twe2/0/17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2" t="str">
        <f t="shared" si="4"/>
        <v/>
      </c>
      <c r="E33" s="123" t="str" cm="1">
        <f t="array" ref="E33">IF($J33&lt;&gt;"",INDEX(SWITCH_TABLE[#Data],$J33,MATCH("Remote EC",SWITCH_TABLE[#Headers],0)),"")</f>
        <v/>
      </c>
      <c r="F33" s="122"/>
      <c r="G33" s="122" t="str" cm="1">
        <f t="array" ref="G33">IF($J33&lt;&gt;"",INDEX(SWITCH_TABLE[#Data],$J33,MATCH("Uplink 2 SFP",SWITCH_TABLE[#Headers],0)),"")</f>
        <v/>
      </c>
      <c r="H33" s="125" t="str">
        <f>IF($J33&lt;&gt;"",INDEX(SWITCH_TABLE[#Data],$J33,MATCH("Device Name",SWITCH_TABLE[#Headers],0)) &amp; " " &amp; INDEX(SWITCH_TABLE[#Data],$J33,MATCH("Uplink Port 2",SWITCH_TABLE[#Headers],0)),"")</f>
        <v/>
      </c>
      <c r="J33" s="118" t="str">
        <f t="array" ref="J33">_xlfn.IFNA(MATCH(1,(SHEET_NAME=SWITCH_TABLE[Remote Device 2])*(B33=SWITCH_TABLE[Remote Port 2]),0),"")</f>
        <v/>
      </c>
    </row>
    <row r="34" spans="1:10">
      <c r="A34" s="121">
        <f t="shared" si="2"/>
        <v>18</v>
      </c>
      <c r="B34" s="116" t="str">
        <f t="shared" si="0"/>
        <v>twe2/0/18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2" t="str">
        <f t="shared" si="4"/>
        <v/>
      </c>
      <c r="E34" s="123" t="str" cm="1">
        <f t="array" ref="E34">IF($J34&lt;&gt;"",INDEX(SWITCH_TABLE[#Data],$J34,MATCH("Remote EC",SWITCH_TABLE[#Headers],0)),"")</f>
        <v/>
      </c>
      <c r="F34" s="122"/>
      <c r="G34" s="122" t="str" cm="1">
        <f t="array" ref="G34">IF($J34&lt;&gt;"",INDEX(SWITCH_TABLE[#Data],$J34,MATCH("Uplink 2 SFP",SWITCH_TABLE[#Headers],0)),"")</f>
        <v/>
      </c>
      <c r="H34" s="125" t="str">
        <f>IF($J34&lt;&gt;"",INDEX(SWITCH_TABLE[#Data],$J34,MATCH("Device Name",SWITCH_TABLE[#Headers],0)) &amp; " " &amp; INDEX(SWITCH_TABLE[#Data],$J34,MATCH("Uplink Port 2",SWITCH_TABLE[#Headers],0)),"")</f>
        <v/>
      </c>
      <c r="J34" s="118" t="str">
        <f t="array" ref="J34">_xlfn.IFNA(MATCH(1,(SHEET_NAME=SWITCH_TABLE[Remote Device 2])*(B34=SWITCH_TABLE[Remote Port 2]),0),"")</f>
        <v/>
      </c>
    </row>
    <row r="35" spans="1:10">
      <c r="A35" s="121">
        <f t="shared" si="2"/>
        <v>19</v>
      </c>
      <c r="B35" s="116" t="str">
        <f t="shared" si="0"/>
        <v>twe2/0/19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2" t="str">
        <f t="shared" si="4"/>
        <v/>
      </c>
      <c r="E35" s="123" t="str" cm="1">
        <f t="array" ref="E35">IF($J35&lt;&gt;"",INDEX(SWITCH_TABLE[#Data],$J35,MATCH("Remote EC",SWITCH_TABLE[#Headers],0)),"")</f>
        <v/>
      </c>
      <c r="F35" s="122"/>
      <c r="G35" s="122" t="str" cm="1">
        <f t="array" ref="G35">IF($J35&lt;&gt;"",INDEX(SWITCH_TABLE[#Data],$J35,MATCH("Uplink 2 SFP",SWITCH_TABLE[#Headers],0)),"")</f>
        <v/>
      </c>
      <c r="H35" s="125" t="str">
        <f>IF($J35&lt;&gt;"",INDEX(SWITCH_TABLE[#Data],$J35,MATCH("Device Name",SWITCH_TABLE[#Headers],0)) &amp; " " &amp; INDEX(SWITCH_TABLE[#Data],$J35,MATCH("Uplink Port 2",SWITCH_TABLE[#Headers],0)),"")</f>
        <v/>
      </c>
      <c r="J35" s="118" t="str">
        <f t="array" ref="J35">_xlfn.IFNA(MATCH(1,(SHEET_NAME=SWITCH_TABLE[Remote Device 2])*(B35=SWITCH_TABLE[Remote Port 2]),0),"")</f>
        <v/>
      </c>
    </row>
    <row r="36" spans="1:10">
      <c r="A36" s="121">
        <f t="shared" si="2"/>
        <v>20</v>
      </c>
      <c r="B36" s="116" t="str">
        <f t="shared" si="0"/>
        <v>twe2/0/20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2" t="str">
        <f t="shared" si="4"/>
        <v/>
      </c>
      <c r="E36" s="123" t="str" cm="1">
        <f t="array" ref="E36">IF($J36&lt;&gt;"",INDEX(SWITCH_TABLE[#Data],$J36,MATCH("Remote EC",SWITCH_TABLE[#Headers],0)),"")</f>
        <v/>
      </c>
      <c r="F36" s="122"/>
      <c r="G36" s="122" t="str" cm="1">
        <f t="array" ref="G36">IF($J36&lt;&gt;"",INDEX(SWITCH_TABLE[#Data],$J36,MATCH("Uplink 2 SFP",SWITCH_TABLE[#Headers],0)),"")</f>
        <v/>
      </c>
      <c r="H36" s="125" t="str">
        <f>IF($J36&lt;&gt;"",INDEX(SWITCH_TABLE[#Data],$J36,MATCH("Device Name",SWITCH_TABLE[#Headers],0)) &amp; " " &amp; INDEX(SWITCH_TABLE[#Data],$J36,MATCH("Uplink Port 2",SWITCH_TABLE[#Headers],0)),"")</f>
        <v/>
      </c>
      <c r="J36" s="118" t="str">
        <f t="array" ref="J36">_xlfn.IFNA(MATCH(1,(SHEET_NAME=SWITCH_TABLE[Remote Device 2])*(B36=SWITCH_TABLE[Remote Port 2]),0),"")</f>
        <v/>
      </c>
    </row>
    <row r="37" spans="1:10">
      <c r="A37" s="121">
        <f t="shared" si="2"/>
        <v>21</v>
      </c>
      <c r="B37" s="116" t="str">
        <f t="shared" si="0"/>
        <v>twe2/0/21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2" t="str">
        <f t="shared" si="4"/>
        <v/>
      </c>
      <c r="E37" s="123" t="str" cm="1">
        <f t="array" ref="E37">IF($J37&lt;&gt;"",INDEX(SWITCH_TABLE[#Data],$J37,MATCH("Remote EC",SWITCH_TABLE[#Headers],0)),"")</f>
        <v/>
      </c>
      <c r="F37" s="122"/>
      <c r="G37" s="122" t="str" cm="1">
        <f t="array" ref="G37">IF($J37&lt;&gt;"",INDEX(SWITCH_TABLE[#Data],$J37,MATCH("Uplink 2 SFP",SWITCH_TABLE[#Headers],0)),"")</f>
        <v/>
      </c>
      <c r="H37" s="125" t="str">
        <f>IF($J37&lt;&gt;"",INDEX(SWITCH_TABLE[#Data],$J37,MATCH("Device Name",SWITCH_TABLE[#Headers],0)) &amp; " " &amp; INDEX(SWITCH_TABLE[#Data],$J37,MATCH("Uplink Port 2",SWITCH_TABLE[#Headers],0)),"")</f>
        <v/>
      </c>
      <c r="J37" s="118" t="str">
        <f t="array" ref="J37">_xlfn.IFNA(MATCH(1,(SHEET_NAME=SWITCH_TABLE[Remote Device 2])*(B37=SWITCH_TABLE[Remote Port 2]),0),"")</f>
        <v/>
      </c>
    </row>
    <row r="38" spans="1:10">
      <c r="A38" s="121">
        <f t="shared" si="2"/>
        <v>22</v>
      </c>
      <c r="B38" s="116" t="str">
        <f t="shared" si="0"/>
        <v>twe2/0/22</v>
      </c>
      <c r="C38" s="122" t="s">
        <v>2608</v>
      </c>
      <c r="D38" s="122">
        <v>3128</v>
      </c>
      <c r="E38" s="123" t="str" cm="1">
        <f t="array" ref="E38">IF($J38&lt;&gt;"",INDEX(SWITCH_TABLE[#Data],$J38,MATCH("Remote EC",SWITCH_TABLE[#Headers],0)),"")</f>
        <v/>
      </c>
      <c r="F38" s="122">
        <v>1000</v>
      </c>
      <c r="G38" s="122" t="s">
        <v>1931</v>
      </c>
      <c r="H38" s="125" t="s">
        <v>2757</v>
      </c>
      <c r="J38" s="118" t="str">
        <f t="array" ref="J38">_xlfn.IFNA(MATCH(1,(SHEET_NAME=SWITCH_TABLE[Remote Device 2])*(B38=SWITCH_TABLE[Remote Port 2]),0),"")</f>
        <v/>
      </c>
    </row>
    <row r="39" spans="1:10">
      <c r="A39" s="121">
        <f t="shared" si="2"/>
        <v>23</v>
      </c>
      <c r="B39" s="116" t="str">
        <f t="shared" si="0"/>
        <v>twe2/0/23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2" t="str">
        <f t="shared" ref="D39:D64" si="5">IF(J39&lt;&gt;"","TRUNK","")</f>
        <v/>
      </c>
      <c r="E39" s="123" t="str" cm="1">
        <f t="array" ref="E39">IF($J39&lt;&gt;"",INDEX(SWITCH_TABLE[#Data],$J39,MATCH("Remote EC",SWITCH_TABLE[#Headers],0)),"")</f>
        <v/>
      </c>
      <c r="F39" s="122"/>
      <c r="G39" s="122" t="str" cm="1">
        <f t="array" ref="G39">IF($J39&lt;&gt;"",INDEX(SWITCH_TABLE[#Data],$J39,MATCH("Uplink 2 SFP",SWITCH_TABLE[#Headers],0)),"")</f>
        <v/>
      </c>
      <c r="H39" s="125" t="str">
        <f>IF($J39&lt;&gt;"",INDEX(SWITCH_TABLE[#Data],$J39,MATCH("Device Name",SWITCH_TABLE[#Headers],0)) &amp; " " &amp; INDEX(SWITCH_TABLE[#Data],$J39,MATCH("Uplink Port 2",SWITCH_TABLE[#Headers],0)),"")</f>
        <v/>
      </c>
      <c r="J39" s="118" t="str">
        <f t="array" ref="J39">_xlfn.IFNA(MATCH(1,(SHEET_NAME=SWITCH_TABLE[Remote Device 2])*(B39=SWITCH_TABLE[Remote Port 2]),0),"")</f>
        <v/>
      </c>
    </row>
    <row r="40" spans="1:10">
      <c r="A40" s="121">
        <f t="shared" si="2"/>
        <v>24</v>
      </c>
      <c r="B40" s="116" t="str">
        <f t="shared" si="0"/>
        <v>twe2/0/24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2" t="str">
        <f t="shared" si="5"/>
        <v/>
      </c>
      <c r="E40" s="123" t="str" cm="1">
        <f t="array" ref="E40">IF($J40&lt;&gt;"",INDEX(SWITCH_TABLE[#Data],$J40,MATCH("Remote EC",SWITCH_TABLE[#Headers],0)),"")</f>
        <v/>
      </c>
      <c r="F40" s="122"/>
      <c r="G40" s="122" t="str" cm="1">
        <f t="array" ref="G40">IF($J40&lt;&gt;"",INDEX(SWITCH_TABLE[#Data],$J40,MATCH("Uplink 2 SFP",SWITCH_TABLE[#Headers],0)),"")</f>
        <v/>
      </c>
      <c r="H40" s="125" t="str">
        <f>IF($J40&lt;&gt;"",INDEX(SWITCH_TABLE[#Data],$J40,MATCH("Device Name",SWITCH_TABLE[#Headers],0)) &amp; " " &amp; INDEX(SWITCH_TABLE[#Data],$J40,MATCH("Uplink Port 2",SWITCH_TABLE[#Headers],0)),"")</f>
        <v/>
      </c>
      <c r="J40" s="118" t="str">
        <f t="array" ref="J40">_xlfn.IFNA(MATCH(1,(SHEET_NAME=SWITCH_TABLE[Remote Device 2])*(B40=SWITCH_TABLE[Remote Port 2]),0),"")</f>
        <v/>
      </c>
    </row>
    <row r="41" spans="1:10">
      <c r="A41" s="121">
        <f t="shared" si="2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2" t="str">
        <f t="shared" si="5"/>
        <v/>
      </c>
      <c r="E41" s="123" t="str" cm="1">
        <f t="array" ref="E41">IF($J41&lt;&gt;"",INDEX(SWITCH_TABLE[#Data],$J41,MATCH("Remote EC",SWITCH_TABLE[#Headers],0)),"")</f>
        <v/>
      </c>
      <c r="F41" s="122"/>
      <c r="G41" s="122" t="str" cm="1">
        <f t="array" ref="G41">IF($J41&lt;&gt;"",INDEX(SWITCH_TABLE[#Data],$J41,MATCH("Uplink 2 SFP",SWITCH_TABLE[#Headers],0)),"")</f>
        <v/>
      </c>
      <c r="H41" s="125" t="str">
        <f>IF($J41&lt;&gt;"",INDEX(SWITCH_TABLE[#Data],$J41,MATCH("Device Name",SWITCH_TABLE[#Headers],0)) &amp; " " &amp; INDEX(SWITCH_TABLE[#Data],$J41,MATCH("Uplink Port 2",SWITCH_TABLE[#Headers],0)),"")</f>
        <v/>
      </c>
      <c r="J41" s="118" t="str">
        <f t="array" ref="J41">_xlfn.IFNA(MATCH(1,(SHEET_NAME=SWITCH_TABLE[Remote Device 2])*(B41=SWITCH_TABLE[Remote Port 2]),0),"")</f>
        <v/>
      </c>
    </row>
    <row r="42" spans="1:10">
      <c r="A42" s="121">
        <f t="shared" si="2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2" t="str">
        <f t="shared" si="5"/>
        <v/>
      </c>
      <c r="E42" s="123" t="str" cm="1">
        <f t="array" ref="E42">IF($J42&lt;&gt;"",INDEX(SWITCH_TABLE[#Data],$J42,MATCH("Remote EC",SWITCH_TABLE[#Headers],0)),"")</f>
        <v/>
      </c>
      <c r="F42" s="122"/>
      <c r="G42" s="122" t="str" cm="1">
        <f t="array" ref="G42">IF($J42&lt;&gt;"",INDEX(SWITCH_TABLE[#Data],$J42,MATCH("Uplink 2 SFP",SWITCH_TABLE[#Headers],0)),"")</f>
        <v/>
      </c>
      <c r="H42" s="125" t="str">
        <f>IF($J42&lt;&gt;"",INDEX(SWITCH_TABLE[#Data],$J42,MATCH("Device Name",SWITCH_TABLE[#Headers],0)) &amp; " " &amp; INDEX(SWITCH_TABLE[#Data],$J42,MATCH("Uplink Port 2",SWITCH_TABLE[#Headers],0)),"")</f>
        <v/>
      </c>
      <c r="J42" s="118" t="str">
        <f t="array" ref="J42">_xlfn.IFNA(MATCH(1,(SHEET_NAME=SWITCH_TABLE[Remote Device 2])*(B42=SWITCH_TABLE[Remote Port 2]),0),"")</f>
        <v/>
      </c>
    </row>
    <row r="43" spans="1:10">
      <c r="A43" s="121">
        <f t="shared" si="2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2" t="str">
        <f t="shared" si="5"/>
        <v/>
      </c>
      <c r="E43" s="123" t="str" cm="1">
        <f t="array" ref="E43">IF($J43&lt;&gt;"",INDEX(SWITCH_TABLE[#Data],$J43,MATCH("Remote EC",SWITCH_TABLE[#Headers],0)),"")</f>
        <v/>
      </c>
      <c r="F43" s="122"/>
      <c r="G43" s="122" t="str" cm="1">
        <f t="array" ref="G43">IF($J43&lt;&gt;"",INDEX(SWITCH_TABLE[#Data],$J43,MATCH("Uplink 2 SFP",SWITCH_TABLE[#Headers],0)),"")</f>
        <v/>
      </c>
      <c r="H43" s="125" t="str">
        <f>IF($J43&lt;&gt;"",INDEX(SWITCH_TABLE[#Data],$J43,MATCH("Device Name",SWITCH_TABLE[#Headers],0)) &amp; " " &amp; INDEX(SWITCH_TABLE[#Data],$J43,MATCH("Uplink Port 2",SWITCH_TABLE[#Headers],0)),"")</f>
        <v/>
      </c>
      <c r="J43" s="118" t="str">
        <f t="array" ref="J43">_xlfn.IFNA(MATCH(1,(SHEET_NAME=SWITCH_TABLE[Remote Device 2])*(B43=SWITCH_TABLE[Remote Port 2]),0),"")</f>
        <v/>
      </c>
    </row>
    <row r="44" spans="1:10">
      <c r="A44" s="121">
        <f t="shared" si="2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2" t="str">
        <f t="shared" si="5"/>
        <v/>
      </c>
      <c r="E44" s="123" t="str" cm="1">
        <f t="array" ref="E44">IF($J44&lt;&gt;"",INDEX(SWITCH_TABLE[#Data],$J44,MATCH("Remote EC",SWITCH_TABLE[#Headers],0)),"")</f>
        <v/>
      </c>
      <c r="F44" s="122"/>
      <c r="G44" s="122" t="str" cm="1">
        <f t="array" ref="G44">IF($J44&lt;&gt;"",INDEX(SWITCH_TABLE[#Data],$J44,MATCH("Uplink 2 SFP",SWITCH_TABLE[#Headers],0)),"")</f>
        <v/>
      </c>
      <c r="H44" s="125" t="str">
        <f>IF($J44&lt;&gt;"",INDEX(SWITCH_TABLE[#Data],$J44,MATCH("Device Name",SWITCH_TABLE[#Headers],0)) &amp; " " &amp; INDEX(SWITCH_TABLE[#Data],$J44,MATCH("Uplink Port 2",SWITCH_TABLE[#Headers],0)),"")</f>
        <v/>
      </c>
      <c r="J44" s="118" t="str">
        <f t="array" ref="J44">_xlfn.IFNA(MATCH(1,(SHEET_NAME=SWITCH_TABLE[Remote Device 2])*(B44=SWITCH_TABLE[Remote Port 2]),0),"")</f>
        <v/>
      </c>
    </row>
    <row r="45" spans="1:10">
      <c r="A45" s="121">
        <f t="shared" si="2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2" t="str">
        <f t="shared" si="5"/>
        <v/>
      </c>
      <c r="E45" s="123" t="str" cm="1">
        <f t="array" ref="E45">IF($J45&lt;&gt;"",INDEX(SWITCH_TABLE[#Data],$J45,MATCH("Remote EC",SWITCH_TABLE[#Headers],0)),"")</f>
        <v/>
      </c>
      <c r="F45" s="122"/>
      <c r="G45" s="122" t="str" cm="1">
        <f t="array" ref="G45">IF($J45&lt;&gt;"",INDEX(SWITCH_TABLE[#Data],$J45,MATCH("Uplink 2 SFP",SWITCH_TABLE[#Headers],0)),"")</f>
        <v/>
      </c>
      <c r="H45" s="125" t="str">
        <f>IF($J45&lt;&gt;"",INDEX(SWITCH_TABLE[#Data],$J45,MATCH("Device Name",SWITCH_TABLE[#Headers],0)) &amp; " " &amp; INDEX(SWITCH_TABLE[#Data],$J45,MATCH("Uplink Port 2",SWITCH_TABLE[#Headers],0)),"")</f>
        <v/>
      </c>
      <c r="J45" s="118" t="str">
        <f t="array" ref="J45">_xlfn.IFNA(MATCH(1,(SHEET_NAME=SWITCH_TABLE[Remote Device 2])*(B45=SWITCH_TABLE[Remote Port 2]),0),"")</f>
        <v/>
      </c>
    </row>
    <row r="46" spans="1:10">
      <c r="A46" s="121">
        <f t="shared" si="2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2" t="str">
        <f t="shared" si="5"/>
        <v/>
      </c>
      <c r="E46" s="123" t="str" cm="1">
        <f t="array" ref="E46">IF($J46&lt;&gt;"",INDEX(SWITCH_TABLE[#Data],$J46,MATCH("Remote EC",SWITCH_TABLE[#Headers],0)),"")</f>
        <v/>
      </c>
      <c r="F46" s="122"/>
      <c r="G46" s="122" t="str" cm="1">
        <f t="array" ref="G46">IF($J46&lt;&gt;"",INDEX(SWITCH_TABLE[#Data],$J46,MATCH("Uplink 2 SFP",SWITCH_TABLE[#Headers],0)),"")</f>
        <v/>
      </c>
      <c r="H46" s="125" t="str">
        <f>IF($J46&lt;&gt;"",INDEX(SWITCH_TABLE[#Data],$J46,MATCH("Device Name",SWITCH_TABLE[#Headers],0)) &amp; " " &amp; INDEX(SWITCH_TABLE[#Data],$J46,MATCH("Uplink Port 2",SWITCH_TABLE[#Headers],0)),"")</f>
        <v/>
      </c>
      <c r="J46" s="118" t="str">
        <f t="array" ref="J46">_xlfn.IFNA(MATCH(1,(SHEET_NAME=SWITCH_TABLE[Remote Device 2])*(B46=SWITCH_TABLE[Remote Port 2]),0),"")</f>
        <v/>
      </c>
    </row>
    <row r="47" spans="1:10">
      <c r="A47" s="121">
        <f t="shared" si="2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2" t="str">
        <f t="shared" si="5"/>
        <v/>
      </c>
      <c r="E47" s="123" t="str" cm="1">
        <f t="array" ref="E47">IF($J47&lt;&gt;"",INDEX(SWITCH_TABLE[#Data],$J47,MATCH("Remote EC",SWITCH_TABLE[#Headers],0)),"")</f>
        <v/>
      </c>
      <c r="F47" s="122"/>
      <c r="G47" s="122" t="str" cm="1">
        <f t="array" ref="G47">IF($J47&lt;&gt;"",INDEX(SWITCH_TABLE[#Data],$J47,MATCH("Uplink 2 SFP",SWITCH_TABLE[#Headers],0)),"")</f>
        <v/>
      </c>
      <c r="H47" s="125" t="str">
        <f>IF($J47&lt;&gt;"",INDEX(SWITCH_TABLE[#Data],$J47,MATCH("Device Name",SWITCH_TABLE[#Headers],0)) &amp; " " &amp; INDEX(SWITCH_TABLE[#Data],$J47,MATCH("Uplink Port 2",SWITCH_TABLE[#Headers],0)),"")</f>
        <v/>
      </c>
      <c r="J47" s="118" t="str">
        <f t="array" ref="J47">_xlfn.IFNA(MATCH(1,(SHEET_NAME=SWITCH_TABLE[Remote Device 2])*(B47=SWITCH_TABLE[Remote Port 2]),0),"")</f>
        <v/>
      </c>
    </row>
    <row r="48" spans="1:10">
      <c r="A48" s="121">
        <f t="shared" si="2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2" t="str">
        <f t="shared" si="5"/>
        <v/>
      </c>
      <c r="E48" s="123" t="str" cm="1">
        <f t="array" ref="E48">IF($J48&lt;&gt;"",INDEX(SWITCH_TABLE[#Data],$J48,MATCH("Remote EC",SWITCH_TABLE[#Headers],0)),"")</f>
        <v/>
      </c>
      <c r="F48" s="122"/>
      <c r="G48" s="122" t="str" cm="1">
        <f t="array" ref="G48">IF($J48&lt;&gt;"",INDEX(SWITCH_TABLE[#Data],$J48,MATCH("Uplink 2 SFP",SWITCH_TABLE[#Headers],0)),"")</f>
        <v/>
      </c>
      <c r="H48" s="125" t="str">
        <f>IF($J48&lt;&gt;"",INDEX(SWITCH_TABLE[#Data],$J48,MATCH("Device Name",SWITCH_TABLE[#Headers],0)) &amp; " " &amp; INDEX(SWITCH_TABLE[#Data],$J48,MATCH("Uplink Port 2",SWITCH_TABLE[#Headers],0)),"")</f>
        <v/>
      </c>
      <c r="J48" s="118" t="str">
        <f t="array" ref="J48">_xlfn.IFNA(MATCH(1,(SHEET_NAME=SWITCH_TABLE[Remote Device 2])*(B48=SWITCH_TABLE[Remote Port 2]),0),"")</f>
        <v/>
      </c>
    </row>
    <row r="49" spans="1:10">
      <c r="A49" s="121">
        <f t="shared" si="2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2" t="str">
        <f t="shared" si="5"/>
        <v/>
      </c>
      <c r="E49" s="123" t="str" cm="1">
        <f t="array" ref="E49">IF($J49&lt;&gt;"",INDEX(SWITCH_TABLE[#Data],$J49,MATCH("Remote EC",SWITCH_TABLE[#Headers],0)),"")</f>
        <v/>
      </c>
      <c r="F49" s="122"/>
      <c r="G49" s="122" t="str" cm="1">
        <f t="array" ref="G49">IF($J49&lt;&gt;"",INDEX(SWITCH_TABLE[#Data],$J49,MATCH("Uplink 2 SFP",SWITCH_TABLE[#Headers],0)),"")</f>
        <v/>
      </c>
      <c r="H49" s="125" t="str">
        <f>IF($J49&lt;&gt;"",INDEX(SWITCH_TABLE[#Data],$J49,MATCH("Device Name",SWITCH_TABLE[#Headers],0)) &amp; " " &amp; INDEX(SWITCH_TABLE[#Data],$J49,MATCH("Uplink Port 2",SWITCH_TABLE[#Headers],0)),"")</f>
        <v/>
      </c>
      <c r="J49" s="118" t="str">
        <f t="array" ref="J49">_xlfn.IFNA(MATCH(1,(SHEET_NAME=SWITCH_TABLE[Remote Device 2])*(B49=SWITCH_TABLE[Remote Port 2]),0),"")</f>
        <v/>
      </c>
    </row>
    <row r="50" spans="1:10">
      <c r="A50" s="121">
        <f t="shared" si="2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2" t="str">
        <f t="shared" si="5"/>
        <v/>
      </c>
      <c r="E50" s="123" t="str" cm="1">
        <f t="array" ref="E50">IF($J50&lt;&gt;"",INDEX(SWITCH_TABLE[#Data],$J50,MATCH("Remote EC",SWITCH_TABLE[#Headers],0)),"")</f>
        <v/>
      </c>
      <c r="F50" s="122"/>
      <c r="G50" s="122" t="str" cm="1">
        <f t="array" ref="G50">IF($J50&lt;&gt;"",INDEX(SWITCH_TABLE[#Data],$J50,MATCH("Uplink 2 SFP",SWITCH_TABLE[#Headers],0)),"")</f>
        <v/>
      </c>
      <c r="H50" s="125" t="str">
        <f>IF($J50&lt;&gt;"",INDEX(SWITCH_TABLE[#Data],$J50,MATCH("Device Name",SWITCH_TABLE[#Headers],0)) &amp; " " &amp; INDEX(SWITCH_TABLE[#Data],$J50,MATCH("Uplink Port 2",SWITCH_TABLE[#Headers],0)),"")</f>
        <v/>
      </c>
      <c r="J50" s="118" t="str">
        <f t="array" ref="J50">_xlfn.IFNA(MATCH(1,(SHEET_NAME=SWITCH_TABLE[Remote Device 2])*(B50=SWITCH_TABLE[Remote Port 2]),0),"")</f>
        <v/>
      </c>
    </row>
    <row r="51" spans="1:10">
      <c r="A51" s="121">
        <f t="shared" si="2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2" t="str">
        <f t="shared" si="5"/>
        <v/>
      </c>
      <c r="E51" s="123" t="str" cm="1">
        <f t="array" ref="E51">IF($J51&lt;&gt;"",INDEX(SWITCH_TABLE[#Data],$J51,MATCH("Remote EC",SWITCH_TABLE[#Headers],0)),"")</f>
        <v/>
      </c>
      <c r="F51" s="122"/>
      <c r="G51" s="122" t="str" cm="1">
        <f t="array" ref="G51">IF($J51&lt;&gt;"",INDEX(SWITCH_TABLE[#Data],$J51,MATCH("Uplink 2 SFP",SWITCH_TABLE[#Headers],0)),"")</f>
        <v/>
      </c>
      <c r="H51" s="125" t="str">
        <f>IF($J51&lt;&gt;"",INDEX(SWITCH_TABLE[#Data],$J51,MATCH("Device Name",SWITCH_TABLE[#Headers],0)) &amp; " " &amp; INDEX(SWITCH_TABLE[#Data],$J51,MATCH("Uplink Port 2",SWITCH_TABLE[#Headers],0)),"")</f>
        <v/>
      </c>
      <c r="J51" s="118" t="str">
        <f t="array" ref="J51">_xlfn.IFNA(MATCH(1,(SHEET_NAME=SWITCH_TABLE[Remote Device 2])*(B51=SWITCH_TABLE[Remote Port 2]),0),"")</f>
        <v/>
      </c>
    </row>
    <row r="52" spans="1:10">
      <c r="A52" s="121">
        <f t="shared" si="2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2" t="str">
        <f t="shared" si="5"/>
        <v/>
      </c>
      <c r="E52" s="123" t="str" cm="1">
        <f t="array" ref="E52">IF($J52&lt;&gt;"",INDEX(SWITCH_TABLE[#Data],$J52,MATCH("Remote EC",SWITCH_TABLE[#Headers],0)),"")</f>
        <v/>
      </c>
      <c r="F52" s="122"/>
      <c r="G52" s="122" t="str" cm="1">
        <f t="array" ref="G52">IF($J52&lt;&gt;"",INDEX(SWITCH_TABLE[#Data],$J52,MATCH("Uplink 2 SFP",SWITCH_TABLE[#Headers],0)),"")</f>
        <v/>
      </c>
      <c r="H52" s="125" t="str">
        <f>IF($J52&lt;&gt;"",INDEX(SWITCH_TABLE[#Data],$J52,MATCH("Device Name",SWITCH_TABLE[#Headers],0)) &amp; " " &amp; INDEX(SWITCH_TABLE[#Data],$J52,MATCH("Uplink Port 2",SWITCH_TABLE[#Headers],0)),"")</f>
        <v/>
      </c>
      <c r="J52" s="118" t="str">
        <f t="array" ref="J52">_xlfn.IFNA(MATCH(1,(SHEET_NAME=SWITCH_TABLE[Remote Device 2])*(B52=SWITCH_TABLE[Remote Port 2]),0),"")</f>
        <v/>
      </c>
    </row>
    <row r="53" spans="1:10">
      <c r="A53" s="121">
        <f t="shared" si="2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2" t="str">
        <f t="shared" si="5"/>
        <v/>
      </c>
      <c r="E53" s="123" t="str" cm="1">
        <f t="array" ref="E53">IF($J53&lt;&gt;"",INDEX(SWITCH_TABLE[#Data],$J53,MATCH("Remote EC",SWITCH_TABLE[#Headers],0)),"")</f>
        <v/>
      </c>
      <c r="F53" s="122"/>
      <c r="G53" s="122" t="str" cm="1">
        <f t="array" ref="G53">IF($J53&lt;&gt;"",INDEX(SWITCH_TABLE[#Data],$J53,MATCH("Uplink 2 SFP",SWITCH_TABLE[#Headers],0)),"")</f>
        <v/>
      </c>
      <c r="H53" s="125" t="str">
        <f>IF($J53&lt;&gt;"",INDEX(SWITCH_TABLE[#Data],$J53,MATCH("Device Name",SWITCH_TABLE[#Headers],0)) &amp; " " &amp; INDEX(SWITCH_TABLE[#Data],$J53,MATCH("Uplink Port 2",SWITCH_TABLE[#Headers],0)),"")</f>
        <v/>
      </c>
      <c r="J53" s="118" t="str">
        <f t="array" ref="J53">_xlfn.IFNA(MATCH(1,(SHEET_NAME=SWITCH_TABLE[Remote Device 2])*(B53=SWITCH_TABLE[Remote Port 2]),0),"")</f>
        <v/>
      </c>
    </row>
    <row r="54" spans="1:10">
      <c r="A54" s="121">
        <f t="shared" si="2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2" t="str">
        <f t="shared" si="5"/>
        <v/>
      </c>
      <c r="E54" s="123" t="str" cm="1">
        <f t="array" ref="E54">IF($J54&lt;&gt;"",INDEX(SWITCH_TABLE[#Data],$J54,MATCH("Remote EC",SWITCH_TABLE[#Headers],0)),"")</f>
        <v/>
      </c>
      <c r="F54" s="122"/>
      <c r="G54" s="122" t="str" cm="1">
        <f t="array" ref="G54">IF($J54&lt;&gt;"",INDEX(SWITCH_TABLE[#Data],$J54,MATCH("Uplink 2 SFP",SWITCH_TABLE[#Headers],0)),"")</f>
        <v/>
      </c>
      <c r="H54" s="125" t="str">
        <f>IF($J54&lt;&gt;"",INDEX(SWITCH_TABLE[#Data],$J54,MATCH("Device Name",SWITCH_TABLE[#Headers],0)) &amp; " " &amp; INDEX(SWITCH_TABLE[#Data],$J54,MATCH("Uplink Port 2",SWITCH_TABLE[#Headers],0)),"")</f>
        <v/>
      </c>
      <c r="J54" s="118" t="str">
        <f t="array" ref="J54">_xlfn.IFNA(MATCH(1,(SHEET_NAME=SWITCH_TABLE[Remote Device 2])*(B54=SWITCH_TABLE[Remote Port 2]),0),"")</f>
        <v/>
      </c>
    </row>
    <row r="55" spans="1:10">
      <c r="A55" s="121">
        <f t="shared" si="2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2" t="str">
        <f t="shared" si="5"/>
        <v/>
      </c>
      <c r="E55" s="123" t="str" cm="1">
        <f t="array" ref="E55">IF($J55&lt;&gt;"",INDEX(SWITCH_TABLE[#Data],$J55,MATCH("Remote EC",SWITCH_TABLE[#Headers],0)),"")</f>
        <v/>
      </c>
      <c r="F55" s="122"/>
      <c r="G55" s="122" t="str" cm="1">
        <f t="array" ref="G55">IF($J55&lt;&gt;"",INDEX(SWITCH_TABLE[#Data],$J55,MATCH("Uplink 2 SFP",SWITCH_TABLE[#Headers],0)),"")</f>
        <v/>
      </c>
      <c r="H55" s="125" t="str">
        <f>IF($J55&lt;&gt;"",INDEX(SWITCH_TABLE[#Data],$J55,MATCH("Device Name",SWITCH_TABLE[#Headers],0)) &amp; " " &amp; INDEX(SWITCH_TABLE[#Data],$J55,MATCH("Uplink Port 2",SWITCH_TABLE[#Headers],0)),"")</f>
        <v/>
      </c>
      <c r="J55" s="118" t="str">
        <f t="array" ref="J55">_xlfn.IFNA(MATCH(1,(SHEET_NAME=SWITCH_TABLE[Remote Device 2])*(B55=SWITCH_TABLE[Remote Port 2]),0),"")</f>
        <v/>
      </c>
    </row>
    <row r="56" spans="1:10">
      <c r="A56" s="121">
        <f t="shared" si="2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2" t="str">
        <f t="shared" si="5"/>
        <v/>
      </c>
      <c r="E56" s="123" t="str" cm="1">
        <f t="array" ref="E56">IF($J56&lt;&gt;"",INDEX(SWITCH_TABLE[#Data],$J56,MATCH("Remote EC",SWITCH_TABLE[#Headers],0)),"")</f>
        <v/>
      </c>
      <c r="F56" s="122"/>
      <c r="G56" s="122" t="str" cm="1">
        <f t="array" ref="G56">IF($J56&lt;&gt;"",INDEX(SWITCH_TABLE[#Data],$J56,MATCH("Uplink 2 SFP",SWITCH_TABLE[#Headers],0)),"")</f>
        <v/>
      </c>
      <c r="H56" s="125" t="str">
        <f>IF($J56&lt;&gt;"",INDEX(SWITCH_TABLE[#Data],$J56,MATCH("Device Name",SWITCH_TABLE[#Headers],0)) &amp; " " &amp; INDEX(SWITCH_TABLE[#Data],$J56,MATCH("Uplink Port 2",SWITCH_TABLE[#Headers],0)),"")</f>
        <v/>
      </c>
      <c r="J56" s="118" t="str">
        <f t="array" ref="J56">_xlfn.IFNA(MATCH(1,(SHEET_NAME=SWITCH_TABLE[Remote Device 2])*(B56=SWITCH_TABLE[Remote Port 2]),0),"")</f>
        <v/>
      </c>
    </row>
    <row r="57" spans="1:10">
      <c r="A57" s="121">
        <f t="shared" si="2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2" t="str">
        <f t="shared" si="5"/>
        <v/>
      </c>
      <c r="E57" s="123" t="str" cm="1">
        <f t="array" ref="E57">IF($J57&lt;&gt;"",INDEX(SWITCH_TABLE[#Data],$J57,MATCH("Remote EC",SWITCH_TABLE[#Headers],0)),"")</f>
        <v/>
      </c>
      <c r="F57" s="122"/>
      <c r="G57" s="122" t="str" cm="1">
        <f t="array" ref="G57">IF($J57&lt;&gt;"",INDEX(SWITCH_TABLE[#Data],$J57,MATCH("Uplink 2 SFP",SWITCH_TABLE[#Headers],0)),"")</f>
        <v/>
      </c>
      <c r="H57" s="125" t="str">
        <f>IF($J57&lt;&gt;"",INDEX(SWITCH_TABLE[#Data],$J57,MATCH("Device Name",SWITCH_TABLE[#Headers],0)) &amp; " " &amp; INDEX(SWITCH_TABLE[#Data],$J57,MATCH("Uplink Port 2",SWITCH_TABLE[#Headers],0)),"")</f>
        <v/>
      </c>
      <c r="J57" s="118" t="str">
        <f t="array" ref="J57">_xlfn.IFNA(MATCH(1,(SHEET_NAME=SWITCH_TABLE[Remote Device 2])*(B57=SWITCH_TABLE[Remote Port 2]),0),"")</f>
        <v/>
      </c>
    </row>
    <row r="58" spans="1:10">
      <c r="A58" s="121">
        <f t="shared" si="2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2" t="str">
        <f t="shared" si="5"/>
        <v/>
      </c>
      <c r="E58" s="123" t="str" cm="1">
        <f t="array" ref="E58">IF($J58&lt;&gt;"",INDEX(SWITCH_TABLE[#Data],$J58,MATCH("Remote EC",SWITCH_TABLE[#Headers],0)),"")</f>
        <v/>
      </c>
      <c r="F58" s="122"/>
      <c r="G58" s="122" t="str" cm="1">
        <f t="array" ref="G58">IF($J58&lt;&gt;"",INDEX(SWITCH_TABLE[#Data],$J58,MATCH("Uplink 2 SFP",SWITCH_TABLE[#Headers],0)),"")</f>
        <v/>
      </c>
      <c r="H58" s="125" t="str">
        <f>IF($J58&lt;&gt;"",INDEX(SWITCH_TABLE[#Data],$J58,MATCH("Device Name",SWITCH_TABLE[#Headers],0)) &amp; " " &amp; INDEX(SWITCH_TABLE[#Data],$J58,MATCH("Uplink Port 2",SWITCH_TABLE[#Headers],0)),"")</f>
        <v/>
      </c>
      <c r="J58" s="118" t="str">
        <f t="array" ref="J58">_xlfn.IFNA(MATCH(1,(SHEET_NAME=SWITCH_TABLE[Remote Device 2])*(B58=SWITCH_TABLE[Remote Port 2]),0),"")</f>
        <v/>
      </c>
    </row>
    <row r="59" spans="1:10">
      <c r="A59" s="121">
        <f t="shared" si="2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2" t="str">
        <f t="shared" si="5"/>
        <v/>
      </c>
      <c r="E59" s="123" t="str" cm="1">
        <f t="array" ref="E59">IF($J59&lt;&gt;"",INDEX(SWITCH_TABLE[#Data],$J59,MATCH("Remote EC",SWITCH_TABLE[#Headers],0)),"")</f>
        <v/>
      </c>
      <c r="F59" s="122"/>
      <c r="G59" s="122" t="str" cm="1">
        <f t="array" ref="G59">IF($J59&lt;&gt;"",INDEX(SWITCH_TABLE[#Data],$J59,MATCH("Uplink 2 SFP",SWITCH_TABLE[#Headers],0)),"")</f>
        <v/>
      </c>
      <c r="H59" s="125" t="str">
        <f>IF($J59&lt;&gt;"",INDEX(SWITCH_TABLE[#Data],$J59,MATCH("Device Name",SWITCH_TABLE[#Headers],0)) &amp; " " &amp; INDEX(SWITCH_TABLE[#Data],$J59,MATCH("Uplink Port 2",SWITCH_TABLE[#Headers],0)),"")</f>
        <v/>
      </c>
      <c r="J59" s="118" t="str">
        <f t="array" ref="J59">_xlfn.IFNA(MATCH(1,(SHEET_NAME=SWITCH_TABLE[Remote Device 2])*(B59=SWITCH_TABLE[Remote Port 2]),0),"")</f>
        <v/>
      </c>
    </row>
    <row r="60" spans="1:10">
      <c r="A60" s="121">
        <f t="shared" si="2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2" t="str">
        <f t="shared" si="5"/>
        <v/>
      </c>
      <c r="E60" s="123" t="str" cm="1">
        <f t="array" ref="E60">IF($J60&lt;&gt;"",INDEX(SWITCH_TABLE[#Data],$J60,MATCH("Remote EC",SWITCH_TABLE[#Headers],0)),"")</f>
        <v/>
      </c>
      <c r="F60" s="122"/>
      <c r="G60" s="122" t="str" cm="1">
        <f t="array" ref="G60">IF($J60&lt;&gt;"",INDEX(SWITCH_TABLE[#Data],$J60,MATCH("Uplink 2 SFP",SWITCH_TABLE[#Headers],0)),"")</f>
        <v/>
      </c>
      <c r="H60" s="125" t="str">
        <f>IF($J60&lt;&gt;"",INDEX(SWITCH_TABLE[#Data],$J60,MATCH("Device Name",SWITCH_TABLE[#Headers],0)) &amp; " " &amp; INDEX(SWITCH_TABLE[#Data],$J60,MATCH("Uplink Port 2",SWITCH_TABLE[#Headers],0)),"")</f>
        <v/>
      </c>
      <c r="J60" s="118" t="str">
        <f t="array" ref="J60">_xlfn.IFNA(MATCH(1,(SHEET_NAME=SWITCH_TABLE[Remote Device 2])*(B60=SWITCH_TABLE[Remote Port 2]),0),"")</f>
        <v/>
      </c>
    </row>
    <row r="61" spans="1:10">
      <c r="A61" s="121">
        <f t="shared" si="2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2" t="str">
        <f t="shared" si="5"/>
        <v/>
      </c>
      <c r="E61" s="123" t="str" cm="1">
        <f t="array" ref="E61">IF($J61&lt;&gt;"",INDEX(SWITCH_TABLE[#Data],$J61,MATCH("Remote EC",SWITCH_TABLE[#Headers],0)),"")</f>
        <v/>
      </c>
      <c r="F61" s="122"/>
      <c r="G61" s="122" t="str" cm="1">
        <f t="array" ref="G61">IF($J61&lt;&gt;"",INDEX(SWITCH_TABLE[#Data],$J61,MATCH("Uplink 2 SFP",SWITCH_TABLE[#Headers],0)),"")</f>
        <v/>
      </c>
      <c r="H61" s="125" t="str">
        <f>IF($J61&lt;&gt;"",INDEX(SWITCH_TABLE[#Data],$J61,MATCH("Device Name",SWITCH_TABLE[#Headers],0)) &amp; " " &amp; INDEX(SWITCH_TABLE[#Data],$J61,MATCH("Uplink Port 2",SWITCH_TABLE[#Headers],0)),"")</f>
        <v/>
      </c>
      <c r="J61" s="118" t="str">
        <f t="array" ref="J61">_xlfn.IFNA(MATCH(1,(SHEET_NAME=SWITCH_TABLE[Remote Device 2])*(B61=SWITCH_TABLE[Remote Port 2]),0),"")</f>
        <v/>
      </c>
    </row>
    <row r="62" spans="1:10">
      <c r="A62" s="121">
        <f t="shared" si="2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2" t="str">
        <f t="shared" si="5"/>
        <v/>
      </c>
      <c r="E62" s="123" t="str" cm="1">
        <f t="array" ref="E62">IF($J62&lt;&gt;"",INDEX(SWITCH_TABLE[#Data],$J62,MATCH("Remote EC",SWITCH_TABLE[#Headers],0)),"")</f>
        <v/>
      </c>
      <c r="F62" s="122"/>
      <c r="G62" s="122" t="str" cm="1">
        <f t="array" ref="G62">IF($J62&lt;&gt;"",INDEX(SWITCH_TABLE[#Data],$J62,MATCH("Uplink 2 SFP",SWITCH_TABLE[#Headers],0)),"")</f>
        <v/>
      </c>
      <c r="H62" s="125" t="str">
        <f>IF($J62&lt;&gt;"",INDEX(SWITCH_TABLE[#Data],$J62,MATCH("Device Name",SWITCH_TABLE[#Headers],0)) &amp; " " &amp; INDEX(SWITCH_TABLE[#Data],$J62,MATCH("Uplink Port 2",SWITCH_TABLE[#Headers],0)),"")</f>
        <v/>
      </c>
      <c r="J62" s="118" t="str">
        <f t="array" ref="J62">_xlfn.IFNA(MATCH(1,(SHEET_NAME=SWITCH_TABLE[Remote Device 2])*(B62=SWITCH_TABLE[Remote Port 2]),0),"")</f>
        <v/>
      </c>
    </row>
    <row r="63" spans="1:10">
      <c r="A63" s="121">
        <f t="shared" si="2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2" t="str">
        <f t="shared" si="5"/>
        <v/>
      </c>
      <c r="E63" s="123" t="str" cm="1">
        <f t="array" ref="E63">IF($J63&lt;&gt;"",INDEX(SWITCH_TABLE[#Data],$J63,MATCH("Remote EC",SWITCH_TABLE[#Headers],0)),"")</f>
        <v/>
      </c>
      <c r="F63" s="122"/>
      <c r="G63" s="122" t="str" cm="1">
        <f t="array" ref="G63">IF($J63&lt;&gt;"",INDEX(SWITCH_TABLE[#Data],$J63,MATCH("Uplink 2 SFP",SWITCH_TABLE[#Headers],0)),"")</f>
        <v/>
      </c>
      <c r="H63" s="125" t="str">
        <f>IF($J63&lt;&gt;"",INDEX(SWITCH_TABLE[#Data],$J63,MATCH("Device Name",SWITCH_TABLE[#Headers],0)) &amp; " " &amp; INDEX(SWITCH_TABLE[#Data],$J63,MATCH("Uplink Port 2",SWITCH_TABLE[#Headers],0)),"")</f>
        <v/>
      </c>
      <c r="J63" s="118" t="str">
        <f t="array" ref="J63">_xlfn.IFNA(MATCH(1,(SHEET_NAME=SWITCH_TABLE[Remote Device 2])*(B63=SWITCH_TABLE[Remote Port 2]),0),"")</f>
        <v/>
      </c>
    </row>
    <row r="64" spans="1:10">
      <c r="A64" s="121">
        <f t="shared" si="2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2" t="str">
        <f t="shared" si="5"/>
        <v/>
      </c>
      <c r="E64" s="123" t="str" cm="1">
        <f t="array" ref="E64">IF($J64&lt;&gt;"",INDEX(SWITCH_TABLE[#Data],$J64,MATCH("Remote EC",SWITCH_TABLE[#Headers],0)),"")</f>
        <v/>
      </c>
      <c r="F64" s="122"/>
      <c r="G64" s="122" t="str" cm="1">
        <f t="array" ref="G64">IF($J64&lt;&gt;"",INDEX(SWITCH_TABLE[#Data],$J64,MATCH("Uplink 2 SFP",SWITCH_TABLE[#Headers],0)),"")</f>
        <v/>
      </c>
      <c r="H64" s="125" t="str">
        <f>IF($J64&lt;&gt;"",INDEX(SWITCH_TABLE[#Data],$J64,MATCH("Device Name",SWITCH_TABLE[#Headers],0)) &amp; " " &amp; INDEX(SWITCH_TABLE[#Data],$J64,MATCH("Uplink Port 2",SWITCH_TABLE[#Headers],0)),"")</f>
        <v/>
      </c>
      <c r="J64" s="118" t="str">
        <f t="array" ref="J64">_xlfn.IFNA(MATCH(1,(SHEET_NAME=SWITCH_TABLE[Remote Device 2])*(B64=SWITCH_TABLE[Remote Port 2]),0),"")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6">ROW(A68)-ROW($A$67)+$A$67</f>
        <v>1</v>
      </c>
      <c r="B68" s="116" t="str">
        <f>IF(A68&gt;$C$8,"",$D$8&amp;$C$11&amp;"/1/"&amp;A68)</f>
        <v>hu2/1/1</v>
      </c>
      <c r="C68" s="122" t="str" cm="1">
        <f t="array" ref="C68">_xlfn.IFS($B68="","",$B68=$B$79,"reserved",$B68=$B$80,"reserved",$B68=$G$11,"connect",$B68=$G$13,"connect",1=1,"disabled")</f>
        <v>disabled</v>
      </c>
      <c r="D68" s="122" t="str" cm="1">
        <f t="array" ref="D68">_xlfn.IFS($B68="","",$B68=$G$11,"TRUNK",$B68=$G$13,"TRUNK",1=1,"")</f>
        <v/>
      </c>
      <c r="E68" s="123" t="str" cm="1">
        <f t="array" ref="E68">_xlfn.IFS($B68="","",OR($B68=$G$11,$B68=$G$13),INDEX(SWITCH_TABLE[#Data],$H$3,MATCH("Local EC",SWITCH_TABLE[#Headers],0)),1=1,"")</f>
        <v/>
      </c>
      <c r="F68" s="124" t="str" cm="1">
        <f t="array" ref="F68">_xlfn.IFS($B68="","",$B68=$G$11,"Uplink Port 1",$B68=$G$13,"Uplink Port 2",$B68=$B$79,"Stack Port 1",$B68=$B$80,"Stack Port 2",1=1,"")</f>
        <v/>
      </c>
      <c r="G68" s="122" t="str" cm="1">
        <f t="array" ref="G68">_xlfn.IFS($B68="","",$B68=$G$11,$H$11,$B68=$G$13,$H$13,1=1,"")</f>
        <v/>
      </c>
      <c r="H68" s="131" t="str" cm="1">
        <f t="array" ref="H68">_xlfn.IFS($B68="","",$B68=$G$11,$G$12&amp;" "&amp;H12,$B68=$G$13,$G$14&amp;" "&amp;$H$14,1=1,"")</f>
        <v/>
      </c>
      <c r="J68" s="118" t="str">
        <f t="array" ref="J68">_xlfn.IFNA(MATCH(1,(SHEET_NAME=SWITCH_TABLE[Remote Device 2])*(B68=SWITCH_TABLE[Remote Port 2]),0),"")</f>
        <v/>
      </c>
    </row>
    <row r="69" spans="1:10">
      <c r="A69" s="121">
        <f t="shared" si="6"/>
        <v>2</v>
      </c>
      <c r="B69" s="116" t="str">
        <f t="shared" ref="B69:B75" si="7">IF(A69&lt;=$C$8,$D$8&amp;$C$11&amp;"/1/"&amp;A69,"")</f>
        <v>hu2/1/2</v>
      </c>
      <c r="C69" s="122" t="str" cm="1">
        <f t="array" ref="C69">_xlfn.IFS($B69="","",$B69=$B$79,"reserved",$B69=$B$80,"reserved",$B69=$G$11,"connect",$B69=$G$13,"connect",1=1,"disabled")</f>
        <v>disabled</v>
      </c>
      <c r="D69" s="122" t="str" cm="1">
        <f t="array" ref="D69">_xlfn.IFS($B69="","",$B69=$G$11,"TRUNK",$B69=$G$13,"TRUNK",1=1,"")</f>
        <v/>
      </c>
      <c r="E69" s="123" t="str" cm="1">
        <f t="array" ref="E69">_xlfn.IFS($B69="","",OR($B69=$G$11,$B69=$G$13),INDEX(SWITCH_TABLE[#Data],$H$3,MATCH("Local EC",SWITCH_TABLE[#Headers],0)),1=1,"")</f>
        <v/>
      </c>
      <c r="F69" s="124" t="str" cm="1">
        <f t="array" ref="F69">_xlfn.IFS($B69="","",$B69=$G$11,"Uplink Port 1",$B69=$G$13,"Uplink Port 2",$B69=$B$79,"Stack Port 1",$B69=$B$80,"Stack Port 2",1=1,"")</f>
        <v/>
      </c>
      <c r="G69" s="122" t="str" cm="1">
        <f t="array" ref="G69">_xlfn.IFS($B69="","",$B69=$G$11,$H$11,$B69=$G$13,$H$13,1=1,"")</f>
        <v/>
      </c>
      <c r="H69" s="131" t="str" cm="1">
        <f t="array" ref="H69">_xlfn.IFS($B69="","",$B69=$G$11,$G$12&amp;" "&amp;H13,$B69=$G$13,$G$14&amp;" "&amp;$H$14,1=1,"")</f>
        <v/>
      </c>
      <c r="J69" s="118" t="str">
        <f t="array" ref="J69">_xlfn.IFNA(MATCH(1,(SHEET_NAME=SWITCH_TABLE[Remote Device 2])*(B69=SWITCH_TABLE[Remote Port 2]),0),"")</f>
        <v/>
      </c>
    </row>
    <row r="70" spans="1:10">
      <c r="A70" s="121">
        <f t="shared" si="6"/>
        <v>3</v>
      </c>
      <c r="B70" s="116" t="str">
        <f t="shared" si="7"/>
        <v>hu2/1/3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18" t="str">
        <f t="array" ref="J70">_xlfn.IFNA(MATCH(1,(SHEET_NAME=SWITCH_TABLE[Remote Device 2])*(B70=SWITCH_TABLE[Remote Port 2]),0),"")</f>
        <v/>
      </c>
    </row>
    <row r="71" spans="1:10">
      <c r="A71" s="121">
        <f t="shared" si="6"/>
        <v>4</v>
      </c>
      <c r="B71" s="116" t="str">
        <f t="shared" si="7"/>
        <v>hu2/1/4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"&amp;#REF!,$B71=$G$13,$G$14&amp;" "&amp;$H$14,1=1,"")</f>
        <v/>
      </c>
      <c r="J71" s="118" t="str">
        <f t="array" ref="J71">_xlfn.IFNA(MATCH(1,(SHEET_NAME=SWITCH_TABLE[Remote Device 2])*(B71=SWITCH_TABLE[Remote Port 2]),0),"")</f>
        <v/>
      </c>
    </row>
    <row r="72" spans="1:10">
      <c r="A72" s="121">
        <f t="shared" si="6"/>
        <v>5</v>
      </c>
      <c r="B72" s="116" t="str">
        <f t="shared" si="7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"&amp;#REF!,$B72=$G$13,$G$14&amp;" "&amp;$H$14,1=1,"")</f>
        <v/>
      </c>
      <c r="J72" s="118" t="str">
        <f t="array" ref="J72">_xlfn.IFNA(MATCH(1,(SHEET_NAME=SWITCH_TABLE[Remote Device 2])*(B72=SWITCH_TABLE[Remote Port 2]),0),"")</f>
        <v/>
      </c>
    </row>
    <row r="73" spans="1:10">
      <c r="A73" s="121">
        <f t="shared" si="6"/>
        <v>6</v>
      </c>
      <c r="B73" s="116" t="str">
        <f t="shared" si="7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"&amp;#REF!,$B73=$G$13,$G$14&amp;" "&amp;$H$14,1=1,"")</f>
        <v/>
      </c>
      <c r="J73" s="118" t="str">
        <f t="array" ref="J73">_xlfn.IFNA(MATCH(1,(SHEET_NAME=SWITCH_TABLE[Remote Device 2])*(B73=SWITCH_TABLE[Remote Port 2]),0),"")</f>
        <v/>
      </c>
    </row>
    <row r="74" spans="1:10">
      <c r="A74" s="121">
        <f t="shared" si="6"/>
        <v>7</v>
      </c>
      <c r="B74" s="116" t="str">
        <f t="shared" si="7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"&amp;#REF!,$B74=$G$13,$G$14&amp;" "&amp;$H$14,1=1,"")</f>
        <v/>
      </c>
      <c r="J74" s="118" t="str">
        <f t="array" ref="J74">_xlfn.IFNA(MATCH(1,(SHEET_NAME=SWITCH_TABLE[Remote Device 2])*(B74=SWITCH_TABLE[Remote Port 2]),0),"")</f>
        <v/>
      </c>
    </row>
    <row r="75" spans="1:10">
      <c r="A75" s="121">
        <f t="shared" si="6"/>
        <v>8</v>
      </c>
      <c r="B75" s="116" t="str">
        <f t="shared" si="7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"&amp;#REF!,$B75=$G$13,$G$14&amp;" "&amp;$H$14,1=1,"")</f>
        <v/>
      </c>
      <c r="J75" s="118" t="str">
        <f t="array" ref="J75">_xlfn.IFNA(MATCH(1,(SHEET_NAME=SWITCH_TABLE[Remote Device 2])*(B75=SWITCH_TABLE[Remote Port 2]),0),"")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hu2/0/27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100G QSFP DAC</v>
      </c>
      <c r="H79" s="118" t="str">
        <f>C13&amp;" "&amp;D13</f>
        <v>FGHVLN43-1 hu1/0/28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hu2/0/28</v>
      </c>
      <c r="C80" s="122" t="str">
        <f>IF(B80="","","connect")</f>
        <v>connect</v>
      </c>
      <c r="D80" s="124"/>
      <c r="E80" s="124"/>
      <c r="F80" s="124" t="str">
        <f>IF(B80="","","Stack Port 2")</f>
        <v>Stack Port 2</v>
      </c>
      <c r="G80" s="118" t="str" cm="1">
        <f t="array" ref="G80">IF($C$12="","",INDEX(SWITCH_TABLE[#Data],$H$3,MATCH("Stack Port "&amp;A80&amp;" SFP",SWITCH_TABLE[#Headers],0)))</f>
        <v>100G QSFP DAC</v>
      </c>
      <c r="H80" s="118" t="str">
        <f>C14&amp;" "&amp;D14</f>
        <v>FGHVLN43-1 hu1/0/27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68:C75">
    <cfRule type="cellIs" dxfId="534" priority="17" operator="equal">
      <formula>"reserved"</formula>
    </cfRule>
    <cfRule type="cellIs" dxfId="533" priority="18" operator="equal">
      <formula>"notconnect"</formula>
    </cfRule>
    <cfRule type="cellIs" dxfId="532" priority="19" operator="equal">
      <formula>"disabled"</formula>
    </cfRule>
    <cfRule type="cellIs" dxfId="531" priority="20" operator="equal">
      <formula>"connect"</formula>
    </cfRule>
  </conditionalFormatting>
  <conditionalFormatting sqref="C79:C80">
    <cfRule type="cellIs" dxfId="530" priority="13" operator="equal">
      <formula>"reserved"</formula>
    </cfRule>
    <cfRule type="cellIs" dxfId="529" priority="14" operator="equal">
      <formula>"notconnect"</formula>
    </cfRule>
    <cfRule type="cellIs" dxfId="528" priority="15" operator="equal">
      <formula>"disabled"</formula>
    </cfRule>
    <cfRule type="cellIs" dxfId="527" priority="16" operator="equal">
      <formula>"connect"</formula>
    </cfRule>
  </conditionalFormatting>
  <conditionalFormatting sqref="C64">
    <cfRule type="cellIs" dxfId="526" priority="9" operator="equal">
      <formula>"reserved"</formula>
    </cfRule>
    <cfRule type="cellIs" dxfId="525" priority="10" operator="equal">
      <formula>"notconnect"</formula>
    </cfRule>
    <cfRule type="cellIs" dxfId="524" priority="11" operator="equal">
      <formula>"disabled"</formula>
    </cfRule>
    <cfRule type="cellIs" dxfId="523" priority="12" operator="equal">
      <formula>"connect"</formula>
    </cfRule>
  </conditionalFormatting>
  <conditionalFormatting sqref="C17:C37 C39:C63">
    <cfRule type="cellIs" dxfId="522" priority="5" operator="equal">
      <formula>"reserved"</formula>
    </cfRule>
    <cfRule type="cellIs" dxfId="521" priority="6" operator="equal">
      <formula>"notconnect"</formula>
    </cfRule>
    <cfRule type="cellIs" dxfId="520" priority="7" operator="equal">
      <formula>"disabled"</formula>
    </cfRule>
    <cfRule type="cellIs" dxfId="519" priority="8" operator="equal">
      <formula>"connect"</formula>
    </cfRule>
  </conditionalFormatting>
  <conditionalFormatting sqref="C38">
    <cfRule type="cellIs" dxfId="518" priority="1" operator="equal">
      <formula>"reserved"</formula>
    </cfRule>
    <cfRule type="cellIs" dxfId="517" priority="2" operator="equal">
      <formula>"notconnect"</formula>
    </cfRule>
    <cfRule type="cellIs" dxfId="516" priority="3" operator="equal">
      <formula>"disabled"</formula>
    </cfRule>
    <cfRule type="cellIs" dxfId="515" priority="4" operator="equal">
      <formula>"connect"</formula>
    </cfRule>
  </conditionalFormatting>
  <dataValidations count="5">
    <dataValidation type="list" allowBlank="1" showInputMessage="1" sqref="G68:G75 G17:G64" xr:uid="{1DB056B0-52A1-4791-9887-BA309B01AB00}">
      <formula1>PORT_TYPE_LIST</formula1>
    </dataValidation>
    <dataValidation type="list" allowBlank="1" showInputMessage="1" sqref="C68:C75 C79:C80 C17:C64" xr:uid="{C082064A-F289-458A-8A94-4472A09E3148}">
      <formula1>PORT_STATE_LIST</formula1>
    </dataValidation>
    <dataValidation type="list" allowBlank="1" showInputMessage="1" sqref="D68:D75 D17:D64" xr:uid="{1272E9FA-688F-4A3C-8D31-AB9734806D6B}">
      <formula1>VLAN_ID_LIST</formula1>
    </dataValidation>
    <dataValidation type="list" allowBlank="1" showInputMessage="1" sqref="F17:F64" xr:uid="{502D6201-DFCD-4799-B5CE-8BB35D0545C1}">
      <formula1>SPEED_DUPLEX_LIST</formula1>
    </dataValidation>
    <dataValidation allowBlank="1" showInputMessage="1" sqref="E68:E75 E17:E64" xr:uid="{27FCE8D6-9E8C-480E-A7DB-6FAA590EB092}"/>
  </dataValidations>
  <pageMargins left="0.59055118110236227" right="0.59055118110236227" top="1.1811023622047245" bottom="0.98425196850393704" header="0.39370078740157483" footer="0.39370078740157483"/>
  <pageSetup paperSize="9" orientation="portrait" horizontalDpi="300" verticalDpi="300" r:id="rId1"/>
  <headerFooter>
    <oddHeader>&amp;L&amp;G&amp;C&amp;7
&amp;G&amp;R&amp;K20265B&amp;B&amp;8&amp;"Georgia"_x000D_Freemans Grattan Holdings_x000D_&amp;B&amp;8LAN Refresh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65" max="16383" man="1"/>
  </rowBreaks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03DD-5BCF-4665-94C7-139E6529DF8E}">
  <sheetPr codeName="Sheet31">
    <tabColor rgb="FFEDCAC9"/>
    <pageSetUpPr fitToPage="1"/>
  </sheetPr>
  <dimension ref="A1:J81"/>
  <sheetViews>
    <sheetView zoomScaleNormal="100" workbookViewId="0">
      <selection activeCell="C69" sqref="C69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6384" width="9" style="111"/>
  </cols>
  <sheetData>
    <row r="1" spans="1:10" ht="24" customHeight="1">
      <c r="A1" s="108" t="s">
        <v>1800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48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FGHVLN71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Vicar Lane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Ground FLOOR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FCW2321GH51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10.227.160.1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1 of 2</v>
      </c>
      <c r="D10" s="113"/>
      <c r="F10" s="113" t="s">
        <v>2656</v>
      </c>
      <c r="G10" s="120" t="str">
        <f>IF(AND(G11="",G13=""),"WARNING: No Uplinks","")</f>
        <v>WARNING: No Uplinks</v>
      </c>
      <c r="H10" s="113"/>
    </row>
    <row r="11" spans="1:10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FGHVLN71-2</v>
      </c>
      <c r="D13" s="117" t="str">
        <f>INDEX(SWITCH_TABLE[#Data],$H$3,MATCH("Next Port",SWITCH_TABLE[#Headers],0))</f>
        <v>st2/2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FGHVLN71-2</v>
      </c>
      <c r="D14" s="117" t="str">
        <f>INDEX(SWITCH_TABLE[#Data],$H$3,MATCH("Prev Port",SWITCH_TABLE[#Headers],0))</f>
        <v>st2/1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43" t="s">
        <v>2750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1988</v>
      </c>
      <c r="G17" s="122" t="s">
        <v>1991</v>
      </c>
      <c r="H17" s="125" t="s">
        <v>859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43"/>
      <c r="E18" s="123"/>
      <c r="F18" s="122"/>
      <c r="G18" s="122"/>
      <c r="H18" s="125"/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43">
        <v>3162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1988</v>
      </c>
      <c r="G19" s="122" t="s">
        <v>1991</v>
      </c>
      <c r="H19" s="125" t="s">
        <v>2758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">
        <v>2608</v>
      </c>
      <c r="D21" s="143">
        <v>3161</v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">
        <v>2752</v>
      </c>
      <c r="G21" s="122" t="s">
        <v>2759</v>
      </c>
      <c r="H21" s="125" t="s">
        <v>2760</v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disabled</v>
      </c>
      <c r="D68" s="122" t="str" cm="1">
        <f t="array" ref="D68">_xlfn.IFS($B68="","",$B68=$G$11,"TRUNK",$B68=$G$13,"TRUNK",1=1,"")</f>
        <v/>
      </c>
      <c r="E68" s="123" t="str" cm="1">
        <f t="array" ref="E68">_xlfn.IFS($B68="","",OR($B68=$G$11,$B68=$G$13),INDEX(SWITCH_TABLE[#Data],$H$3,MATCH("Local EC",SWITCH_TABLE[#Headers],0)),1=1,"")</f>
        <v/>
      </c>
      <c r="F68" s="124" t="str" cm="1">
        <f t="array" ref="F68">_xlfn.IFS($B68="","",$B68=$G$11,"Uplink Port 1",$B68=$G$13,"Uplink Port 2",$B68=$B$79,"Stack Port 1",$B68=$B$80,"Stack Port 2",1=1,"")</f>
        <v/>
      </c>
      <c r="G68" s="122" t="str" cm="1">
        <f t="array" ref="G68">_xlfn.IFS($B68="","",$B68=$G$11,$H$11,$B68=$G$13,$H$13,1=1,"")</f>
        <v/>
      </c>
      <c r="H68" s="131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disabled</v>
      </c>
      <c r="D69" s="122" t="str" cm="1">
        <f t="array" ref="D69">_xlfn.IFS($B69="","",$B69=$G$11,"TRUNK",$B69=$G$13,"TRUNK",1=1,"")</f>
        <v/>
      </c>
      <c r="E69" s="123" t="str" cm="1">
        <f t="array" ref="E69">_xlfn.IFS($B69="","",OR($B69=$G$11,$B69=$G$13),INDEX(SWITCH_TABLE[#Data],$H$3,MATCH("Local EC",SWITCH_TABLE[#Headers],0)),1=1,"")</f>
        <v/>
      </c>
      <c r="F69" s="124" t="str" cm="1">
        <f t="array" ref="F69">_xlfn.IFS($B69="","",$B69=$G$11,"Uplink Port 1",$B69=$G$13,"Uplink Port 2",$B69=$B$79,"Stack Port 1",$B69=$B$80,"Stack Port 2",1=1,"")</f>
        <v/>
      </c>
      <c r="G69" s="122" t="str" cm="1">
        <f t="array" ref="G69">_xlfn.IFS($B69="","",$B69=$G$11,$H$11,$B69=$G$13,$H$13,1=1,"")</f>
        <v/>
      </c>
      <c r="H69" s="13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st1/1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FGHVLN71-2 st2/2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st1/2</v>
      </c>
      <c r="C80" s="122" t="str">
        <f>IF(B80="","","connect")</f>
        <v>connect</v>
      </c>
      <c r="D80" s="124"/>
      <c r="E80" s="124"/>
      <c r="F80" s="124" t="str">
        <f>IF(B80="","","Stack Port 1")</f>
        <v>Stack Port 1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FGHVLN71-2 st2/1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514" priority="101" operator="equal">
      <formula>"reserved"</formula>
    </cfRule>
    <cfRule type="cellIs" dxfId="513" priority="102" operator="equal">
      <formula>"notconnect"</formula>
    </cfRule>
    <cfRule type="cellIs" dxfId="512" priority="103" operator="equal">
      <formula>"disabled"</formula>
    </cfRule>
    <cfRule type="cellIs" dxfId="511" priority="104" operator="equal">
      <formula>"connect"</formula>
    </cfRule>
  </conditionalFormatting>
  <conditionalFormatting sqref="C63:C64">
    <cfRule type="cellIs" dxfId="510" priority="97" operator="equal">
      <formula>"reserved"</formula>
    </cfRule>
    <cfRule type="cellIs" dxfId="509" priority="98" operator="equal">
      <formula>"notconnect"</formula>
    </cfRule>
    <cfRule type="cellIs" dxfId="508" priority="99" operator="equal">
      <formula>"disabled"</formula>
    </cfRule>
    <cfRule type="cellIs" dxfId="507" priority="100" operator="equal">
      <formula>"connect"</formula>
    </cfRule>
  </conditionalFormatting>
  <conditionalFormatting sqref="C21:C22 C17:C19">
    <cfRule type="cellIs" dxfId="506" priority="93" operator="equal">
      <formula>"reserved"</formula>
    </cfRule>
    <cfRule type="cellIs" dxfId="505" priority="94" operator="equal">
      <formula>"notconnect"</formula>
    </cfRule>
    <cfRule type="cellIs" dxfId="504" priority="95" operator="equal">
      <formula>"disabled"</formula>
    </cfRule>
    <cfRule type="cellIs" dxfId="503" priority="96" operator="equal">
      <formula>"connect"</formula>
    </cfRule>
  </conditionalFormatting>
  <conditionalFormatting sqref="C40:C42 C45:C47">
    <cfRule type="cellIs" dxfId="502" priority="89" operator="equal">
      <formula>"reserved"</formula>
    </cfRule>
    <cfRule type="cellIs" dxfId="501" priority="90" operator="equal">
      <formula>"notconnect"</formula>
    </cfRule>
    <cfRule type="cellIs" dxfId="500" priority="91" operator="equal">
      <formula>"disabled"</formula>
    </cfRule>
    <cfRule type="cellIs" dxfId="499" priority="92" operator="equal">
      <formula>"connect"</formula>
    </cfRule>
  </conditionalFormatting>
  <conditionalFormatting sqref="C42 C45:C47">
    <cfRule type="cellIs" dxfId="498" priority="85" operator="equal">
      <formula>"reserved"</formula>
    </cfRule>
    <cfRule type="cellIs" dxfId="497" priority="86" operator="equal">
      <formula>"notconnect"</formula>
    </cfRule>
    <cfRule type="cellIs" dxfId="496" priority="87" operator="equal">
      <formula>"disabled"</formula>
    </cfRule>
    <cfRule type="cellIs" dxfId="495" priority="88" operator="equal">
      <formula>"connect"</formula>
    </cfRule>
  </conditionalFormatting>
  <conditionalFormatting sqref="C46:C47 C49">
    <cfRule type="cellIs" dxfId="494" priority="81" operator="equal">
      <formula>"reserved"</formula>
    </cfRule>
    <cfRule type="cellIs" dxfId="493" priority="82" operator="equal">
      <formula>"notconnect"</formula>
    </cfRule>
    <cfRule type="cellIs" dxfId="492" priority="83" operator="equal">
      <formula>"disabled"</formula>
    </cfRule>
    <cfRule type="cellIs" dxfId="491" priority="84" operator="equal">
      <formula>"connect"</formula>
    </cfRule>
  </conditionalFormatting>
  <conditionalFormatting sqref="C61:C62">
    <cfRule type="cellIs" dxfId="490" priority="77" operator="equal">
      <formula>"reserved"</formula>
    </cfRule>
    <cfRule type="cellIs" dxfId="489" priority="78" operator="equal">
      <formula>"notconnect"</formula>
    </cfRule>
    <cfRule type="cellIs" dxfId="488" priority="79" operator="equal">
      <formula>"disabled"</formula>
    </cfRule>
    <cfRule type="cellIs" dxfId="487" priority="80" operator="equal">
      <formula>"connect"</formula>
    </cfRule>
  </conditionalFormatting>
  <conditionalFormatting sqref="C50">
    <cfRule type="cellIs" dxfId="486" priority="73" operator="equal">
      <formula>"reserved"</formula>
    </cfRule>
    <cfRule type="cellIs" dxfId="485" priority="74" operator="equal">
      <formula>"notconnect"</formula>
    </cfRule>
    <cfRule type="cellIs" dxfId="484" priority="75" operator="equal">
      <formula>"disabled"</formula>
    </cfRule>
    <cfRule type="cellIs" dxfId="483" priority="76" operator="equal">
      <formula>"connect"</formula>
    </cfRule>
  </conditionalFormatting>
  <conditionalFormatting sqref="C49:C52">
    <cfRule type="cellIs" dxfId="482" priority="69" operator="equal">
      <formula>"reserved"</formula>
    </cfRule>
    <cfRule type="cellIs" dxfId="481" priority="70" operator="equal">
      <formula>"notconnect"</formula>
    </cfRule>
    <cfRule type="cellIs" dxfId="480" priority="71" operator="equal">
      <formula>"disabled"</formula>
    </cfRule>
    <cfRule type="cellIs" dxfId="479" priority="72" operator="equal">
      <formula>"connect"</formula>
    </cfRule>
  </conditionalFormatting>
  <conditionalFormatting sqref="C51:C56">
    <cfRule type="cellIs" dxfId="478" priority="65" operator="equal">
      <formula>"reserved"</formula>
    </cfRule>
    <cfRule type="cellIs" dxfId="477" priority="66" operator="equal">
      <formula>"notconnect"</formula>
    </cfRule>
    <cfRule type="cellIs" dxfId="476" priority="67" operator="equal">
      <formula>"disabled"</formula>
    </cfRule>
    <cfRule type="cellIs" dxfId="475" priority="68" operator="equal">
      <formula>"connect"</formula>
    </cfRule>
  </conditionalFormatting>
  <conditionalFormatting sqref="C55:C58">
    <cfRule type="cellIs" dxfId="474" priority="61" operator="equal">
      <formula>"reserved"</formula>
    </cfRule>
    <cfRule type="cellIs" dxfId="473" priority="62" operator="equal">
      <formula>"notconnect"</formula>
    </cfRule>
    <cfRule type="cellIs" dxfId="472" priority="63" operator="equal">
      <formula>"disabled"</formula>
    </cfRule>
    <cfRule type="cellIs" dxfId="471" priority="64" operator="equal">
      <formula>"connect"</formula>
    </cfRule>
  </conditionalFormatting>
  <conditionalFormatting sqref="C58 C49">
    <cfRule type="cellIs" dxfId="470" priority="57" operator="equal">
      <formula>"reserved"</formula>
    </cfRule>
    <cfRule type="cellIs" dxfId="469" priority="58" operator="equal">
      <formula>"notconnect"</formula>
    </cfRule>
    <cfRule type="cellIs" dxfId="468" priority="59" operator="equal">
      <formula>"disabled"</formula>
    </cfRule>
    <cfRule type="cellIs" dxfId="467" priority="60" operator="equal">
      <formula>"connect"</formula>
    </cfRule>
  </conditionalFormatting>
  <conditionalFormatting sqref="C60">
    <cfRule type="cellIs" dxfId="466" priority="53" operator="equal">
      <formula>"reserved"</formula>
    </cfRule>
    <cfRule type="cellIs" dxfId="465" priority="54" operator="equal">
      <formula>"notconnect"</formula>
    </cfRule>
    <cfRule type="cellIs" dxfId="464" priority="55" operator="equal">
      <formula>"disabled"</formula>
    </cfRule>
    <cfRule type="cellIs" dxfId="463" priority="56" operator="equal">
      <formula>"connect"</formula>
    </cfRule>
  </conditionalFormatting>
  <conditionalFormatting sqref="C48">
    <cfRule type="cellIs" dxfId="462" priority="49" operator="equal">
      <formula>"reserved"</formula>
    </cfRule>
    <cfRule type="cellIs" dxfId="461" priority="50" operator="equal">
      <formula>"notconnect"</formula>
    </cfRule>
    <cfRule type="cellIs" dxfId="460" priority="51" operator="equal">
      <formula>"disabled"</formula>
    </cfRule>
    <cfRule type="cellIs" dxfId="459" priority="52" operator="equal">
      <formula>"connect"</formula>
    </cfRule>
  </conditionalFormatting>
  <conditionalFormatting sqref="C43:C44">
    <cfRule type="cellIs" dxfId="458" priority="45" operator="equal">
      <formula>"reserved"</formula>
    </cfRule>
    <cfRule type="cellIs" dxfId="457" priority="46" operator="equal">
      <formula>"notconnect"</formula>
    </cfRule>
    <cfRule type="cellIs" dxfId="456" priority="47" operator="equal">
      <formula>"disabled"</formula>
    </cfRule>
    <cfRule type="cellIs" dxfId="455" priority="48" operator="equal">
      <formula>"connect"</formula>
    </cfRule>
  </conditionalFormatting>
  <conditionalFormatting sqref="C38">
    <cfRule type="cellIs" dxfId="454" priority="41" operator="equal">
      <formula>"reserved"</formula>
    </cfRule>
    <cfRule type="cellIs" dxfId="453" priority="42" operator="equal">
      <formula>"notconnect"</formula>
    </cfRule>
    <cfRule type="cellIs" dxfId="452" priority="43" operator="equal">
      <formula>"disabled"</formula>
    </cfRule>
    <cfRule type="cellIs" dxfId="451" priority="44" operator="equal">
      <formula>"connect"</formula>
    </cfRule>
  </conditionalFormatting>
  <conditionalFormatting sqref="C36">
    <cfRule type="cellIs" dxfId="450" priority="37" operator="equal">
      <formula>"reserved"</formula>
    </cfRule>
    <cfRule type="cellIs" dxfId="449" priority="38" operator="equal">
      <formula>"notconnect"</formula>
    </cfRule>
    <cfRule type="cellIs" dxfId="448" priority="39" operator="equal">
      <formula>"disabled"</formula>
    </cfRule>
    <cfRule type="cellIs" dxfId="447" priority="40" operator="equal">
      <formula>"connect"</formula>
    </cfRule>
  </conditionalFormatting>
  <conditionalFormatting sqref="C31:C32">
    <cfRule type="cellIs" dxfId="446" priority="33" operator="equal">
      <formula>"reserved"</formula>
    </cfRule>
    <cfRule type="cellIs" dxfId="445" priority="34" operator="equal">
      <formula>"notconnect"</formula>
    </cfRule>
    <cfRule type="cellIs" dxfId="444" priority="35" operator="equal">
      <formula>"disabled"</formula>
    </cfRule>
    <cfRule type="cellIs" dxfId="443" priority="36" operator="equal">
      <formula>"connect"</formula>
    </cfRule>
  </conditionalFormatting>
  <conditionalFormatting sqref="C26">
    <cfRule type="cellIs" dxfId="442" priority="29" operator="equal">
      <formula>"reserved"</formula>
    </cfRule>
    <cfRule type="cellIs" dxfId="441" priority="30" operator="equal">
      <formula>"notconnect"</formula>
    </cfRule>
    <cfRule type="cellIs" dxfId="440" priority="31" operator="equal">
      <formula>"disabled"</formula>
    </cfRule>
    <cfRule type="cellIs" dxfId="439" priority="32" operator="equal">
      <formula>"connect"</formula>
    </cfRule>
  </conditionalFormatting>
  <conditionalFormatting sqref="C23">
    <cfRule type="cellIs" dxfId="438" priority="25" operator="equal">
      <formula>"reserved"</formula>
    </cfRule>
    <cfRule type="cellIs" dxfId="437" priority="26" operator="equal">
      <formula>"notconnect"</formula>
    </cfRule>
    <cfRule type="cellIs" dxfId="436" priority="27" operator="equal">
      <formula>"disabled"</formula>
    </cfRule>
    <cfRule type="cellIs" dxfId="435" priority="28" operator="equal">
      <formula>"connect"</formula>
    </cfRule>
  </conditionalFormatting>
  <conditionalFormatting sqref="C20">
    <cfRule type="cellIs" dxfId="434" priority="21" operator="equal">
      <formula>"reserved"</formula>
    </cfRule>
    <cfRule type="cellIs" dxfId="433" priority="22" operator="equal">
      <formula>"notconnect"</formula>
    </cfRule>
    <cfRule type="cellIs" dxfId="432" priority="23" operator="equal">
      <formula>"disabled"</formula>
    </cfRule>
    <cfRule type="cellIs" dxfId="431" priority="24" operator="equal">
      <formula>"connect"</formula>
    </cfRule>
  </conditionalFormatting>
  <conditionalFormatting sqref="C17:C64">
    <cfRule type="cellIs" dxfId="430" priority="17" operator="equal">
      <formula>"reserved"</formula>
    </cfRule>
    <cfRule type="cellIs" dxfId="429" priority="18" operator="equal">
      <formula>"notconnect"</formula>
    </cfRule>
    <cfRule type="cellIs" dxfId="428" priority="19" operator="equal">
      <formula>"disabled"</formula>
    </cfRule>
    <cfRule type="cellIs" dxfId="427" priority="20" operator="equal">
      <formula>"connect"</formula>
    </cfRule>
  </conditionalFormatting>
  <conditionalFormatting sqref="C69:C75">
    <cfRule type="cellIs" dxfId="426" priority="13" operator="equal">
      <formula>"reserved"</formula>
    </cfRule>
    <cfRule type="cellIs" dxfId="425" priority="14" operator="equal">
      <formula>"notconnect"</formula>
    </cfRule>
    <cfRule type="cellIs" dxfId="424" priority="15" operator="equal">
      <formula>"disabled"</formula>
    </cfRule>
    <cfRule type="cellIs" dxfId="423" priority="16" operator="equal">
      <formula>"connect"</formula>
    </cfRule>
  </conditionalFormatting>
  <conditionalFormatting sqref="C79:C80">
    <cfRule type="cellIs" dxfId="422" priority="9" operator="equal">
      <formula>"reserved"</formula>
    </cfRule>
    <cfRule type="cellIs" dxfId="421" priority="10" operator="equal">
      <formula>"notconnect"</formula>
    </cfRule>
    <cfRule type="cellIs" dxfId="420" priority="11" operator="equal">
      <formula>"disabled"</formula>
    </cfRule>
    <cfRule type="cellIs" dxfId="419" priority="12" operator="equal">
      <formula>"connect"</formula>
    </cfRule>
  </conditionalFormatting>
  <conditionalFormatting sqref="C18">
    <cfRule type="cellIs" dxfId="418" priority="5" operator="equal">
      <formula>"reserved"</formula>
    </cfRule>
    <cfRule type="cellIs" dxfId="417" priority="6" operator="equal">
      <formula>"notconnect"</formula>
    </cfRule>
    <cfRule type="cellIs" dxfId="416" priority="7" operator="equal">
      <formula>"disabled"</formula>
    </cfRule>
    <cfRule type="cellIs" dxfId="415" priority="8" operator="equal">
      <formula>"connect"</formula>
    </cfRule>
  </conditionalFormatting>
  <conditionalFormatting sqref="C68">
    <cfRule type="cellIs" dxfId="414" priority="1" operator="equal">
      <formula>"reserved"</formula>
    </cfRule>
    <cfRule type="cellIs" dxfId="413" priority="2" operator="equal">
      <formula>"notconnect"</formula>
    </cfRule>
    <cfRule type="cellIs" dxfId="412" priority="3" operator="equal">
      <formula>"disabled"</formula>
    </cfRule>
    <cfRule type="cellIs" dxfId="411" priority="4" operator="equal">
      <formula>"connect"</formula>
    </cfRule>
  </conditionalFormatting>
  <dataValidations count="5">
    <dataValidation allowBlank="1" showInputMessage="1" sqref="E68:E75 E17:E64" xr:uid="{54819138-5971-4736-8FB4-4CBF00DF13E5}"/>
    <dataValidation type="list" allowBlank="1" showInputMessage="1" sqref="F17:F64" xr:uid="{DB455289-C5EB-4793-88CE-87319F6484F6}">
      <formula1>SPEED_DUPLEX_LIST</formula1>
    </dataValidation>
    <dataValidation type="list" allowBlank="1" showInputMessage="1" sqref="D68:D75" xr:uid="{0DCE0585-21FE-4B7E-98CF-F3AC5BD0D448}">
      <formula1>VLAN_ID_LIST</formula1>
    </dataValidation>
    <dataValidation type="list" allowBlank="1" showInputMessage="1" sqref="C79:C80 C17:C64 C68:C75" xr:uid="{F1CF91CC-822D-464C-BE4C-939C8E90481D}">
      <formula1>PORT_STATE_LIST</formula1>
    </dataValidation>
    <dataValidation type="list" allowBlank="1" showInputMessage="1" sqref="G68:G75 G17:G64" xr:uid="{E824EE4B-E173-4AC8-AB98-BC858791A9CE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487F-54EA-44D2-87D4-1EE756829BCD}">
  <sheetPr codeName="Sheet32">
    <tabColor rgb="FFEDCAC9"/>
    <pageSetUpPr fitToPage="1"/>
  </sheetPr>
  <dimension ref="A1:J81"/>
  <sheetViews>
    <sheetView zoomScaleNormal="100" workbookViewId="0">
      <selection activeCell="C23" sqref="C23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6384" width="9" style="111"/>
  </cols>
  <sheetData>
    <row r="1" spans="1:10" ht="24" customHeight="1">
      <c r="A1" s="108" t="s">
        <v>1801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0" ht="13.2">
      <c r="B2" s="112"/>
      <c r="C2" s="112"/>
      <c r="D2" s="112"/>
      <c r="E2" s="112"/>
      <c r="F2" s="112"/>
      <c r="G2" s="112"/>
    </row>
    <row r="3" spans="1:10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49</v>
      </c>
    </row>
    <row r="4" spans="1:10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FGHVLN71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Vicar Lane</v>
      </c>
    </row>
    <row r="5" spans="1:10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Ground FLOOR</v>
      </c>
    </row>
    <row r="6" spans="1:10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</row>
    <row r="7" spans="1:10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FCW2321D08V</v>
      </c>
    </row>
    <row r="8" spans="1:10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10.227.160.1</v>
      </c>
    </row>
    <row r="9" spans="1:10">
      <c r="G9" s="111"/>
    </row>
    <row r="10" spans="1:10" ht="13.2">
      <c r="B10" s="113" t="s">
        <v>1814</v>
      </c>
      <c r="C10" s="119" t="str">
        <f>IF(C12="","Single Unit","Unit "&amp;C11&amp;" of "&amp;C12)</f>
        <v>Unit 2 of 2</v>
      </c>
      <c r="D10" s="113"/>
      <c r="F10" s="113" t="s">
        <v>2656</v>
      </c>
      <c r="G10" s="120" t="str">
        <f>IF(AND(G11="",G13=""),"WARNING: No Uplinks","")</f>
        <v>WARNING: No Uplinks</v>
      </c>
      <c r="H10" s="113"/>
    </row>
    <row r="11" spans="1:10">
      <c r="B11" s="116" t="s">
        <v>1832</v>
      </c>
      <c r="C11" s="117" t="str">
        <f>INDEX(SWITCH_TABLE[#Data],$H$3,MATCH(B11,SWITCH_TABLE[#Headers],0))</f>
        <v>2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</row>
    <row r="12" spans="1:10">
      <c r="B12" s="116" t="s">
        <v>1833</v>
      </c>
      <c r="C12" s="117">
        <f>INDEX(SWITCH_TABLE[#Data],$H$3,MATCH(B12,SWITCH_TABLE[#Headers],0))</f>
        <v>2</v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</row>
    <row r="13" spans="1:10">
      <c r="B13" s="116" t="s">
        <v>1837</v>
      </c>
      <c r="C13" s="117" t="str">
        <f>INDEX(SWITCH_TABLE[#Data],$H$3,MATCH(B13,SWITCH_TABLE[#Headers],0))</f>
        <v>FGHVLN71-1</v>
      </c>
      <c r="D13" s="117" t="str">
        <f>INDEX(SWITCH_TABLE[#Data],$H$3,MATCH("Next Port",SWITCH_TABLE[#Headers],0))</f>
        <v>st1/2</v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</row>
    <row r="14" spans="1:10">
      <c r="B14" s="116" t="s">
        <v>1842</v>
      </c>
      <c r="C14" s="117" t="str">
        <f>INDEX(SWITCH_TABLE[#Data],$H$3,MATCH(B14,SWITCH_TABLE[#Headers],0))</f>
        <v>FGHVLN71-1</v>
      </c>
      <c r="D14" s="117" t="str">
        <f>INDEX(SWITCH_TABLE[#Data],$H$3,MATCH("Prev Port",SWITCH_TABLE[#Headers],0))</f>
        <v>st1/1</v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</row>
    <row r="15" spans="1:10">
      <c r="H15" s="114"/>
    </row>
    <row r="16" spans="1:10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gi2/0/1</v>
      </c>
      <c r="C17" s="122" t="s">
        <v>2610</v>
      </c>
      <c r="D17" s="143" t="s">
        <v>2750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1988</v>
      </c>
      <c r="G17" s="122" t="s">
        <v>1991</v>
      </c>
      <c r="H17" s="125" t="s">
        <v>859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gi2/0/2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43"/>
      <c r="E18" s="123"/>
      <c r="F18" s="122"/>
      <c r="G18" s="122"/>
      <c r="H18" s="125"/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gi2/0/3</v>
      </c>
      <c r="C19" s="122" t="s">
        <v>2608</v>
      </c>
      <c r="D19" s="143">
        <v>3162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1988</v>
      </c>
      <c r="G19" s="122" t="s">
        <v>1991</v>
      </c>
      <c r="H19" s="125" t="s">
        <v>2761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gi2/0/4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gi2/0/5</v>
      </c>
      <c r="C21" s="122" t="s">
        <v>2608</v>
      </c>
      <c r="D21" s="143">
        <v>3161</v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">
        <v>2752</v>
      </c>
      <c r="G21" s="122" t="s">
        <v>2759</v>
      </c>
      <c r="H21" s="125" t="s">
        <v>2762</v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gi2/0/6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gi2/0/7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gi2/0/8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gi2/0/9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gi2/0/10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gi2/0/11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gi2/0/12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gi2/0/13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gi2/0/14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gi2/0/15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gi2/0/16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gi2/0/17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gi2/0/18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gi2/0/19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gi2/0/20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gi2/0/21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gi2/0/22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gi2/0/23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gi2/0/24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0">
      <c r="A65" s="126"/>
      <c r="B65" s="127"/>
      <c r="C65" s="127"/>
      <c r="D65" s="127"/>
      <c r="E65" s="127"/>
      <c r="F65" s="127"/>
      <c r="G65" s="127"/>
      <c r="H65" s="127"/>
      <c r="J65" s="127"/>
    </row>
    <row r="67" spans="1:10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0">
      <c r="A68" s="121">
        <f t="shared" ref="A68:A75" si="2">ROW(A68)-ROW($A$67)+$A$67</f>
        <v>1</v>
      </c>
      <c r="B68" s="116" t="str">
        <f t="shared" ref="B68:B75" si="3">IF(A68&gt;$C$8,"",$D$8&amp;$C$11&amp;"/1/"&amp;A68)</f>
        <v>gi2/1/1</v>
      </c>
      <c r="C68" s="122" t="str" cm="1">
        <f t="array" ref="C68">_xlfn.IFS($B68="","",$B68=$B$79,"reserved",$B68=$B$80,"reserved",$B68=$G$11,"connect",$B68=$G$13,"connect",1=1,"disabled")</f>
        <v>disabled</v>
      </c>
      <c r="D68" s="122" t="str" cm="1">
        <f t="array" ref="D68">_xlfn.IFS($B68="","",$B68=$G$11,"TRUNK",$B68=$G$13,"TRUNK",1=1,"")</f>
        <v/>
      </c>
      <c r="E68" s="123" t="str" cm="1">
        <f t="array" ref="E68">_xlfn.IFS($B68="","",OR($B68=$G$11,$B68=$G$13),INDEX(SWITCH_TABLE[#Data],$H$3,MATCH("Local EC",SWITCH_TABLE[#Headers],0)),1=1,"")</f>
        <v/>
      </c>
      <c r="F68" s="124" t="str" cm="1">
        <f t="array" ref="F68">_xlfn.IFS($B68="","",$B68=$G$11,"Uplink Port 1",$B68=$G$13,"Uplink Port 2",$B68=$B$79,"Stack Port 1",$B68=$B$80,"Stack Port 2",1=1,"")</f>
        <v/>
      </c>
      <c r="G68" s="122" t="str" cm="1">
        <f t="array" ref="G68">_xlfn.IFS($B68="","",$B68=$G$11,$H$11,$B68=$G$13,$H$13,1=1,"")</f>
        <v/>
      </c>
      <c r="H68" s="131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0">
      <c r="A69" s="121">
        <f t="shared" si="2"/>
        <v>2</v>
      </c>
      <c r="B69" s="116" t="str">
        <f t="shared" si="3"/>
        <v>gi2/1/2</v>
      </c>
      <c r="C69" s="122" t="str" cm="1">
        <f t="array" ref="C69">_xlfn.IFS($B69="","",$B69=$B$79,"reserved",$B69=$B$80,"reserved",$B69=$G$11,"connect",$B69=$G$13,"connect",1=1,"disabled")</f>
        <v>disabled</v>
      </c>
      <c r="D69" s="122" t="str" cm="1">
        <f t="array" ref="D69">_xlfn.IFS($B69="","",$B69=$G$11,"TRUNK",$B69=$G$13,"TRUNK",1=1,"")</f>
        <v/>
      </c>
      <c r="E69" s="123" t="str" cm="1">
        <f t="array" ref="E69">_xlfn.IFS($B69="","",OR($B69=$G$11,$B69=$G$13),INDEX(SWITCH_TABLE[#Data],$H$3,MATCH("Local EC",SWITCH_TABLE[#Headers],0)),1=1,"")</f>
        <v/>
      </c>
      <c r="F69" s="124" t="str" cm="1">
        <f t="array" ref="F69">_xlfn.IFS($B69="","",$B69=$G$11,"Uplink Port 1",$B69=$G$13,"Uplink Port 2",$B69=$B$79,"Stack Port 1",$B69=$B$80,"Stack Port 2",1=1,"")</f>
        <v/>
      </c>
      <c r="G69" s="122" t="str" cm="1">
        <f t="array" ref="G69">_xlfn.IFS($B69="","",$B69=$G$11,$H$11,$B69=$G$13,$H$13,1=1,"")</f>
        <v/>
      </c>
      <c r="H69" s="13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0">
      <c r="A70" s="121">
        <f t="shared" si="2"/>
        <v>3</v>
      </c>
      <c r="B70" s="116" t="str">
        <f t="shared" si="3"/>
        <v>gi2/1/3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0">
      <c r="A71" s="121">
        <f t="shared" si="2"/>
        <v>4</v>
      </c>
      <c r="B71" s="116" t="str">
        <f t="shared" si="3"/>
        <v>gi2/1/4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0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0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0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0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0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0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0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>st2/1</v>
      </c>
      <c r="C79" s="122" t="str">
        <f>IF(B79="","","connect")</f>
        <v>connect</v>
      </c>
      <c r="D79" s="124"/>
      <c r="E79" s="124"/>
      <c r="F79" s="124" t="str">
        <f>IF(B79="","","Stack Port 1")</f>
        <v>Stack Port 1</v>
      </c>
      <c r="G79" s="118" t="str" cm="1">
        <f t="array" ref="G79">IF($C$12="","",INDEX(SWITCH_TABLE[#Data],$H$3,MATCH("Stack Port "&amp;A79&amp;" SFP",SWITCH_TABLE[#Headers],0)))</f>
        <v>STACKWISE</v>
      </c>
      <c r="H79" s="118" t="str">
        <f>C13&amp;" "&amp;D13</f>
        <v>FGHVLN71-1 st1/2</v>
      </c>
    </row>
    <row r="80" spans="1:10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>st2/2</v>
      </c>
      <c r="C80" s="122" t="str">
        <f>IF(B80="","","connect")</f>
        <v>connect</v>
      </c>
      <c r="D80" s="124"/>
      <c r="E80" s="124"/>
      <c r="F80" s="124" t="str">
        <f>IF(B80="","","Stack Port 1")</f>
        <v>Stack Port 1</v>
      </c>
      <c r="G80" s="118" t="str" cm="1">
        <f t="array" ref="G80">IF($C$12="","",INDEX(SWITCH_TABLE[#Data],$H$3,MATCH("Stack Port "&amp;A80&amp;" SFP",SWITCH_TABLE[#Headers],0)))</f>
        <v>STACKWISE</v>
      </c>
      <c r="H80" s="118" t="str">
        <f>C14&amp;" "&amp;D14</f>
        <v>FGHVLN71-1 st1/1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410" priority="113" operator="equal">
      <formula>"reserved"</formula>
    </cfRule>
    <cfRule type="cellIs" dxfId="409" priority="114" operator="equal">
      <formula>"notconnect"</formula>
    </cfRule>
    <cfRule type="cellIs" dxfId="408" priority="115" operator="equal">
      <formula>"disabled"</formula>
    </cfRule>
    <cfRule type="cellIs" dxfId="407" priority="116" operator="equal">
      <formula>"connect"</formula>
    </cfRule>
  </conditionalFormatting>
  <conditionalFormatting sqref="C63:C64">
    <cfRule type="cellIs" dxfId="406" priority="109" operator="equal">
      <formula>"reserved"</formula>
    </cfRule>
    <cfRule type="cellIs" dxfId="405" priority="110" operator="equal">
      <formula>"notconnect"</formula>
    </cfRule>
    <cfRule type="cellIs" dxfId="404" priority="111" operator="equal">
      <formula>"disabled"</formula>
    </cfRule>
    <cfRule type="cellIs" dxfId="403" priority="112" operator="equal">
      <formula>"connect"</formula>
    </cfRule>
  </conditionalFormatting>
  <conditionalFormatting sqref="C22">
    <cfRule type="cellIs" dxfId="402" priority="105" operator="equal">
      <formula>"reserved"</formula>
    </cfRule>
    <cfRule type="cellIs" dxfId="401" priority="106" operator="equal">
      <formula>"notconnect"</formula>
    </cfRule>
    <cfRule type="cellIs" dxfId="400" priority="107" operator="equal">
      <formula>"disabled"</formula>
    </cfRule>
    <cfRule type="cellIs" dxfId="399" priority="108" operator="equal">
      <formula>"connect"</formula>
    </cfRule>
  </conditionalFormatting>
  <conditionalFormatting sqref="C40:C42 C45:C47">
    <cfRule type="cellIs" dxfId="398" priority="101" operator="equal">
      <formula>"reserved"</formula>
    </cfRule>
    <cfRule type="cellIs" dxfId="397" priority="102" operator="equal">
      <formula>"notconnect"</formula>
    </cfRule>
    <cfRule type="cellIs" dxfId="396" priority="103" operator="equal">
      <formula>"disabled"</formula>
    </cfRule>
    <cfRule type="cellIs" dxfId="395" priority="104" operator="equal">
      <formula>"connect"</formula>
    </cfRule>
  </conditionalFormatting>
  <conditionalFormatting sqref="C42 C45:C47">
    <cfRule type="cellIs" dxfId="394" priority="97" operator="equal">
      <formula>"reserved"</formula>
    </cfRule>
    <cfRule type="cellIs" dxfId="393" priority="98" operator="equal">
      <formula>"notconnect"</formula>
    </cfRule>
    <cfRule type="cellIs" dxfId="392" priority="99" operator="equal">
      <formula>"disabled"</formula>
    </cfRule>
    <cfRule type="cellIs" dxfId="391" priority="100" operator="equal">
      <formula>"connect"</formula>
    </cfRule>
  </conditionalFormatting>
  <conditionalFormatting sqref="C46:C47 C49">
    <cfRule type="cellIs" dxfId="390" priority="93" operator="equal">
      <formula>"reserved"</formula>
    </cfRule>
    <cfRule type="cellIs" dxfId="389" priority="94" operator="equal">
      <formula>"notconnect"</formula>
    </cfRule>
    <cfRule type="cellIs" dxfId="388" priority="95" operator="equal">
      <formula>"disabled"</formula>
    </cfRule>
    <cfRule type="cellIs" dxfId="387" priority="96" operator="equal">
      <formula>"connect"</formula>
    </cfRule>
  </conditionalFormatting>
  <conditionalFormatting sqref="C61:C62">
    <cfRule type="cellIs" dxfId="386" priority="89" operator="equal">
      <formula>"reserved"</formula>
    </cfRule>
    <cfRule type="cellIs" dxfId="385" priority="90" operator="equal">
      <formula>"notconnect"</formula>
    </cfRule>
    <cfRule type="cellIs" dxfId="384" priority="91" operator="equal">
      <formula>"disabled"</formula>
    </cfRule>
    <cfRule type="cellIs" dxfId="383" priority="92" operator="equal">
      <formula>"connect"</formula>
    </cfRule>
  </conditionalFormatting>
  <conditionalFormatting sqref="C50">
    <cfRule type="cellIs" dxfId="382" priority="85" operator="equal">
      <formula>"reserved"</formula>
    </cfRule>
    <cfRule type="cellIs" dxfId="381" priority="86" operator="equal">
      <formula>"notconnect"</formula>
    </cfRule>
    <cfRule type="cellIs" dxfId="380" priority="87" operator="equal">
      <formula>"disabled"</formula>
    </cfRule>
    <cfRule type="cellIs" dxfId="379" priority="88" operator="equal">
      <formula>"connect"</formula>
    </cfRule>
  </conditionalFormatting>
  <conditionalFormatting sqref="C49:C52">
    <cfRule type="cellIs" dxfId="378" priority="81" operator="equal">
      <formula>"reserved"</formula>
    </cfRule>
    <cfRule type="cellIs" dxfId="377" priority="82" operator="equal">
      <formula>"notconnect"</formula>
    </cfRule>
    <cfRule type="cellIs" dxfId="376" priority="83" operator="equal">
      <formula>"disabled"</formula>
    </cfRule>
    <cfRule type="cellIs" dxfId="375" priority="84" operator="equal">
      <formula>"connect"</formula>
    </cfRule>
  </conditionalFormatting>
  <conditionalFormatting sqref="C51:C56">
    <cfRule type="cellIs" dxfId="374" priority="77" operator="equal">
      <formula>"reserved"</formula>
    </cfRule>
    <cfRule type="cellIs" dxfId="373" priority="78" operator="equal">
      <formula>"notconnect"</formula>
    </cfRule>
    <cfRule type="cellIs" dxfId="372" priority="79" operator="equal">
      <formula>"disabled"</formula>
    </cfRule>
    <cfRule type="cellIs" dxfId="371" priority="80" operator="equal">
      <formula>"connect"</formula>
    </cfRule>
  </conditionalFormatting>
  <conditionalFormatting sqref="C55:C58">
    <cfRule type="cellIs" dxfId="370" priority="73" operator="equal">
      <formula>"reserved"</formula>
    </cfRule>
    <cfRule type="cellIs" dxfId="369" priority="74" operator="equal">
      <formula>"notconnect"</formula>
    </cfRule>
    <cfRule type="cellIs" dxfId="368" priority="75" operator="equal">
      <formula>"disabled"</formula>
    </cfRule>
    <cfRule type="cellIs" dxfId="367" priority="76" operator="equal">
      <formula>"connect"</formula>
    </cfRule>
  </conditionalFormatting>
  <conditionalFormatting sqref="C58 C49">
    <cfRule type="cellIs" dxfId="366" priority="69" operator="equal">
      <formula>"reserved"</formula>
    </cfRule>
    <cfRule type="cellIs" dxfId="365" priority="70" operator="equal">
      <formula>"notconnect"</formula>
    </cfRule>
    <cfRule type="cellIs" dxfId="364" priority="71" operator="equal">
      <formula>"disabled"</formula>
    </cfRule>
    <cfRule type="cellIs" dxfId="363" priority="72" operator="equal">
      <formula>"connect"</formula>
    </cfRule>
  </conditionalFormatting>
  <conditionalFormatting sqref="C60">
    <cfRule type="cellIs" dxfId="362" priority="65" operator="equal">
      <formula>"reserved"</formula>
    </cfRule>
    <cfRule type="cellIs" dxfId="361" priority="66" operator="equal">
      <formula>"notconnect"</formula>
    </cfRule>
    <cfRule type="cellIs" dxfId="360" priority="67" operator="equal">
      <formula>"disabled"</formula>
    </cfRule>
    <cfRule type="cellIs" dxfId="359" priority="68" operator="equal">
      <formula>"connect"</formula>
    </cfRule>
  </conditionalFormatting>
  <conditionalFormatting sqref="C48">
    <cfRule type="cellIs" dxfId="358" priority="61" operator="equal">
      <formula>"reserved"</formula>
    </cfRule>
    <cfRule type="cellIs" dxfId="357" priority="62" operator="equal">
      <formula>"notconnect"</formula>
    </cfRule>
    <cfRule type="cellIs" dxfId="356" priority="63" operator="equal">
      <formula>"disabled"</formula>
    </cfRule>
    <cfRule type="cellIs" dxfId="355" priority="64" operator="equal">
      <formula>"connect"</formula>
    </cfRule>
  </conditionalFormatting>
  <conditionalFormatting sqref="C43:C44">
    <cfRule type="cellIs" dxfId="354" priority="57" operator="equal">
      <formula>"reserved"</formula>
    </cfRule>
    <cfRule type="cellIs" dxfId="353" priority="58" operator="equal">
      <formula>"notconnect"</formula>
    </cfRule>
    <cfRule type="cellIs" dxfId="352" priority="59" operator="equal">
      <formula>"disabled"</formula>
    </cfRule>
    <cfRule type="cellIs" dxfId="351" priority="60" operator="equal">
      <formula>"connect"</formula>
    </cfRule>
  </conditionalFormatting>
  <conditionalFormatting sqref="C38">
    <cfRule type="cellIs" dxfId="350" priority="53" operator="equal">
      <formula>"reserved"</formula>
    </cfRule>
    <cfRule type="cellIs" dxfId="349" priority="54" operator="equal">
      <formula>"notconnect"</formula>
    </cfRule>
    <cfRule type="cellIs" dxfId="348" priority="55" operator="equal">
      <formula>"disabled"</formula>
    </cfRule>
    <cfRule type="cellIs" dxfId="347" priority="56" operator="equal">
      <formula>"connect"</formula>
    </cfRule>
  </conditionalFormatting>
  <conditionalFormatting sqref="C36">
    <cfRule type="cellIs" dxfId="346" priority="49" operator="equal">
      <formula>"reserved"</formula>
    </cfRule>
    <cfRule type="cellIs" dxfId="345" priority="50" operator="equal">
      <formula>"notconnect"</formula>
    </cfRule>
    <cfRule type="cellIs" dxfId="344" priority="51" operator="equal">
      <formula>"disabled"</formula>
    </cfRule>
    <cfRule type="cellIs" dxfId="343" priority="52" operator="equal">
      <formula>"connect"</formula>
    </cfRule>
  </conditionalFormatting>
  <conditionalFormatting sqref="C31:C32">
    <cfRule type="cellIs" dxfId="342" priority="45" operator="equal">
      <formula>"reserved"</formula>
    </cfRule>
    <cfRule type="cellIs" dxfId="341" priority="46" operator="equal">
      <formula>"notconnect"</formula>
    </cfRule>
    <cfRule type="cellIs" dxfId="340" priority="47" operator="equal">
      <formula>"disabled"</formula>
    </cfRule>
    <cfRule type="cellIs" dxfId="339" priority="48" operator="equal">
      <formula>"connect"</formula>
    </cfRule>
  </conditionalFormatting>
  <conditionalFormatting sqref="C26">
    <cfRule type="cellIs" dxfId="338" priority="41" operator="equal">
      <formula>"reserved"</formula>
    </cfRule>
    <cfRule type="cellIs" dxfId="337" priority="42" operator="equal">
      <formula>"notconnect"</formula>
    </cfRule>
    <cfRule type="cellIs" dxfId="336" priority="43" operator="equal">
      <formula>"disabled"</formula>
    </cfRule>
    <cfRule type="cellIs" dxfId="335" priority="44" operator="equal">
      <formula>"connect"</formula>
    </cfRule>
  </conditionalFormatting>
  <conditionalFormatting sqref="C23">
    <cfRule type="cellIs" dxfId="334" priority="37" operator="equal">
      <formula>"reserved"</formula>
    </cfRule>
    <cfRule type="cellIs" dxfId="333" priority="38" operator="equal">
      <formula>"notconnect"</formula>
    </cfRule>
    <cfRule type="cellIs" dxfId="332" priority="39" operator="equal">
      <formula>"disabled"</formula>
    </cfRule>
    <cfRule type="cellIs" dxfId="331" priority="40" operator="equal">
      <formula>"connect"</formula>
    </cfRule>
  </conditionalFormatting>
  <conditionalFormatting sqref="C22:C64">
    <cfRule type="cellIs" dxfId="330" priority="33" operator="equal">
      <formula>"reserved"</formula>
    </cfRule>
    <cfRule type="cellIs" dxfId="329" priority="34" operator="equal">
      <formula>"notconnect"</formula>
    </cfRule>
    <cfRule type="cellIs" dxfId="328" priority="35" operator="equal">
      <formula>"disabled"</formula>
    </cfRule>
    <cfRule type="cellIs" dxfId="327" priority="36" operator="equal">
      <formula>"connect"</formula>
    </cfRule>
  </conditionalFormatting>
  <conditionalFormatting sqref="C68:C75">
    <cfRule type="cellIs" dxfId="326" priority="29" operator="equal">
      <formula>"reserved"</formula>
    </cfRule>
    <cfRule type="cellIs" dxfId="325" priority="30" operator="equal">
      <formula>"notconnect"</formula>
    </cfRule>
    <cfRule type="cellIs" dxfId="324" priority="31" operator="equal">
      <formula>"disabled"</formula>
    </cfRule>
    <cfRule type="cellIs" dxfId="323" priority="32" operator="equal">
      <formula>"connect"</formula>
    </cfRule>
  </conditionalFormatting>
  <conditionalFormatting sqref="C79:C80">
    <cfRule type="cellIs" dxfId="322" priority="25" operator="equal">
      <formula>"reserved"</formula>
    </cfRule>
    <cfRule type="cellIs" dxfId="321" priority="26" operator="equal">
      <formula>"notconnect"</formula>
    </cfRule>
    <cfRule type="cellIs" dxfId="320" priority="27" operator="equal">
      <formula>"disabled"</formula>
    </cfRule>
    <cfRule type="cellIs" dxfId="319" priority="28" operator="equal">
      <formula>"connect"</formula>
    </cfRule>
  </conditionalFormatting>
  <conditionalFormatting sqref="C21 C17:C18">
    <cfRule type="cellIs" dxfId="318" priority="21" operator="equal">
      <formula>"reserved"</formula>
    </cfRule>
    <cfRule type="cellIs" dxfId="317" priority="22" operator="equal">
      <formula>"notconnect"</formula>
    </cfRule>
    <cfRule type="cellIs" dxfId="316" priority="23" operator="equal">
      <formula>"disabled"</formula>
    </cfRule>
    <cfRule type="cellIs" dxfId="315" priority="24" operator="equal">
      <formula>"connect"</formula>
    </cfRule>
  </conditionalFormatting>
  <conditionalFormatting sqref="C20">
    <cfRule type="cellIs" dxfId="314" priority="17" operator="equal">
      <formula>"reserved"</formula>
    </cfRule>
    <cfRule type="cellIs" dxfId="313" priority="18" operator="equal">
      <formula>"notconnect"</formula>
    </cfRule>
    <cfRule type="cellIs" dxfId="312" priority="19" operator="equal">
      <formula>"disabled"</formula>
    </cfRule>
    <cfRule type="cellIs" dxfId="311" priority="20" operator="equal">
      <formula>"connect"</formula>
    </cfRule>
  </conditionalFormatting>
  <conditionalFormatting sqref="C17:C18 C20:C21">
    <cfRule type="cellIs" dxfId="310" priority="13" operator="equal">
      <formula>"reserved"</formula>
    </cfRule>
    <cfRule type="cellIs" dxfId="309" priority="14" operator="equal">
      <formula>"notconnect"</formula>
    </cfRule>
    <cfRule type="cellIs" dxfId="308" priority="15" operator="equal">
      <formula>"disabled"</formula>
    </cfRule>
    <cfRule type="cellIs" dxfId="307" priority="16" operator="equal">
      <formula>"connect"</formula>
    </cfRule>
  </conditionalFormatting>
  <conditionalFormatting sqref="C18">
    <cfRule type="cellIs" dxfId="306" priority="9" operator="equal">
      <formula>"reserved"</formula>
    </cfRule>
    <cfRule type="cellIs" dxfId="305" priority="10" operator="equal">
      <formula>"notconnect"</formula>
    </cfRule>
    <cfRule type="cellIs" dxfId="304" priority="11" operator="equal">
      <formula>"disabled"</formula>
    </cfRule>
    <cfRule type="cellIs" dxfId="303" priority="12" operator="equal">
      <formula>"connect"</formula>
    </cfRule>
  </conditionalFormatting>
  <conditionalFormatting sqref="C19">
    <cfRule type="cellIs" dxfId="302" priority="5" operator="equal">
      <formula>"reserved"</formula>
    </cfRule>
    <cfRule type="cellIs" dxfId="301" priority="6" operator="equal">
      <formula>"notconnect"</formula>
    </cfRule>
    <cfRule type="cellIs" dxfId="300" priority="7" operator="equal">
      <formula>"disabled"</formula>
    </cfRule>
    <cfRule type="cellIs" dxfId="299" priority="8" operator="equal">
      <formula>"connect"</formula>
    </cfRule>
  </conditionalFormatting>
  <conditionalFormatting sqref="C19">
    <cfRule type="cellIs" dxfId="298" priority="1" operator="equal">
      <formula>"reserved"</formula>
    </cfRule>
    <cfRule type="cellIs" dxfId="297" priority="2" operator="equal">
      <formula>"notconnect"</formula>
    </cfRule>
    <cfRule type="cellIs" dxfId="296" priority="3" operator="equal">
      <formula>"disabled"</formula>
    </cfRule>
    <cfRule type="cellIs" dxfId="295" priority="4" operator="equal">
      <formula>"connect"</formula>
    </cfRule>
  </conditionalFormatting>
  <dataValidations count="5">
    <dataValidation type="list" allowBlank="1" showInputMessage="1" sqref="G68:G75 G17:G64" xr:uid="{9FC92BEB-101A-404A-93C0-CDD42597F9D0}">
      <formula1>PORT_TYPE_LIST</formula1>
    </dataValidation>
    <dataValidation type="list" allowBlank="1" showInputMessage="1" sqref="C79:C80 C68:C75 C17:C64" xr:uid="{55E6AA68-D5E7-4C54-A195-28D4C0A57AE3}">
      <formula1>PORT_STATE_LIST</formula1>
    </dataValidation>
    <dataValidation type="list" allowBlank="1" showInputMessage="1" sqref="D68:D75" xr:uid="{2FB837E9-93E4-4CF2-990C-CD6A4D25DCBC}">
      <formula1>VLAN_ID_LIST</formula1>
    </dataValidation>
    <dataValidation type="list" allowBlank="1" showInputMessage="1" sqref="F17:F64" xr:uid="{69528A1E-B43B-48B6-8876-895C3E7244BA}">
      <formula1>SPEED_DUPLEX_LIST</formula1>
    </dataValidation>
    <dataValidation allowBlank="1" showInputMessage="1" sqref="E68:E75 E17:E64" xr:uid="{AB70F615-8B43-4054-BCF2-FD4A5159C9FF}"/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28285-91B0-4D3E-A3C2-B8606C03DB93}">
  <sheetPr codeName="Sheet35">
    <tabColor rgb="FFEDCAC9"/>
    <pageSetUpPr fitToPage="1"/>
  </sheetPr>
  <dimension ref="A1:L81"/>
  <sheetViews>
    <sheetView zoomScale="115" zoomScaleNormal="115" workbookViewId="0">
      <selection activeCell="C20" sqref="C20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2" width="9.109375" style="111" bestFit="1" customWidth="1"/>
    <col min="13" max="16384" width="9" style="111"/>
  </cols>
  <sheetData>
    <row r="1" spans="1:12" ht="24" customHeight="1">
      <c r="A1" s="108" t="s">
        <v>1119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2" ht="13.2">
      <c r="B2" s="112"/>
      <c r="C2" s="112"/>
      <c r="D2" s="112"/>
      <c r="E2" s="112"/>
      <c r="F2" s="112"/>
      <c r="G2" s="112"/>
      <c r="L2" s="113" t="s">
        <v>2697</v>
      </c>
    </row>
    <row r="3" spans="1:12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69</v>
      </c>
      <c r="L3" s="142" t="s">
        <v>1620</v>
      </c>
    </row>
    <row r="4" spans="1:12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FGHSDN71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Sheffield</v>
      </c>
      <c r="L4" s="142" t="s">
        <v>1744</v>
      </c>
    </row>
    <row r="5" spans="1:12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Comms Room 1</v>
      </c>
      <c r="L5" s="142" t="s">
        <v>2763</v>
      </c>
    </row>
    <row r="6" spans="1:12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  <c r="L6" s="142" t="s">
        <v>2764</v>
      </c>
    </row>
    <row r="7" spans="1:12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FCW2321L0B1</v>
      </c>
      <c r="L7" s="142"/>
    </row>
    <row r="8" spans="1:12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10.36.100.2</v>
      </c>
      <c r="L8" s="142"/>
    </row>
    <row r="9" spans="1:12">
      <c r="G9" s="111"/>
      <c r="L9" s="142"/>
    </row>
    <row r="10" spans="1:12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  <c r="L10" s="142"/>
    </row>
    <row r="11" spans="1:12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SFP SX</v>
      </c>
      <c r="L11" s="142"/>
    </row>
    <row r="12" spans="1:12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FGHSDN72</v>
      </c>
      <c r="H12" s="118" t="str" cm="1">
        <f t="array" ref="H12">IF(G12="","",INDEX(SWITCH_TABLE[#Data],$H$3,MATCH("Remote Port 1",SWITCH_TABLE[#Headers],0)))</f>
        <v>gi1/1/1</v>
      </c>
      <c r="L12" s="142"/>
    </row>
    <row r="13" spans="1:12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SFP SX</v>
      </c>
      <c r="L13" s="142"/>
    </row>
    <row r="14" spans="1:12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FGHSDN72</v>
      </c>
      <c r="H14" s="118" t="str" cm="1">
        <f t="array" ref="H14">IF(G14="","",INDEX(SWITCH_TABLE[#Data],$H$3,MATCH("Remote Port 2",SWITCH_TABLE[#Headers],0)))</f>
        <v>gi1/1/2</v>
      </c>
      <c r="L14" s="142"/>
    </row>
    <row r="15" spans="1:12">
      <c r="H15" s="114"/>
      <c r="L15" s="142"/>
    </row>
    <row r="16" spans="1:12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  <c r="L16" s="127"/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36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2752</v>
      </c>
      <c r="G17" s="122" t="s">
        <v>1991</v>
      </c>
      <c r="H17" s="125" t="s">
        <v>2765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29" t="str" cm="1">
        <f t="array" ref="D18">IF($J18&lt;&gt;"",INDEX(Connections!$B$4:$V$345,$J18,MATCH(D$16,Connections!$B$3:$V$3,0)),"")</f>
        <v/>
      </c>
      <c r="E18" s="123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122" t="str" cm="1">
        <f t="array" ref="F18">IF($J18&lt;&gt;"",INDEX(Connections!$B$4:$V$345,$J18,MATCH(F$16,Connections!$B$3:$V$3,0)),"")</f>
        <v/>
      </c>
      <c r="G18" s="122" t="str" cm="1">
        <f t="array" ref="G18">IF($J18&lt;&gt;"",INDEX(Connections!$B$4:$V$345,$J18,MATCH(G$16,Connections!$B$3:$V$3,0)),"")</f>
        <v/>
      </c>
      <c r="H18" s="125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37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2752</v>
      </c>
      <c r="G19" s="122" t="s">
        <v>1991</v>
      </c>
      <c r="H19" s="125" t="s">
        <v>2766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129" t="str" cm="1">
        <f t="array" ref="D21">IF($J21&lt;&gt;"",INDEX(Connections!$B$4:$V$345,$J21,MATCH(D$16,Connections!$B$3:$V$3,0)),"")</f>
        <v/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tr" cm="1">
        <f t="array" ref="F21">IF($J21&lt;&gt;"",INDEX(Connections!$B$4:$V$345,$J21,MATCH(F$16,Connections!$B$3:$V$3,0)),"")</f>
        <v/>
      </c>
      <c r="G21" s="122" t="str" cm="1">
        <f t="array" ref="G21">IF($J21&lt;&gt;"",INDEX(Connections!$B$4:$V$345,$J21,MATCH(G$16,Connections!$B$3:$V$3,0)),"")</f>
        <v/>
      </c>
      <c r="H21" s="125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">
        <v>2608</v>
      </c>
      <c r="D29" s="129">
        <v>20</v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">
        <v>2752</v>
      </c>
      <c r="G29" s="122" t="s">
        <v>1991</v>
      </c>
      <c r="H29" s="125" t="s">
        <v>2767</v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2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2">
      <c r="L66" s="111" t="s">
        <v>1816</v>
      </c>
    </row>
    <row r="67" spans="1:12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2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22" t="str" cm="1">
        <f t="array" ref="D68">_xlfn.IFS($B68="","",$B68=$G$11,"TRUNK",$B68=$G$13,"TRUNK",1=1,"")</f>
        <v>TRUNK</v>
      </c>
      <c r="E68" s="123" cm="1">
        <f t="array" ref="E68">_xlfn.IFS($B68="","",OR($B68=$G$11,$B68=$G$13),INDEX(SWITCH_TABLE[#Data],$H$3,MATCH("Local EC",SWITCH_TABLE[#Headers],0)),1=1,"")</f>
        <v>25</v>
      </c>
      <c r="F68" s="124" t="str" cm="1">
        <f t="array" ref="F68">_xlfn.IFS($B68="","",$B68=$G$11,"Uplink Port 1",$B68=$G$13,"Uplink Port 2",$B68=$B$79,"Stack Port 1",$B68=$B$80,"Stack Port 2",1=1,"")</f>
        <v>Uplink Port 1</v>
      </c>
      <c r="G68" s="122" t="str" cm="1">
        <f t="array" ref="G68">_xlfn.IFS($B68="","",$B68=$G$11,$H$11,$B68=$G$13,$H$13,1=1,"")</f>
        <v>1GB SFP SX</v>
      </c>
      <c r="H68" s="131" t="str" cm="1">
        <f t="array" ref="H68">_xlfn.IFS($B68="","",$B68=$G$11,$G$12&amp;" "&amp;H12,$B68=$G$13,$G$14&amp;" "&amp;$H$14,1=1,"")</f>
        <v>FGHSDN72 gi1/1/1</v>
      </c>
      <c r="J68" s="127">
        <f t="array" ref="J68">_xlfn.IFNA(MATCH(1,(SHEET_NAME=SWITCH_TABLE[Remote Device 1])*(B68=SWITCH_TABLE[Remote Port 1]),0),"")</f>
        <v>70</v>
      </c>
    </row>
    <row r="69" spans="1:12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22" t="str" cm="1">
        <f t="array" ref="D69">_xlfn.IFS($B69="","",$B69=$G$11,"TRUNK",$B69=$G$13,"TRUNK",1=1,"")</f>
        <v>TRUNK</v>
      </c>
      <c r="E69" s="123" cm="1">
        <f t="array" ref="E69">_xlfn.IFS($B69="","",OR($B69=$G$11,$B69=$G$13),INDEX(SWITCH_TABLE[#Data],$H$3,MATCH("Local EC",SWITCH_TABLE[#Headers],0)),1=1,"")</f>
        <v>25</v>
      </c>
      <c r="F69" s="124" t="str" cm="1">
        <f t="array" ref="F69">_xlfn.IFS($B69="","",$B69=$G$11,"Uplink Port 1",$B69=$G$13,"Uplink Port 2",$B69=$B$79,"Stack Port 1",$B69=$B$80,"Stack Port 2",1=1,"")</f>
        <v>Uplink Port 2</v>
      </c>
      <c r="G69" s="122" t="str" cm="1">
        <f t="array" ref="G69">_xlfn.IFS($B69="","",$B69=$G$11,$H$11,$B69=$G$13,$H$13,1=1,"")</f>
        <v>1GB SFP SX</v>
      </c>
      <c r="H69" s="131" t="str" cm="1">
        <f t="array" ref="H69">_xlfn.IFS($B69="","",$B69=$G$11,$G$12&amp;" "&amp;H13,$B69=$G$13,$G$14&amp;" "&amp;$H$14,1=1,"")</f>
        <v>FGHSDN72 gi1/1/2</v>
      </c>
      <c r="J69" s="127" t="str">
        <f t="array" ref="J69">_xlfn.IFNA(MATCH(1,(SHEET_NAME=SWITCH_TABLE[Remote Device 1])*(B69=SWITCH_TABLE[Remote Port 1]),0),"")</f>
        <v/>
      </c>
    </row>
    <row r="70" spans="1:12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2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2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2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2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2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2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2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2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2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1")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  <c r="L80" s="111" t="s">
        <v>1816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294" priority="97" operator="equal">
      <formula>"reserved"</formula>
    </cfRule>
    <cfRule type="cellIs" dxfId="293" priority="98" operator="equal">
      <formula>"notconnect"</formula>
    </cfRule>
    <cfRule type="cellIs" dxfId="292" priority="99" operator="equal">
      <formula>"disabled"</formula>
    </cfRule>
    <cfRule type="cellIs" dxfId="291" priority="100" operator="equal">
      <formula>"connect"</formula>
    </cfRule>
  </conditionalFormatting>
  <conditionalFormatting sqref="C63:C64">
    <cfRule type="cellIs" dxfId="290" priority="93" operator="equal">
      <formula>"reserved"</formula>
    </cfRule>
    <cfRule type="cellIs" dxfId="289" priority="94" operator="equal">
      <formula>"notconnect"</formula>
    </cfRule>
    <cfRule type="cellIs" dxfId="288" priority="95" operator="equal">
      <formula>"disabled"</formula>
    </cfRule>
    <cfRule type="cellIs" dxfId="287" priority="96" operator="equal">
      <formula>"connect"</formula>
    </cfRule>
  </conditionalFormatting>
  <conditionalFormatting sqref="C21:C22 C17:C19">
    <cfRule type="cellIs" dxfId="286" priority="89" operator="equal">
      <formula>"reserved"</formula>
    </cfRule>
    <cfRule type="cellIs" dxfId="285" priority="90" operator="equal">
      <formula>"notconnect"</formula>
    </cfRule>
    <cfRule type="cellIs" dxfId="284" priority="91" operator="equal">
      <formula>"disabled"</formula>
    </cfRule>
    <cfRule type="cellIs" dxfId="283" priority="92" operator="equal">
      <formula>"connect"</formula>
    </cfRule>
  </conditionalFormatting>
  <conditionalFormatting sqref="C40:C42 C45:C47">
    <cfRule type="cellIs" dxfId="282" priority="85" operator="equal">
      <formula>"reserved"</formula>
    </cfRule>
    <cfRule type="cellIs" dxfId="281" priority="86" operator="equal">
      <formula>"notconnect"</formula>
    </cfRule>
    <cfRule type="cellIs" dxfId="280" priority="87" operator="equal">
      <formula>"disabled"</formula>
    </cfRule>
    <cfRule type="cellIs" dxfId="279" priority="88" operator="equal">
      <formula>"connect"</formula>
    </cfRule>
  </conditionalFormatting>
  <conditionalFormatting sqref="C42 C45:C47">
    <cfRule type="cellIs" dxfId="278" priority="81" operator="equal">
      <formula>"reserved"</formula>
    </cfRule>
    <cfRule type="cellIs" dxfId="277" priority="82" operator="equal">
      <formula>"notconnect"</formula>
    </cfRule>
    <cfRule type="cellIs" dxfId="276" priority="83" operator="equal">
      <formula>"disabled"</formula>
    </cfRule>
    <cfRule type="cellIs" dxfId="275" priority="84" operator="equal">
      <formula>"connect"</formula>
    </cfRule>
  </conditionalFormatting>
  <conditionalFormatting sqref="C46:C47 C49">
    <cfRule type="cellIs" dxfId="274" priority="77" operator="equal">
      <formula>"reserved"</formula>
    </cfRule>
    <cfRule type="cellIs" dxfId="273" priority="78" operator="equal">
      <formula>"notconnect"</formula>
    </cfRule>
    <cfRule type="cellIs" dxfId="272" priority="79" operator="equal">
      <formula>"disabled"</formula>
    </cfRule>
    <cfRule type="cellIs" dxfId="271" priority="80" operator="equal">
      <formula>"connect"</formula>
    </cfRule>
  </conditionalFormatting>
  <conditionalFormatting sqref="C61:C62">
    <cfRule type="cellIs" dxfId="270" priority="73" operator="equal">
      <formula>"reserved"</formula>
    </cfRule>
    <cfRule type="cellIs" dxfId="269" priority="74" operator="equal">
      <formula>"notconnect"</formula>
    </cfRule>
    <cfRule type="cellIs" dxfId="268" priority="75" operator="equal">
      <formula>"disabled"</formula>
    </cfRule>
    <cfRule type="cellIs" dxfId="267" priority="76" operator="equal">
      <formula>"connect"</formula>
    </cfRule>
  </conditionalFormatting>
  <conditionalFormatting sqref="C50">
    <cfRule type="cellIs" dxfId="266" priority="69" operator="equal">
      <formula>"reserved"</formula>
    </cfRule>
    <cfRule type="cellIs" dxfId="265" priority="70" operator="equal">
      <formula>"notconnect"</formula>
    </cfRule>
    <cfRule type="cellIs" dxfId="264" priority="71" operator="equal">
      <formula>"disabled"</formula>
    </cfRule>
    <cfRule type="cellIs" dxfId="263" priority="72" operator="equal">
      <formula>"connect"</formula>
    </cfRule>
  </conditionalFormatting>
  <conditionalFormatting sqref="C49:C52">
    <cfRule type="cellIs" dxfId="262" priority="65" operator="equal">
      <formula>"reserved"</formula>
    </cfRule>
    <cfRule type="cellIs" dxfId="261" priority="66" operator="equal">
      <formula>"notconnect"</formula>
    </cfRule>
    <cfRule type="cellIs" dxfId="260" priority="67" operator="equal">
      <formula>"disabled"</formula>
    </cfRule>
    <cfRule type="cellIs" dxfId="259" priority="68" operator="equal">
      <formula>"connect"</formula>
    </cfRule>
  </conditionalFormatting>
  <conditionalFormatting sqref="C51:C56">
    <cfRule type="cellIs" dxfId="258" priority="61" operator="equal">
      <formula>"reserved"</formula>
    </cfRule>
    <cfRule type="cellIs" dxfId="257" priority="62" operator="equal">
      <formula>"notconnect"</formula>
    </cfRule>
    <cfRule type="cellIs" dxfId="256" priority="63" operator="equal">
      <formula>"disabled"</formula>
    </cfRule>
    <cfRule type="cellIs" dxfId="255" priority="64" operator="equal">
      <formula>"connect"</formula>
    </cfRule>
  </conditionalFormatting>
  <conditionalFormatting sqref="C55:C58">
    <cfRule type="cellIs" dxfId="254" priority="57" operator="equal">
      <formula>"reserved"</formula>
    </cfRule>
    <cfRule type="cellIs" dxfId="253" priority="58" operator="equal">
      <formula>"notconnect"</formula>
    </cfRule>
    <cfRule type="cellIs" dxfId="252" priority="59" operator="equal">
      <formula>"disabled"</formula>
    </cfRule>
    <cfRule type="cellIs" dxfId="251" priority="60" operator="equal">
      <formula>"connect"</formula>
    </cfRule>
  </conditionalFormatting>
  <conditionalFormatting sqref="C58 C49">
    <cfRule type="cellIs" dxfId="250" priority="53" operator="equal">
      <formula>"reserved"</formula>
    </cfRule>
    <cfRule type="cellIs" dxfId="249" priority="54" operator="equal">
      <formula>"notconnect"</formula>
    </cfRule>
    <cfRule type="cellIs" dxfId="248" priority="55" operator="equal">
      <formula>"disabled"</formula>
    </cfRule>
    <cfRule type="cellIs" dxfId="247" priority="56" operator="equal">
      <formula>"connect"</formula>
    </cfRule>
  </conditionalFormatting>
  <conditionalFormatting sqref="C60">
    <cfRule type="cellIs" dxfId="246" priority="49" operator="equal">
      <formula>"reserved"</formula>
    </cfRule>
    <cfRule type="cellIs" dxfId="245" priority="50" operator="equal">
      <formula>"notconnect"</formula>
    </cfRule>
    <cfRule type="cellIs" dxfId="244" priority="51" operator="equal">
      <formula>"disabled"</formula>
    </cfRule>
    <cfRule type="cellIs" dxfId="243" priority="52" operator="equal">
      <formula>"connect"</formula>
    </cfRule>
  </conditionalFormatting>
  <conditionalFormatting sqref="C48">
    <cfRule type="cellIs" dxfId="242" priority="45" operator="equal">
      <formula>"reserved"</formula>
    </cfRule>
    <cfRule type="cellIs" dxfId="241" priority="46" operator="equal">
      <formula>"notconnect"</formula>
    </cfRule>
    <cfRule type="cellIs" dxfId="240" priority="47" operator="equal">
      <formula>"disabled"</formula>
    </cfRule>
    <cfRule type="cellIs" dxfId="239" priority="48" operator="equal">
      <formula>"connect"</formula>
    </cfRule>
  </conditionalFormatting>
  <conditionalFormatting sqref="C43:C44">
    <cfRule type="cellIs" dxfId="238" priority="41" operator="equal">
      <formula>"reserved"</formula>
    </cfRule>
    <cfRule type="cellIs" dxfId="237" priority="42" operator="equal">
      <formula>"notconnect"</formula>
    </cfRule>
    <cfRule type="cellIs" dxfId="236" priority="43" operator="equal">
      <formula>"disabled"</formula>
    </cfRule>
    <cfRule type="cellIs" dxfId="235" priority="44" operator="equal">
      <formula>"connect"</formula>
    </cfRule>
  </conditionalFormatting>
  <conditionalFormatting sqref="C38">
    <cfRule type="cellIs" dxfId="234" priority="37" operator="equal">
      <formula>"reserved"</formula>
    </cfRule>
    <cfRule type="cellIs" dxfId="233" priority="38" operator="equal">
      <formula>"notconnect"</formula>
    </cfRule>
    <cfRule type="cellIs" dxfId="232" priority="39" operator="equal">
      <formula>"disabled"</formula>
    </cfRule>
    <cfRule type="cellIs" dxfId="231" priority="40" operator="equal">
      <formula>"connect"</formula>
    </cfRule>
  </conditionalFormatting>
  <conditionalFormatting sqref="C36">
    <cfRule type="cellIs" dxfId="230" priority="33" operator="equal">
      <formula>"reserved"</formula>
    </cfRule>
    <cfRule type="cellIs" dxfId="229" priority="34" operator="equal">
      <formula>"notconnect"</formula>
    </cfRule>
    <cfRule type="cellIs" dxfId="228" priority="35" operator="equal">
      <formula>"disabled"</formula>
    </cfRule>
    <cfRule type="cellIs" dxfId="227" priority="36" operator="equal">
      <formula>"connect"</formula>
    </cfRule>
  </conditionalFormatting>
  <conditionalFormatting sqref="C31:C32">
    <cfRule type="cellIs" dxfId="226" priority="29" operator="equal">
      <formula>"reserved"</formula>
    </cfRule>
    <cfRule type="cellIs" dxfId="225" priority="30" operator="equal">
      <formula>"notconnect"</formula>
    </cfRule>
    <cfRule type="cellIs" dxfId="224" priority="31" operator="equal">
      <formula>"disabled"</formula>
    </cfRule>
    <cfRule type="cellIs" dxfId="223" priority="32" operator="equal">
      <formula>"connect"</formula>
    </cfRule>
  </conditionalFormatting>
  <conditionalFormatting sqref="C26">
    <cfRule type="cellIs" dxfId="222" priority="25" operator="equal">
      <formula>"reserved"</formula>
    </cfRule>
    <cfRule type="cellIs" dxfId="221" priority="26" operator="equal">
      <formula>"notconnect"</formula>
    </cfRule>
    <cfRule type="cellIs" dxfId="220" priority="27" operator="equal">
      <formula>"disabled"</formula>
    </cfRule>
    <cfRule type="cellIs" dxfId="219" priority="28" operator="equal">
      <formula>"connect"</formula>
    </cfRule>
  </conditionalFormatting>
  <conditionalFormatting sqref="C23">
    <cfRule type="cellIs" dxfId="218" priority="21" operator="equal">
      <formula>"reserved"</formula>
    </cfRule>
    <cfRule type="cellIs" dxfId="217" priority="22" operator="equal">
      <formula>"notconnect"</formula>
    </cfRule>
    <cfRule type="cellIs" dxfId="216" priority="23" operator="equal">
      <formula>"disabled"</formula>
    </cfRule>
    <cfRule type="cellIs" dxfId="215" priority="24" operator="equal">
      <formula>"connect"</formula>
    </cfRule>
  </conditionalFormatting>
  <conditionalFormatting sqref="C20">
    <cfRule type="cellIs" dxfId="214" priority="17" operator="equal">
      <formula>"reserved"</formula>
    </cfRule>
    <cfRule type="cellIs" dxfId="213" priority="18" operator="equal">
      <formula>"notconnect"</formula>
    </cfRule>
    <cfRule type="cellIs" dxfId="212" priority="19" operator="equal">
      <formula>"disabled"</formula>
    </cfRule>
    <cfRule type="cellIs" dxfId="211" priority="20" operator="equal">
      <formula>"connect"</formula>
    </cfRule>
  </conditionalFormatting>
  <conditionalFormatting sqref="C17:C64">
    <cfRule type="cellIs" dxfId="210" priority="13" operator="equal">
      <formula>"reserved"</formula>
    </cfRule>
    <cfRule type="cellIs" dxfId="209" priority="14" operator="equal">
      <formula>"notconnect"</formula>
    </cfRule>
    <cfRule type="cellIs" dxfId="208" priority="15" operator="equal">
      <formula>"disabled"</formula>
    </cfRule>
    <cfRule type="cellIs" dxfId="207" priority="16" operator="equal">
      <formula>"connect"</formula>
    </cfRule>
  </conditionalFormatting>
  <conditionalFormatting sqref="C68:C75">
    <cfRule type="cellIs" dxfId="206" priority="9" operator="equal">
      <formula>"reserved"</formula>
    </cfRule>
    <cfRule type="cellIs" dxfId="205" priority="10" operator="equal">
      <formula>"notconnect"</formula>
    </cfRule>
    <cfRule type="cellIs" dxfId="204" priority="11" operator="equal">
      <formula>"disabled"</formula>
    </cfRule>
    <cfRule type="cellIs" dxfId="203" priority="12" operator="equal">
      <formula>"connect"</formula>
    </cfRule>
  </conditionalFormatting>
  <conditionalFormatting sqref="C79:C80">
    <cfRule type="cellIs" dxfId="202" priority="5" operator="equal">
      <formula>"reserved"</formula>
    </cfRule>
    <cfRule type="cellIs" dxfId="201" priority="6" operator="equal">
      <formula>"notconnect"</formula>
    </cfRule>
    <cfRule type="cellIs" dxfId="200" priority="7" operator="equal">
      <formula>"disabled"</formula>
    </cfRule>
    <cfRule type="cellIs" dxfId="199" priority="8" operator="equal">
      <formula>"connect"</formula>
    </cfRule>
  </conditionalFormatting>
  <conditionalFormatting sqref="C29">
    <cfRule type="cellIs" dxfId="198" priority="1" operator="equal">
      <formula>"reserved"</formula>
    </cfRule>
    <cfRule type="cellIs" dxfId="197" priority="2" operator="equal">
      <formula>"notconnect"</formula>
    </cfRule>
    <cfRule type="cellIs" dxfId="196" priority="3" operator="equal">
      <formula>"disabled"</formula>
    </cfRule>
    <cfRule type="cellIs" dxfId="195" priority="4" operator="equal">
      <formula>"connect"</formula>
    </cfRule>
  </conditionalFormatting>
  <dataValidations count="5">
    <dataValidation type="list" allowBlank="1" showInputMessage="1" sqref="G68:G75 G17:G64" xr:uid="{4B08A4CD-0D00-4E8F-A058-6FFFBF128409}">
      <formula1>PORT_TYPE_LIST</formula1>
    </dataValidation>
    <dataValidation type="list" allowBlank="1" showInputMessage="1" sqref="C79:C80 C68:C75 C17:C64" xr:uid="{3537EC45-1152-4449-B045-BA9ED1EF69A9}">
      <formula1>PORT_STATE_LIST</formula1>
    </dataValidation>
    <dataValidation type="list" allowBlank="1" showInputMessage="1" sqref="D68:D75" xr:uid="{5BCA90B2-C6E4-4E1F-9434-31460E6596DA}">
      <formula1>VLAN_ID_LIST</formula1>
    </dataValidation>
    <dataValidation type="list" allowBlank="1" showInputMessage="1" sqref="F17:F64" xr:uid="{DC89CA0D-A54A-4808-91E1-0DF8B7C09343}">
      <formula1>SPEED_DUPLEX_LIST</formula1>
    </dataValidation>
    <dataValidation allowBlank="1" showInputMessage="1" sqref="E68:E75 E17:E64" xr:uid="{C91D7242-D05D-4AC7-9BB2-E4E2944ECD31}"/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B2AA-61BC-47F7-96FD-77ACFA748C55}">
  <sheetPr codeName="Sheet36">
    <tabColor rgb="FFEDCAC9"/>
    <pageSetUpPr fitToPage="1"/>
  </sheetPr>
  <dimension ref="A1:L81"/>
  <sheetViews>
    <sheetView zoomScale="115" zoomScaleNormal="115" workbookViewId="0">
      <selection activeCell="C79" sqref="C79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2" width="9.109375" style="111" bestFit="1" customWidth="1"/>
    <col min="13" max="16384" width="9" style="111"/>
  </cols>
  <sheetData>
    <row r="1" spans="1:12" ht="24" customHeight="1">
      <c r="A1" s="108" t="s">
        <v>1125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2" ht="13.2">
      <c r="B2" s="112"/>
      <c r="C2" s="112"/>
      <c r="D2" s="112"/>
      <c r="E2" s="112"/>
      <c r="F2" s="112"/>
      <c r="G2" s="112"/>
      <c r="L2" s="113" t="s">
        <v>2697</v>
      </c>
    </row>
    <row r="3" spans="1:12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70</v>
      </c>
      <c r="L3" s="142" t="s">
        <v>1620</v>
      </c>
    </row>
    <row r="4" spans="1:12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FGHSDN72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Sheffield</v>
      </c>
      <c r="L4" s="142" t="s">
        <v>1744</v>
      </c>
    </row>
    <row r="5" spans="1:12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t="str" cm="1">
        <f t="array" ref="G5">IF(_xlfn.SINGLE(INDEX(SWITCH_TABLE[#Data],$H$3,MATCH(F5,SWITCH_TABLE[#Headers],0)))="","",INDEX(SWITCH_TABLE[#Data],$H$3,MATCH(F5,SWITCH_TABLE[#Headers],0)))</f>
        <v>Comms Room 2</v>
      </c>
      <c r="L5" s="142" t="s">
        <v>2763</v>
      </c>
    </row>
    <row r="6" spans="1:12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Live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  <c r="L6" s="142" t="s">
        <v>2764</v>
      </c>
    </row>
    <row r="7" spans="1:12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FCW2321G0AD</v>
      </c>
      <c r="L7" s="142"/>
    </row>
    <row r="8" spans="1:12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10.36.100.3</v>
      </c>
      <c r="L8" s="142"/>
    </row>
    <row r="9" spans="1:12">
      <c r="G9" s="111"/>
      <c r="L9" s="142"/>
    </row>
    <row r="10" spans="1:12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/>
      </c>
      <c r="H10" s="113"/>
      <c r="L10" s="142"/>
    </row>
    <row r="11" spans="1:12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>gi1/1/1</v>
      </c>
      <c r="H11" s="118" t="str" cm="1">
        <f t="array" ref="H11">IF(G11="","",INDEX(SWITCH_TABLE[#Data],$H$3,MATCH("Uplink 1 SFP",SWITCH_TABLE[#Headers],0)))</f>
        <v>1GB SFP SX</v>
      </c>
      <c r="L11" s="142"/>
    </row>
    <row r="12" spans="1:12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>FGHSDN71</v>
      </c>
      <c r="H12" s="118" t="str" cm="1">
        <f t="array" ref="H12">IF(G12="","",INDEX(SWITCH_TABLE[#Data],$H$3,MATCH("Remote Port 1",SWITCH_TABLE[#Headers],0)))</f>
        <v>gi1/1/1</v>
      </c>
      <c r="L12" s="142"/>
    </row>
    <row r="13" spans="1:12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>gi1/1/2</v>
      </c>
      <c r="H13" s="118" t="str" cm="1">
        <f t="array" ref="H13">IF(G13="","",INDEX(SWITCH_TABLE[#Data],$H$3,MATCH("Uplink 2 SFP",SWITCH_TABLE[#Headers],0)))</f>
        <v>1GB SFP SX</v>
      </c>
      <c r="L13" s="142"/>
    </row>
    <row r="14" spans="1:12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>FGHSDN71</v>
      </c>
      <c r="H14" s="118" t="str" cm="1">
        <f t="array" ref="H14">IF(G14="","",INDEX(SWITCH_TABLE[#Data],$H$3,MATCH("Remote Port 2",SWITCH_TABLE[#Headers],0)))</f>
        <v>gi1/1/2</v>
      </c>
      <c r="L14" s="142"/>
    </row>
    <row r="15" spans="1:12">
      <c r="H15" s="114"/>
      <c r="L15" s="142"/>
    </row>
    <row r="16" spans="1:12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  <c r="L16" s="127"/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tr" cm="1">
        <f t="array" ref="C17">_xlfn.IFS($B17="","",$B17=$B$71,"reserved",$B17=$B$72,"reserved",$B17=$G$11,"connect",$B17=$G$13,"connect",J17&lt;&gt;"","connect",1=1,"disabled")</f>
        <v>disabled</v>
      </c>
      <c r="D17" s="129" t="str" cm="1">
        <f t="array" ref="D17">IF($J17&lt;&gt;"",INDEX(Connections!$B$4:$V$345,$J17,MATCH(D$16,Connections!$B$3:$V$3,0)),"")</f>
        <v/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tr" cm="1">
        <f t="array" ref="F17">IF($J17&lt;&gt;"",INDEX(Connections!$B$4:$V$345,$J17,MATCH(F$16,Connections!$B$3:$V$3,0)),"")</f>
        <v/>
      </c>
      <c r="G17" s="122" t="str" cm="1">
        <f t="array" ref="G17">IF($J17&lt;&gt;"",INDEX(Connections!$B$4:$V$345,$J17,MATCH(G$16,Connections!$B$3:$V$3,0)),"")</f>
        <v/>
      </c>
      <c r="H17" s="125" t="str" cm="1">
        <f t="array" ref="H17">IF($J17&lt;&gt;"",INDEX(Connections!$B$4:$V$345,$J17,MATCH(H$16,Connections!$B$3:$V$3,0)),"")</f>
        <v/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29" t="str" cm="1">
        <f t="array" ref="D18">IF($J18&lt;&gt;"",INDEX(Connections!$B$4:$V$345,$J18,MATCH(D$16,Connections!$B$3:$V$3,0)),"")</f>
        <v/>
      </c>
      <c r="E18" s="123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122" t="str" cm="1">
        <f t="array" ref="F18">IF($J18&lt;&gt;"",INDEX(Connections!$B$4:$V$345,$J18,MATCH(F$16,Connections!$B$3:$V$3,0)),"")</f>
        <v/>
      </c>
      <c r="G18" s="122" t="str" cm="1">
        <f t="array" ref="G18">IF($J18&lt;&gt;"",INDEX(Connections!$B$4:$V$345,$J18,MATCH(G$16,Connections!$B$3:$V$3,0)),"")</f>
        <v/>
      </c>
      <c r="H18" s="125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tr" cm="1">
        <f t="array" ref="C19">_xlfn.IFS($B19="","",$B19=$B$71,"reserved",$B19=$B$72,"reserved",$B19=$G$11,"connect",$B19=$G$13,"connect",J19&lt;&gt;"","connect",1=1,"disabled")</f>
        <v>disabled</v>
      </c>
      <c r="D19" s="129" t="str" cm="1">
        <f t="array" ref="D19">IF($J19&lt;&gt;"",INDEX(Connections!$B$4:$V$345,$J19,MATCH(D$16,Connections!$B$3:$V$3,0)),"")</f>
        <v/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tr" cm="1">
        <f t="array" ref="F19">IF($J19&lt;&gt;"",INDEX(Connections!$B$4:$V$345,$J19,MATCH(F$16,Connections!$B$3:$V$3,0)),"")</f>
        <v/>
      </c>
      <c r="G19" s="122" t="str" cm="1">
        <f t="array" ref="G19">IF($J19&lt;&gt;"",INDEX(Connections!$B$4:$V$345,$J19,MATCH(G$16,Connections!$B$3:$V$3,0)),"")</f>
        <v/>
      </c>
      <c r="H19" s="125" t="str" cm="1">
        <f t="array" ref="H19">IF($J19&lt;&gt;"",INDEX(Connections!$B$4:$V$345,$J19,MATCH(H$16,Connections!$B$3:$V$3,0)),"")</f>
        <v/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129" t="str" cm="1">
        <f t="array" ref="D21">IF($J21&lt;&gt;"",INDEX(Connections!$B$4:$V$345,$J21,MATCH(D$16,Connections!$B$3:$V$3,0)),"")</f>
        <v/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tr" cm="1">
        <f t="array" ref="F21">IF($J21&lt;&gt;"",INDEX(Connections!$B$4:$V$345,$J21,MATCH(F$16,Connections!$B$3:$V$3,0)),"")</f>
        <v/>
      </c>
      <c r="G21" s="122" t="str" cm="1">
        <f t="array" ref="G21">IF($J21&lt;&gt;"",INDEX(Connections!$B$4:$V$345,$J21,MATCH(G$16,Connections!$B$3:$V$3,0)),"")</f>
        <v/>
      </c>
      <c r="H21" s="125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2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2">
      <c r="L66" s="111" t="s">
        <v>1816</v>
      </c>
    </row>
    <row r="67" spans="1:12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2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connect</v>
      </c>
      <c r="D68" s="122" t="str" cm="1">
        <f t="array" ref="D68">_xlfn.IFS($B68="","",$B68=$G$11,"TRUNK",$B68=$G$13,"TRUNK",1=1,"")</f>
        <v>TRUNK</v>
      </c>
      <c r="E68" s="123" cm="1">
        <f t="array" ref="E68">_xlfn.IFS($B68="","",OR($B68=$G$11,$B68=$G$13),INDEX(SWITCH_TABLE[#Data],$H$3,MATCH("Local EC",SWITCH_TABLE[#Headers],0)),1=1,"")</f>
        <v>25</v>
      </c>
      <c r="F68" s="124" t="str" cm="1">
        <f t="array" ref="F68">_xlfn.IFS($B68="","",$B68=$G$11,"Uplink Port 1",$B68=$G$13,"Uplink Port 2",$B68=$B$79,"Stack Port 1",$B68=$B$80,"Stack Port 2",1=1,"")</f>
        <v>Uplink Port 1</v>
      </c>
      <c r="G68" s="122" t="str" cm="1">
        <f t="array" ref="G68">_xlfn.IFS($B68="","",$B68=$G$11,$H$11,$B68=$G$13,$H$13,1=1,"")</f>
        <v>1GB SFP SX</v>
      </c>
      <c r="H68" s="131" t="str" cm="1">
        <f t="array" ref="H68">_xlfn.IFS($B68="","",$B68=$G$11,$G$12&amp;" "&amp;H12,$B68=$G$13,$G$14&amp;" "&amp;$H$14,1=1,"")</f>
        <v>FGHSDN71 gi1/1/1</v>
      </c>
      <c r="J68" s="127">
        <f t="array" ref="J68">_xlfn.IFNA(MATCH(1,(SHEET_NAME=SWITCH_TABLE[Remote Device 1])*(B68=SWITCH_TABLE[Remote Port 1]),0),"")</f>
        <v>69</v>
      </c>
    </row>
    <row r="69" spans="1:12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connect</v>
      </c>
      <c r="D69" s="122" t="str" cm="1">
        <f t="array" ref="D69">_xlfn.IFS($B69="","",$B69=$G$11,"TRUNK",$B69=$G$13,"TRUNK",1=1,"")</f>
        <v>TRUNK</v>
      </c>
      <c r="E69" s="123" cm="1">
        <f t="array" ref="E69">_xlfn.IFS($B69="","",OR($B69=$G$11,$B69=$G$13),INDEX(SWITCH_TABLE[#Data],$H$3,MATCH("Local EC",SWITCH_TABLE[#Headers],0)),1=1,"")</f>
        <v>25</v>
      </c>
      <c r="F69" s="124" t="str" cm="1">
        <f t="array" ref="F69">_xlfn.IFS($B69="","",$B69=$G$11,"Uplink Port 1",$B69=$G$13,"Uplink Port 2",$B69=$B$79,"Stack Port 1",$B69=$B$80,"Stack Port 2",1=1,"")</f>
        <v>Uplink Port 2</v>
      </c>
      <c r="G69" s="122" t="str" cm="1">
        <f t="array" ref="G69">_xlfn.IFS($B69="","",$B69=$G$11,$H$11,$B69=$G$13,$H$13,1=1,"")</f>
        <v>1GB SFP SX</v>
      </c>
      <c r="H69" s="131" t="str" cm="1">
        <f t="array" ref="H69">_xlfn.IFS($B69="","",$B69=$G$11,$G$12&amp;" "&amp;H13,$B69=$G$13,$G$14&amp;" "&amp;$H$14,1=1,"")</f>
        <v>FGHSDN71 gi1/1/2</v>
      </c>
      <c r="J69" s="127" t="str">
        <f t="array" ref="J69">_xlfn.IFNA(MATCH(1,(SHEET_NAME=SWITCH_TABLE[Remote Device 1])*(B69=SWITCH_TABLE[Remote Port 1]),0),"")</f>
        <v/>
      </c>
    </row>
    <row r="70" spans="1:12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2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2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2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2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2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2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2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2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2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1")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  <c r="L80" s="111" t="s">
        <v>1816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7:C30 C24:C25">
    <cfRule type="cellIs" dxfId="194" priority="93" operator="equal">
      <formula>"reserved"</formula>
    </cfRule>
    <cfRule type="cellIs" dxfId="193" priority="94" operator="equal">
      <formula>"notconnect"</formula>
    </cfRule>
    <cfRule type="cellIs" dxfId="192" priority="95" operator="equal">
      <formula>"disabled"</formula>
    </cfRule>
    <cfRule type="cellIs" dxfId="191" priority="96" operator="equal">
      <formula>"connect"</formula>
    </cfRule>
  </conditionalFormatting>
  <conditionalFormatting sqref="C63:C64">
    <cfRule type="cellIs" dxfId="190" priority="89" operator="equal">
      <formula>"reserved"</formula>
    </cfRule>
    <cfRule type="cellIs" dxfId="189" priority="90" operator="equal">
      <formula>"notconnect"</formula>
    </cfRule>
    <cfRule type="cellIs" dxfId="188" priority="91" operator="equal">
      <formula>"disabled"</formula>
    </cfRule>
    <cfRule type="cellIs" dxfId="187" priority="92" operator="equal">
      <formula>"connect"</formula>
    </cfRule>
  </conditionalFormatting>
  <conditionalFormatting sqref="C17:C19 C21:C22">
    <cfRule type="cellIs" dxfId="186" priority="85" operator="equal">
      <formula>"reserved"</formula>
    </cfRule>
    <cfRule type="cellIs" dxfId="185" priority="86" operator="equal">
      <formula>"notconnect"</formula>
    </cfRule>
    <cfRule type="cellIs" dxfId="184" priority="87" operator="equal">
      <formula>"disabled"</formula>
    </cfRule>
    <cfRule type="cellIs" dxfId="183" priority="88" operator="equal">
      <formula>"connect"</formula>
    </cfRule>
  </conditionalFormatting>
  <conditionalFormatting sqref="C40:C42 C45:C47">
    <cfRule type="cellIs" dxfId="182" priority="81" operator="equal">
      <formula>"reserved"</formula>
    </cfRule>
    <cfRule type="cellIs" dxfId="181" priority="82" operator="equal">
      <formula>"notconnect"</formula>
    </cfRule>
    <cfRule type="cellIs" dxfId="180" priority="83" operator="equal">
      <formula>"disabled"</formula>
    </cfRule>
    <cfRule type="cellIs" dxfId="179" priority="84" operator="equal">
      <formula>"connect"</formula>
    </cfRule>
  </conditionalFormatting>
  <conditionalFormatting sqref="C42 C45:C47">
    <cfRule type="cellIs" dxfId="178" priority="77" operator="equal">
      <formula>"reserved"</formula>
    </cfRule>
    <cfRule type="cellIs" dxfId="177" priority="78" operator="equal">
      <formula>"notconnect"</formula>
    </cfRule>
    <cfRule type="cellIs" dxfId="176" priority="79" operator="equal">
      <formula>"disabled"</formula>
    </cfRule>
    <cfRule type="cellIs" dxfId="175" priority="80" operator="equal">
      <formula>"connect"</formula>
    </cfRule>
  </conditionalFormatting>
  <conditionalFormatting sqref="C46:C47 C49">
    <cfRule type="cellIs" dxfId="174" priority="73" operator="equal">
      <formula>"reserved"</formula>
    </cfRule>
    <cfRule type="cellIs" dxfId="173" priority="74" operator="equal">
      <formula>"notconnect"</formula>
    </cfRule>
    <cfRule type="cellIs" dxfId="172" priority="75" operator="equal">
      <formula>"disabled"</formula>
    </cfRule>
    <cfRule type="cellIs" dxfId="171" priority="76" operator="equal">
      <formula>"connect"</formula>
    </cfRule>
  </conditionalFormatting>
  <conditionalFormatting sqref="C61:C62">
    <cfRule type="cellIs" dxfId="170" priority="69" operator="equal">
      <formula>"reserved"</formula>
    </cfRule>
    <cfRule type="cellIs" dxfId="169" priority="70" operator="equal">
      <formula>"notconnect"</formula>
    </cfRule>
    <cfRule type="cellIs" dxfId="168" priority="71" operator="equal">
      <formula>"disabled"</formula>
    </cfRule>
    <cfRule type="cellIs" dxfId="167" priority="72" operator="equal">
      <formula>"connect"</formula>
    </cfRule>
  </conditionalFormatting>
  <conditionalFormatting sqref="C50">
    <cfRule type="cellIs" dxfId="166" priority="65" operator="equal">
      <formula>"reserved"</formula>
    </cfRule>
    <cfRule type="cellIs" dxfId="165" priority="66" operator="equal">
      <formula>"notconnect"</formula>
    </cfRule>
    <cfRule type="cellIs" dxfId="164" priority="67" operator="equal">
      <formula>"disabled"</formula>
    </cfRule>
    <cfRule type="cellIs" dxfId="163" priority="68" operator="equal">
      <formula>"connect"</formula>
    </cfRule>
  </conditionalFormatting>
  <conditionalFormatting sqref="C49:C52">
    <cfRule type="cellIs" dxfId="162" priority="61" operator="equal">
      <formula>"reserved"</formula>
    </cfRule>
    <cfRule type="cellIs" dxfId="161" priority="62" operator="equal">
      <formula>"notconnect"</formula>
    </cfRule>
    <cfRule type="cellIs" dxfId="160" priority="63" operator="equal">
      <formula>"disabled"</formula>
    </cfRule>
    <cfRule type="cellIs" dxfId="159" priority="64" operator="equal">
      <formula>"connect"</formula>
    </cfRule>
  </conditionalFormatting>
  <conditionalFormatting sqref="C51:C56">
    <cfRule type="cellIs" dxfId="158" priority="57" operator="equal">
      <formula>"reserved"</formula>
    </cfRule>
    <cfRule type="cellIs" dxfId="157" priority="58" operator="equal">
      <formula>"notconnect"</formula>
    </cfRule>
    <cfRule type="cellIs" dxfId="156" priority="59" operator="equal">
      <formula>"disabled"</formula>
    </cfRule>
    <cfRule type="cellIs" dxfId="155" priority="60" operator="equal">
      <formula>"connect"</formula>
    </cfRule>
  </conditionalFormatting>
  <conditionalFormatting sqref="C55:C58">
    <cfRule type="cellIs" dxfId="154" priority="53" operator="equal">
      <formula>"reserved"</formula>
    </cfRule>
    <cfRule type="cellIs" dxfId="153" priority="54" operator="equal">
      <formula>"notconnect"</formula>
    </cfRule>
    <cfRule type="cellIs" dxfId="152" priority="55" operator="equal">
      <formula>"disabled"</formula>
    </cfRule>
    <cfRule type="cellIs" dxfId="151" priority="56" operator="equal">
      <formula>"connect"</formula>
    </cfRule>
  </conditionalFormatting>
  <conditionalFormatting sqref="C58 C49">
    <cfRule type="cellIs" dxfId="150" priority="49" operator="equal">
      <formula>"reserved"</formula>
    </cfRule>
    <cfRule type="cellIs" dxfId="149" priority="50" operator="equal">
      <formula>"notconnect"</formula>
    </cfRule>
    <cfRule type="cellIs" dxfId="148" priority="51" operator="equal">
      <formula>"disabled"</formula>
    </cfRule>
    <cfRule type="cellIs" dxfId="147" priority="52" operator="equal">
      <formula>"connect"</formula>
    </cfRule>
  </conditionalFormatting>
  <conditionalFormatting sqref="C60">
    <cfRule type="cellIs" dxfId="146" priority="45" operator="equal">
      <formula>"reserved"</formula>
    </cfRule>
    <cfRule type="cellIs" dxfId="145" priority="46" operator="equal">
      <formula>"notconnect"</formula>
    </cfRule>
    <cfRule type="cellIs" dxfId="144" priority="47" operator="equal">
      <formula>"disabled"</formula>
    </cfRule>
    <cfRule type="cellIs" dxfId="143" priority="48" operator="equal">
      <formula>"connect"</formula>
    </cfRule>
  </conditionalFormatting>
  <conditionalFormatting sqref="C48">
    <cfRule type="cellIs" dxfId="142" priority="41" operator="equal">
      <formula>"reserved"</formula>
    </cfRule>
    <cfRule type="cellIs" dxfId="141" priority="42" operator="equal">
      <formula>"notconnect"</formula>
    </cfRule>
    <cfRule type="cellIs" dxfId="140" priority="43" operator="equal">
      <formula>"disabled"</formula>
    </cfRule>
    <cfRule type="cellIs" dxfId="139" priority="44" operator="equal">
      <formula>"connect"</formula>
    </cfRule>
  </conditionalFormatting>
  <conditionalFormatting sqref="C43:C44">
    <cfRule type="cellIs" dxfId="138" priority="37" operator="equal">
      <formula>"reserved"</formula>
    </cfRule>
    <cfRule type="cellIs" dxfId="137" priority="38" operator="equal">
      <formula>"notconnect"</formula>
    </cfRule>
    <cfRule type="cellIs" dxfId="136" priority="39" operator="equal">
      <formula>"disabled"</formula>
    </cfRule>
    <cfRule type="cellIs" dxfId="135" priority="40" operator="equal">
      <formula>"connect"</formula>
    </cfRule>
  </conditionalFormatting>
  <conditionalFormatting sqref="C38">
    <cfRule type="cellIs" dxfId="134" priority="33" operator="equal">
      <formula>"reserved"</formula>
    </cfRule>
    <cfRule type="cellIs" dxfId="133" priority="34" operator="equal">
      <formula>"notconnect"</formula>
    </cfRule>
    <cfRule type="cellIs" dxfId="132" priority="35" operator="equal">
      <formula>"disabled"</formula>
    </cfRule>
    <cfRule type="cellIs" dxfId="131" priority="36" operator="equal">
      <formula>"connect"</formula>
    </cfRule>
  </conditionalFormatting>
  <conditionalFormatting sqref="C36">
    <cfRule type="cellIs" dxfId="130" priority="29" operator="equal">
      <formula>"reserved"</formula>
    </cfRule>
    <cfRule type="cellIs" dxfId="129" priority="30" operator="equal">
      <formula>"notconnect"</formula>
    </cfRule>
    <cfRule type="cellIs" dxfId="128" priority="31" operator="equal">
      <formula>"disabled"</formula>
    </cfRule>
    <cfRule type="cellIs" dxfId="127" priority="32" operator="equal">
      <formula>"connect"</formula>
    </cfRule>
  </conditionalFormatting>
  <conditionalFormatting sqref="C31:C32">
    <cfRule type="cellIs" dxfId="126" priority="25" operator="equal">
      <formula>"reserved"</formula>
    </cfRule>
    <cfRule type="cellIs" dxfId="125" priority="26" operator="equal">
      <formula>"notconnect"</formula>
    </cfRule>
    <cfRule type="cellIs" dxfId="124" priority="27" operator="equal">
      <formula>"disabled"</formula>
    </cfRule>
    <cfRule type="cellIs" dxfId="123" priority="28" operator="equal">
      <formula>"connect"</formula>
    </cfRule>
  </conditionalFormatting>
  <conditionalFormatting sqref="C26">
    <cfRule type="cellIs" dxfId="122" priority="21" operator="equal">
      <formula>"reserved"</formula>
    </cfRule>
    <cfRule type="cellIs" dxfId="121" priority="22" operator="equal">
      <formula>"notconnect"</formula>
    </cfRule>
    <cfRule type="cellIs" dxfId="120" priority="23" operator="equal">
      <formula>"disabled"</formula>
    </cfRule>
    <cfRule type="cellIs" dxfId="119" priority="24" operator="equal">
      <formula>"connect"</formula>
    </cfRule>
  </conditionalFormatting>
  <conditionalFormatting sqref="C23">
    <cfRule type="cellIs" dxfId="118" priority="17" operator="equal">
      <formula>"reserved"</formula>
    </cfRule>
    <cfRule type="cellIs" dxfId="117" priority="18" operator="equal">
      <formula>"notconnect"</formula>
    </cfRule>
    <cfRule type="cellIs" dxfId="116" priority="19" operator="equal">
      <formula>"disabled"</formula>
    </cfRule>
    <cfRule type="cellIs" dxfId="115" priority="20" operator="equal">
      <formula>"connect"</formula>
    </cfRule>
  </conditionalFormatting>
  <conditionalFormatting sqref="C20">
    <cfRule type="cellIs" dxfId="114" priority="13" operator="equal">
      <formula>"reserved"</formula>
    </cfRule>
    <cfRule type="cellIs" dxfId="113" priority="14" operator="equal">
      <formula>"notconnect"</formula>
    </cfRule>
    <cfRule type="cellIs" dxfId="112" priority="15" operator="equal">
      <formula>"disabled"</formula>
    </cfRule>
    <cfRule type="cellIs" dxfId="111" priority="16" operator="equal">
      <formula>"connect"</formula>
    </cfRule>
  </conditionalFormatting>
  <conditionalFormatting sqref="C17:C64">
    <cfRule type="cellIs" dxfId="110" priority="9" operator="equal">
      <formula>"reserved"</formula>
    </cfRule>
    <cfRule type="cellIs" dxfId="109" priority="10" operator="equal">
      <formula>"notconnect"</formula>
    </cfRule>
    <cfRule type="cellIs" dxfId="108" priority="11" operator="equal">
      <formula>"disabled"</formula>
    </cfRule>
    <cfRule type="cellIs" dxfId="107" priority="12" operator="equal">
      <formula>"connect"</formula>
    </cfRule>
  </conditionalFormatting>
  <conditionalFormatting sqref="C68:C75">
    <cfRule type="cellIs" dxfId="106" priority="5" operator="equal">
      <formula>"reserved"</formula>
    </cfRule>
    <cfRule type="cellIs" dxfId="105" priority="6" operator="equal">
      <formula>"notconnect"</formula>
    </cfRule>
    <cfRule type="cellIs" dxfId="104" priority="7" operator="equal">
      <formula>"disabled"</formula>
    </cfRule>
    <cfRule type="cellIs" dxfId="103" priority="8" operator="equal">
      <formula>"connect"</formula>
    </cfRule>
  </conditionalFormatting>
  <conditionalFormatting sqref="C79:C80">
    <cfRule type="cellIs" dxfId="102" priority="1" operator="equal">
      <formula>"reserved"</formula>
    </cfRule>
    <cfRule type="cellIs" dxfId="101" priority="2" operator="equal">
      <formula>"notconnect"</formula>
    </cfRule>
    <cfRule type="cellIs" dxfId="100" priority="3" operator="equal">
      <formula>"disabled"</formula>
    </cfRule>
    <cfRule type="cellIs" dxfId="99" priority="4" operator="equal">
      <formula>"connect"</formula>
    </cfRule>
  </conditionalFormatting>
  <dataValidations count="5">
    <dataValidation allowBlank="1" showInputMessage="1" sqref="E17:E64 E68:E75" xr:uid="{1A514D7F-0D6C-47FE-9C25-B3C205F7D4B3}"/>
    <dataValidation type="list" allowBlank="1" showInputMessage="1" sqref="F17:F64" xr:uid="{D9F411E5-9698-436F-B3F2-D364FB3D2A11}">
      <formula1>SPEED_DUPLEX_LIST</formula1>
    </dataValidation>
    <dataValidation type="list" allowBlank="1" showInputMessage="1" sqref="D68:D75" xr:uid="{1C0491C3-952B-464A-871D-DF8CAFEB0365}">
      <formula1>VLAN_ID_LIST</formula1>
    </dataValidation>
    <dataValidation type="list" allowBlank="1" showInputMessage="1" sqref="C17:C64 C68:C75 C79:C80" xr:uid="{0F683112-277A-4CC8-815A-F69A1139FE32}">
      <formula1>PORT_STATE_LIST</formula1>
    </dataValidation>
    <dataValidation type="list" allowBlank="1" showInputMessage="1" sqref="G17:G64 G68:G75" xr:uid="{BD09C47E-D510-4FF1-BA78-52C14EC6D355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FD7A8-0E9D-4DB4-8054-4577C4302ED0}">
  <sheetPr codeName="Sheet37">
    <tabColor rgb="FFEDCAC9"/>
    <pageSetUpPr fitToPage="1"/>
  </sheetPr>
  <dimension ref="A1:L81"/>
  <sheetViews>
    <sheetView zoomScale="115" zoomScaleNormal="115" workbookViewId="0">
      <selection activeCell="C26" sqref="C26"/>
    </sheetView>
  </sheetViews>
  <sheetFormatPr defaultColWidth="9" defaultRowHeight="10.199999999999999"/>
  <cols>
    <col min="1" max="1" width="2.6640625" style="111" customWidth="1"/>
    <col min="2" max="2" width="11.109375" style="114" customWidth="1"/>
    <col min="3" max="3" width="14.6640625" style="114" customWidth="1"/>
    <col min="4" max="4" width="8.6640625" style="114" customWidth="1"/>
    <col min="5" max="5" width="6.6640625" style="114" customWidth="1"/>
    <col min="6" max="6" width="12.6640625" style="114" customWidth="1"/>
    <col min="7" max="7" width="18.6640625" style="114" customWidth="1"/>
    <col min="8" max="8" width="25.6640625" style="111" customWidth="1"/>
    <col min="9" max="9" width="2.6640625" style="111" customWidth="1"/>
    <col min="10" max="10" width="4.109375" style="111" hidden="1" customWidth="1"/>
    <col min="11" max="11" width="0" style="111" hidden="1" customWidth="1"/>
    <col min="12" max="12" width="9.109375" style="111" bestFit="1" customWidth="1"/>
    <col min="13" max="16384" width="9" style="111"/>
  </cols>
  <sheetData>
    <row r="1" spans="1:12" ht="24" customHeight="1">
      <c r="A1" s="108" t="s">
        <v>1143</v>
      </c>
      <c r="B1" s="109"/>
      <c r="C1" s="109"/>
      <c r="D1" s="109"/>
      <c r="E1" s="109"/>
      <c r="F1" s="109"/>
      <c r="G1" s="108"/>
      <c r="H1" s="110" t="str">
        <f>INDEX(SWITCH_TABLE[#Data],$H$3,MATCH("Model",SWITCH_TABLE[#Headers],0))</f>
        <v>C9300-24T</v>
      </c>
    </row>
    <row r="2" spans="1:12" ht="13.2">
      <c r="B2" s="112"/>
      <c r="C2" s="112"/>
      <c r="D2" s="112"/>
      <c r="E2" s="112"/>
      <c r="F2" s="112"/>
      <c r="G2" s="112"/>
      <c r="L2" s="113" t="s">
        <v>2697</v>
      </c>
    </row>
    <row r="3" spans="1:12" ht="13.2">
      <c r="B3" s="113" t="s">
        <v>2582</v>
      </c>
      <c r="C3" s="113"/>
      <c r="D3" s="113"/>
      <c r="F3" s="113" t="s">
        <v>1565</v>
      </c>
      <c r="G3" s="113"/>
      <c r="H3" s="115">
        <f>MATCH(A1,SWITCH_TABLE[Device Name],0)</f>
        <v>73</v>
      </c>
      <c r="L3" s="142" t="s">
        <v>1620</v>
      </c>
    </row>
    <row r="4" spans="1:12">
      <c r="B4" s="116" t="s">
        <v>1817</v>
      </c>
      <c r="C4" s="117" t="str" cm="1">
        <f t="array" ref="C4">IF(_xlfn.SINGLE(INDEX(SWITCH_TABLE[#Data],$H$3,MATCH(B4,SWITCH_TABLE[#Headers],0)))="","",INDEX(SWITCH_TABLE[#Data],$H$3,MATCH(B4,SWITCH_TABLE[#Headers],0)))</f>
        <v>FGHGDN71</v>
      </c>
      <c r="F4" s="116" t="s">
        <v>44</v>
      </c>
      <c r="G4" s="117" t="str" cm="1">
        <f t="array" ref="G4">IF(_xlfn.SINGLE(INDEX(SWITCH_TABLE[#Data],$H$3,MATCH(F4,SWITCH_TABLE[#Headers],0)))="","",INDEX(SWITCH_TABLE[#Data],$H$3,MATCH(F4,SWITCH_TABLE[#Headers],0)))</f>
        <v>Greenford</v>
      </c>
      <c r="L4" s="142" t="s">
        <v>1744</v>
      </c>
    </row>
    <row r="5" spans="1:12">
      <c r="B5" s="116" t="s">
        <v>1564</v>
      </c>
      <c r="C5" s="117" t="str" cm="1">
        <f t="array" ref="C5">IF(_xlfn.SINGLE(INDEX(SWITCH_TABLE[#Data],$H$3,MATCH(B5,SWITCH_TABLE[#Headers],0)))="","",INDEX(SWITCH_TABLE[#Data],$H$3,MATCH(B5,SWITCH_TABLE[#Headers],0)))</f>
        <v>Demarcation</v>
      </c>
      <c r="F5" s="116" t="s">
        <v>1565</v>
      </c>
      <c r="G5" s="117" cm="1">
        <f t="array" ref="G5">IF(_xlfn.SINGLE(INDEX(SWITCH_TABLE[#Data],$H$3,MATCH(F5,SWITCH_TABLE[#Headers],0)))="","",INDEX(SWITCH_TABLE[#Data],$H$3,MATCH(F5,SWITCH_TABLE[#Headers],0)))</f>
        <v>0</v>
      </c>
      <c r="L5" s="142" t="s">
        <v>2763</v>
      </c>
    </row>
    <row r="6" spans="1:12">
      <c r="B6" s="116" t="s">
        <v>53</v>
      </c>
      <c r="C6" s="117" t="str" cm="1">
        <f t="array" ref="C6">IF(_xlfn.SINGLE(INDEX(SWITCH_TABLE[#Data],$H$3,MATCH(B6,SWITCH_TABLE[#Headers],0)))="","",INDEX(SWITCH_TABLE[#Data],$H$3,MATCH(B6,SWITCH_TABLE[#Headers],0)))</f>
        <v>READY</v>
      </c>
      <c r="F6" s="116" t="s">
        <v>1570</v>
      </c>
      <c r="G6" s="117" cm="1">
        <f t="array" ref="G6">IF(_xlfn.SINGLE(INDEX(SWITCH_TABLE[#Data],$H$3,MATCH(F6,SWITCH_TABLE[#Headers],0)))="","",INDEX(SWITCH_TABLE[#Data],$H$3,MATCH(F6,SWITCH_TABLE[#Headers],0)))</f>
        <v>0</v>
      </c>
      <c r="L6" s="142" t="s">
        <v>2764</v>
      </c>
    </row>
    <row r="7" spans="1:12">
      <c r="B7" s="116" t="s">
        <v>1819</v>
      </c>
      <c r="C7" s="117">
        <f>VLOOKUP($H$1,MODEL_TABLE[#Data],MATCH("Ports",MODEL_TABLE[#Headers],0),FALSE)</f>
        <v>24</v>
      </c>
      <c r="D7" s="118" t="str">
        <f>VLOOKUP($H$1,MODEL_TABLE[#Data],MATCH("Port Type",MODEL_TABLE[#Headers],0),FALSE)</f>
        <v>gi</v>
      </c>
      <c r="F7" s="116" t="s">
        <v>888</v>
      </c>
      <c r="G7" s="117" t="str" cm="1">
        <f t="array" ref="G7">IF(_xlfn.SINGLE(INDEX(SWITCH_TABLE[#Data],$H$3,MATCH(F7,SWITCH_TABLE[#Headers],0)))="","",INDEX(SWITCH_TABLE[#Data],$H$3,MATCH(F7,SWITCH_TABLE[#Headers],0)))</f>
        <v>FCW2321G07C</v>
      </c>
      <c r="L7" s="142"/>
    </row>
    <row r="8" spans="1:12">
      <c r="B8" s="116" t="s">
        <v>2656</v>
      </c>
      <c r="C8" s="117">
        <f>VLOOKUP($H$1,MODEL_TABLE[#Data],MATCH("Uplinks",MODEL_TABLE[#Headers],0),FALSE)</f>
        <v>4</v>
      </c>
      <c r="D8" s="118" t="str">
        <f>VLOOKUP($H$1,MODEL_TABLE[#Data],MATCH("Uplink Type",MODEL_TABLE[#Headers],0),FALSE)</f>
        <v>gi</v>
      </c>
      <c r="F8" s="116" t="s">
        <v>1572</v>
      </c>
      <c r="G8" s="117" t="str" cm="1">
        <f t="array" ref="G8">IF(_xlfn.SINGLE(INDEX(SWITCH_TABLE[#Data],$H$3,MATCH(F8,SWITCH_TABLE[#Headers],0)))="","",INDEX(SWITCH_TABLE[#Data],$H$3,MATCH(F8,SWITCH_TABLE[#Headers],0)))</f>
        <v>10.99.100.9</v>
      </c>
      <c r="L8" s="142"/>
    </row>
    <row r="9" spans="1:12">
      <c r="G9" s="111"/>
      <c r="L9" s="142"/>
    </row>
    <row r="10" spans="1:12" ht="13.2">
      <c r="B10" s="113" t="s">
        <v>1814</v>
      </c>
      <c r="C10" s="119" t="str">
        <f>IF(C12="","Single Unit","Unit "&amp;C11&amp;" of "&amp;C12)</f>
        <v>Single Unit</v>
      </c>
      <c r="D10" s="113"/>
      <c r="F10" s="113" t="s">
        <v>2656</v>
      </c>
      <c r="G10" s="120" t="str">
        <f>IF(AND(G11="",G13=""),"WARNING: No Uplinks","")</f>
        <v>WARNING: No Uplinks</v>
      </c>
      <c r="H10" s="113"/>
      <c r="L10" s="142"/>
    </row>
    <row r="11" spans="1:12">
      <c r="B11" s="116" t="s">
        <v>1832</v>
      </c>
      <c r="C11" s="117" t="str">
        <f>INDEX(SWITCH_TABLE[#Data],$H$3,MATCH(B11,SWITCH_TABLE[#Headers],0))</f>
        <v>1</v>
      </c>
      <c r="F11" s="116" t="s">
        <v>1844</v>
      </c>
      <c r="G11" s="118" t="str" cm="1">
        <f t="array" ref="G11">IF(_xlfn.SINGLE(INDEX(SWITCH_TABLE[#Data],$H$3,MATCH(F11,SWITCH_TABLE[#Headers],0)))="","",INDEX(SWITCH_TABLE[#Data],$H$3,MATCH(F11,SWITCH_TABLE[#Headers],0)))</f>
        <v/>
      </c>
      <c r="H11" s="118" t="str" cm="1">
        <f t="array" ref="H11">IF(G11="","",INDEX(SWITCH_TABLE[#Data],$H$3,MATCH("Uplink 1 SFP",SWITCH_TABLE[#Headers],0)))</f>
        <v/>
      </c>
      <c r="L11" s="142"/>
    </row>
    <row r="12" spans="1:12">
      <c r="B12" s="116" t="s">
        <v>1833</v>
      </c>
      <c r="C12" s="117" t="str">
        <f>INDEX(SWITCH_TABLE[#Data],$H$3,MATCH(B12,SWITCH_TABLE[#Headers],0))</f>
        <v/>
      </c>
      <c r="F12" s="116" t="s">
        <v>1846</v>
      </c>
      <c r="G12" s="118" t="str" cm="1">
        <f t="array" ref="G12">IF(_xlfn.SINGLE(INDEX(SWITCH_TABLE[#Data],$H$3,MATCH(F12,SWITCH_TABLE[#Headers],0)))="","",INDEX(SWITCH_TABLE[#Data],$H$3,MATCH(F12,SWITCH_TABLE[#Headers],0)))</f>
        <v/>
      </c>
      <c r="H12" s="118" t="str" cm="1">
        <f t="array" ref="H12">IF(G12="","",INDEX(SWITCH_TABLE[#Data],$H$3,MATCH("Remote Port 1",SWITCH_TABLE[#Headers],0)))</f>
        <v/>
      </c>
      <c r="L12" s="142"/>
    </row>
    <row r="13" spans="1:12">
      <c r="B13" s="116" t="s">
        <v>1837</v>
      </c>
      <c r="C13" s="117" t="str">
        <f>INDEX(SWITCH_TABLE[#Data],$H$3,MATCH(B13,SWITCH_TABLE[#Headers],0))</f>
        <v/>
      </c>
      <c r="D13" s="117" t="str">
        <f>INDEX(SWITCH_TABLE[#Data],$H$3,MATCH("Next Port",SWITCH_TABLE[#Headers],0))</f>
        <v/>
      </c>
      <c r="F13" s="116" t="s">
        <v>1848</v>
      </c>
      <c r="G13" s="118" t="str" cm="1">
        <f t="array" ref="G13">IF(_xlfn.SINGLE(INDEX(SWITCH_TABLE[#Data],$H$3,MATCH(F13,SWITCH_TABLE[#Headers],0)))="","",INDEX(SWITCH_TABLE[#Data],$H$3,MATCH(F13,SWITCH_TABLE[#Headers],0)))</f>
        <v/>
      </c>
      <c r="H13" s="118" t="str" cm="1">
        <f t="array" ref="H13">IF(G13="","",INDEX(SWITCH_TABLE[#Data],$H$3,MATCH("Uplink 2 SFP",SWITCH_TABLE[#Headers],0)))</f>
        <v/>
      </c>
      <c r="L13" s="142"/>
    </row>
    <row r="14" spans="1:12">
      <c r="B14" s="116" t="s">
        <v>1842</v>
      </c>
      <c r="C14" s="117" t="str">
        <f>INDEX(SWITCH_TABLE[#Data],$H$3,MATCH(B14,SWITCH_TABLE[#Headers],0))</f>
        <v/>
      </c>
      <c r="D14" s="117" t="str">
        <f>INDEX(SWITCH_TABLE[#Data],$H$3,MATCH("Prev Port",SWITCH_TABLE[#Headers],0))</f>
        <v/>
      </c>
      <c r="F14" s="116" t="s">
        <v>1850</v>
      </c>
      <c r="G14" s="118" t="str" cm="1">
        <f t="array" ref="G14">IF(_xlfn.SINGLE(INDEX(SWITCH_TABLE[#Data],$H$3,MATCH(F14,SWITCH_TABLE[#Headers],0)))="","",INDEX(SWITCH_TABLE[#Data],$H$3,MATCH(F14,SWITCH_TABLE[#Headers],0)))</f>
        <v/>
      </c>
      <c r="H14" s="118" t="str" cm="1">
        <f t="array" ref="H14">IF(G14="","",INDEX(SWITCH_TABLE[#Data],$H$3,MATCH("Remote Port 2",SWITCH_TABLE[#Headers],0)))</f>
        <v/>
      </c>
      <c r="L14" s="142"/>
    </row>
    <row r="15" spans="1:12">
      <c r="H15" s="114"/>
      <c r="L15" s="142"/>
    </row>
    <row r="16" spans="1:12" ht="13.2">
      <c r="A16" s="121">
        <v>0</v>
      </c>
      <c r="B16" s="113" t="s">
        <v>2657</v>
      </c>
      <c r="C16" s="113" t="s">
        <v>2226</v>
      </c>
      <c r="D16" s="113" t="s">
        <v>46</v>
      </c>
      <c r="E16" s="113" t="s">
        <v>1983</v>
      </c>
      <c r="F16" s="113" t="s">
        <v>1982</v>
      </c>
      <c r="G16" s="113" t="s">
        <v>45</v>
      </c>
      <c r="H16" s="113" t="s">
        <v>887</v>
      </c>
      <c r="J16" s="113" t="s">
        <v>2658</v>
      </c>
      <c r="L16" s="127"/>
    </row>
    <row r="17" spans="1:10">
      <c r="A17" s="121">
        <f>ROW(A17)-ROW($A$16)+$A$16</f>
        <v>1</v>
      </c>
      <c r="B17" s="116" t="str">
        <f t="shared" ref="B17:B64" si="0">IF(A17&lt;=$C$7,$D$7&amp;$C$11&amp;"/0/"&amp;A17,"")</f>
        <v>gi1/0/1</v>
      </c>
      <c r="C17" s="122" t="s">
        <v>2608</v>
      </c>
      <c r="D17" s="129">
        <v>100</v>
      </c>
      <c r="E17" s="123" t="str" cm="1">
        <f t="array" ref="E17">IF($J17&lt;&gt;"",IF(_xlfn.SINGLE(INDEX(Connections!$B$4:$V$345,$J17,MATCH(E$16,Connections!$B$3:$V$3,0)))=0,"",INDEX(Connections!$B$4:$V$345,$J17,MATCH(E$16,Connections!$B$3:$V$3,0))),"")</f>
        <v/>
      </c>
      <c r="F17" s="122" t="s">
        <v>2752</v>
      </c>
      <c r="G17" s="122" t="s">
        <v>1991</v>
      </c>
      <c r="H17" s="125" t="s">
        <v>2768</v>
      </c>
      <c r="J17" s="118" t="str">
        <f>_xlfn.IFNA(MATCH(SHEET_NAME&amp;" "&amp;B17,Connections!$L$4:$L$345,0),"")</f>
        <v/>
      </c>
    </row>
    <row r="18" spans="1:10">
      <c r="A18" s="121">
        <f t="shared" ref="A18:A64" si="1">ROW(A18)-ROW($A$16)+$A$16</f>
        <v>2</v>
      </c>
      <c r="B18" s="116" t="str">
        <f t="shared" si="0"/>
        <v>gi1/0/2</v>
      </c>
      <c r="C18" s="122" t="str" cm="1">
        <f t="array" ref="C18">_xlfn.IFS($B18="","",$B18=$B$71,"reserved",$B18=$B$72,"reserved",$B18=$G$11,"connect",$B18=$G$13,"connect",J18&lt;&gt;"","connect",1=1,"disabled")</f>
        <v>disabled</v>
      </c>
      <c r="D18" s="129" t="str" cm="1">
        <f t="array" ref="D18">IF($J18&lt;&gt;"",INDEX(Connections!$B$4:$V$345,$J18,MATCH(D$16,Connections!$B$3:$V$3,0)),"")</f>
        <v/>
      </c>
      <c r="E18" s="123" t="str" cm="1">
        <f t="array" ref="E18">IF($J18&lt;&gt;"",IF(_xlfn.SINGLE(INDEX(Connections!$B$4:$V$345,$J18,MATCH(E$16,Connections!$B$3:$V$3,0)))=0,"",INDEX(Connections!$B$4:$V$345,$J18,MATCH(E$16,Connections!$B$3:$V$3,0))),"")</f>
        <v/>
      </c>
      <c r="F18" s="122" t="str" cm="1">
        <f t="array" ref="F18">IF($J18&lt;&gt;"",INDEX(Connections!$B$4:$V$345,$J18,MATCH(F$16,Connections!$B$3:$V$3,0)),"")</f>
        <v/>
      </c>
      <c r="G18" s="122" t="str" cm="1">
        <f t="array" ref="G18">IF($J18&lt;&gt;"",INDEX(Connections!$B$4:$V$345,$J18,MATCH(G$16,Connections!$B$3:$V$3,0)),"")</f>
        <v/>
      </c>
      <c r="H18" s="125" t="str" cm="1">
        <f t="array" ref="H18">IF($J18&lt;&gt;"",INDEX(Connections!$B$4:$V$345,$J18,MATCH(H$16,Connections!$B$3:$V$3,0)),"")</f>
        <v/>
      </c>
      <c r="J18" s="118" t="str">
        <f>_xlfn.IFNA(MATCH(SHEET_NAME&amp;" "&amp;B18,Connections!$L$4:$L$345,0),"")</f>
        <v/>
      </c>
    </row>
    <row r="19" spans="1:10">
      <c r="A19" s="121">
        <f t="shared" si="1"/>
        <v>3</v>
      </c>
      <c r="B19" s="116" t="str">
        <f t="shared" si="0"/>
        <v>gi1/0/3</v>
      </c>
      <c r="C19" s="122" t="s">
        <v>2608</v>
      </c>
      <c r="D19" s="129">
        <v>100</v>
      </c>
      <c r="E19" s="123" t="str" cm="1">
        <f t="array" ref="E19">IF($J19&lt;&gt;"",IF(_xlfn.SINGLE(INDEX(Connections!$B$4:$V$345,$J19,MATCH(E$16,Connections!$B$3:$V$3,0)))=0,"",INDEX(Connections!$B$4:$V$345,$J19,MATCH(E$16,Connections!$B$3:$V$3,0))),"")</f>
        <v/>
      </c>
      <c r="F19" s="122" t="s">
        <v>2752</v>
      </c>
      <c r="G19" s="122" t="s">
        <v>1991</v>
      </c>
      <c r="H19" s="125" t="s">
        <v>2766</v>
      </c>
      <c r="J19" s="118" t="str">
        <f>_xlfn.IFNA(MATCH(SHEET_NAME&amp;" "&amp;B19,Connections!$L$4:$L$345,0),"")</f>
        <v/>
      </c>
    </row>
    <row r="20" spans="1:10">
      <c r="A20" s="121">
        <f t="shared" si="1"/>
        <v>4</v>
      </c>
      <c r="B20" s="116" t="str">
        <f t="shared" si="0"/>
        <v>gi1/0/4</v>
      </c>
      <c r="C20" s="122" t="str" cm="1">
        <f t="array" ref="C20">_xlfn.IFS($B20="","",$B20=$B$71,"reserved",$B20=$B$72,"reserved",$B20=$G$11,"connect",$B20=$G$13,"connect",J20&lt;&gt;"","connect",1=1,"disabled")</f>
        <v>disabled</v>
      </c>
      <c r="D20" s="129" t="str" cm="1">
        <f t="array" ref="D20">IF($J20&lt;&gt;"",INDEX(Connections!$B$4:$V$345,$J20,MATCH(D$16,Connections!$B$3:$V$3,0)),"")</f>
        <v/>
      </c>
      <c r="E20" s="123" t="str" cm="1">
        <f t="array" ref="E20">IF($J20&lt;&gt;"",IF(_xlfn.SINGLE(INDEX(Connections!$B$4:$V$345,$J20,MATCH(E$16,Connections!$B$3:$V$3,0)))=0,"",INDEX(Connections!$B$4:$V$345,$J20,MATCH(E$16,Connections!$B$3:$V$3,0))),"")</f>
        <v/>
      </c>
      <c r="F20" s="122" t="str" cm="1">
        <f t="array" ref="F20">IF($J20&lt;&gt;"",INDEX(Connections!$B$4:$V$345,$J20,MATCH(F$16,Connections!$B$3:$V$3,0)),"")</f>
        <v/>
      </c>
      <c r="G20" s="122" t="str" cm="1">
        <f t="array" ref="G20">IF($J20&lt;&gt;"",INDEX(Connections!$B$4:$V$345,$J20,MATCH(G$16,Connections!$B$3:$V$3,0)),"")</f>
        <v/>
      </c>
      <c r="H20" s="125" t="str" cm="1">
        <f t="array" ref="H20">IF($J20&lt;&gt;"",INDEX(Connections!$B$4:$V$345,$J20,MATCH(H$16,Connections!$B$3:$V$3,0)),"")</f>
        <v/>
      </c>
      <c r="J20" s="118" t="str">
        <f>_xlfn.IFNA(MATCH(SHEET_NAME&amp;" "&amp;B20,Connections!$L$4:$L$345,0),"")</f>
        <v/>
      </c>
    </row>
    <row r="21" spans="1:10">
      <c r="A21" s="121">
        <f t="shared" si="1"/>
        <v>5</v>
      </c>
      <c r="B21" s="116" t="str">
        <f t="shared" si="0"/>
        <v>gi1/0/5</v>
      </c>
      <c r="C21" s="122" t="str" cm="1">
        <f t="array" ref="C21">_xlfn.IFS($B21="","",$B21=$B$71,"reserved",$B21=$B$72,"reserved",$B21=$G$11,"connect",$B21=$G$13,"connect",J21&lt;&gt;"","connect",1=1,"disabled")</f>
        <v>disabled</v>
      </c>
      <c r="D21" s="129" t="str" cm="1">
        <f t="array" ref="D21">IF($J21&lt;&gt;"",INDEX(Connections!$B$4:$V$345,$J21,MATCH(D$16,Connections!$B$3:$V$3,0)),"")</f>
        <v/>
      </c>
      <c r="E21" s="123" t="str" cm="1">
        <f t="array" ref="E21">IF($J21&lt;&gt;"",IF(_xlfn.SINGLE(INDEX(Connections!$B$4:$V$345,$J21,MATCH(E$16,Connections!$B$3:$V$3,0)))=0,"",INDEX(Connections!$B$4:$V$345,$J21,MATCH(E$16,Connections!$B$3:$V$3,0))),"")</f>
        <v/>
      </c>
      <c r="F21" s="122" t="str" cm="1">
        <f t="array" ref="F21">IF($J21&lt;&gt;"",INDEX(Connections!$B$4:$V$345,$J21,MATCH(F$16,Connections!$B$3:$V$3,0)),"")</f>
        <v/>
      </c>
      <c r="G21" s="122" t="str" cm="1">
        <f t="array" ref="G21">IF($J21&lt;&gt;"",INDEX(Connections!$B$4:$V$345,$J21,MATCH(G$16,Connections!$B$3:$V$3,0)),"")</f>
        <v/>
      </c>
      <c r="H21" s="125" t="str" cm="1">
        <f t="array" ref="H21">IF($J21&lt;&gt;"",INDEX(Connections!$B$4:$V$345,$J21,MATCH(H$16,Connections!$B$3:$V$3,0)),"")</f>
        <v/>
      </c>
      <c r="J21" s="118" t="str">
        <f>_xlfn.IFNA(MATCH(SHEET_NAME&amp;" "&amp;B21,Connections!$L$4:$L$345,0),"")</f>
        <v/>
      </c>
    </row>
    <row r="22" spans="1:10">
      <c r="A22" s="121">
        <f t="shared" si="1"/>
        <v>6</v>
      </c>
      <c r="B22" s="116" t="str">
        <f t="shared" si="0"/>
        <v>gi1/0/6</v>
      </c>
      <c r="C22" s="122" t="str" cm="1">
        <f t="array" ref="C22">_xlfn.IFS($B22="","",$B22=$B$71,"reserved",$B22=$B$72,"reserved",$B22=$G$11,"connect",$B22=$G$13,"connect",J22&lt;&gt;"","connect",1=1,"disabled")</f>
        <v>disabled</v>
      </c>
      <c r="D22" s="129" t="str" cm="1">
        <f t="array" ref="D22">IF($J22&lt;&gt;"",INDEX(Connections!$B$4:$V$345,$J22,MATCH(D$16,Connections!$B$3:$V$3,0)),"")</f>
        <v/>
      </c>
      <c r="E22" s="123" t="str" cm="1">
        <f t="array" ref="E22">IF($J22&lt;&gt;"",IF(_xlfn.SINGLE(INDEX(Connections!$B$4:$V$345,$J22,MATCH(E$16,Connections!$B$3:$V$3,0)))=0,"",INDEX(Connections!$B$4:$V$345,$J22,MATCH(E$16,Connections!$B$3:$V$3,0))),"")</f>
        <v/>
      </c>
      <c r="F22" s="122" t="str" cm="1">
        <f t="array" ref="F22">IF($J22&lt;&gt;"",INDEX(Connections!$B$4:$V$345,$J22,MATCH(F$16,Connections!$B$3:$V$3,0)),"")</f>
        <v/>
      </c>
      <c r="G22" s="122" t="str" cm="1">
        <f t="array" ref="G22">IF($J22&lt;&gt;"",INDEX(Connections!$B$4:$V$345,$J22,MATCH(G$16,Connections!$B$3:$V$3,0)),"")</f>
        <v/>
      </c>
      <c r="H22" s="125" t="str" cm="1">
        <f t="array" ref="H22">IF($J22&lt;&gt;"",INDEX(Connections!$B$4:$V$345,$J22,MATCH(H$16,Connections!$B$3:$V$3,0)),"")</f>
        <v/>
      </c>
      <c r="J22" s="118" t="str">
        <f>_xlfn.IFNA(MATCH(SHEET_NAME&amp;" "&amp;B22,Connections!$L$4:$L$345,0),"")</f>
        <v/>
      </c>
    </row>
    <row r="23" spans="1:10">
      <c r="A23" s="121">
        <f t="shared" si="1"/>
        <v>7</v>
      </c>
      <c r="B23" s="116" t="str">
        <f t="shared" si="0"/>
        <v>gi1/0/7</v>
      </c>
      <c r="C23" s="122" t="str" cm="1">
        <f t="array" ref="C23">_xlfn.IFS($B23="","",$B23=$B$71,"reserved",$B23=$B$72,"reserved",$B23=$G$11,"connect",$B23=$G$13,"connect",J23&lt;&gt;"","connect",1=1,"disabled")</f>
        <v>disabled</v>
      </c>
      <c r="D23" s="129" t="str" cm="1">
        <f t="array" ref="D23">IF($J23&lt;&gt;"",INDEX(Connections!$B$4:$V$345,$J23,MATCH(D$16,Connections!$B$3:$V$3,0)),"")</f>
        <v/>
      </c>
      <c r="E23" s="123" t="str" cm="1">
        <f t="array" ref="E23">IF($J23&lt;&gt;"",IF(_xlfn.SINGLE(INDEX(Connections!$B$4:$V$345,$J23,MATCH(E$16,Connections!$B$3:$V$3,0)))=0,"",INDEX(Connections!$B$4:$V$345,$J23,MATCH(E$16,Connections!$B$3:$V$3,0))),"")</f>
        <v/>
      </c>
      <c r="F23" s="122" t="str" cm="1">
        <f t="array" ref="F23">IF($J23&lt;&gt;"",INDEX(Connections!$B$4:$V$345,$J23,MATCH(F$16,Connections!$B$3:$V$3,0)),"")</f>
        <v/>
      </c>
      <c r="G23" s="122" t="str" cm="1">
        <f t="array" ref="G23">IF($J23&lt;&gt;"",INDEX(Connections!$B$4:$V$345,$J23,MATCH(G$16,Connections!$B$3:$V$3,0)),"")</f>
        <v/>
      </c>
      <c r="H23" s="125" t="str" cm="1">
        <f t="array" ref="H23">IF($J23&lt;&gt;"",INDEX(Connections!$B$4:$V$345,$J23,MATCH(H$16,Connections!$B$3:$V$3,0)),"")</f>
        <v/>
      </c>
      <c r="J23" s="118" t="str">
        <f>_xlfn.IFNA(MATCH(SHEET_NAME&amp;" "&amp;B23,Connections!$L$4:$L$345,0),"")</f>
        <v/>
      </c>
    </row>
    <row r="24" spans="1:10">
      <c r="A24" s="121">
        <f t="shared" si="1"/>
        <v>8</v>
      </c>
      <c r="B24" s="116" t="str">
        <f t="shared" si="0"/>
        <v>gi1/0/8</v>
      </c>
      <c r="C24" s="122" t="str" cm="1">
        <f t="array" ref="C24">_xlfn.IFS($B24="","",$B24=$B$71,"reserved",$B24=$B$72,"reserved",$B24=$G$11,"connect",$B24=$G$13,"connect",J24&lt;&gt;"","connect",1=1,"disabled")</f>
        <v>disabled</v>
      </c>
      <c r="D24" s="129" t="str" cm="1">
        <f t="array" ref="D24">IF($J24&lt;&gt;"",INDEX(Connections!$B$4:$V$345,$J24,MATCH(D$16,Connections!$B$3:$V$3,0)),"")</f>
        <v/>
      </c>
      <c r="E24" s="123" t="str" cm="1">
        <f t="array" ref="E24">IF($J24&lt;&gt;"",IF(_xlfn.SINGLE(INDEX(Connections!$B$4:$V$345,$J24,MATCH(E$16,Connections!$B$3:$V$3,0)))=0,"",INDEX(Connections!$B$4:$V$345,$J24,MATCH(E$16,Connections!$B$3:$V$3,0))),"")</f>
        <v/>
      </c>
      <c r="F24" s="122" t="str" cm="1">
        <f t="array" ref="F24">IF($J24&lt;&gt;"",INDEX(Connections!$B$4:$V$345,$J24,MATCH(F$16,Connections!$B$3:$V$3,0)),"")</f>
        <v/>
      </c>
      <c r="G24" s="122" t="str" cm="1">
        <f t="array" ref="G24">IF($J24&lt;&gt;"",INDEX(Connections!$B$4:$V$345,$J24,MATCH(G$16,Connections!$B$3:$V$3,0)),"")</f>
        <v/>
      </c>
      <c r="H24" s="125" t="str" cm="1">
        <f t="array" ref="H24">IF($J24&lt;&gt;"",INDEX(Connections!$B$4:$V$345,$J24,MATCH(H$16,Connections!$B$3:$V$3,0)),"")</f>
        <v/>
      </c>
      <c r="J24" s="118" t="str">
        <f>_xlfn.IFNA(MATCH(SHEET_NAME&amp;" "&amp;B24,Connections!$L$4:$L$345,0),"")</f>
        <v/>
      </c>
    </row>
    <row r="25" spans="1:10">
      <c r="A25" s="121">
        <f t="shared" si="1"/>
        <v>9</v>
      </c>
      <c r="B25" s="116" t="str">
        <f t="shared" si="0"/>
        <v>gi1/0/9</v>
      </c>
      <c r="C25" s="122" t="str" cm="1">
        <f t="array" ref="C25">_xlfn.IFS($B25="","",$B25=$B$71,"reserved",$B25=$B$72,"reserved",$B25=$G$11,"connect",$B25=$G$13,"connect",J25&lt;&gt;"","connect",1=1,"disabled")</f>
        <v>disabled</v>
      </c>
      <c r="D25" s="129" t="str" cm="1">
        <f t="array" ref="D25">IF($J25&lt;&gt;"",INDEX(Connections!$B$4:$V$345,$J25,MATCH(D$16,Connections!$B$3:$V$3,0)),"")</f>
        <v/>
      </c>
      <c r="E25" s="123" t="str" cm="1">
        <f t="array" ref="E25">IF($J25&lt;&gt;"",IF(_xlfn.SINGLE(INDEX(Connections!$B$4:$V$345,$J25,MATCH(E$16,Connections!$B$3:$V$3,0)))=0,"",INDEX(Connections!$B$4:$V$345,$J25,MATCH(E$16,Connections!$B$3:$V$3,0))),"")</f>
        <v/>
      </c>
      <c r="F25" s="122" t="str" cm="1">
        <f t="array" ref="F25">IF($J25&lt;&gt;"",INDEX(Connections!$B$4:$V$345,$J25,MATCH(F$16,Connections!$B$3:$V$3,0)),"")</f>
        <v/>
      </c>
      <c r="G25" s="122" t="str" cm="1">
        <f t="array" ref="G25">IF($J25&lt;&gt;"",INDEX(Connections!$B$4:$V$345,$J25,MATCH(G$16,Connections!$B$3:$V$3,0)),"")</f>
        <v/>
      </c>
      <c r="H25" s="125" t="str" cm="1">
        <f t="array" ref="H25">IF($J25&lt;&gt;"",INDEX(Connections!$B$4:$V$345,$J25,MATCH(H$16,Connections!$B$3:$V$3,0)),"")</f>
        <v/>
      </c>
      <c r="J25" s="118" t="str">
        <f>_xlfn.IFNA(MATCH(SHEET_NAME&amp;" "&amp;B25,Connections!$L$4:$L$345,0),"")</f>
        <v/>
      </c>
    </row>
    <row r="26" spans="1:10">
      <c r="A26" s="121">
        <f t="shared" si="1"/>
        <v>10</v>
      </c>
      <c r="B26" s="116" t="str">
        <f t="shared" si="0"/>
        <v>gi1/0/10</v>
      </c>
      <c r="C26" s="122" t="str" cm="1">
        <f t="array" ref="C26">_xlfn.IFS($B26="","",$B26=$B$71,"reserved",$B26=$B$72,"reserved",$B26=$G$11,"connect",$B26=$G$13,"connect",J26&lt;&gt;"","connect",1=1,"disabled")</f>
        <v>disabled</v>
      </c>
      <c r="D26" s="129" t="str" cm="1">
        <f t="array" ref="D26">IF($J26&lt;&gt;"",INDEX(Connections!$B$4:$V$345,$J26,MATCH(D$16,Connections!$B$3:$V$3,0)),"")</f>
        <v/>
      </c>
      <c r="E26" s="123" t="str" cm="1">
        <f t="array" ref="E26">IF($J26&lt;&gt;"",IF(_xlfn.SINGLE(INDEX(Connections!$B$4:$V$345,$J26,MATCH(E$16,Connections!$B$3:$V$3,0)))=0,"",INDEX(Connections!$B$4:$V$345,$J26,MATCH(E$16,Connections!$B$3:$V$3,0))),"")</f>
        <v/>
      </c>
      <c r="F26" s="122" t="str" cm="1">
        <f t="array" ref="F26">IF($J26&lt;&gt;"",INDEX(Connections!$B$4:$V$345,$J26,MATCH(F$16,Connections!$B$3:$V$3,0)),"")</f>
        <v/>
      </c>
      <c r="G26" s="122" t="str" cm="1">
        <f t="array" ref="G26">IF($J26&lt;&gt;"",INDEX(Connections!$B$4:$V$345,$J26,MATCH(G$16,Connections!$B$3:$V$3,0)),"")</f>
        <v/>
      </c>
      <c r="H26" s="125" t="str" cm="1">
        <f t="array" ref="H26">IF($J26&lt;&gt;"",INDEX(Connections!$B$4:$V$345,$J26,MATCH(H$16,Connections!$B$3:$V$3,0)),"")</f>
        <v/>
      </c>
      <c r="J26" s="118" t="str">
        <f>_xlfn.IFNA(MATCH(SHEET_NAME&amp;" "&amp;B26,Connections!$L$4:$L$345,0),"")</f>
        <v/>
      </c>
    </row>
    <row r="27" spans="1:10">
      <c r="A27" s="121">
        <f t="shared" si="1"/>
        <v>11</v>
      </c>
      <c r="B27" s="116" t="str">
        <f t="shared" si="0"/>
        <v>gi1/0/11</v>
      </c>
      <c r="C27" s="122" t="str" cm="1">
        <f t="array" ref="C27">_xlfn.IFS($B27="","",$B27=$B$71,"reserved",$B27=$B$72,"reserved",$B27=$G$11,"connect",$B27=$G$13,"connect",J27&lt;&gt;"","connect",1=1,"disabled")</f>
        <v>disabled</v>
      </c>
      <c r="D27" s="129" t="str" cm="1">
        <f t="array" ref="D27">IF($J27&lt;&gt;"",INDEX(Connections!$B$4:$V$345,$J27,MATCH(D$16,Connections!$B$3:$V$3,0)),"")</f>
        <v/>
      </c>
      <c r="E27" s="123" t="str" cm="1">
        <f t="array" ref="E27">IF($J27&lt;&gt;"",IF(_xlfn.SINGLE(INDEX(Connections!$B$4:$V$345,$J27,MATCH(E$16,Connections!$B$3:$V$3,0)))=0,"",INDEX(Connections!$B$4:$V$345,$J27,MATCH(E$16,Connections!$B$3:$V$3,0))),"")</f>
        <v/>
      </c>
      <c r="F27" s="122" t="str" cm="1">
        <f t="array" ref="F27">IF($J27&lt;&gt;"",INDEX(Connections!$B$4:$V$345,$J27,MATCH(F$16,Connections!$B$3:$V$3,0)),"")</f>
        <v/>
      </c>
      <c r="G27" s="122" t="str" cm="1">
        <f t="array" ref="G27">IF($J27&lt;&gt;"",INDEX(Connections!$B$4:$V$345,$J27,MATCH(G$16,Connections!$B$3:$V$3,0)),"")</f>
        <v/>
      </c>
      <c r="H27" s="125" t="str" cm="1">
        <f t="array" ref="H27">IF($J27&lt;&gt;"",INDEX(Connections!$B$4:$V$345,$J27,MATCH(H$16,Connections!$B$3:$V$3,0)),"")</f>
        <v/>
      </c>
      <c r="J27" s="118" t="str">
        <f>_xlfn.IFNA(MATCH(SHEET_NAME&amp;" "&amp;B27,Connections!$L$4:$L$345,0),"")</f>
        <v/>
      </c>
    </row>
    <row r="28" spans="1:10">
      <c r="A28" s="121">
        <f t="shared" si="1"/>
        <v>12</v>
      </c>
      <c r="B28" s="116" t="str">
        <f t="shared" si="0"/>
        <v>gi1/0/12</v>
      </c>
      <c r="C28" s="122" t="str" cm="1">
        <f t="array" ref="C28">_xlfn.IFS($B28="","",$B28=$B$71,"reserved",$B28=$B$72,"reserved",$B28=$G$11,"connect",$B28=$G$13,"connect",J28&lt;&gt;"","connect",1=1,"disabled")</f>
        <v>disabled</v>
      </c>
      <c r="D28" s="129" t="str" cm="1">
        <f t="array" ref="D28">IF($J28&lt;&gt;"",INDEX(Connections!$B$4:$V$345,$J28,MATCH(D$16,Connections!$B$3:$V$3,0)),"")</f>
        <v/>
      </c>
      <c r="E28" s="123" t="str" cm="1">
        <f t="array" ref="E28">IF($J28&lt;&gt;"",IF(_xlfn.SINGLE(INDEX(Connections!$B$4:$V$345,$J28,MATCH(E$16,Connections!$B$3:$V$3,0)))=0,"",INDEX(Connections!$B$4:$V$345,$J28,MATCH(E$16,Connections!$B$3:$V$3,0))),"")</f>
        <v/>
      </c>
      <c r="F28" s="122" t="str" cm="1">
        <f t="array" ref="F28">IF($J28&lt;&gt;"",INDEX(Connections!$B$4:$V$345,$J28,MATCH(F$16,Connections!$B$3:$V$3,0)),"")</f>
        <v/>
      </c>
      <c r="G28" s="122" t="str" cm="1">
        <f t="array" ref="G28">IF($J28&lt;&gt;"",INDEX(Connections!$B$4:$V$345,$J28,MATCH(G$16,Connections!$B$3:$V$3,0)),"")</f>
        <v/>
      </c>
      <c r="H28" s="125" t="str" cm="1">
        <f t="array" ref="H28">IF($J28&lt;&gt;"",INDEX(Connections!$B$4:$V$345,$J28,MATCH(H$16,Connections!$B$3:$V$3,0)),"")</f>
        <v/>
      </c>
      <c r="J28" s="118" t="str">
        <f>_xlfn.IFNA(MATCH(SHEET_NAME&amp;" "&amp;B28,Connections!$L$4:$L$345,0),"")</f>
        <v/>
      </c>
    </row>
    <row r="29" spans="1:10">
      <c r="A29" s="121">
        <f t="shared" si="1"/>
        <v>13</v>
      </c>
      <c r="B29" s="116" t="str">
        <f t="shared" si="0"/>
        <v>gi1/0/13</v>
      </c>
      <c r="C29" s="122" t="str" cm="1">
        <f t="array" ref="C29">_xlfn.IFS($B29="","",$B29=$B$71,"reserved",$B29=$B$72,"reserved",$B29=$G$11,"connect",$B29=$G$13,"connect",J29&lt;&gt;"","connect",1=1,"disabled")</f>
        <v>disabled</v>
      </c>
      <c r="D29" s="129" t="str" cm="1">
        <f t="array" ref="D29">IF($J29&lt;&gt;"",INDEX(Connections!$B$4:$V$345,$J29,MATCH(D$16,Connections!$B$3:$V$3,0)),"")</f>
        <v/>
      </c>
      <c r="E29" s="123" t="str" cm="1">
        <f t="array" ref="E29">IF($J29&lt;&gt;"",IF(_xlfn.SINGLE(INDEX(Connections!$B$4:$V$345,$J29,MATCH(E$16,Connections!$B$3:$V$3,0)))=0,"",INDEX(Connections!$B$4:$V$345,$J29,MATCH(E$16,Connections!$B$3:$V$3,0))),"")</f>
        <v/>
      </c>
      <c r="F29" s="122" t="str" cm="1">
        <f t="array" ref="F29">IF($J29&lt;&gt;"",INDEX(Connections!$B$4:$V$345,$J29,MATCH(F$16,Connections!$B$3:$V$3,0)),"")</f>
        <v/>
      </c>
      <c r="G29" s="122" t="str" cm="1">
        <f t="array" ref="G29">IF($J29&lt;&gt;"",INDEX(Connections!$B$4:$V$345,$J29,MATCH(G$16,Connections!$B$3:$V$3,0)),"")</f>
        <v/>
      </c>
      <c r="H29" s="125" t="str" cm="1">
        <f t="array" ref="H29">IF($J29&lt;&gt;"",INDEX(Connections!$B$4:$V$345,$J29,MATCH(H$16,Connections!$B$3:$V$3,0)),"")</f>
        <v/>
      </c>
      <c r="J29" s="118" t="str">
        <f>_xlfn.IFNA(MATCH(SHEET_NAME&amp;" "&amp;B29,Connections!$L$4:$L$345,0),"")</f>
        <v/>
      </c>
    </row>
    <row r="30" spans="1:10">
      <c r="A30" s="121">
        <f t="shared" si="1"/>
        <v>14</v>
      </c>
      <c r="B30" s="116" t="str">
        <f t="shared" si="0"/>
        <v>gi1/0/14</v>
      </c>
      <c r="C30" s="122" t="str" cm="1">
        <f t="array" ref="C30">_xlfn.IFS($B30="","",$B30=$B$71,"reserved",$B30=$B$72,"reserved",$B30=$G$11,"connect",$B30=$G$13,"connect",J30&lt;&gt;"","connect",1=1,"disabled")</f>
        <v>disabled</v>
      </c>
      <c r="D30" s="129" t="str" cm="1">
        <f t="array" ref="D30">IF($J30&lt;&gt;"",INDEX(Connections!$B$4:$V$345,$J30,MATCH(D$16,Connections!$B$3:$V$3,0)),"")</f>
        <v/>
      </c>
      <c r="E30" s="123" t="str" cm="1">
        <f t="array" ref="E30">IF($J30&lt;&gt;"",IF(_xlfn.SINGLE(INDEX(Connections!$B$4:$V$345,$J30,MATCH(E$16,Connections!$B$3:$V$3,0)))=0,"",INDEX(Connections!$B$4:$V$345,$J30,MATCH(E$16,Connections!$B$3:$V$3,0))),"")</f>
        <v/>
      </c>
      <c r="F30" s="122" t="str" cm="1">
        <f t="array" ref="F30">IF($J30&lt;&gt;"",INDEX(Connections!$B$4:$V$345,$J30,MATCH(F$16,Connections!$B$3:$V$3,0)),"")</f>
        <v/>
      </c>
      <c r="G30" s="122" t="str" cm="1">
        <f t="array" ref="G30">IF($J30&lt;&gt;"",INDEX(Connections!$B$4:$V$345,$J30,MATCH(G$16,Connections!$B$3:$V$3,0)),"")</f>
        <v/>
      </c>
      <c r="H30" s="125" t="str" cm="1">
        <f t="array" ref="H30">IF($J30&lt;&gt;"",INDEX(Connections!$B$4:$V$345,$J30,MATCH(H$16,Connections!$B$3:$V$3,0)),"")</f>
        <v/>
      </c>
      <c r="J30" s="118" t="str">
        <f>_xlfn.IFNA(MATCH(SHEET_NAME&amp;" "&amp;B30,Connections!$L$4:$L$345,0),"")</f>
        <v/>
      </c>
    </row>
    <row r="31" spans="1:10">
      <c r="A31" s="121">
        <f t="shared" si="1"/>
        <v>15</v>
      </c>
      <c r="B31" s="116" t="str">
        <f t="shared" si="0"/>
        <v>gi1/0/15</v>
      </c>
      <c r="C31" s="122" t="str" cm="1">
        <f t="array" ref="C31">_xlfn.IFS($B31="","",$B31=$B$71,"reserved",$B31=$B$72,"reserved",$B31=$G$11,"connect",$B31=$G$13,"connect",J31&lt;&gt;"","connect",1=1,"disabled")</f>
        <v>disabled</v>
      </c>
      <c r="D31" s="129" t="str" cm="1">
        <f t="array" ref="D31">IF($J31&lt;&gt;"",INDEX(Connections!$B$4:$V$345,$J31,MATCH(D$16,Connections!$B$3:$V$3,0)),"")</f>
        <v/>
      </c>
      <c r="E31" s="123" t="str" cm="1">
        <f t="array" ref="E31">IF($J31&lt;&gt;"",IF(_xlfn.SINGLE(INDEX(Connections!$B$4:$V$345,$J31,MATCH(E$16,Connections!$B$3:$V$3,0)))=0,"",INDEX(Connections!$B$4:$V$345,$J31,MATCH(E$16,Connections!$B$3:$V$3,0))),"")</f>
        <v/>
      </c>
      <c r="F31" s="122" t="str" cm="1">
        <f t="array" ref="F31">IF($J31&lt;&gt;"",INDEX(Connections!$B$4:$V$345,$J31,MATCH(F$16,Connections!$B$3:$V$3,0)),"")</f>
        <v/>
      </c>
      <c r="G31" s="122" t="str" cm="1">
        <f t="array" ref="G31">IF($J31&lt;&gt;"",INDEX(Connections!$B$4:$V$345,$J31,MATCH(G$16,Connections!$B$3:$V$3,0)),"")</f>
        <v/>
      </c>
      <c r="H31" s="125" t="str" cm="1">
        <f t="array" ref="H31">IF($J31&lt;&gt;"",INDEX(Connections!$B$4:$V$345,$J31,MATCH(H$16,Connections!$B$3:$V$3,0)),"")</f>
        <v/>
      </c>
      <c r="J31" s="118" t="str">
        <f>_xlfn.IFNA(MATCH(SHEET_NAME&amp;" "&amp;B31,Connections!$L$4:$L$345,0),"")</f>
        <v/>
      </c>
    </row>
    <row r="32" spans="1:10">
      <c r="A32" s="121">
        <f t="shared" si="1"/>
        <v>16</v>
      </c>
      <c r="B32" s="116" t="str">
        <f t="shared" si="0"/>
        <v>gi1/0/16</v>
      </c>
      <c r="C32" s="122" t="str" cm="1">
        <f t="array" ref="C32">_xlfn.IFS($B32="","",$B32=$B$71,"reserved",$B32=$B$72,"reserved",$B32=$G$11,"connect",$B32=$G$13,"connect",J32&lt;&gt;"","connect",1=1,"disabled")</f>
        <v>disabled</v>
      </c>
      <c r="D32" s="129" t="str" cm="1">
        <f t="array" ref="D32">IF($J32&lt;&gt;"",INDEX(Connections!$B$4:$V$345,$J32,MATCH(D$16,Connections!$B$3:$V$3,0)),"")</f>
        <v/>
      </c>
      <c r="E32" s="123" t="str" cm="1">
        <f t="array" ref="E32">IF($J32&lt;&gt;"",IF(_xlfn.SINGLE(INDEX(Connections!$B$4:$V$345,$J32,MATCH(E$16,Connections!$B$3:$V$3,0)))=0,"",INDEX(Connections!$B$4:$V$345,$J32,MATCH(E$16,Connections!$B$3:$V$3,0))),"")</f>
        <v/>
      </c>
      <c r="F32" s="122" t="str" cm="1">
        <f t="array" ref="F32">IF($J32&lt;&gt;"",INDEX(Connections!$B$4:$V$345,$J32,MATCH(F$16,Connections!$B$3:$V$3,0)),"")</f>
        <v/>
      </c>
      <c r="G32" s="122" t="str" cm="1">
        <f t="array" ref="G32">IF($J32&lt;&gt;"",INDEX(Connections!$B$4:$V$345,$J32,MATCH(G$16,Connections!$B$3:$V$3,0)),"")</f>
        <v/>
      </c>
      <c r="H32" s="125" t="str" cm="1">
        <f t="array" ref="H32">IF($J32&lt;&gt;"",INDEX(Connections!$B$4:$V$345,$J32,MATCH(H$16,Connections!$B$3:$V$3,0)),"")</f>
        <v/>
      </c>
      <c r="J32" s="118" t="str">
        <f>_xlfn.IFNA(MATCH(SHEET_NAME&amp;" "&amp;B32,Connections!$L$4:$L$345,0),"")</f>
        <v/>
      </c>
    </row>
    <row r="33" spans="1:10">
      <c r="A33" s="121">
        <f t="shared" si="1"/>
        <v>17</v>
      </c>
      <c r="B33" s="116" t="str">
        <f t="shared" si="0"/>
        <v>gi1/0/17</v>
      </c>
      <c r="C33" s="122" t="str" cm="1">
        <f t="array" ref="C33">_xlfn.IFS($B33="","",$B33=$B$71,"reserved",$B33=$B$72,"reserved",$B33=$G$11,"connect",$B33=$G$13,"connect",J33&lt;&gt;"","connect",1=1,"disabled")</f>
        <v>disabled</v>
      </c>
      <c r="D33" s="129" t="str" cm="1">
        <f t="array" ref="D33">IF($J33&lt;&gt;"",INDEX(Connections!$B$4:$V$345,$J33,MATCH(D$16,Connections!$B$3:$V$3,0)),"")</f>
        <v/>
      </c>
      <c r="E33" s="123" t="str" cm="1">
        <f t="array" ref="E33">IF($J33&lt;&gt;"",IF(_xlfn.SINGLE(INDEX(Connections!$B$4:$V$345,$J33,MATCH(E$16,Connections!$B$3:$V$3,0)))=0,"",INDEX(Connections!$B$4:$V$345,$J33,MATCH(E$16,Connections!$B$3:$V$3,0))),"")</f>
        <v/>
      </c>
      <c r="F33" s="122" t="str" cm="1">
        <f t="array" ref="F33">IF($J33&lt;&gt;"",INDEX(Connections!$B$4:$V$345,$J33,MATCH(F$16,Connections!$B$3:$V$3,0)),"")</f>
        <v/>
      </c>
      <c r="G33" s="122" t="str" cm="1">
        <f t="array" ref="G33">IF($J33&lt;&gt;"",INDEX(Connections!$B$4:$V$345,$J33,MATCH(G$16,Connections!$B$3:$V$3,0)),"")</f>
        <v/>
      </c>
      <c r="H33" s="125" t="str" cm="1">
        <f t="array" ref="H33">IF($J33&lt;&gt;"",INDEX(Connections!$B$4:$V$345,$J33,MATCH(H$16,Connections!$B$3:$V$3,0)),"")</f>
        <v/>
      </c>
      <c r="J33" s="118" t="str">
        <f>_xlfn.IFNA(MATCH(SHEET_NAME&amp;" "&amp;B33,Connections!$L$4:$L$345,0),"")</f>
        <v/>
      </c>
    </row>
    <row r="34" spans="1:10">
      <c r="A34" s="121">
        <f t="shared" si="1"/>
        <v>18</v>
      </c>
      <c r="B34" s="116" t="str">
        <f t="shared" si="0"/>
        <v>gi1/0/18</v>
      </c>
      <c r="C34" s="122" t="str" cm="1">
        <f t="array" ref="C34">_xlfn.IFS($B34="","",$B34=$B$71,"reserved",$B34=$B$72,"reserved",$B34=$G$11,"connect",$B34=$G$13,"connect",J34&lt;&gt;"","connect",1=1,"disabled")</f>
        <v>disabled</v>
      </c>
      <c r="D34" s="129" t="str" cm="1">
        <f t="array" ref="D34">IF($J34&lt;&gt;"",INDEX(Connections!$B$4:$V$345,$J34,MATCH(D$16,Connections!$B$3:$V$3,0)),"")</f>
        <v/>
      </c>
      <c r="E34" s="123" t="str" cm="1">
        <f t="array" ref="E34">IF($J34&lt;&gt;"",IF(_xlfn.SINGLE(INDEX(Connections!$B$4:$V$345,$J34,MATCH(E$16,Connections!$B$3:$V$3,0)))=0,"",INDEX(Connections!$B$4:$V$345,$J34,MATCH(E$16,Connections!$B$3:$V$3,0))),"")</f>
        <v/>
      </c>
      <c r="F34" s="122" t="str" cm="1">
        <f t="array" ref="F34">IF($J34&lt;&gt;"",INDEX(Connections!$B$4:$V$345,$J34,MATCH(F$16,Connections!$B$3:$V$3,0)),"")</f>
        <v/>
      </c>
      <c r="G34" s="122" t="str" cm="1">
        <f t="array" ref="G34">IF($J34&lt;&gt;"",INDEX(Connections!$B$4:$V$345,$J34,MATCH(G$16,Connections!$B$3:$V$3,0)),"")</f>
        <v/>
      </c>
      <c r="H34" s="125" t="str" cm="1">
        <f t="array" ref="H34">IF($J34&lt;&gt;"",INDEX(Connections!$B$4:$V$345,$J34,MATCH(H$16,Connections!$B$3:$V$3,0)),"")</f>
        <v/>
      </c>
      <c r="J34" s="118" t="str">
        <f>_xlfn.IFNA(MATCH(SHEET_NAME&amp;" "&amp;B34,Connections!$L$4:$L$345,0),"")</f>
        <v/>
      </c>
    </row>
    <row r="35" spans="1:10">
      <c r="A35" s="121">
        <f t="shared" si="1"/>
        <v>19</v>
      </c>
      <c r="B35" s="116" t="str">
        <f t="shared" si="0"/>
        <v>gi1/0/19</v>
      </c>
      <c r="C35" s="122" t="str" cm="1">
        <f t="array" ref="C35">_xlfn.IFS($B35="","",$B35=$B$71,"reserved",$B35=$B$72,"reserved",$B35=$G$11,"connect",$B35=$G$13,"connect",J35&lt;&gt;"","connect",1=1,"disabled")</f>
        <v>disabled</v>
      </c>
      <c r="D35" s="129" t="str" cm="1">
        <f t="array" ref="D35">IF($J35&lt;&gt;"",INDEX(Connections!$B$4:$V$345,$J35,MATCH(D$16,Connections!$B$3:$V$3,0)),"")</f>
        <v/>
      </c>
      <c r="E35" s="123" t="str" cm="1">
        <f t="array" ref="E35">IF($J35&lt;&gt;"",IF(_xlfn.SINGLE(INDEX(Connections!$B$4:$V$345,$J35,MATCH(E$16,Connections!$B$3:$V$3,0)))=0,"",INDEX(Connections!$B$4:$V$345,$J35,MATCH(E$16,Connections!$B$3:$V$3,0))),"")</f>
        <v/>
      </c>
      <c r="F35" s="122" t="str" cm="1">
        <f t="array" ref="F35">IF($J35&lt;&gt;"",INDEX(Connections!$B$4:$V$345,$J35,MATCH(F$16,Connections!$B$3:$V$3,0)),"")</f>
        <v/>
      </c>
      <c r="G35" s="122" t="str" cm="1">
        <f t="array" ref="G35">IF($J35&lt;&gt;"",INDEX(Connections!$B$4:$V$345,$J35,MATCH(G$16,Connections!$B$3:$V$3,0)),"")</f>
        <v/>
      </c>
      <c r="H35" s="125" t="str" cm="1">
        <f t="array" ref="H35">IF($J35&lt;&gt;"",INDEX(Connections!$B$4:$V$345,$J35,MATCH(H$16,Connections!$B$3:$V$3,0)),"")</f>
        <v/>
      </c>
      <c r="J35" s="118" t="str">
        <f>_xlfn.IFNA(MATCH(SHEET_NAME&amp;" "&amp;B35,Connections!$L$4:$L$345,0),"")</f>
        <v/>
      </c>
    </row>
    <row r="36" spans="1:10">
      <c r="A36" s="121">
        <f t="shared" si="1"/>
        <v>20</v>
      </c>
      <c r="B36" s="116" t="str">
        <f t="shared" si="0"/>
        <v>gi1/0/20</v>
      </c>
      <c r="C36" s="122" t="str" cm="1">
        <f t="array" ref="C36">_xlfn.IFS($B36="","",$B36=$B$71,"reserved",$B36=$B$72,"reserved",$B36=$G$11,"connect",$B36=$G$13,"connect",J36&lt;&gt;"","connect",1=1,"disabled")</f>
        <v>disabled</v>
      </c>
      <c r="D36" s="129" t="str" cm="1">
        <f t="array" ref="D36">IF($J36&lt;&gt;"",INDEX(Connections!$B$4:$V$345,$J36,MATCH(D$16,Connections!$B$3:$V$3,0)),"")</f>
        <v/>
      </c>
      <c r="E36" s="123" t="str" cm="1">
        <f t="array" ref="E36">IF($J36&lt;&gt;"",IF(_xlfn.SINGLE(INDEX(Connections!$B$4:$V$345,$J36,MATCH(E$16,Connections!$B$3:$V$3,0)))=0,"",INDEX(Connections!$B$4:$V$345,$J36,MATCH(E$16,Connections!$B$3:$V$3,0))),"")</f>
        <v/>
      </c>
      <c r="F36" s="122" t="str" cm="1">
        <f t="array" ref="F36">IF($J36&lt;&gt;"",INDEX(Connections!$B$4:$V$345,$J36,MATCH(F$16,Connections!$B$3:$V$3,0)),"")</f>
        <v/>
      </c>
      <c r="G36" s="122" t="str" cm="1">
        <f t="array" ref="G36">IF($J36&lt;&gt;"",INDEX(Connections!$B$4:$V$345,$J36,MATCH(G$16,Connections!$B$3:$V$3,0)),"")</f>
        <v/>
      </c>
      <c r="H36" s="125" t="str" cm="1">
        <f t="array" ref="H36">IF($J36&lt;&gt;"",INDEX(Connections!$B$4:$V$345,$J36,MATCH(H$16,Connections!$B$3:$V$3,0)),"")</f>
        <v/>
      </c>
      <c r="J36" s="118" t="str">
        <f>_xlfn.IFNA(MATCH(SHEET_NAME&amp;" "&amp;B36,Connections!$L$4:$L$345,0),"")</f>
        <v/>
      </c>
    </row>
    <row r="37" spans="1:10">
      <c r="A37" s="121">
        <f t="shared" si="1"/>
        <v>21</v>
      </c>
      <c r="B37" s="116" t="str">
        <f t="shared" si="0"/>
        <v>gi1/0/21</v>
      </c>
      <c r="C37" s="122" t="str" cm="1">
        <f t="array" ref="C37">_xlfn.IFS($B37="","",$B37=$B$71,"reserved",$B37=$B$72,"reserved",$B37=$G$11,"connect",$B37=$G$13,"connect",J37&lt;&gt;"","connect",1=1,"disabled")</f>
        <v>disabled</v>
      </c>
      <c r="D37" s="129" t="str" cm="1">
        <f t="array" ref="D37">IF($J37&lt;&gt;"",INDEX(Connections!$B$4:$V$345,$J37,MATCH(D$16,Connections!$B$3:$V$3,0)),"")</f>
        <v/>
      </c>
      <c r="E37" s="123" t="str" cm="1">
        <f t="array" ref="E37">IF($J37&lt;&gt;"",IF(_xlfn.SINGLE(INDEX(Connections!$B$4:$V$345,$J37,MATCH(E$16,Connections!$B$3:$V$3,0)))=0,"",INDEX(Connections!$B$4:$V$345,$J37,MATCH(E$16,Connections!$B$3:$V$3,0))),"")</f>
        <v/>
      </c>
      <c r="F37" s="122" t="str" cm="1">
        <f t="array" ref="F37">IF($J37&lt;&gt;"",INDEX(Connections!$B$4:$V$345,$J37,MATCH(F$16,Connections!$B$3:$V$3,0)),"")</f>
        <v/>
      </c>
      <c r="G37" s="122" t="str" cm="1">
        <f t="array" ref="G37">IF($J37&lt;&gt;"",INDEX(Connections!$B$4:$V$345,$J37,MATCH(G$16,Connections!$B$3:$V$3,0)),"")</f>
        <v/>
      </c>
      <c r="H37" s="125" t="str" cm="1">
        <f t="array" ref="H37">IF($J37&lt;&gt;"",INDEX(Connections!$B$4:$V$345,$J37,MATCH(H$16,Connections!$B$3:$V$3,0)),"")</f>
        <v/>
      </c>
      <c r="J37" s="118" t="str">
        <f>_xlfn.IFNA(MATCH(SHEET_NAME&amp;" "&amp;B37,Connections!$L$4:$L$345,0),"")</f>
        <v/>
      </c>
    </row>
    <row r="38" spans="1:10">
      <c r="A38" s="121">
        <f t="shared" si="1"/>
        <v>22</v>
      </c>
      <c r="B38" s="116" t="str">
        <f t="shared" si="0"/>
        <v>gi1/0/22</v>
      </c>
      <c r="C38" s="122" t="str" cm="1">
        <f t="array" ref="C38">_xlfn.IFS($B38="","",$B38=$B$71,"reserved",$B38=$B$72,"reserved",$B38=$G$11,"connect",$B38=$G$13,"connect",J38&lt;&gt;"","connect",1=1,"disabled")</f>
        <v>disabled</v>
      </c>
      <c r="D38" s="129" t="str" cm="1">
        <f t="array" ref="D38">IF($J38&lt;&gt;"",INDEX(Connections!$B$4:$V$345,$J38,MATCH(D$16,Connections!$B$3:$V$3,0)),"")</f>
        <v/>
      </c>
      <c r="E38" s="123" t="str" cm="1">
        <f t="array" ref="E38">IF($J38&lt;&gt;"",IF(_xlfn.SINGLE(INDEX(Connections!$B$4:$V$345,$J38,MATCH(E$16,Connections!$B$3:$V$3,0)))=0,"",INDEX(Connections!$B$4:$V$345,$J38,MATCH(E$16,Connections!$B$3:$V$3,0))),"")</f>
        <v/>
      </c>
      <c r="F38" s="122" t="str" cm="1">
        <f t="array" ref="F38">IF($J38&lt;&gt;"",INDEX(Connections!$B$4:$V$345,$J38,MATCH(F$16,Connections!$B$3:$V$3,0)),"")</f>
        <v/>
      </c>
      <c r="G38" s="122" t="str" cm="1">
        <f t="array" ref="G38">IF($J38&lt;&gt;"",INDEX(Connections!$B$4:$V$345,$J38,MATCH(G$16,Connections!$B$3:$V$3,0)),"")</f>
        <v/>
      </c>
      <c r="H38" s="125" t="str" cm="1">
        <f t="array" ref="H38">IF($J38&lt;&gt;"",INDEX(Connections!$B$4:$V$345,$J38,MATCH(H$16,Connections!$B$3:$V$3,0)),"")</f>
        <v/>
      </c>
      <c r="J38" s="118" t="str">
        <f>_xlfn.IFNA(MATCH(SHEET_NAME&amp;" "&amp;B38,Connections!$L$4:$L$345,0),"")</f>
        <v/>
      </c>
    </row>
    <row r="39" spans="1:10">
      <c r="A39" s="121">
        <f t="shared" si="1"/>
        <v>23</v>
      </c>
      <c r="B39" s="116" t="str">
        <f t="shared" si="0"/>
        <v>gi1/0/23</v>
      </c>
      <c r="C39" s="122" t="str" cm="1">
        <f t="array" ref="C39">_xlfn.IFS($B39="","",$B39=$B$71,"reserved",$B39=$B$72,"reserved",$B39=$G$11,"connect",$B39=$G$13,"connect",J39&lt;&gt;"","connect",1=1,"disabled")</f>
        <v>disabled</v>
      </c>
      <c r="D39" s="129" t="str" cm="1">
        <f t="array" ref="D39">IF($J39&lt;&gt;"",INDEX(Connections!$B$4:$V$345,$J39,MATCH(D$16,Connections!$B$3:$V$3,0)),"")</f>
        <v/>
      </c>
      <c r="E39" s="123" t="str" cm="1">
        <f t="array" ref="E39">IF($J39&lt;&gt;"",IF(_xlfn.SINGLE(INDEX(Connections!$B$4:$V$345,$J39,MATCH(E$16,Connections!$B$3:$V$3,0)))=0,"",INDEX(Connections!$B$4:$V$345,$J39,MATCH(E$16,Connections!$B$3:$V$3,0))),"")</f>
        <v/>
      </c>
      <c r="F39" s="122" t="str" cm="1">
        <f t="array" ref="F39">IF($J39&lt;&gt;"",INDEX(Connections!$B$4:$V$345,$J39,MATCH(F$16,Connections!$B$3:$V$3,0)),"")</f>
        <v/>
      </c>
      <c r="G39" s="122" t="str" cm="1">
        <f t="array" ref="G39">IF($J39&lt;&gt;"",INDEX(Connections!$B$4:$V$345,$J39,MATCH(G$16,Connections!$B$3:$V$3,0)),"")</f>
        <v/>
      </c>
      <c r="H39" s="125" t="str" cm="1">
        <f t="array" ref="H39">IF($J39&lt;&gt;"",INDEX(Connections!$B$4:$V$345,$J39,MATCH(H$16,Connections!$B$3:$V$3,0)),"")</f>
        <v/>
      </c>
      <c r="J39" s="118" t="str">
        <f>_xlfn.IFNA(MATCH(SHEET_NAME&amp;" "&amp;B39,Connections!$L$4:$L$345,0),"")</f>
        <v/>
      </c>
    </row>
    <row r="40" spans="1:10">
      <c r="A40" s="121">
        <f t="shared" si="1"/>
        <v>24</v>
      </c>
      <c r="B40" s="116" t="str">
        <f t="shared" si="0"/>
        <v>gi1/0/24</v>
      </c>
      <c r="C40" s="122" t="str" cm="1">
        <f t="array" ref="C40">_xlfn.IFS($B40="","",$B40=$B$71,"reserved",$B40=$B$72,"reserved",$B40=$G$11,"connect",$B40=$G$13,"connect",J40&lt;&gt;"","connect",1=1,"disabled")</f>
        <v>disabled</v>
      </c>
      <c r="D40" s="129" t="str" cm="1">
        <f t="array" ref="D40">IF($J40&lt;&gt;"",INDEX(Connections!$B$4:$V$345,$J40,MATCH(D$16,Connections!$B$3:$V$3,0)),"")</f>
        <v/>
      </c>
      <c r="E40" s="123" t="str" cm="1">
        <f t="array" ref="E40">IF($J40&lt;&gt;"",IF(_xlfn.SINGLE(INDEX(Connections!$B$4:$V$345,$J40,MATCH(E$16,Connections!$B$3:$V$3,0)))=0,"",INDEX(Connections!$B$4:$V$345,$J40,MATCH(E$16,Connections!$B$3:$V$3,0))),"")</f>
        <v/>
      </c>
      <c r="F40" s="122" t="str" cm="1">
        <f t="array" ref="F40">IF($J40&lt;&gt;"",INDEX(Connections!$B$4:$V$345,$J40,MATCH(F$16,Connections!$B$3:$V$3,0)),"")</f>
        <v/>
      </c>
      <c r="G40" s="122" t="str" cm="1">
        <f t="array" ref="G40">IF($J40&lt;&gt;"",INDEX(Connections!$B$4:$V$345,$J40,MATCH(G$16,Connections!$B$3:$V$3,0)),"")</f>
        <v/>
      </c>
      <c r="H40" s="125" t="str" cm="1">
        <f t="array" ref="H40">IF($J40&lt;&gt;"",INDEX(Connections!$B$4:$V$345,$J40,MATCH(H$16,Connections!$B$3:$V$3,0)),"")</f>
        <v/>
      </c>
      <c r="J40" s="118" t="str">
        <f>_xlfn.IFNA(MATCH(SHEET_NAME&amp;" "&amp;B40,Connections!$L$4:$L$345,0),"")</f>
        <v/>
      </c>
    </row>
    <row r="41" spans="1:10">
      <c r="A41" s="121">
        <f t="shared" si="1"/>
        <v>25</v>
      </c>
      <c r="B41" s="116" t="str">
        <f t="shared" si="0"/>
        <v/>
      </c>
      <c r="C41" s="122" t="str" cm="1">
        <f t="array" ref="C41">_xlfn.IFS($B41="","",$B41=$B$71,"reserved",$B41=$B$72,"reserved",$B41=$G$11,"connect",$B41=$G$13,"connect",J41&lt;&gt;"","connect",1=1,"disabled")</f>
        <v/>
      </c>
      <c r="D41" s="129" t="str" cm="1">
        <f t="array" ref="D41">IF($J41&lt;&gt;"",INDEX(Connections!$B$4:$V$345,$J41,MATCH(D$16,Connections!$B$3:$V$3,0)),"")</f>
        <v/>
      </c>
      <c r="E41" s="123" t="str" cm="1">
        <f t="array" ref="E41">IF($J41&lt;&gt;"",IF(_xlfn.SINGLE(INDEX(Connections!$B$4:$V$345,$J41,MATCH(E$16,Connections!$B$3:$V$3,0)))=0,"",INDEX(Connections!$B$4:$V$345,$J41,MATCH(E$16,Connections!$B$3:$V$3,0))),"")</f>
        <v/>
      </c>
      <c r="F41" s="122" t="str" cm="1">
        <f t="array" ref="F41">IF($J41&lt;&gt;"",INDEX(Connections!$B$4:$V$345,$J41,MATCH(F$16,Connections!$B$3:$V$3,0)),"")</f>
        <v/>
      </c>
      <c r="G41" s="122" t="str" cm="1">
        <f t="array" ref="G41">IF($J41&lt;&gt;"",INDEX(Connections!$B$4:$V$345,$J41,MATCH(G$16,Connections!$B$3:$V$3,0)),"")</f>
        <v/>
      </c>
      <c r="H41" s="125" t="str" cm="1">
        <f t="array" ref="H41">IF($J41&lt;&gt;"",INDEX(Connections!$B$4:$V$345,$J41,MATCH(H$16,Connections!$B$3:$V$3,0)),"")</f>
        <v/>
      </c>
      <c r="J41" s="118" t="str">
        <f>_xlfn.IFNA(MATCH(SHEET_NAME&amp;" "&amp;B41,Connections!$L$4:$L$345,0),"")</f>
        <v/>
      </c>
    </row>
    <row r="42" spans="1:10">
      <c r="A42" s="121">
        <f t="shared" si="1"/>
        <v>26</v>
      </c>
      <c r="B42" s="116" t="str">
        <f t="shared" si="0"/>
        <v/>
      </c>
      <c r="C42" s="122" t="str" cm="1">
        <f t="array" ref="C42">_xlfn.IFS($B42="","",$B42=$B$71,"reserved",$B42=$B$72,"reserved",$B42=$G$11,"connect",$B42=$G$13,"connect",J42&lt;&gt;"","connect",1=1,"disabled")</f>
        <v/>
      </c>
      <c r="D42" s="129" t="str" cm="1">
        <f t="array" ref="D42">IF($J42&lt;&gt;"",INDEX(Connections!$B$4:$V$345,$J42,MATCH(D$16,Connections!$B$3:$V$3,0)),"")</f>
        <v/>
      </c>
      <c r="E42" s="123" t="str" cm="1">
        <f t="array" ref="E42">IF($J42&lt;&gt;"",IF(_xlfn.SINGLE(INDEX(Connections!$B$4:$V$345,$J42,MATCH(E$16,Connections!$B$3:$V$3,0)))=0,"",INDEX(Connections!$B$4:$V$345,$J42,MATCH(E$16,Connections!$B$3:$V$3,0))),"")</f>
        <v/>
      </c>
      <c r="F42" s="122" t="str" cm="1">
        <f t="array" ref="F42">IF($J42&lt;&gt;"",INDEX(Connections!$B$4:$V$345,$J42,MATCH(F$16,Connections!$B$3:$V$3,0)),"")</f>
        <v/>
      </c>
      <c r="G42" s="122" t="str" cm="1">
        <f t="array" ref="G42">IF($J42&lt;&gt;"",INDEX(Connections!$B$4:$V$345,$J42,MATCH(G$16,Connections!$B$3:$V$3,0)),"")</f>
        <v/>
      </c>
      <c r="H42" s="125" t="str" cm="1">
        <f t="array" ref="H42">IF($J42&lt;&gt;"",INDEX(Connections!$B$4:$V$345,$J42,MATCH(H$16,Connections!$B$3:$V$3,0)),"")</f>
        <v/>
      </c>
      <c r="J42" s="118" t="str">
        <f>_xlfn.IFNA(MATCH(SHEET_NAME&amp;" "&amp;B42,Connections!$L$4:$L$345,0),"")</f>
        <v/>
      </c>
    </row>
    <row r="43" spans="1:10">
      <c r="A43" s="121">
        <f t="shared" si="1"/>
        <v>27</v>
      </c>
      <c r="B43" s="116" t="str">
        <f t="shared" si="0"/>
        <v/>
      </c>
      <c r="C43" s="122" t="str" cm="1">
        <f t="array" ref="C43">_xlfn.IFS($B43="","",$B43=$B$71,"reserved",$B43=$B$72,"reserved",$B43=$G$11,"connect",$B43=$G$13,"connect",J43&lt;&gt;"","connect",1=1,"disabled")</f>
        <v/>
      </c>
      <c r="D43" s="129" t="str" cm="1">
        <f t="array" ref="D43">IF($J43&lt;&gt;"",INDEX(Connections!$B$4:$V$345,$J43,MATCH(D$16,Connections!$B$3:$V$3,0)),"")</f>
        <v/>
      </c>
      <c r="E43" s="123" t="str" cm="1">
        <f t="array" ref="E43">IF($J43&lt;&gt;"",IF(_xlfn.SINGLE(INDEX(Connections!$B$4:$V$345,$J43,MATCH(E$16,Connections!$B$3:$V$3,0)))=0,"",INDEX(Connections!$B$4:$V$345,$J43,MATCH(E$16,Connections!$B$3:$V$3,0))),"")</f>
        <v/>
      </c>
      <c r="F43" s="122" t="str" cm="1">
        <f t="array" ref="F43">IF($J43&lt;&gt;"",INDEX(Connections!$B$4:$V$345,$J43,MATCH(F$16,Connections!$B$3:$V$3,0)),"")</f>
        <v/>
      </c>
      <c r="G43" s="122" t="str" cm="1">
        <f t="array" ref="G43">IF($J43&lt;&gt;"",INDEX(Connections!$B$4:$V$345,$J43,MATCH(G$16,Connections!$B$3:$V$3,0)),"")</f>
        <v/>
      </c>
      <c r="H43" s="125" t="str" cm="1">
        <f t="array" ref="H43">IF($J43&lt;&gt;"",INDEX(Connections!$B$4:$V$345,$J43,MATCH(H$16,Connections!$B$3:$V$3,0)),"")</f>
        <v/>
      </c>
      <c r="J43" s="118" t="str">
        <f>_xlfn.IFNA(MATCH(SHEET_NAME&amp;" "&amp;B43,Connections!$L$4:$L$345,0),"")</f>
        <v/>
      </c>
    </row>
    <row r="44" spans="1:10">
      <c r="A44" s="121">
        <f t="shared" si="1"/>
        <v>28</v>
      </c>
      <c r="B44" s="116" t="str">
        <f t="shared" si="0"/>
        <v/>
      </c>
      <c r="C44" s="122" t="str" cm="1">
        <f t="array" ref="C44">_xlfn.IFS($B44="","",$B44=$B$71,"reserved",$B44=$B$72,"reserved",$B44=$G$11,"connect",$B44=$G$13,"connect",J44&lt;&gt;"","connect",1=1,"disabled")</f>
        <v/>
      </c>
      <c r="D44" s="129" t="str" cm="1">
        <f t="array" ref="D44">IF($J44&lt;&gt;"",INDEX(Connections!$B$4:$V$345,$J44,MATCH(D$16,Connections!$B$3:$V$3,0)),"")</f>
        <v/>
      </c>
      <c r="E44" s="123" t="str" cm="1">
        <f t="array" ref="E44">IF($J44&lt;&gt;"",IF(_xlfn.SINGLE(INDEX(Connections!$B$4:$V$345,$J44,MATCH(E$16,Connections!$B$3:$V$3,0)))=0,"",INDEX(Connections!$B$4:$V$345,$J44,MATCH(E$16,Connections!$B$3:$V$3,0))),"")</f>
        <v/>
      </c>
      <c r="F44" s="122" t="str" cm="1">
        <f t="array" ref="F44">IF($J44&lt;&gt;"",INDEX(Connections!$B$4:$V$345,$J44,MATCH(F$16,Connections!$B$3:$V$3,0)),"")</f>
        <v/>
      </c>
      <c r="G44" s="122" t="str" cm="1">
        <f t="array" ref="G44">IF($J44&lt;&gt;"",INDEX(Connections!$B$4:$V$345,$J44,MATCH(G$16,Connections!$B$3:$V$3,0)),"")</f>
        <v/>
      </c>
      <c r="H44" s="125" t="str" cm="1">
        <f t="array" ref="H44">IF($J44&lt;&gt;"",INDEX(Connections!$B$4:$V$345,$J44,MATCH(H$16,Connections!$B$3:$V$3,0)),"")</f>
        <v/>
      </c>
      <c r="J44" s="118" t="str">
        <f>_xlfn.IFNA(MATCH(SHEET_NAME&amp;" "&amp;B44,Connections!$L$4:$L$345,0),"")</f>
        <v/>
      </c>
    </row>
    <row r="45" spans="1:10">
      <c r="A45" s="121">
        <f t="shared" si="1"/>
        <v>29</v>
      </c>
      <c r="B45" s="116" t="str">
        <f t="shared" si="0"/>
        <v/>
      </c>
      <c r="C45" s="122" t="str" cm="1">
        <f t="array" ref="C45">_xlfn.IFS($B45="","",$B45=$B$71,"reserved",$B45=$B$72,"reserved",$B45=$G$11,"connect",$B45=$G$13,"connect",J45&lt;&gt;"","connect",1=1,"disabled")</f>
        <v/>
      </c>
      <c r="D45" s="129" t="str" cm="1">
        <f t="array" ref="D45">IF($J45&lt;&gt;"",INDEX(Connections!$B$4:$V$345,$J45,MATCH(D$16,Connections!$B$3:$V$3,0)),"")</f>
        <v/>
      </c>
      <c r="E45" s="123" t="str" cm="1">
        <f t="array" ref="E45">IF($J45&lt;&gt;"",IF(_xlfn.SINGLE(INDEX(Connections!$B$4:$V$345,$J45,MATCH(E$16,Connections!$B$3:$V$3,0)))=0,"",INDEX(Connections!$B$4:$V$345,$J45,MATCH(E$16,Connections!$B$3:$V$3,0))),"")</f>
        <v/>
      </c>
      <c r="F45" s="122" t="str" cm="1">
        <f t="array" ref="F45">IF($J45&lt;&gt;"",INDEX(Connections!$B$4:$V$345,$J45,MATCH(F$16,Connections!$B$3:$V$3,0)),"")</f>
        <v/>
      </c>
      <c r="G45" s="122" t="str" cm="1">
        <f t="array" ref="G45">IF($J45&lt;&gt;"",INDEX(Connections!$B$4:$V$345,$J45,MATCH(G$16,Connections!$B$3:$V$3,0)),"")</f>
        <v/>
      </c>
      <c r="H45" s="125" t="str" cm="1">
        <f t="array" ref="H45">IF($J45&lt;&gt;"",INDEX(Connections!$B$4:$V$345,$J45,MATCH(H$16,Connections!$B$3:$V$3,0)),"")</f>
        <v/>
      </c>
      <c r="J45" s="118" t="str">
        <f>_xlfn.IFNA(MATCH(SHEET_NAME&amp;" "&amp;B45,Connections!$L$4:$L$345,0),"")</f>
        <v/>
      </c>
    </row>
    <row r="46" spans="1:10">
      <c r="A46" s="121">
        <f t="shared" si="1"/>
        <v>30</v>
      </c>
      <c r="B46" s="116" t="str">
        <f t="shared" si="0"/>
        <v/>
      </c>
      <c r="C46" s="122" t="str" cm="1">
        <f t="array" ref="C46">_xlfn.IFS($B46="","",$B46=$B$71,"reserved",$B46=$B$72,"reserved",$B46=$G$11,"connect",$B46=$G$13,"connect",J46&lt;&gt;"","connect",1=1,"disabled")</f>
        <v/>
      </c>
      <c r="D46" s="129" t="str" cm="1">
        <f t="array" ref="D46">IF($J46&lt;&gt;"",INDEX(Connections!$B$4:$V$345,$J46,MATCH(D$16,Connections!$B$3:$V$3,0)),"")</f>
        <v/>
      </c>
      <c r="E46" s="123" t="str" cm="1">
        <f t="array" ref="E46">IF($J46&lt;&gt;"",IF(_xlfn.SINGLE(INDEX(Connections!$B$4:$V$345,$J46,MATCH(E$16,Connections!$B$3:$V$3,0)))=0,"",INDEX(Connections!$B$4:$V$345,$J46,MATCH(E$16,Connections!$B$3:$V$3,0))),"")</f>
        <v/>
      </c>
      <c r="F46" s="122" t="str" cm="1">
        <f t="array" ref="F46">IF($J46&lt;&gt;"",INDEX(Connections!$B$4:$V$345,$J46,MATCH(F$16,Connections!$B$3:$V$3,0)),"")</f>
        <v/>
      </c>
      <c r="G46" s="122" t="str" cm="1">
        <f t="array" ref="G46">IF($J46&lt;&gt;"",INDEX(Connections!$B$4:$V$345,$J46,MATCH(G$16,Connections!$B$3:$V$3,0)),"")</f>
        <v/>
      </c>
      <c r="H46" s="125" t="str" cm="1">
        <f t="array" ref="H46">IF($J46&lt;&gt;"",INDEX(Connections!$B$4:$V$345,$J46,MATCH(H$16,Connections!$B$3:$V$3,0)),"")</f>
        <v/>
      </c>
      <c r="J46" s="118" t="str">
        <f>_xlfn.IFNA(MATCH(SHEET_NAME&amp;" "&amp;B46,Connections!$L$4:$L$345,0),"")</f>
        <v/>
      </c>
    </row>
    <row r="47" spans="1:10">
      <c r="A47" s="121">
        <f t="shared" si="1"/>
        <v>31</v>
      </c>
      <c r="B47" s="116" t="str">
        <f t="shared" si="0"/>
        <v/>
      </c>
      <c r="C47" s="122" t="str" cm="1">
        <f t="array" ref="C47">_xlfn.IFS($B47="","",$B47=$B$71,"reserved",$B47=$B$72,"reserved",$B47=$G$11,"connect",$B47=$G$13,"connect",J47&lt;&gt;"","connect",1=1,"disabled")</f>
        <v/>
      </c>
      <c r="D47" s="129" t="str" cm="1">
        <f t="array" ref="D47">IF($J47&lt;&gt;"",INDEX(Connections!$B$4:$V$345,$J47,MATCH(D$16,Connections!$B$3:$V$3,0)),"")</f>
        <v/>
      </c>
      <c r="E47" s="123" t="str" cm="1">
        <f t="array" ref="E47">IF($J47&lt;&gt;"",IF(_xlfn.SINGLE(INDEX(Connections!$B$4:$V$345,$J47,MATCH(E$16,Connections!$B$3:$V$3,0)))=0,"",INDEX(Connections!$B$4:$V$345,$J47,MATCH(E$16,Connections!$B$3:$V$3,0))),"")</f>
        <v/>
      </c>
      <c r="F47" s="122" t="str" cm="1">
        <f t="array" ref="F47">IF($J47&lt;&gt;"",INDEX(Connections!$B$4:$V$345,$J47,MATCH(F$16,Connections!$B$3:$V$3,0)),"")</f>
        <v/>
      </c>
      <c r="G47" s="122" t="str" cm="1">
        <f t="array" ref="G47">IF($J47&lt;&gt;"",INDEX(Connections!$B$4:$V$345,$J47,MATCH(G$16,Connections!$B$3:$V$3,0)),"")</f>
        <v/>
      </c>
      <c r="H47" s="125" t="str" cm="1">
        <f t="array" ref="H47">IF($J47&lt;&gt;"",INDEX(Connections!$B$4:$V$345,$J47,MATCH(H$16,Connections!$B$3:$V$3,0)),"")</f>
        <v/>
      </c>
      <c r="J47" s="118" t="str">
        <f>_xlfn.IFNA(MATCH(SHEET_NAME&amp;" "&amp;B47,Connections!$L$4:$L$345,0),"")</f>
        <v/>
      </c>
    </row>
    <row r="48" spans="1:10">
      <c r="A48" s="121">
        <f t="shared" si="1"/>
        <v>32</v>
      </c>
      <c r="B48" s="116" t="str">
        <f t="shared" si="0"/>
        <v/>
      </c>
      <c r="C48" s="122" t="str" cm="1">
        <f t="array" ref="C48">_xlfn.IFS($B48="","",$B48=$B$71,"reserved",$B48=$B$72,"reserved",$B48=$G$11,"connect",$B48=$G$13,"connect",J48&lt;&gt;"","connect",1=1,"disabled")</f>
        <v/>
      </c>
      <c r="D48" s="129" t="str" cm="1">
        <f t="array" ref="D48">IF($J48&lt;&gt;"",INDEX(Connections!$B$4:$V$345,$J48,MATCH(D$16,Connections!$B$3:$V$3,0)),"")</f>
        <v/>
      </c>
      <c r="E48" s="123" t="str" cm="1">
        <f t="array" ref="E48">IF($J48&lt;&gt;"",IF(_xlfn.SINGLE(INDEX(Connections!$B$4:$V$345,$J48,MATCH(E$16,Connections!$B$3:$V$3,0)))=0,"",INDEX(Connections!$B$4:$V$345,$J48,MATCH(E$16,Connections!$B$3:$V$3,0))),"")</f>
        <v/>
      </c>
      <c r="F48" s="122" t="str" cm="1">
        <f t="array" ref="F48">IF($J48&lt;&gt;"",INDEX(Connections!$B$4:$V$345,$J48,MATCH(F$16,Connections!$B$3:$V$3,0)),"")</f>
        <v/>
      </c>
      <c r="G48" s="122" t="str" cm="1">
        <f t="array" ref="G48">IF($J48&lt;&gt;"",INDEX(Connections!$B$4:$V$345,$J48,MATCH(G$16,Connections!$B$3:$V$3,0)),"")</f>
        <v/>
      </c>
      <c r="H48" s="125" t="str" cm="1">
        <f t="array" ref="H48">IF($J48&lt;&gt;"",INDEX(Connections!$B$4:$V$345,$J48,MATCH(H$16,Connections!$B$3:$V$3,0)),"")</f>
        <v/>
      </c>
      <c r="J48" s="118" t="str">
        <f>_xlfn.IFNA(MATCH(SHEET_NAME&amp;" "&amp;B48,Connections!$L$4:$L$345,0),"")</f>
        <v/>
      </c>
    </row>
    <row r="49" spans="1:10">
      <c r="A49" s="121">
        <f t="shared" si="1"/>
        <v>33</v>
      </c>
      <c r="B49" s="116" t="str">
        <f t="shared" si="0"/>
        <v/>
      </c>
      <c r="C49" s="122" t="str" cm="1">
        <f t="array" ref="C49">_xlfn.IFS($B49="","",$B49=$B$71,"reserved",$B49=$B$72,"reserved",$B49=$G$11,"connect",$B49=$G$13,"connect",J49&lt;&gt;"","connect",1=1,"disabled")</f>
        <v/>
      </c>
      <c r="D49" s="129" t="str" cm="1">
        <f t="array" ref="D49">IF($J49&lt;&gt;"",INDEX(Connections!$B$4:$V$345,$J49,MATCH(D$16,Connections!$B$3:$V$3,0)),"")</f>
        <v/>
      </c>
      <c r="E49" s="123" t="str" cm="1">
        <f t="array" ref="E49">IF($J49&lt;&gt;"",IF(_xlfn.SINGLE(INDEX(Connections!$B$4:$V$345,$J49,MATCH(E$16,Connections!$B$3:$V$3,0)))=0,"",INDEX(Connections!$B$4:$V$345,$J49,MATCH(E$16,Connections!$B$3:$V$3,0))),"")</f>
        <v/>
      </c>
      <c r="F49" s="122" t="str" cm="1">
        <f t="array" ref="F49">IF($J49&lt;&gt;"",INDEX(Connections!$B$4:$V$345,$J49,MATCH(F$16,Connections!$B$3:$V$3,0)),"")</f>
        <v/>
      </c>
      <c r="G49" s="122" t="str" cm="1">
        <f t="array" ref="G49">IF($J49&lt;&gt;"",INDEX(Connections!$B$4:$V$345,$J49,MATCH(G$16,Connections!$B$3:$V$3,0)),"")</f>
        <v/>
      </c>
      <c r="H49" s="125" t="str" cm="1">
        <f t="array" ref="H49">IF($J49&lt;&gt;"",INDEX(Connections!$B$4:$V$345,$J49,MATCH(H$16,Connections!$B$3:$V$3,0)),"")</f>
        <v/>
      </c>
      <c r="J49" s="118" t="str">
        <f>_xlfn.IFNA(MATCH(SHEET_NAME&amp;" "&amp;B49,Connections!$L$4:$L$345,0),"")</f>
        <v/>
      </c>
    </row>
    <row r="50" spans="1:10">
      <c r="A50" s="121">
        <f t="shared" si="1"/>
        <v>34</v>
      </c>
      <c r="B50" s="116" t="str">
        <f t="shared" si="0"/>
        <v/>
      </c>
      <c r="C50" s="122" t="str" cm="1">
        <f t="array" ref="C50">_xlfn.IFS($B50="","",$B50=$B$71,"reserved",$B50=$B$72,"reserved",$B50=$G$11,"connect",$B50=$G$13,"connect",J50&lt;&gt;"","connect",1=1,"disabled")</f>
        <v/>
      </c>
      <c r="D50" s="129" t="str" cm="1">
        <f t="array" ref="D50">IF($J50&lt;&gt;"",INDEX(Connections!$B$4:$V$345,$J50,MATCH(D$16,Connections!$B$3:$V$3,0)),"")</f>
        <v/>
      </c>
      <c r="E50" s="123" t="str" cm="1">
        <f t="array" ref="E50">IF($J50&lt;&gt;"",IF(_xlfn.SINGLE(INDEX(Connections!$B$4:$V$345,$J50,MATCH(E$16,Connections!$B$3:$V$3,0)))=0,"",INDEX(Connections!$B$4:$V$345,$J50,MATCH(E$16,Connections!$B$3:$V$3,0))),"")</f>
        <v/>
      </c>
      <c r="F50" s="122" t="str" cm="1">
        <f t="array" ref="F50">IF($J50&lt;&gt;"",INDEX(Connections!$B$4:$V$345,$J50,MATCH(F$16,Connections!$B$3:$V$3,0)),"")</f>
        <v/>
      </c>
      <c r="G50" s="122" t="str" cm="1">
        <f t="array" ref="G50">IF($J50&lt;&gt;"",INDEX(Connections!$B$4:$V$345,$J50,MATCH(G$16,Connections!$B$3:$V$3,0)),"")</f>
        <v/>
      </c>
      <c r="H50" s="125" t="str" cm="1">
        <f t="array" ref="H50">IF($J50&lt;&gt;"",INDEX(Connections!$B$4:$V$345,$J50,MATCH(H$16,Connections!$B$3:$V$3,0)),"")</f>
        <v/>
      </c>
      <c r="J50" s="118" t="str">
        <f>_xlfn.IFNA(MATCH(SHEET_NAME&amp;" "&amp;B50,Connections!$L$4:$L$345,0),"")</f>
        <v/>
      </c>
    </row>
    <row r="51" spans="1:10">
      <c r="A51" s="121">
        <f t="shared" si="1"/>
        <v>35</v>
      </c>
      <c r="B51" s="116" t="str">
        <f t="shared" si="0"/>
        <v/>
      </c>
      <c r="C51" s="122" t="str" cm="1">
        <f t="array" ref="C51">_xlfn.IFS($B51="","",$B51=$B$71,"reserved",$B51=$B$72,"reserved",$B51=$G$11,"connect",$B51=$G$13,"connect",J51&lt;&gt;"","connect",1=1,"disabled")</f>
        <v/>
      </c>
      <c r="D51" s="129" t="str" cm="1">
        <f t="array" ref="D51">IF($J51&lt;&gt;"",INDEX(Connections!$B$4:$V$345,$J51,MATCH(D$16,Connections!$B$3:$V$3,0)),"")</f>
        <v/>
      </c>
      <c r="E51" s="123" t="str" cm="1">
        <f t="array" ref="E51">IF($J51&lt;&gt;"",IF(_xlfn.SINGLE(INDEX(Connections!$B$4:$V$345,$J51,MATCH(E$16,Connections!$B$3:$V$3,0)))=0,"",INDEX(Connections!$B$4:$V$345,$J51,MATCH(E$16,Connections!$B$3:$V$3,0))),"")</f>
        <v/>
      </c>
      <c r="F51" s="122" t="str" cm="1">
        <f t="array" ref="F51">IF($J51&lt;&gt;"",INDEX(Connections!$B$4:$V$345,$J51,MATCH(F$16,Connections!$B$3:$V$3,0)),"")</f>
        <v/>
      </c>
      <c r="G51" s="122" t="str" cm="1">
        <f t="array" ref="G51">IF($J51&lt;&gt;"",INDEX(Connections!$B$4:$V$345,$J51,MATCH(G$16,Connections!$B$3:$V$3,0)),"")</f>
        <v/>
      </c>
      <c r="H51" s="125" t="str" cm="1">
        <f t="array" ref="H51">IF($J51&lt;&gt;"",INDEX(Connections!$B$4:$V$345,$J51,MATCH(H$16,Connections!$B$3:$V$3,0)),"")</f>
        <v/>
      </c>
      <c r="J51" s="118" t="str">
        <f>_xlfn.IFNA(MATCH(SHEET_NAME&amp;" "&amp;B51,Connections!$L$4:$L$345,0),"")</f>
        <v/>
      </c>
    </row>
    <row r="52" spans="1:10">
      <c r="A52" s="121">
        <f t="shared" si="1"/>
        <v>36</v>
      </c>
      <c r="B52" s="116" t="str">
        <f t="shared" si="0"/>
        <v/>
      </c>
      <c r="C52" s="122" t="str" cm="1">
        <f t="array" ref="C52">_xlfn.IFS($B52="","",$B52=$B$71,"reserved",$B52=$B$72,"reserved",$B52=$G$11,"connect",$B52=$G$13,"connect",J52&lt;&gt;"","connect",1=1,"disabled")</f>
        <v/>
      </c>
      <c r="D52" s="129" t="str" cm="1">
        <f t="array" ref="D52">IF($J52&lt;&gt;"",INDEX(Connections!$B$4:$V$345,$J52,MATCH(D$16,Connections!$B$3:$V$3,0)),"")</f>
        <v/>
      </c>
      <c r="E52" s="123" t="str" cm="1">
        <f t="array" ref="E52">IF($J52&lt;&gt;"",IF(_xlfn.SINGLE(INDEX(Connections!$B$4:$V$345,$J52,MATCH(E$16,Connections!$B$3:$V$3,0)))=0,"",INDEX(Connections!$B$4:$V$345,$J52,MATCH(E$16,Connections!$B$3:$V$3,0))),"")</f>
        <v/>
      </c>
      <c r="F52" s="122" t="str" cm="1">
        <f t="array" ref="F52">IF($J52&lt;&gt;"",INDEX(Connections!$B$4:$V$345,$J52,MATCH(F$16,Connections!$B$3:$V$3,0)),"")</f>
        <v/>
      </c>
      <c r="G52" s="122" t="str" cm="1">
        <f t="array" ref="G52">IF($J52&lt;&gt;"",INDEX(Connections!$B$4:$V$345,$J52,MATCH(G$16,Connections!$B$3:$V$3,0)),"")</f>
        <v/>
      </c>
      <c r="H52" s="125" t="str" cm="1">
        <f t="array" ref="H52">IF($J52&lt;&gt;"",INDEX(Connections!$B$4:$V$345,$J52,MATCH(H$16,Connections!$B$3:$V$3,0)),"")</f>
        <v/>
      </c>
      <c r="J52" s="118" t="str">
        <f>_xlfn.IFNA(MATCH(SHEET_NAME&amp;" "&amp;B52,Connections!$L$4:$L$345,0),"")</f>
        <v/>
      </c>
    </row>
    <row r="53" spans="1:10">
      <c r="A53" s="121">
        <f t="shared" si="1"/>
        <v>37</v>
      </c>
      <c r="B53" s="116" t="str">
        <f t="shared" si="0"/>
        <v/>
      </c>
      <c r="C53" s="122" t="str" cm="1">
        <f t="array" ref="C53">_xlfn.IFS($B53="","",$B53=$B$71,"reserved",$B53=$B$72,"reserved",$B53=$G$11,"connect",$B53=$G$13,"connect",J53&lt;&gt;"","connect",1=1,"disabled")</f>
        <v/>
      </c>
      <c r="D53" s="129" t="str" cm="1">
        <f t="array" ref="D53">IF($J53&lt;&gt;"",INDEX(Connections!$B$4:$V$345,$J53,MATCH(D$16,Connections!$B$3:$V$3,0)),"")</f>
        <v/>
      </c>
      <c r="E53" s="123" t="str" cm="1">
        <f t="array" ref="E53">IF($J53&lt;&gt;"",IF(_xlfn.SINGLE(INDEX(Connections!$B$4:$V$345,$J53,MATCH(E$16,Connections!$B$3:$V$3,0)))=0,"",INDEX(Connections!$B$4:$V$345,$J53,MATCH(E$16,Connections!$B$3:$V$3,0))),"")</f>
        <v/>
      </c>
      <c r="F53" s="122" t="str" cm="1">
        <f t="array" ref="F53">IF($J53&lt;&gt;"",INDEX(Connections!$B$4:$V$345,$J53,MATCH(F$16,Connections!$B$3:$V$3,0)),"")</f>
        <v/>
      </c>
      <c r="G53" s="122" t="str" cm="1">
        <f t="array" ref="G53">IF($J53&lt;&gt;"",INDEX(Connections!$B$4:$V$345,$J53,MATCH(G$16,Connections!$B$3:$V$3,0)),"")</f>
        <v/>
      </c>
      <c r="H53" s="125" t="str" cm="1">
        <f t="array" ref="H53">IF($J53&lt;&gt;"",INDEX(Connections!$B$4:$V$345,$J53,MATCH(H$16,Connections!$B$3:$V$3,0)),"")</f>
        <v/>
      </c>
      <c r="J53" s="118" t="str">
        <f>_xlfn.IFNA(MATCH(SHEET_NAME&amp;" "&amp;B53,Connections!$L$4:$L$345,0),"")</f>
        <v/>
      </c>
    </row>
    <row r="54" spans="1:10">
      <c r="A54" s="121">
        <f t="shared" si="1"/>
        <v>38</v>
      </c>
      <c r="B54" s="116" t="str">
        <f t="shared" si="0"/>
        <v/>
      </c>
      <c r="C54" s="122" t="str" cm="1">
        <f t="array" ref="C54">_xlfn.IFS($B54="","",$B54=$B$71,"reserved",$B54=$B$72,"reserved",$B54=$G$11,"connect",$B54=$G$13,"connect",J54&lt;&gt;"","connect",1=1,"disabled")</f>
        <v/>
      </c>
      <c r="D54" s="129" t="str" cm="1">
        <f t="array" ref="D54">IF($J54&lt;&gt;"",INDEX(Connections!$B$4:$V$345,$J54,MATCH(D$16,Connections!$B$3:$V$3,0)),"")</f>
        <v/>
      </c>
      <c r="E54" s="123" t="str" cm="1">
        <f t="array" ref="E54">IF($J54&lt;&gt;"",IF(_xlfn.SINGLE(INDEX(Connections!$B$4:$V$345,$J54,MATCH(E$16,Connections!$B$3:$V$3,0)))=0,"",INDEX(Connections!$B$4:$V$345,$J54,MATCH(E$16,Connections!$B$3:$V$3,0))),"")</f>
        <v/>
      </c>
      <c r="F54" s="122" t="str" cm="1">
        <f t="array" ref="F54">IF($J54&lt;&gt;"",INDEX(Connections!$B$4:$V$345,$J54,MATCH(F$16,Connections!$B$3:$V$3,0)),"")</f>
        <v/>
      </c>
      <c r="G54" s="122" t="str" cm="1">
        <f t="array" ref="G54">IF($J54&lt;&gt;"",INDEX(Connections!$B$4:$V$345,$J54,MATCH(G$16,Connections!$B$3:$V$3,0)),"")</f>
        <v/>
      </c>
      <c r="H54" s="125" t="str" cm="1">
        <f t="array" ref="H54">IF($J54&lt;&gt;"",INDEX(Connections!$B$4:$V$345,$J54,MATCH(H$16,Connections!$B$3:$V$3,0)),"")</f>
        <v/>
      </c>
      <c r="J54" s="118" t="str">
        <f>_xlfn.IFNA(MATCH(SHEET_NAME&amp;" "&amp;B54,Connections!$L$4:$L$345,0),"")</f>
        <v/>
      </c>
    </row>
    <row r="55" spans="1:10">
      <c r="A55" s="121">
        <f t="shared" si="1"/>
        <v>39</v>
      </c>
      <c r="B55" s="116" t="str">
        <f t="shared" si="0"/>
        <v/>
      </c>
      <c r="C55" s="122" t="str" cm="1">
        <f t="array" ref="C55">_xlfn.IFS($B55="","",$B55=$B$71,"reserved",$B55=$B$72,"reserved",$B55=$G$11,"connect",$B55=$G$13,"connect",J55&lt;&gt;"","connect",1=1,"disabled")</f>
        <v/>
      </c>
      <c r="D55" s="129" t="str" cm="1">
        <f t="array" ref="D55">IF($J55&lt;&gt;"",INDEX(Connections!$B$4:$V$345,$J55,MATCH(D$16,Connections!$B$3:$V$3,0)),"")</f>
        <v/>
      </c>
      <c r="E55" s="123" t="str" cm="1">
        <f t="array" ref="E55">IF($J55&lt;&gt;"",IF(_xlfn.SINGLE(INDEX(Connections!$B$4:$V$345,$J55,MATCH(E$16,Connections!$B$3:$V$3,0)))=0,"",INDEX(Connections!$B$4:$V$345,$J55,MATCH(E$16,Connections!$B$3:$V$3,0))),"")</f>
        <v/>
      </c>
      <c r="F55" s="122" t="str" cm="1">
        <f t="array" ref="F55">IF($J55&lt;&gt;"",INDEX(Connections!$B$4:$V$345,$J55,MATCH(F$16,Connections!$B$3:$V$3,0)),"")</f>
        <v/>
      </c>
      <c r="G55" s="122" t="str" cm="1">
        <f t="array" ref="G55">IF($J55&lt;&gt;"",INDEX(Connections!$B$4:$V$345,$J55,MATCH(G$16,Connections!$B$3:$V$3,0)),"")</f>
        <v/>
      </c>
      <c r="H55" s="125" t="str" cm="1">
        <f t="array" ref="H55">IF($J55&lt;&gt;"",INDEX(Connections!$B$4:$V$345,$J55,MATCH(H$16,Connections!$B$3:$V$3,0)),"")</f>
        <v/>
      </c>
      <c r="J55" s="118" t="str">
        <f>_xlfn.IFNA(MATCH(SHEET_NAME&amp;" "&amp;B55,Connections!$L$4:$L$345,0),"")</f>
        <v/>
      </c>
    </row>
    <row r="56" spans="1:10">
      <c r="A56" s="121">
        <f t="shared" si="1"/>
        <v>40</v>
      </c>
      <c r="B56" s="116" t="str">
        <f t="shared" si="0"/>
        <v/>
      </c>
      <c r="C56" s="122" t="str" cm="1">
        <f t="array" ref="C56">_xlfn.IFS($B56="","",$B56=$B$71,"reserved",$B56=$B$72,"reserved",$B56=$G$11,"connect",$B56=$G$13,"connect",J56&lt;&gt;"","connect",1=1,"disabled")</f>
        <v/>
      </c>
      <c r="D56" s="129" t="str" cm="1">
        <f t="array" ref="D56">IF($J56&lt;&gt;"",INDEX(Connections!$B$4:$V$345,$J56,MATCH(D$16,Connections!$B$3:$V$3,0)),"")</f>
        <v/>
      </c>
      <c r="E56" s="123" t="str" cm="1">
        <f t="array" ref="E56">IF($J56&lt;&gt;"",IF(_xlfn.SINGLE(INDEX(Connections!$B$4:$V$345,$J56,MATCH(E$16,Connections!$B$3:$V$3,0)))=0,"",INDEX(Connections!$B$4:$V$345,$J56,MATCH(E$16,Connections!$B$3:$V$3,0))),"")</f>
        <v/>
      </c>
      <c r="F56" s="122" t="str" cm="1">
        <f t="array" ref="F56">IF($J56&lt;&gt;"",INDEX(Connections!$B$4:$V$345,$J56,MATCH(F$16,Connections!$B$3:$V$3,0)),"")</f>
        <v/>
      </c>
      <c r="G56" s="122" t="str" cm="1">
        <f t="array" ref="G56">IF($J56&lt;&gt;"",INDEX(Connections!$B$4:$V$345,$J56,MATCH(G$16,Connections!$B$3:$V$3,0)),"")</f>
        <v/>
      </c>
      <c r="H56" s="125" t="str" cm="1">
        <f t="array" ref="H56">IF($J56&lt;&gt;"",INDEX(Connections!$B$4:$V$345,$J56,MATCH(H$16,Connections!$B$3:$V$3,0)),"")</f>
        <v/>
      </c>
      <c r="J56" s="118" t="str">
        <f>_xlfn.IFNA(MATCH(SHEET_NAME&amp;" "&amp;B56,Connections!$L$4:$L$345,0),"")</f>
        <v/>
      </c>
    </row>
    <row r="57" spans="1:10">
      <c r="A57" s="121">
        <f t="shared" si="1"/>
        <v>41</v>
      </c>
      <c r="B57" s="116" t="str">
        <f t="shared" si="0"/>
        <v/>
      </c>
      <c r="C57" s="122" t="str" cm="1">
        <f t="array" ref="C57">_xlfn.IFS($B57="","",$B57=$B$71,"reserved",$B57=$B$72,"reserved",$B57=$G$11,"connect",$B57=$G$13,"connect",J57&lt;&gt;"","connect",1=1,"disabled")</f>
        <v/>
      </c>
      <c r="D57" s="129" t="str" cm="1">
        <f t="array" ref="D57">IF($J57&lt;&gt;"",INDEX(Connections!$B$4:$V$345,$J57,MATCH(D$16,Connections!$B$3:$V$3,0)),"")</f>
        <v/>
      </c>
      <c r="E57" s="123" t="str" cm="1">
        <f t="array" ref="E57">IF($J57&lt;&gt;"",IF(_xlfn.SINGLE(INDEX(Connections!$B$4:$V$345,$J57,MATCH(E$16,Connections!$B$3:$V$3,0)))=0,"",INDEX(Connections!$B$4:$V$345,$J57,MATCH(E$16,Connections!$B$3:$V$3,0))),"")</f>
        <v/>
      </c>
      <c r="F57" s="122" t="str" cm="1">
        <f t="array" ref="F57">IF($J57&lt;&gt;"",INDEX(Connections!$B$4:$V$345,$J57,MATCH(F$16,Connections!$B$3:$V$3,0)),"")</f>
        <v/>
      </c>
      <c r="G57" s="122" t="str" cm="1">
        <f t="array" ref="G57">IF($J57&lt;&gt;"",INDEX(Connections!$B$4:$V$345,$J57,MATCH(G$16,Connections!$B$3:$V$3,0)),"")</f>
        <v/>
      </c>
      <c r="H57" s="125" t="str" cm="1">
        <f t="array" ref="H57">IF($J57&lt;&gt;"",INDEX(Connections!$B$4:$V$345,$J57,MATCH(H$16,Connections!$B$3:$V$3,0)),"")</f>
        <v/>
      </c>
      <c r="J57" s="118" t="str">
        <f>_xlfn.IFNA(MATCH(SHEET_NAME&amp;" "&amp;B57,Connections!$L$4:$L$345,0),"")</f>
        <v/>
      </c>
    </row>
    <row r="58" spans="1:10">
      <c r="A58" s="121">
        <f t="shared" si="1"/>
        <v>42</v>
      </c>
      <c r="B58" s="116" t="str">
        <f t="shared" si="0"/>
        <v/>
      </c>
      <c r="C58" s="122" t="str" cm="1">
        <f t="array" ref="C58">_xlfn.IFS($B58="","",$B58=$B$71,"reserved",$B58=$B$72,"reserved",$B58=$G$11,"connect",$B58=$G$13,"connect",J58&lt;&gt;"","connect",1=1,"disabled")</f>
        <v/>
      </c>
      <c r="D58" s="129" t="str" cm="1">
        <f t="array" ref="D58">IF($J58&lt;&gt;"",INDEX(Connections!$B$4:$V$345,$J58,MATCH(D$16,Connections!$B$3:$V$3,0)),"")</f>
        <v/>
      </c>
      <c r="E58" s="123" t="str" cm="1">
        <f t="array" ref="E58">IF($J58&lt;&gt;"",IF(_xlfn.SINGLE(INDEX(Connections!$B$4:$V$345,$J58,MATCH(E$16,Connections!$B$3:$V$3,0)))=0,"",INDEX(Connections!$B$4:$V$345,$J58,MATCH(E$16,Connections!$B$3:$V$3,0))),"")</f>
        <v/>
      </c>
      <c r="F58" s="122" t="str" cm="1">
        <f t="array" ref="F58">IF($J58&lt;&gt;"",INDEX(Connections!$B$4:$V$345,$J58,MATCH(F$16,Connections!$B$3:$V$3,0)),"")</f>
        <v/>
      </c>
      <c r="G58" s="122" t="str" cm="1">
        <f t="array" ref="G58">IF($J58&lt;&gt;"",INDEX(Connections!$B$4:$V$345,$J58,MATCH(G$16,Connections!$B$3:$V$3,0)),"")</f>
        <v/>
      </c>
      <c r="H58" s="125" t="str" cm="1">
        <f t="array" ref="H58">IF($J58&lt;&gt;"",INDEX(Connections!$B$4:$V$345,$J58,MATCH(H$16,Connections!$B$3:$V$3,0)),"")</f>
        <v/>
      </c>
      <c r="J58" s="118" t="str">
        <f>_xlfn.IFNA(MATCH(SHEET_NAME&amp;" "&amp;B58,Connections!$L$4:$L$345,0),"")</f>
        <v/>
      </c>
    </row>
    <row r="59" spans="1:10">
      <c r="A59" s="121">
        <f t="shared" si="1"/>
        <v>43</v>
      </c>
      <c r="B59" s="116" t="str">
        <f t="shared" si="0"/>
        <v/>
      </c>
      <c r="C59" s="122" t="str" cm="1">
        <f t="array" ref="C59">_xlfn.IFS($B59="","",$B59=$B$71,"reserved",$B59=$B$72,"reserved",$B59=$G$11,"connect",$B59=$G$13,"connect",J59&lt;&gt;"","connect",1=1,"disabled")</f>
        <v/>
      </c>
      <c r="D59" s="129" t="str" cm="1">
        <f t="array" ref="D59">IF($J59&lt;&gt;"",INDEX(Connections!$B$4:$V$345,$J59,MATCH(D$16,Connections!$B$3:$V$3,0)),"")</f>
        <v/>
      </c>
      <c r="E59" s="123" t="str" cm="1">
        <f t="array" ref="E59">IF($J59&lt;&gt;"",IF(_xlfn.SINGLE(INDEX(Connections!$B$4:$V$345,$J59,MATCH(E$16,Connections!$B$3:$V$3,0)))=0,"",INDEX(Connections!$B$4:$V$345,$J59,MATCH(E$16,Connections!$B$3:$V$3,0))),"")</f>
        <v/>
      </c>
      <c r="F59" s="122" t="str" cm="1">
        <f t="array" ref="F59">IF($J59&lt;&gt;"",INDEX(Connections!$B$4:$V$345,$J59,MATCH(F$16,Connections!$B$3:$V$3,0)),"")</f>
        <v/>
      </c>
      <c r="G59" s="122" t="str" cm="1">
        <f t="array" ref="G59">IF($J59&lt;&gt;"",INDEX(Connections!$B$4:$V$345,$J59,MATCH(G$16,Connections!$B$3:$V$3,0)),"")</f>
        <v/>
      </c>
      <c r="H59" s="125" t="str" cm="1">
        <f t="array" ref="H59">IF($J59&lt;&gt;"",INDEX(Connections!$B$4:$V$345,$J59,MATCH(H$16,Connections!$B$3:$V$3,0)),"")</f>
        <v/>
      </c>
      <c r="J59" s="118" t="str">
        <f>_xlfn.IFNA(MATCH(SHEET_NAME&amp;" "&amp;B59,Connections!$L$4:$L$345,0),"")</f>
        <v/>
      </c>
    </row>
    <row r="60" spans="1:10">
      <c r="A60" s="121">
        <f t="shared" si="1"/>
        <v>44</v>
      </c>
      <c r="B60" s="116" t="str">
        <f t="shared" si="0"/>
        <v/>
      </c>
      <c r="C60" s="122" t="str" cm="1">
        <f t="array" ref="C60">_xlfn.IFS($B60="","",$B60=$B$71,"reserved",$B60=$B$72,"reserved",$B60=$G$11,"connect",$B60=$G$13,"connect",J60&lt;&gt;"","connect",1=1,"disabled")</f>
        <v/>
      </c>
      <c r="D60" s="129" t="str" cm="1">
        <f t="array" ref="D60">IF($J60&lt;&gt;"",INDEX(Connections!$B$4:$V$345,$J60,MATCH(D$16,Connections!$B$3:$V$3,0)),"")</f>
        <v/>
      </c>
      <c r="E60" s="123" t="str" cm="1">
        <f t="array" ref="E60">IF($J60&lt;&gt;"",IF(_xlfn.SINGLE(INDEX(Connections!$B$4:$V$345,$J60,MATCH(E$16,Connections!$B$3:$V$3,0)))=0,"",INDEX(Connections!$B$4:$V$345,$J60,MATCH(E$16,Connections!$B$3:$V$3,0))),"")</f>
        <v/>
      </c>
      <c r="F60" s="122" t="str" cm="1">
        <f t="array" ref="F60">IF($J60&lt;&gt;"",INDEX(Connections!$B$4:$V$345,$J60,MATCH(F$16,Connections!$B$3:$V$3,0)),"")</f>
        <v/>
      </c>
      <c r="G60" s="122" t="str" cm="1">
        <f t="array" ref="G60">IF($J60&lt;&gt;"",INDEX(Connections!$B$4:$V$345,$J60,MATCH(G$16,Connections!$B$3:$V$3,0)),"")</f>
        <v/>
      </c>
      <c r="H60" s="125" t="str" cm="1">
        <f t="array" ref="H60">IF($J60&lt;&gt;"",INDEX(Connections!$B$4:$V$345,$J60,MATCH(H$16,Connections!$B$3:$V$3,0)),"")</f>
        <v/>
      </c>
      <c r="J60" s="118" t="str">
        <f>_xlfn.IFNA(MATCH(SHEET_NAME&amp;" "&amp;B60,Connections!$L$4:$L$345,0),"")</f>
        <v/>
      </c>
    </row>
    <row r="61" spans="1:10">
      <c r="A61" s="121">
        <f t="shared" si="1"/>
        <v>45</v>
      </c>
      <c r="B61" s="116" t="str">
        <f t="shared" si="0"/>
        <v/>
      </c>
      <c r="C61" s="122" t="str" cm="1">
        <f t="array" ref="C61">_xlfn.IFS($B61="","",$B61=$B$71,"reserved",$B61=$B$72,"reserved",$B61=$G$11,"connect",$B61=$G$13,"connect",J61&lt;&gt;"","connect",1=1,"disabled")</f>
        <v/>
      </c>
      <c r="D61" s="129" t="str" cm="1">
        <f t="array" ref="D61">IF($J61&lt;&gt;"",INDEX(Connections!$B$4:$V$345,$J61,MATCH(D$16,Connections!$B$3:$V$3,0)),"")</f>
        <v/>
      </c>
      <c r="E61" s="123" t="str" cm="1">
        <f t="array" ref="E61">IF($J61&lt;&gt;"",IF(_xlfn.SINGLE(INDEX(Connections!$B$4:$V$345,$J61,MATCH(E$16,Connections!$B$3:$V$3,0)))=0,"",INDEX(Connections!$B$4:$V$345,$J61,MATCH(E$16,Connections!$B$3:$V$3,0))),"")</f>
        <v/>
      </c>
      <c r="F61" s="122" t="str" cm="1">
        <f t="array" ref="F61">IF($J61&lt;&gt;"",INDEX(Connections!$B$4:$V$345,$J61,MATCH(F$16,Connections!$B$3:$V$3,0)),"")</f>
        <v/>
      </c>
      <c r="G61" s="122" t="str" cm="1">
        <f t="array" ref="G61">IF($J61&lt;&gt;"",INDEX(Connections!$B$4:$V$345,$J61,MATCH(G$16,Connections!$B$3:$V$3,0)),"")</f>
        <v/>
      </c>
      <c r="H61" s="125" t="str" cm="1">
        <f t="array" ref="H61">IF($J61&lt;&gt;"",INDEX(Connections!$B$4:$V$345,$J61,MATCH(H$16,Connections!$B$3:$V$3,0)),"")</f>
        <v/>
      </c>
      <c r="J61" s="118" t="str">
        <f>_xlfn.IFNA(MATCH(SHEET_NAME&amp;" "&amp;B61,Connections!$L$4:$L$345,0),"")</f>
        <v/>
      </c>
    </row>
    <row r="62" spans="1:10">
      <c r="A62" s="121">
        <f t="shared" si="1"/>
        <v>46</v>
      </c>
      <c r="B62" s="116" t="str">
        <f t="shared" si="0"/>
        <v/>
      </c>
      <c r="C62" s="122" t="str" cm="1">
        <f t="array" ref="C62">_xlfn.IFS($B62="","",$B62=$B$71,"reserved",$B62=$B$72,"reserved",$B62=$G$11,"connect",$B62=$G$13,"connect",J62&lt;&gt;"","connect",1=1,"disabled")</f>
        <v/>
      </c>
      <c r="D62" s="129" t="str" cm="1">
        <f t="array" ref="D62">IF($J62&lt;&gt;"",INDEX(Connections!$B$4:$V$345,$J62,MATCH(D$16,Connections!$B$3:$V$3,0)),"")</f>
        <v/>
      </c>
      <c r="E62" s="123" t="str" cm="1">
        <f t="array" ref="E62">IF($J62&lt;&gt;"",IF(_xlfn.SINGLE(INDEX(Connections!$B$4:$V$345,$J62,MATCH(E$16,Connections!$B$3:$V$3,0)))=0,"",INDEX(Connections!$B$4:$V$345,$J62,MATCH(E$16,Connections!$B$3:$V$3,0))),"")</f>
        <v/>
      </c>
      <c r="F62" s="122" t="str" cm="1">
        <f t="array" ref="F62">IF($J62&lt;&gt;"",INDEX(Connections!$B$4:$V$345,$J62,MATCH(F$16,Connections!$B$3:$V$3,0)),"")</f>
        <v/>
      </c>
      <c r="G62" s="122" t="str" cm="1">
        <f t="array" ref="G62">IF($J62&lt;&gt;"",INDEX(Connections!$B$4:$V$345,$J62,MATCH(G$16,Connections!$B$3:$V$3,0)),"")</f>
        <v/>
      </c>
      <c r="H62" s="125" t="str" cm="1">
        <f t="array" ref="H62">IF($J62&lt;&gt;"",INDEX(Connections!$B$4:$V$345,$J62,MATCH(H$16,Connections!$B$3:$V$3,0)),"")</f>
        <v/>
      </c>
      <c r="J62" s="118" t="str">
        <f>_xlfn.IFNA(MATCH(SHEET_NAME&amp;" "&amp;B62,Connections!$L$4:$L$345,0),"")</f>
        <v/>
      </c>
    </row>
    <row r="63" spans="1:10">
      <c r="A63" s="121">
        <f t="shared" si="1"/>
        <v>47</v>
      </c>
      <c r="B63" s="116" t="str">
        <f t="shared" si="0"/>
        <v/>
      </c>
      <c r="C63" s="122" t="str" cm="1">
        <f t="array" ref="C63">_xlfn.IFS($B63="","",$B63=$B$71,"reserved",$B63=$B$72,"reserved",$B63=$G$11,"connect",$B63=$G$13,"connect",J63&lt;&gt;"","connect",1=1,"disabled")</f>
        <v/>
      </c>
      <c r="D63" s="129" t="str" cm="1">
        <f t="array" ref="D63">IF($J63&lt;&gt;"",INDEX(Connections!$B$4:$V$345,$J63,MATCH(D$16,Connections!$B$3:$V$3,0)),"")</f>
        <v/>
      </c>
      <c r="E63" s="123" t="str" cm="1">
        <f t="array" ref="E63">IF($J63&lt;&gt;"",IF(_xlfn.SINGLE(INDEX(Connections!$B$4:$V$345,$J63,MATCH(E$16,Connections!$B$3:$V$3,0)))=0,"",INDEX(Connections!$B$4:$V$345,$J63,MATCH(E$16,Connections!$B$3:$V$3,0))),"")</f>
        <v/>
      </c>
      <c r="F63" s="122" t="str" cm="1">
        <f t="array" ref="F63">IF($J63&lt;&gt;"",INDEX(Connections!$B$4:$V$345,$J63,MATCH(F$16,Connections!$B$3:$V$3,0)),"")</f>
        <v/>
      </c>
      <c r="G63" s="122" t="str" cm="1">
        <f t="array" ref="G63">IF($J63&lt;&gt;"",INDEX(Connections!$B$4:$V$345,$J63,MATCH(G$16,Connections!$B$3:$V$3,0)),"")</f>
        <v/>
      </c>
      <c r="H63" s="125" t="str" cm="1">
        <f t="array" ref="H63">IF($J63&lt;&gt;"",INDEX(Connections!$B$4:$V$345,$J63,MATCH(H$16,Connections!$B$3:$V$3,0)),"")</f>
        <v/>
      </c>
      <c r="J63" s="118" t="str">
        <f>_xlfn.IFNA(MATCH(SHEET_NAME&amp;" "&amp;B63,Connections!$L$4:$L$345,0),"")</f>
        <v/>
      </c>
    </row>
    <row r="64" spans="1:10">
      <c r="A64" s="121">
        <f t="shared" si="1"/>
        <v>48</v>
      </c>
      <c r="B64" s="116" t="str">
        <f t="shared" si="0"/>
        <v/>
      </c>
      <c r="C64" s="122" t="str" cm="1">
        <f t="array" ref="C64">_xlfn.IFS($B64="","",$B64=$B$71,"reserved",$B64=$B$72,"reserved",$B64=$G$11,"connect",$B64=$G$13,"connect",J64&lt;&gt;"","connect",1=1,"disabled")</f>
        <v/>
      </c>
      <c r="D64" s="129" t="str" cm="1">
        <f t="array" ref="D64">IF($J64&lt;&gt;"",INDEX(Connections!$B$4:$V$345,$J64,MATCH(D$16,Connections!$B$3:$V$3,0)),"")</f>
        <v/>
      </c>
      <c r="E64" s="123" t="str" cm="1">
        <f t="array" ref="E64">IF($J64&lt;&gt;"",IF(_xlfn.SINGLE(INDEX(Connections!$B$4:$V$345,$J64,MATCH(E$16,Connections!$B$3:$V$3,0)))=0,"",INDEX(Connections!$B$4:$V$345,$J64,MATCH(E$16,Connections!$B$3:$V$3,0))),"")</f>
        <v/>
      </c>
      <c r="F64" s="122" t="str" cm="1">
        <f t="array" ref="F64">IF($J64&lt;&gt;"",INDEX(Connections!$B$4:$V$345,$J64,MATCH(F$16,Connections!$B$3:$V$3,0)),"")</f>
        <v/>
      </c>
      <c r="G64" s="122" t="str" cm="1">
        <f t="array" ref="G64">IF($J64&lt;&gt;"",INDEX(Connections!$B$4:$V$345,$J64,MATCH(G$16,Connections!$B$3:$V$3,0)),"")</f>
        <v/>
      </c>
      <c r="H64" s="125" t="str" cm="1">
        <f t="array" ref="H64">IF($J64&lt;&gt;"",INDEX(Connections!$B$4:$V$345,$J64,MATCH(H$16,Connections!$B$3:$V$3,0)),"")</f>
        <v/>
      </c>
      <c r="J64" s="118" t="str">
        <f>_xlfn.IFNA(MATCH(SHEET_NAME&amp;" "&amp;B64,Connections!$L$4:$L$345,0),"")</f>
        <v/>
      </c>
    </row>
    <row r="65" spans="1:12">
      <c r="A65" s="126"/>
      <c r="B65" s="127"/>
      <c r="C65" s="127"/>
      <c r="D65" s="127"/>
      <c r="E65" s="127"/>
      <c r="F65" s="127"/>
      <c r="G65" s="127"/>
      <c r="H65" s="127"/>
      <c r="J65" s="127"/>
    </row>
    <row r="66" spans="1:12">
      <c r="L66" s="111" t="s">
        <v>1816</v>
      </c>
    </row>
    <row r="67" spans="1:12" ht="13.2">
      <c r="A67" s="121">
        <v>0</v>
      </c>
      <c r="B67" s="113" t="s">
        <v>1815</v>
      </c>
      <c r="C67" s="113" t="s">
        <v>2226</v>
      </c>
      <c r="D67" s="113" t="s">
        <v>46</v>
      </c>
      <c r="E67" s="113" t="s">
        <v>1983</v>
      </c>
      <c r="F67" s="113"/>
      <c r="G67" s="113" t="s">
        <v>45</v>
      </c>
      <c r="H67" s="113" t="s">
        <v>2582</v>
      </c>
      <c r="J67" s="113" t="s">
        <v>2658</v>
      </c>
    </row>
    <row r="68" spans="1:12">
      <c r="A68" s="121">
        <f t="shared" ref="A68:A75" si="2">ROW(A68)-ROW($A$67)+$A$67</f>
        <v>1</v>
      </c>
      <c r="B68" s="116" t="str">
        <f t="shared" ref="B68:B75" si="3">IF(A68&gt;$C$8,"",$D$8&amp;$C$11&amp;"/1/"&amp;A68)</f>
        <v>gi1/1/1</v>
      </c>
      <c r="C68" s="122" t="str" cm="1">
        <f t="array" ref="C68">_xlfn.IFS($B68="","",$B68=$B$79,"reserved",$B68=$B$80,"reserved",$B68=$G$11,"connect",$B68=$G$13,"connect",1=1,"disabled")</f>
        <v>disabled</v>
      </c>
      <c r="D68" s="122" t="str" cm="1">
        <f t="array" ref="D68">_xlfn.IFS($B68="","",$B68=$G$11,"TRUNK",$B68=$G$13,"TRUNK",1=1,"")</f>
        <v/>
      </c>
      <c r="E68" s="123" t="str" cm="1">
        <f t="array" ref="E68">_xlfn.IFS($B68="","",OR($B68=$G$11,$B68=$G$13),INDEX(SWITCH_TABLE[#Data],$H$3,MATCH("Local EC",SWITCH_TABLE[#Headers],0)),1=1,"")</f>
        <v/>
      </c>
      <c r="F68" s="124" t="str" cm="1">
        <f t="array" ref="F68">_xlfn.IFS($B68="","",$B68=$G$11,"Uplink Port 1",$B68=$G$13,"Uplink Port 2",$B68=$B$79,"Stack Port 1",$B68=$B$80,"Stack Port 2",1=1,"")</f>
        <v/>
      </c>
      <c r="G68" s="122" t="str" cm="1">
        <f t="array" ref="G68">_xlfn.IFS($B68="","",$B68=$G$11,$H$11,$B68=$G$13,$H$13,1=1,"")</f>
        <v/>
      </c>
      <c r="H68" s="131" t="str" cm="1">
        <f t="array" ref="H68">_xlfn.IFS($B68="","",$B68=$G$11,$G$12&amp;" "&amp;H12,$B68=$G$13,$G$14&amp;" "&amp;$H$14,1=1,"")</f>
        <v/>
      </c>
      <c r="J68" s="127" t="str">
        <f t="array" ref="J68">_xlfn.IFNA(MATCH(1,(SHEET_NAME=SWITCH_TABLE[Remote Device 1])*(B68=SWITCH_TABLE[Remote Port 1]),0),"")</f>
        <v/>
      </c>
    </row>
    <row r="69" spans="1:12">
      <c r="A69" s="121">
        <f t="shared" si="2"/>
        <v>2</v>
      </c>
      <c r="B69" s="116" t="str">
        <f t="shared" si="3"/>
        <v>gi1/1/2</v>
      </c>
      <c r="C69" s="122" t="str" cm="1">
        <f t="array" ref="C69">_xlfn.IFS($B69="","",$B69=$B$79,"reserved",$B69=$B$80,"reserved",$B69=$G$11,"connect",$B69=$G$13,"connect",1=1,"disabled")</f>
        <v>disabled</v>
      </c>
      <c r="D69" s="122" t="str" cm="1">
        <f t="array" ref="D69">_xlfn.IFS($B69="","",$B69=$G$11,"TRUNK",$B69=$G$13,"TRUNK",1=1,"")</f>
        <v/>
      </c>
      <c r="E69" s="123" t="str" cm="1">
        <f t="array" ref="E69">_xlfn.IFS($B69="","",OR($B69=$G$11,$B69=$G$13),INDEX(SWITCH_TABLE[#Data],$H$3,MATCH("Local EC",SWITCH_TABLE[#Headers],0)),1=1,"")</f>
        <v/>
      </c>
      <c r="F69" s="124" t="str" cm="1">
        <f t="array" ref="F69">_xlfn.IFS($B69="","",$B69=$G$11,"Uplink Port 1",$B69=$G$13,"Uplink Port 2",$B69=$B$79,"Stack Port 1",$B69=$B$80,"Stack Port 2",1=1,"")</f>
        <v/>
      </c>
      <c r="G69" s="122" t="str" cm="1">
        <f t="array" ref="G69">_xlfn.IFS($B69="","",$B69=$G$11,$H$11,$B69=$G$13,$H$13,1=1,"")</f>
        <v/>
      </c>
      <c r="H69" s="131" t="str" cm="1">
        <f t="array" ref="H69">_xlfn.IFS($B69="","",$B69=$G$11,$G$12&amp;" "&amp;H13,$B69=$G$13,$G$14&amp;" "&amp;$H$14,1=1,"")</f>
        <v/>
      </c>
      <c r="J69" s="127" t="str">
        <f t="array" ref="J69">_xlfn.IFNA(MATCH(1,(SHEET_NAME=SWITCH_TABLE[Remote Device 1])*(B69=SWITCH_TABLE[Remote Port 1]),0),"")</f>
        <v/>
      </c>
    </row>
    <row r="70" spans="1:12">
      <c r="A70" s="121">
        <f t="shared" si="2"/>
        <v>3</v>
      </c>
      <c r="B70" s="116" t="str">
        <f t="shared" si="3"/>
        <v>gi1/1/3</v>
      </c>
      <c r="C70" s="122" t="str" cm="1">
        <f t="array" ref="C70">_xlfn.IFS($B70="","",$B70=$B$79,"reserved",$B70=$B$80,"reserved",$B70=$G$11,"connect",$B70=$G$13,"connect",1=1,"disabled")</f>
        <v>disabled</v>
      </c>
      <c r="D70" s="122" t="str" cm="1">
        <f t="array" ref="D70">_xlfn.IFS($B70="","",$B70=$G$11,"TRUNK",$B70=$G$13,"TRUNK",1=1,"")</f>
        <v/>
      </c>
      <c r="E70" s="123" t="str" cm="1">
        <f t="array" ref="E70">_xlfn.IFS($B70="","",OR($B70=$G$11,$B70=$G$13),INDEX(SWITCH_TABLE[#Data],$H$3,MATCH("Local EC",SWITCH_TABLE[#Headers],0)),1=1,"")</f>
        <v/>
      </c>
      <c r="F70" s="124" t="str" cm="1">
        <f t="array" ref="F70">_xlfn.IFS($B70="","",$B70=$G$11,"Uplink Port 1",$B70=$G$13,"Uplink Port 2",$B70=$B$79,"Stack Port 1",$B70=$B$80,"Stack Port 2",1=1,"")</f>
        <v/>
      </c>
      <c r="G70" s="122" t="str" cm="1">
        <f t="array" ref="G70">_xlfn.IFS($B70="","",$B70=$G$11,$H$11,$B70=$G$13,$H$13,1=1,"")</f>
        <v/>
      </c>
      <c r="H70" s="131" t="str" cm="1">
        <f t="array" ref="H70">_xlfn.IFS($B70="","",$B70=$G$11,$G$12&amp;" "&amp;H14,$B70=$G$13,$G$14&amp;" "&amp;$H$14,1=1,"")</f>
        <v/>
      </c>
      <c r="J70" s="127" t="str">
        <f t="array" ref="J70">_xlfn.IFNA(MATCH(1,(SHEET_NAME=SWITCH_TABLE[Remote Device 1])*(B70=SWITCH_TABLE[Remote Port 1]),0),"")</f>
        <v/>
      </c>
    </row>
    <row r="71" spans="1:12">
      <c r="A71" s="121">
        <f t="shared" si="2"/>
        <v>4</v>
      </c>
      <c r="B71" s="116" t="str">
        <f t="shared" si="3"/>
        <v>gi1/1/4</v>
      </c>
      <c r="C71" s="122" t="str" cm="1">
        <f t="array" ref="C71">_xlfn.IFS($B71="","",$B71=$B$79,"reserved",$B71=$B$80,"reserved",$B71=$G$11,"connect",$B71=$G$13,"connect",1=1,"disabled")</f>
        <v>disabled</v>
      </c>
      <c r="D71" s="122" t="str" cm="1">
        <f t="array" ref="D71">_xlfn.IFS($B71="","",$B71=$G$11,"TRUNK",$B71=$G$13,"TRUNK",1=1,"")</f>
        <v/>
      </c>
      <c r="E71" s="123" t="str" cm="1">
        <f t="array" ref="E71">_xlfn.IFS($B71="","",OR($B71=$G$11,$B71=$G$13),INDEX(SWITCH_TABLE[#Data],$H$3,MATCH("Local EC",SWITCH_TABLE[#Headers],0)),1=1,"")</f>
        <v/>
      </c>
      <c r="F71" s="124" t="str" cm="1">
        <f t="array" ref="F71">_xlfn.IFS($B71="","",$B71=$G$11,"Uplink Port 1",$B71=$G$13,"Uplink Port 2",$B71=$B$79,"Stack Port 1",$B71=$B$80,"Stack Port 2",1=1,"")</f>
        <v/>
      </c>
      <c r="G71" s="122" t="str" cm="1">
        <f t="array" ref="G71">_xlfn.IFS($B71="","",$B71=$G$11,$H$11,$B71=$G$13,$H$13,1=1,"")</f>
        <v/>
      </c>
      <c r="H71" s="131" t="str" cm="1">
        <f t="array" ref="H71">_xlfn.IFS($B71="","",$B71=$G$11,$G$12&amp;" "&amp;H15,$B71=$G$13,$G$14&amp;" "&amp;$H$14,1=1,"")</f>
        <v/>
      </c>
      <c r="J71" s="127" t="str">
        <f t="array" ref="J71">_xlfn.IFNA(MATCH(1,(SHEET_NAME=SWITCH_TABLE[Remote Device 1])*(B71=SWITCH_TABLE[Remote Port 1]),0),"")</f>
        <v/>
      </c>
    </row>
    <row r="72" spans="1:12">
      <c r="A72" s="121">
        <f t="shared" si="2"/>
        <v>5</v>
      </c>
      <c r="B72" s="116" t="str">
        <f t="shared" si="3"/>
        <v/>
      </c>
      <c r="C72" s="122" t="str" cm="1">
        <f t="array" ref="C72">_xlfn.IFS($B72="","",$B72=$B$79,"reserved",$B72=$B$80,"reserved",$B72=$G$11,"connect",$B72=$G$13,"connect",1=1,"disabled")</f>
        <v/>
      </c>
      <c r="D72" s="122" t="str" cm="1">
        <f t="array" ref="D72">_xlfn.IFS($B72="","",$B72=$G$11,"TRUNK",$B72=$G$13,"TRUNK",1=1,"")</f>
        <v/>
      </c>
      <c r="E72" s="123" t="str" cm="1">
        <f t="array" ref="E72">_xlfn.IFS($B72="","",OR($B72=$G$11,$B72=$G$13),INDEX(SWITCH_TABLE[#Data],$H$3,MATCH("Local EC",SWITCH_TABLE[#Headers],0)),1=1,"")</f>
        <v/>
      </c>
      <c r="F72" s="124" t="str" cm="1">
        <f t="array" ref="F72">_xlfn.IFS($B72="","",$B72=$G$11,"Uplink Port 1",$B72=$G$13,"Uplink Port 2",$B72=$B$79,"Stack Port 1",$B72=$B$80,"Stack Port 2",1=1,"")</f>
        <v/>
      </c>
      <c r="G72" s="122" t="str" cm="1">
        <f t="array" ref="G72">_xlfn.IFS($B72="","",$B72=$G$11,$H$11,$B72=$G$13,$H$13,1=1,"")</f>
        <v/>
      </c>
      <c r="H72" s="131" t="str" cm="1">
        <f t="array" ref="H72">_xlfn.IFS($B72="","",$B72=$G$11,$G$12&amp;" "&amp;H16,$B72=$G$13,$G$14&amp;" "&amp;$H$14,1=1,"")</f>
        <v/>
      </c>
      <c r="J72" s="127" t="str">
        <f t="array" ref="J72">_xlfn.IFNA(MATCH(1,(SHEET_NAME=SWITCH_TABLE[Remote Device 1])*(B72=SWITCH_TABLE[Remote Port 1]),0),"")</f>
        <v/>
      </c>
    </row>
    <row r="73" spans="1:12">
      <c r="A73" s="121">
        <f t="shared" si="2"/>
        <v>6</v>
      </c>
      <c r="B73" s="116" t="str">
        <f t="shared" si="3"/>
        <v/>
      </c>
      <c r="C73" s="122" t="str" cm="1">
        <f t="array" ref="C73">_xlfn.IFS($B73="","",$B73=$B$79,"reserved",$B73=$B$80,"reserved",$B73=$G$11,"connect",$B73=$G$13,"connect",1=1,"disabled")</f>
        <v/>
      </c>
      <c r="D73" s="122" t="str" cm="1">
        <f t="array" ref="D73">_xlfn.IFS($B73="","",$B73=$G$11,"TRUNK",$B73=$G$13,"TRUNK",1=1,"")</f>
        <v/>
      </c>
      <c r="E73" s="123" t="str" cm="1">
        <f t="array" ref="E73">_xlfn.IFS($B73="","",OR($B73=$G$11,$B73=$G$13),INDEX(SWITCH_TABLE[#Data],$H$3,MATCH("Local EC",SWITCH_TABLE[#Headers],0)),1=1,"")</f>
        <v/>
      </c>
      <c r="F73" s="124" t="str" cm="1">
        <f t="array" ref="F73">_xlfn.IFS($B73="","",$B73=$G$11,"Uplink Port 1",$B73=$G$13,"Uplink Port 2",$B73=$B$79,"Stack Port 1",$B73=$B$80,"Stack Port 2",1=1,"")</f>
        <v/>
      </c>
      <c r="G73" s="122" t="str" cm="1">
        <f t="array" ref="G73">_xlfn.IFS($B73="","",$B73=$G$11,$H$11,$B73=$G$13,$H$13,1=1,"")</f>
        <v/>
      </c>
      <c r="H73" s="131" t="str" cm="1">
        <f t="array" ref="H73">_xlfn.IFS($B73="","",$B73=$G$11,$G$12&amp;" "&amp;H17,$B73=$G$13,$G$14&amp;" "&amp;$H$14,1=1,"")</f>
        <v/>
      </c>
      <c r="J73" s="127" t="str">
        <f t="array" ref="J73">_xlfn.IFNA(MATCH(1,(SHEET_NAME=SWITCH_TABLE[Remote Device 1])*(B73=SWITCH_TABLE[Remote Port 1]),0),"")</f>
        <v/>
      </c>
    </row>
    <row r="74" spans="1:12">
      <c r="A74" s="121">
        <f t="shared" si="2"/>
        <v>7</v>
      </c>
      <c r="B74" s="116" t="str">
        <f t="shared" si="3"/>
        <v/>
      </c>
      <c r="C74" s="122" t="str" cm="1">
        <f t="array" ref="C74">_xlfn.IFS($B74="","",$B74=$B$79,"reserved",$B74=$B$80,"reserved",$B74=$G$11,"connect",$B74=$G$13,"connect",1=1,"disabled")</f>
        <v/>
      </c>
      <c r="D74" s="122" t="str" cm="1">
        <f t="array" ref="D74">_xlfn.IFS($B74="","",$B74=$G$11,"TRUNK",$B74=$G$13,"TRUNK",1=1,"")</f>
        <v/>
      </c>
      <c r="E74" s="123" t="str" cm="1">
        <f t="array" ref="E74">_xlfn.IFS($B74="","",OR($B74=$G$11,$B74=$G$13),INDEX(SWITCH_TABLE[#Data],$H$3,MATCH("Local EC",SWITCH_TABLE[#Headers],0)),1=1,"")</f>
        <v/>
      </c>
      <c r="F74" s="124" t="str" cm="1">
        <f t="array" ref="F74">_xlfn.IFS($B74="","",$B74=$G$11,"Uplink Port 1",$B74=$G$13,"Uplink Port 2",$B74=$B$79,"Stack Port 1",$B74=$B$80,"Stack Port 2",1=1,"")</f>
        <v/>
      </c>
      <c r="G74" s="122" t="str" cm="1">
        <f t="array" ref="G74">_xlfn.IFS($B74="","",$B74=$G$11,$H$11,$B74=$G$13,$H$13,1=1,"")</f>
        <v/>
      </c>
      <c r="H74" s="131" t="str" cm="1">
        <f t="array" ref="H74">_xlfn.IFS($B74="","",$B74=$G$11,$G$12&amp;" "&amp;H18,$B74=$G$13,$G$14&amp;" "&amp;$H$14,1=1,"")</f>
        <v/>
      </c>
      <c r="J74" s="127" t="str">
        <f t="array" ref="J74">_xlfn.IFNA(MATCH(1,(SHEET_NAME=SWITCH_TABLE[Remote Device 1])*(B74=SWITCH_TABLE[Remote Port 1]),0),"")</f>
        <v/>
      </c>
    </row>
    <row r="75" spans="1:12">
      <c r="A75" s="121">
        <f t="shared" si="2"/>
        <v>8</v>
      </c>
      <c r="B75" s="116" t="str">
        <f t="shared" si="3"/>
        <v/>
      </c>
      <c r="C75" s="122" t="str" cm="1">
        <f t="array" ref="C75">_xlfn.IFS($B75="","",$B75=$B$79,"reserved",$B75=$B$80,"reserved",$B75=$G$11,"connect",$B75=$G$13,"connect",1=1,"disabled")</f>
        <v/>
      </c>
      <c r="D75" s="122" t="str" cm="1">
        <f t="array" ref="D75">_xlfn.IFS($B75="","",$B75=$G$11,"TRUNK",$B75=$G$13,"TRUNK",1=1,"")</f>
        <v/>
      </c>
      <c r="E75" s="123" t="str" cm="1">
        <f t="array" ref="E75">_xlfn.IFS($B75="","",OR($B75=$G$11,$B75=$G$13),INDEX(SWITCH_TABLE[#Data],$H$3,MATCH("Local EC",SWITCH_TABLE[#Headers],0)),1=1,"")</f>
        <v/>
      </c>
      <c r="F75" s="124" t="str" cm="1">
        <f t="array" ref="F75">_xlfn.IFS($B75="","",$B75=$G$11,"Uplink Port 1",$B75=$G$13,"Uplink Port 2",$B75=$B$79,"Stack Port 1",$B75=$B$80,"Stack Port 2",1=1,"")</f>
        <v/>
      </c>
      <c r="G75" s="122" t="str" cm="1">
        <f t="array" ref="G75">_xlfn.IFS($B75="","",$B75=$G$11,$H$11,$B75=$G$13,$H$13,1=1,"")</f>
        <v/>
      </c>
      <c r="H75" s="131" t="str" cm="1">
        <f t="array" ref="H75">_xlfn.IFS($B75="","",$B75=$G$11,$G$12&amp;" "&amp;H19,$B75=$G$13,$G$14&amp;" "&amp;$H$14,1=1,"")</f>
        <v/>
      </c>
      <c r="J75" s="127" t="str">
        <f t="array" ref="J75">_xlfn.IFNA(MATCH(1,(SHEET_NAME=SWITCH_TABLE[Remote Device 1])*(B75=SWITCH_TABLE[Remote Port 1]),0),"")</f>
        <v/>
      </c>
    </row>
    <row r="76" spans="1:12">
      <c r="A76" s="126"/>
      <c r="B76" s="127"/>
      <c r="C76" s="127" t="str" cm="1">
        <f t="array" ref="C76">_xlfn.IFS($B76="","",$B76=$B$79,"reserved",$B76=$B$80,"reserved",$B76=$G$11,"connect",$B76=$G$13,"connect",1=1,"disabled")</f>
        <v/>
      </c>
      <c r="D76" s="127" t="str" cm="1">
        <f t="array" ref="D76">_xlfn.IFS($B76="","",$B76=$G$11,"TRUNK",$B76=$G$13,"TRUNK",1=1,"")</f>
        <v/>
      </c>
      <c r="E76" s="127"/>
      <c r="F76" s="127" t="str" cm="1">
        <f t="array" ref="F76">_xlfn.IFS($B76="","",$B76=$G$11,"Uplink Port 1",$B76=$G$13,"Uplink Port 2",$B76=$B$79,"Stack Port 1",$B76=$B$80,"Stack Port 2",1=1,"")</f>
        <v/>
      </c>
      <c r="G76" s="127" t="str" cm="1">
        <f t="array" ref="G76">_xlfn.IFS($B76="","",$B76=$G$11,$H$11,$B76=$G$13,$H$13,1=1,"")</f>
        <v/>
      </c>
      <c r="H76" s="127" t="str" cm="1">
        <f t="array" ref="H76">_xlfn.IFS($B76="","",$B76=$G$11,$G$12&amp;" "&amp;#REF!,$B76=$G$13,$G$14&amp;" "&amp;$H$14,1=1,"")</f>
        <v/>
      </c>
      <c r="J76" s="127" t="str" cm="1">
        <f t="array" ref="J76">_xlfn.IFS($B76="","",$B76=$G$11,$G$12&amp;" "&amp;#REF!,$B76=$G$13,$G$14&amp;" "&amp;$H$14,1=1,"")</f>
        <v/>
      </c>
    </row>
    <row r="78" spans="1:12" ht="13.2">
      <c r="A78" s="121">
        <v>0</v>
      </c>
      <c r="B78" s="113" t="s">
        <v>2660</v>
      </c>
      <c r="C78" s="113" t="s">
        <v>2226</v>
      </c>
      <c r="D78" s="113"/>
      <c r="E78" s="113"/>
      <c r="F78" s="113"/>
      <c r="G78" s="113" t="s">
        <v>45</v>
      </c>
      <c r="H78" s="113" t="s">
        <v>2582</v>
      </c>
    </row>
    <row r="79" spans="1:12">
      <c r="A79" s="121">
        <f>ROW(A79)-ROW($A$78)+$A$78</f>
        <v>1</v>
      </c>
      <c r="B79" s="116" t="str" cm="1">
        <f t="array" ref="B79">IF($C$12="","",INDEX(SWITCH_TABLE[#Data],$H$3,MATCH("Stack Port "&amp;A79,SWITCH_TABLE[#Headers],0)))</f>
        <v/>
      </c>
      <c r="C79" s="122" t="str">
        <f>IF(B79="","","connect")</f>
        <v/>
      </c>
      <c r="D79" s="124"/>
      <c r="E79" s="124"/>
      <c r="F79" s="124" t="str">
        <f>IF(B79="","","Stack Port 1")</f>
        <v/>
      </c>
      <c r="G79" s="118" t="str" cm="1">
        <f t="array" ref="G79">IF($C$12="","",INDEX(SWITCH_TABLE[#Data],$H$3,MATCH("Stack Port "&amp;A79&amp;" SFP",SWITCH_TABLE[#Headers],0)))</f>
        <v/>
      </c>
      <c r="H79" s="118" t="str">
        <f>C13&amp;" "&amp;D13</f>
        <v xml:space="preserve"> </v>
      </c>
    </row>
    <row r="80" spans="1:12">
      <c r="A80" s="121">
        <f>ROW(A80)-ROW($A$78)+$A$78</f>
        <v>2</v>
      </c>
      <c r="B80" s="116" t="str" cm="1">
        <f t="array" ref="B80">IF($C$12="","",INDEX(SWITCH_TABLE[#Data],$H$3,MATCH("Stack Port "&amp;A80,SWITCH_TABLE[#Headers],0)))</f>
        <v/>
      </c>
      <c r="C80" s="122" t="str">
        <f>IF(B80="","","connect")</f>
        <v/>
      </c>
      <c r="D80" s="124"/>
      <c r="E80" s="124"/>
      <c r="F80" s="124" t="str">
        <f>IF(B80="","","Stack Port 1")</f>
        <v/>
      </c>
      <c r="G80" s="118" t="str" cm="1">
        <f t="array" ref="G80">IF($C$12="","",INDEX(SWITCH_TABLE[#Data],$H$3,MATCH("Stack Port "&amp;A80&amp;" SFP",SWITCH_TABLE[#Headers],0)))</f>
        <v/>
      </c>
      <c r="H80" s="118" t="str">
        <f>C14&amp;" "&amp;D14</f>
        <v xml:space="preserve"> </v>
      </c>
      <c r="L80" s="111" t="s">
        <v>1816</v>
      </c>
    </row>
    <row r="81" spans="1:8">
      <c r="A81" s="126"/>
      <c r="B81" s="127"/>
      <c r="C81" s="127"/>
      <c r="D81" s="127"/>
      <c r="E81" s="127"/>
      <c r="F81" s="127"/>
      <c r="G81" s="127"/>
      <c r="H81" s="127"/>
    </row>
  </sheetData>
  <conditionalFormatting sqref="C49 C22 C45:C47 C39:C42 C37 C33:C35 C24:C25">
    <cfRule type="cellIs" dxfId="98" priority="93" operator="equal">
      <formula>"reserved"</formula>
    </cfRule>
    <cfRule type="cellIs" dxfId="97" priority="94" operator="equal">
      <formula>"notconnect"</formula>
    </cfRule>
    <cfRule type="cellIs" dxfId="96" priority="95" operator="equal">
      <formula>"disabled"</formula>
    </cfRule>
    <cfRule type="cellIs" dxfId="95" priority="96" operator="equal">
      <formula>"connect"</formula>
    </cfRule>
  </conditionalFormatting>
  <conditionalFormatting sqref="C63:C64">
    <cfRule type="cellIs" dxfId="94" priority="89" operator="equal">
      <formula>"reserved"</formula>
    </cfRule>
    <cfRule type="cellIs" dxfId="93" priority="90" operator="equal">
      <formula>"notconnect"</formula>
    </cfRule>
    <cfRule type="cellIs" dxfId="92" priority="91" operator="equal">
      <formula>"disabled"</formula>
    </cfRule>
    <cfRule type="cellIs" dxfId="91" priority="92" operator="equal">
      <formula>"connect"</formula>
    </cfRule>
  </conditionalFormatting>
  <conditionalFormatting sqref="C21:C22 C17:C19">
    <cfRule type="cellIs" dxfId="90" priority="85" operator="equal">
      <formula>"reserved"</formula>
    </cfRule>
    <cfRule type="cellIs" dxfId="89" priority="86" operator="equal">
      <formula>"notconnect"</formula>
    </cfRule>
    <cfRule type="cellIs" dxfId="88" priority="87" operator="equal">
      <formula>"disabled"</formula>
    </cfRule>
    <cfRule type="cellIs" dxfId="87" priority="88" operator="equal">
      <formula>"connect"</formula>
    </cfRule>
  </conditionalFormatting>
  <conditionalFormatting sqref="C40:C42 C45:C47">
    <cfRule type="cellIs" dxfId="86" priority="81" operator="equal">
      <formula>"reserved"</formula>
    </cfRule>
    <cfRule type="cellIs" dxfId="85" priority="82" operator="equal">
      <formula>"notconnect"</formula>
    </cfRule>
    <cfRule type="cellIs" dxfId="84" priority="83" operator="equal">
      <formula>"disabled"</formula>
    </cfRule>
    <cfRule type="cellIs" dxfId="83" priority="84" operator="equal">
      <formula>"connect"</formula>
    </cfRule>
  </conditionalFormatting>
  <conditionalFormatting sqref="C42 C45:C47">
    <cfRule type="cellIs" dxfId="82" priority="77" operator="equal">
      <formula>"reserved"</formula>
    </cfRule>
    <cfRule type="cellIs" dxfId="81" priority="78" operator="equal">
      <formula>"notconnect"</formula>
    </cfRule>
    <cfRule type="cellIs" dxfId="80" priority="79" operator="equal">
      <formula>"disabled"</formula>
    </cfRule>
    <cfRule type="cellIs" dxfId="79" priority="80" operator="equal">
      <formula>"connect"</formula>
    </cfRule>
  </conditionalFormatting>
  <conditionalFormatting sqref="C46:C47 C49">
    <cfRule type="cellIs" dxfId="78" priority="73" operator="equal">
      <formula>"reserved"</formula>
    </cfRule>
    <cfRule type="cellIs" dxfId="77" priority="74" operator="equal">
      <formula>"notconnect"</formula>
    </cfRule>
    <cfRule type="cellIs" dxfId="76" priority="75" operator="equal">
      <formula>"disabled"</formula>
    </cfRule>
    <cfRule type="cellIs" dxfId="75" priority="76" operator="equal">
      <formula>"connect"</formula>
    </cfRule>
  </conditionalFormatting>
  <conditionalFormatting sqref="C61:C62">
    <cfRule type="cellIs" dxfId="74" priority="69" operator="equal">
      <formula>"reserved"</formula>
    </cfRule>
    <cfRule type="cellIs" dxfId="73" priority="70" operator="equal">
      <formula>"notconnect"</formula>
    </cfRule>
    <cfRule type="cellIs" dxfId="72" priority="71" operator="equal">
      <formula>"disabled"</formula>
    </cfRule>
    <cfRule type="cellIs" dxfId="71" priority="72" operator="equal">
      <formula>"connect"</formula>
    </cfRule>
  </conditionalFormatting>
  <conditionalFormatting sqref="C50">
    <cfRule type="cellIs" dxfId="70" priority="65" operator="equal">
      <formula>"reserved"</formula>
    </cfRule>
    <cfRule type="cellIs" dxfId="69" priority="66" operator="equal">
      <formula>"notconnect"</formula>
    </cfRule>
    <cfRule type="cellIs" dxfId="68" priority="67" operator="equal">
      <formula>"disabled"</formula>
    </cfRule>
    <cfRule type="cellIs" dxfId="67" priority="68" operator="equal">
      <formula>"connect"</formula>
    </cfRule>
  </conditionalFormatting>
  <conditionalFormatting sqref="C49:C52">
    <cfRule type="cellIs" dxfId="66" priority="61" operator="equal">
      <formula>"reserved"</formula>
    </cfRule>
    <cfRule type="cellIs" dxfId="65" priority="62" operator="equal">
      <formula>"notconnect"</formula>
    </cfRule>
    <cfRule type="cellIs" dxfId="64" priority="63" operator="equal">
      <formula>"disabled"</formula>
    </cfRule>
    <cfRule type="cellIs" dxfId="63" priority="64" operator="equal">
      <formula>"connect"</formula>
    </cfRule>
  </conditionalFormatting>
  <conditionalFormatting sqref="C51:C56">
    <cfRule type="cellIs" dxfId="62" priority="57" operator="equal">
      <formula>"reserved"</formula>
    </cfRule>
    <cfRule type="cellIs" dxfId="61" priority="58" operator="equal">
      <formula>"notconnect"</formula>
    </cfRule>
    <cfRule type="cellIs" dxfId="60" priority="59" operator="equal">
      <formula>"disabled"</formula>
    </cfRule>
    <cfRule type="cellIs" dxfId="59" priority="60" operator="equal">
      <formula>"connect"</formula>
    </cfRule>
  </conditionalFormatting>
  <conditionalFormatting sqref="C55:C58">
    <cfRule type="cellIs" dxfId="58" priority="53" operator="equal">
      <formula>"reserved"</formula>
    </cfRule>
    <cfRule type="cellIs" dxfId="57" priority="54" operator="equal">
      <formula>"notconnect"</formula>
    </cfRule>
    <cfRule type="cellIs" dxfId="56" priority="55" operator="equal">
      <formula>"disabled"</formula>
    </cfRule>
    <cfRule type="cellIs" dxfId="55" priority="56" operator="equal">
      <formula>"connect"</formula>
    </cfRule>
  </conditionalFormatting>
  <conditionalFormatting sqref="C58 C49">
    <cfRule type="cellIs" dxfId="54" priority="49" operator="equal">
      <formula>"reserved"</formula>
    </cfRule>
    <cfRule type="cellIs" dxfId="53" priority="50" operator="equal">
      <formula>"notconnect"</formula>
    </cfRule>
    <cfRule type="cellIs" dxfId="52" priority="51" operator="equal">
      <formula>"disabled"</formula>
    </cfRule>
    <cfRule type="cellIs" dxfId="51" priority="52" operator="equal">
      <formula>"connect"</formula>
    </cfRule>
  </conditionalFormatting>
  <conditionalFormatting sqref="C60">
    <cfRule type="cellIs" dxfId="50" priority="45" operator="equal">
      <formula>"reserved"</formula>
    </cfRule>
    <cfRule type="cellIs" dxfId="49" priority="46" operator="equal">
      <formula>"notconnect"</formula>
    </cfRule>
    <cfRule type="cellIs" dxfId="48" priority="47" operator="equal">
      <formula>"disabled"</formula>
    </cfRule>
    <cfRule type="cellIs" dxfId="47" priority="48" operator="equal">
      <formula>"connect"</formula>
    </cfRule>
  </conditionalFormatting>
  <conditionalFormatting sqref="C48">
    <cfRule type="cellIs" dxfId="46" priority="41" operator="equal">
      <formula>"reserved"</formula>
    </cfRule>
    <cfRule type="cellIs" dxfId="45" priority="42" operator="equal">
      <formula>"notconnect"</formula>
    </cfRule>
    <cfRule type="cellIs" dxfId="44" priority="43" operator="equal">
      <formula>"disabled"</formula>
    </cfRule>
    <cfRule type="cellIs" dxfId="43" priority="44" operator="equal">
      <formula>"connect"</formula>
    </cfRule>
  </conditionalFormatting>
  <conditionalFormatting sqref="C43:C44">
    <cfRule type="cellIs" dxfId="42" priority="37" operator="equal">
      <formula>"reserved"</formula>
    </cfRule>
    <cfRule type="cellIs" dxfId="41" priority="38" operator="equal">
      <formula>"notconnect"</formula>
    </cfRule>
    <cfRule type="cellIs" dxfId="40" priority="39" operator="equal">
      <formula>"disabled"</formula>
    </cfRule>
    <cfRule type="cellIs" dxfId="39" priority="40" operator="equal">
      <formula>"connect"</formula>
    </cfRule>
  </conditionalFormatting>
  <conditionalFormatting sqref="C38">
    <cfRule type="cellIs" dxfId="38" priority="33" operator="equal">
      <formula>"reserved"</formula>
    </cfRule>
    <cfRule type="cellIs" dxfId="37" priority="34" operator="equal">
      <formula>"notconnect"</formula>
    </cfRule>
    <cfRule type="cellIs" dxfId="36" priority="35" operator="equal">
      <formula>"disabled"</formula>
    </cfRule>
    <cfRule type="cellIs" dxfId="35" priority="36" operator="equal">
      <formula>"connect"</formula>
    </cfRule>
  </conditionalFormatting>
  <conditionalFormatting sqref="C36">
    <cfRule type="cellIs" dxfId="34" priority="29" operator="equal">
      <formula>"reserved"</formula>
    </cfRule>
    <cfRule type="cellIs" dxfId="33" priority="30" operator="equal">
      <formula>"notconnect"</formula>
    </cfRule>
    <cfRule type="cellIs" dxfId="32" priority="31" operator="equal">
      <formula>"disabled"</formula>
    </cfRule>
    <cfRule type="cellIs" dxfId="31" priority="32" operator="equal">
      <formula>"connect"</formula>
    </cfRule>
  </conditionalFormatting>
  <conditionalFormatting sqref="C23">
    <cfRule type="cellIs" dxfId="30" priority="25" operator="equal">
      <formula>"reserved"</formula>
    </cfRule>
    <cfRule type="cellIs" dxfId="29" priority="26" operator="equal">
      <formula>"notconnect"</formula>
    </cfRule>
    <cfRule type="cellIs" dxfId="28" priority="27" operator="equal">
      <formula>"disabled"</formula>
    </cfRule>
    <cfRule type="cellIs" dxfId="27" priority="28" operator="equal">
      <formula>"connect"</formula>
    </cfRule>
  </conditionalFormatting>
  <conditionalFormatting sqref="C20">
    <cfRule type="cellIs" dxfId="26" priority="21" operator="equal">
      <formula>"reserved"</formula>
    </cfRule>
    <cfRule type="cellIs" dxfId="25" priority="22" operator="equal">
      <formula>"notconnect"</formula>
    </cfRule>
    <cfRule type="cellIs" dxfId="24" priority="23" operator="equal">
      <formula>"disabled"</formula>
    </cfRule>
    <cfRule type="cellIs" dxfId="23" priority="24" operator="equal">
      <formula>"connect"</formula>
    </cfRule>
  </conditionalFormatting>
  <conditionalFormatting sqref="C17:C25 C33:C64">
    <cfRule type="cellIs" dxfId="22" priority="17" operator="equal">
      <formula>"reserved"</formula>
    </cfRule>
    <cfRule type="cellIs" dxfId="21" priority="18" operator="equal">
      <formula>"notconnect"</formula>
    </cfRule>
    <cfRule type="cellIs" dxfId="20" priority="19" operator="equal">
      <formula>"disabled"</formula>
    </cfRule>
    <cfRule type="cellIs" dxfId="19" priority="20" operator="equal">
      <formula>"connect"</formula>
    </cfRule>
  </conditionalFormatting>
  <conditionalFormatting sqref="C68:C75">
    <cfRule type="cellIs" dxfId="18" priority="13" operator="equal">
      <formula>"reserved"</formula>
    </cfRule>
    <cfRule type="cellIs" dxfId="17" priority="14" operator="equal">
      <formula>"notconnect"</formula>
    </cfRule>
    <cfRule type="cellIs" dxfId="16" priority="15" operator="equal">
      <formula>"disabled"</formula>
    </cfRule>
    <cfRule type="cellIs" dxfId="15" priority="16" operator="equal">
      <formula>"connect"</formula>
    </cfRule>
  </conditionalFormatting>
  <conditionalFormatting sqref="C79:C80">
    <cfRule type="cellIs" dxfId="14" priority="9" operator="equal">
      <formula>"reserved"</formula>
    </cfRule>
    <cfRule type="cellIs" dxfId="13" priority="10" operator="equal">
      <formula>"notconnect"</formula>
    </cfRule>
    <cfRule type="cellIs" dxfId="12" priority="11" operator="equal">
      <formula>"disabled"</formula>
    </cfRule>
    <cfRule type="cellIs" dxfId="11" priority="12" operator="equal">
      <formula>"connect"</formula>
    </cfRule>
  </conditionalFormatting>
  <conditionalFormatting sqref="C26:C32">
    <cfRule type="cellIs" dxfId="10" priority="5" operator="equal">
      <formula>"reserved"</formula>
    </cfRule>
    <cfRule type="cellIs" dxfId="9" priority="6" operator="equal">
      <formula>"notconnect"</formula>
    </cfRule>
    <cfRule type="cellIs" dxfId="8" priority="7" operator="equal">
      <formula>"disabled"</formula>
    </cfRule>
    <cfRule type="cellIs" dxfId="7" priority="8" operator="equal">
      <formula>"connect"</formula>
    </cfRule>
  </conditionalFormatting>
  <conditionalFormatting sqref="C26:C32">
    <cfRule type="cellIs" dxfId="6" priority="1" operator="equal">
      <formula>"reserved"</formula>
    </cfRule>
    <cfRule type="cellIs" dxfId="5" priority="2" operator="equal">
      <formula>"notconnect"</formula>
    </cfRule>
    <cfRule type="cellIs" dxfId="4" priority="3" operator="equal">
      <formula>"disabled"</formula>
    </cfRule>
    <cfRule type="cellIs" dxfId="3" priority="4" operator="equal">
      <formula>"connect"</formula>
    </cfRule>
  </conditionalFormatting>
  <dataValidations count="5">
    <dataValidation allowBlank="1" showInputMessage="1" sqref="E68:E75 E17:E64" xr:uid="{595F0756-3A1C-4EE5-98DF-5F7C4B8CC8CE}"/>
    <dataValidation type="list" allowBlank="1" showInputMessage="1" sqref="F17:F64" xr:uid="{E412CB98-F7F9-4768-A15F-2AB51EFA1469}">
      <formula1>SPEED_DUPLEX_LIST</formula1>
    </dataValidation>
    <dataValidation type="list" allowBlank="1" showInputMessage="1" sqref="D68:D75" xr:uid="{98A56A57-0C04-49F4-BD15-E59CD26003EB}">
      <formula1>VLAN_ID_LIST</formula1>
    </dataValidation>
    <dataValidation type="list" allowBlank="1" showInputMessage="1" sqref="C79:C80 C68:C75 C17:C64" xr:uid="{766B0D24-A39F-4BCE-9CDB-60016832A74A}">
      <formula1>PORT_STATE_LIST</formula1>
    </dataValidation>
    <dataValidation type="list" allowBlank="1" showInputMessage="1" sqref="G68:G75 G17:G64" xr:uid="{18871B5F-DB7E-4400-BAF2-25B67815C8FA}">
      <formula1>PORT_TYPE_LIST</formula1>
    </dataValidation>
  </dataValidations>
  <pageMargins left="0.59055118110236227" right="0.59055118110236227" top="1.1811023622047245" bottom="0.98425196850393704" header="0.39370078740157483" footer="0.39370078740157483"/>
  <pageSetup paperSize="9" scale="84" fitToHeight="0" orientation="landscape" horizontalDpi="300" verticalDpi="300" r:id="rId1"/>
  <headerFooter>
    <oddHeader>&amp;L&amp;G&amp;C&amp;7
&amp;G&amp;R&amp;K20265B&amp;B&amp;8&amp;"Georgia"_x000D_Freemans Grattan Holdings_x000D_&amp;B&amp;8Networking</oddHeader>
    <oddFooter>&amp;L
&amp;"Georgia,Regular"&amp;8&amp;K80CAD9Ref: &amp;F
Printed: &amp;D &amp;T&amp;C&amp;"Georgia,Regular"&amp;8&amp;G
&amp;R&amp;"Georgia,Regular"&amp;8&amp;K80CAD9&amp;A
Page &amp;P of &amp;N</oddFooter>
  </headerFooter>
  <rowBreaks count="1" manualBreakCount="1">
    <brk id="48" max="15" man="1"/>
  </rowBreaks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7B46-D25D-438F-B8FB-07EC55CF00FF}">
  <sheetPr codeName="Sheet43">
    <tabColor theme="5" tint="0.79998168889431442"/>
  </sheetPr>
  <dimension ref="A1:AG118"/>
  <sheetViews>
    <sheetView topLeftCell="A4" workbookViewId="0">
      <selection activeCell="D32" sqref="D32"/>
    </sheetView>
  </sheetViews>
  <sheetFormatPr defaultRowHeight="10.199999999999999"/>
  <cols>
    <col min="1" max="1" width="1.6640625" customWidth="1"/>
    <col min="2" max="2" width="18.109375" customWidth="1"/>
    <col min="3" max="3" width="10" customWidth="1"/>
    <col min="4" max="7" width="11.109375" customWidth="1"/>
    <col min="8" max="8" width="10.33203125" bestFit="1" customWidth="1"/>
    <col min="9" max="9" width="10.77734375" bestFit="1" customWidth="1"/>
  </cols>
  <sheetData>
    <row r="1" spans="1:33" ht="21">
      <c r="A1" s="12" t="s">
        <v>2583</v>
      </c>
      <c r="B1" s="12"/>
      <c r="C1" s="12"/>
      <c r="D1" s="12"/>
      <c r="E1" s="12"/>
      <c r="F1" s="12"/>
      <c r="G1" s="12"/>
      <c r="H1" s="12"/>
      <c r="I1" s="12"/>
    </row>
    <row r="4" spans="1:33" s="40" customFormat="1" ht="15.6">
      <c r="A4" s="38"/>
      <c r="B4" s="15" t="s">
        <v>2662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33" s="132" customFormat="1" ht="13.2">
      <c r="B5" s="113" t="s">
        <v>886</v>
      </c>
      <c r="C5" s="113" t="s">
        <v>2586</v>
      </c>
      <c r="D5" s="113" t="s">
        <v>1818</v>
      </c>
      <c r="E5" s="113" t="s">
        <v>887</v>
      </c>
      <c r="F5" s="113" t="s">
        <v>2663</v>
      </c>
      <c r="G5" s="113" t="s">
        <v>1819</v>
      </c>
      <c r="H5" s="113" t="s">
        <v>2295</v>
      </c>
      <c r="I5" s="113" t="s">
        <v>1820</v>
      </c>
      <c r="J5" s="113" t="s">
        <v>2664</v>
      </c>
      <c r="K5" s="113" t="s">
        <v>2656</v>
      </c>
      <c r="L5" s="113" t="s">
        <v>2665</v>
      </c>
      <c r="M5" s="113" t="s">
        <v>2666</v>
      </c>
      <c r="N5" s="113" t="s">
        <v>2667</v>
      </c>
      <c r="O5" s="113" t="s">
        <v>1822</v>
      </c>
      <c r="P5" s="113" t="s">
        <v>1824</v>
      </c>
      <c r="Q5" s="113" t="s">
        <v>1825</v>
      </c>
      <c r="R5" s="113" t="s">
        <v>1826</v>
      </c>
      <c r="S5" s="113" t="s">
        <v>1827</v>
      </c>
      <c r="T5" s="113" t="s">
        <v>2668</v>
      </c>
      <c r="U5" s="113" t="s">
        <v>2669</v>
      </c>
      <c r="V5" s="113" t="s">
        <v>2670</v>
      </c>
      <c r="W5" s="113" t="s">
        <v>2671</v>
      </c>
      <c r="X5" s="113" t="s">
        <v>2672</v>
      </c>
      <c r="Y5" s="113" t="s">
        <v>2673</v>
      </c>
      <c r="Z5" s="113" t="s">
        <v>1828</v>
      </c>
      <c r="AA5" s="113" t="s">
        <v>1829</v>
      </c>
      <c r="AC5" s="40"/>
      <c r="AD5" s="40"/>
      <c r="AE5" s="40"/>
      <c r="AF5" s="40"/>
      <c r="AG5" s="40"/>
    </row>
    <row r="6" spans="1:33" s="40" customFormat="1">
      <c r="B6" s="127" t="s">
        <v>1577</v>
      </c>
      <c r="C6" s="52" t="s">
        <v>2674</v>
      </c>
      <c r="D6" s="52" t="s">
        <v>1933</v>
      </c>
      <c r="E6" s="52" t="s">
        <v>2675</v>
      </c>
      <c r="F6" s="52" t="s">
        <v>2676</v>
      </c>
      <c r="G6" s="52">
        <v>32</v>
      </c>
      <c r="H6" s="52" t="s">
        <v>2677</v>
      </c>
      <c r="I6" s="52" t="s">
        <v>1934</v>
      </c>
      <c r="J6" s="52">
        <v>0</v>
      </c>
      <c r="K6" s="52">
        <v>16</v>
      </c>
      <c r="L6" s="53" t="s">
        <v>2678</v>
      </c>
      <c r="M6" s="53">
        <v>0</v>
      </c>
      <c r="N6" s="53">
        <v>33</v>
      </c>
      <c r="O6" s="52" t="s">
        <v>1934</v>
      </c>
      <c r="P6" s="52" t="s">
        <v>1936</v>
      </c>
      <c r="Q6" s="52" t="s">
        <v>1937</v>
      </c>
      <c r="R6" s="52" t="s">
        <v>1938</v>
      </c>
      <c r="S6" s="52">
        <v>2</v>
      </c>
      <c r="T6" s="52" t="s">
        <v>2679</v>
      </c>
      <c r="U6" s="52"/>
      <c r="V6" s="52" t="s">
        <v>2680</v>
      </c>
      <c r="W6" s="133">
        <v>307200</v>
      </c>
      <c r="X6" s="52"/>
      <c r="Y6" s="52"/>
      <c r="Z6" s="134">
        <v>1815.6996587030717</v>
      </c>
      <c r="AA6" s="52">
        <f t="shared" ref="AA6:AA16" si="0">Z6/1000*293</f>
        <v>532</v>
      </c>
    </row>
    <row r="7" spans="1:33" s="40" customFormat="1">
      <c r="B7" s="127" t="s">
        <v>1580</v>
      </c>
      <c r="C7" s="52" t="s">
        <v>2674</v>
      </c>
      <c r="D7" s="52" t="s">
        <v>1933</v>
      </c>
      <c r="E7" s="52" t="s">
        <v>2681</v>
      </c>
      <c r="F7" s="52" t="s">
        <v>2676</v>
      </c>
      <c r="G7" s="52">
        <v>48</v>
      </c>
      <c r="H7" s="53" t="s">
        <v>2682</v>
      </c>
      <c r="I7" s="52" t="s">
        <v>1942</v>
      </c>
      <c r="J7" s="52">
        <v>0</v>
      </c>
      <c r="K7" s="52">
        <v>4</v>
      </c>
      <c r="L7" s="52" t="s">
        <v>2678</v>
      </c>
      <c r="M7" s="52">
        <v>0</v>
      </c>
      <c r="N7" s="52">
        <v>49</v>
      </c>
      <c r="O7" s="52" t="s">
        <v>1934</v>
      </c>
      <c r="P7" s="52" t="s">
        <v>1936</v>
      </c>
      <c r="Q7" s="52" t="s">
        <v>1937</v>
      </c>
      <c r="R7" s="52" t="s">
        <v>1943</v>
      </c>
      <c r="S7" s="52">
        <v>2</v>
      </c>
      <c r="T7" s="52" t="s">
        <v>2679</v>
      </c>
      <c r="U7" s="52"/>
      <c r="V7" s="52" t="s">
        <v>2680</v>
      </c>
      <c r="W7" s="133">
        <v>316960</v>
      </c>
      <c r="X7" s="52"/>
      <c r="Y7" s="52"/>
      <c r="Z7" s="134">
        <v>1856.6552901023892</v>
      </c>
      <c r="AA7" s="52">
        <f t="shared" si="0"/>
        <v>544</v>
      </c>
    </row>
    <row r="8" spans="1:33" s="40" customFormat="1">
      <c r="B8" s="127" t="s">
        <v>1799</v>
      </c>
      <c r="C8" s="52" t="s">
        <v>2674</v>
      </c>
      <c r="D8" s="52" t="s">
        <v>1933</v>
      </c>
      <c r="E8" s="52" t="s">
        <v>2683</v>
      </c>
      <c r="F8" s="52" t="s">
        <v>2676</v>
      </c>
      <c r="G8" s="52">
        <v>24</v>
      </c>
      <c r="H8" s="52" t="s">
        <v>2682</v>
      </c>
      <c r="I8" s="52" t="s">
        <v>1942</v>
      </c>
      <c r="J8" s="52">
        <v>0</v>
      </c>
      <c r="K8" s="52">
        <v>4</v>
      </c>
      <c r="L8" s="52" t="s">
        <v>2678</v>
      </c>
      <c r="M8" s="52">
        <v>0</v>
      </c>
      <c r="N8" s="52">
        <v>25</v>
      </c>
      <c r="O8" s="52" t="s">
        <v>1934</v>
      </c>
      <c r="P8" s="52" t="s">
        <v>1936</v>
      </c>
      <c r="Q8" s="52" t="s">
        <v>1937</v>
      </c>
      <c r="R8" s="52" t="s">
        <v>1970</v>
      </c>
      <c r="S8" s="52">
        <v>2</v>
      </c>
      <c r="T8" s="52" t="s">
        <v>2679</v>
      </c>
      <c r="U8" s="52"/>
      <c r="V8" s="52" t="s">
        <v>2680</v>
      </c>
      <c r="W8" s="133">
        <v>336780</v>
      </c>
      <c r="X8" s="52"/>
      <c r="Y8" s="52"/>
      <c r="Z8" s="134">
        <v>1453.9249146757679</v>
      </c>
      <c r="AA8" s="52">
        <f t="shared" si="0"/>
        <v>426</v>
      </c>
    </row>
    <row r="9" spans="1:33" s="40" customFormat="1">
      <c r="B9" s="127" t="s">
        <v>1586</v>
      </c>
      <c r="C9" s="52" t="s">
        <v>2674</v>
      </c>
      <c r="D9" s="52" t="s">
        <v>1949</v>
      </c>
      <c r="E9" s="52" t="s">
        <v>2684</v>
      </c>
      <c r="F9" s="52" t="s">
        <v>2676</v>
      </c>
      <c r="G9" s="52">
        <v>48</v>
      </c>
      <c r="H9" s="52" t="s">
        <v>2685</v>
      </c>
      <c r="I9" s="52" t="s">
        <v>1950</v>
      </c>
      <c r="J9" s="52">
        <v>0</v>
      </c>
      <c r="K9" s="52">
        <v>8</v>
      </c>
      <c r="L9" s="52" t="s">
        <v>2686</v>
      </c>
      <c r="M9" s="52">
        <v>1</v>
      </c>
      <c r="N9" s="62">
        <v>1</v>
      </c>
      <c r="O9" s="52" t="s">
        <v>1951</v>
      </c>
      <c r="P9" s="52" t="s">
        <v>1952</v>
      </c>
      <c r="Q9" s="52" t="s">
        <v>1937</v>
      </c>
      <c r="R9" s="52" t="s">
        <v>1953</v>
      </c>
      <c r="S9" s="52">
        <v>2</v>
      </c>
      <c r="T9" s="52" t="s">
        <v>2687</v>
      </c>
      <c r="U9" s="52"/>
      <c r="V9" s="52" t="s">
        <v>2680</v>
      </c>
      <c r="W9" s="133">
        <v>305870</v>
      </c>
      <c r="X9" s="52"/>
      <c r="Y9" s="52"/>
      <c r="Z9" s="134">
        <v>1194</v>
      </c>
      <c r="AA9" s="52">
        <f t="shared" si="0"/>
        <v>349.84199999999998</v>
      </c>
    </row>
    <row r="10" spans="1:33" s="40" customFormat="1">
      <c r="B10" s="127" t="s">
        <v>1591</v>
      </c>
      <c r="C10" s="52" t="s">
        <v>2674</v>
      </c>
      <c r="D10" s="52" t="s">
        <v>1949</v>
      </c>
      <c r="E10" s="52" t="s">
        <v>2688</v>
      </c>
      <c r="F10" s="52" t="s">
        <v>2676</v>
      </c>
      <c r="G10" s="52">
        <v>24</v>
      </c>
      <c r="H10" s="52" t="s">
        <v>2685</v>
      </c>
      <c r="I10" s="52" t="s">
        <v>1950</v>
      </c>
      <c r="J10" s="52">
        <v>0</v>
      </c>
      <c r="K10" s="52">
        <v>4</v>
      </c>
      <c r="L10" s="52" t="s">
        <v>2685</v>
      </c>
      <c r="M10" s="52">
        <v>1</v>
      </c>
      <c r="N10" s="62">
        <v>1</v>
      </c>
      <c r="O10" s="52" t="s">
        <v>1957</v>
      </c>
      <c r="P10" s="52" t="s">
        <v>1952</v>
      </c>
      <c r="Q10" s="52" t="s">
        <v>1937</v>
      </c>
      <c r="R10" s="52" t="s">
        <v>1958</v>
      </c>
      <c r="S10" s="52">
        <v>2</v>
      </c>
      <c r="T10" s="52" t="s">
        <v>2687</v>
      </c>
      <c r="U10" s="52"/>
      <c r="V10" s="52" t="s">
        <v>2680</v>
      </c>
      <c r="W10" s="133">
        <v>314790</v>
      </c>
      <c r="X10" s="52"/>
      <c r="Y10" s="52"/>
      <c r="Z10" s="134">
        <v>1194</v>
      </c>
      <c r="AA10" s="52">
        <f t="shared" si="0"/>
        <v>349.84199999999998</v>
      </c>
    </row>
    <row r="11" spans="1:33" s="40" customFormat="1">
      <c r="B11" s="127" t="s">
        <v>1605</v>
      </c>
      <c r="C11" s="52" t="s">
        <v>2674</v>
      </c>
      <c r="D11" s="52" t="s">
        <v>1959</v>
      </c>
      <c r="E11" s="52" t="s">
        <v>2689</v>
      </c>
      <c r="F11" s="52" t="s">
        <v>2690</v>
      </c>
      <c r="G11" s="52">
        <v>48</v>
      </c>
      <c r="H11" s="52" t="s">
        <v>2685</v>
      </c>
      <c r="I11" s="52" t="s">
        <v>1950</v>
      </c>
      <c r="J11" s="52">
        <v>48</v>
      </c>
      <c r="K11" s="52">
        <v>4</v>
      </c>
      <c r="L11" s="52" t="s">
        <v>2685</v>
      </c>
      <c r="M11" s="52">
        <v>1</v>
      </c>
      <c r="N11" s="62">
        <v>1</v>
      </c>
      <c r="O11" s="52" t="s">
        <v>1957</v>
      </c>
      <c r="P11" s="52" t="s">
        <v>1960</v>
      </c>
      <c r="Q11" s="52" t="s">
        <v>1937</v>
      </c>
      <c r="R11" s="52" t="s">
        <v>1961</v>
      </c>
      <c r="S11" s="52">
        <v>1</v>
      </c>
      <c r="T11" s="52" t="s">
        <v>2687</v>
      </c>
      <c r="U11" s="52"/>
      <c r="V11" s="52" t="s">
        <v>2680</v>
      </c>
      <c r="W11" s="133">
        <v>375570</v>
      </c>
      <c r="X11" s="52"/>
      <c r="Y11" s="52"/>
      <c r="Z11" s="134">
        <v>3412</v>
      </c>
      <c r="AA11" s="52">
        <f t="shared" si="0"/>
        <v>999.71600000000001</v>
      </c>
    </row>
    <row r="12" spans="1:33" s="40" customFormat="1">
      <c r="B12" s="127" t="s">
        <v>1600</v>
      </c>
      <c r="C12" s="52" t="s">
        <v>2674</v>
      </c>
      <c r="D12" s="52" t="s">
        <v>1959</v>
      </c>
      <c r="E12" s="52" t="s">
        <v>2691</v>
      </c>
      <c r="F12" s="52" t="s">
        <v>2690</v>
      </c>
      <c r="G12" s="52">
        <v>24</v>
      </c>
      <c r="H12" s="52" t="s">
        <v>2685</v>
      </c>
      <c r="I12" s="52" t="s">
        <v>1950</v>
      </c>
      <c r="J12" s="52">
        <v>24</v>
      </c>
      <c r="K12" s="52">
        <v>4</v>
      </c>
      <c r="L12" s="52" t="s">
        <v>2685</v>
      </c>
      <c r="M12" s="52">
        <v>1</v>
      </c>
      <c r="N12" s="62">
        <v>1</v>
      </c>
      <c r="O12" s="52" t="s">
        <v>1957</v>
      </c>
      <c r="P12" s="52" t="s">
        <v>1960</v>
      </c>
      <c r="Q12" s="52" t="s">
        <v>1937</v>
      </c>
      <c r="R12" s="52" t="s">
        <v>1961</v>
      </c>
      <c r="S12" s="52">
        <v>1</v>
      </c>
      <c r="T12" s="52" t="s">
        <v>2687</v>
      </c>
      <c r="U12" s="52"/>
      <c r="V12" s="52" t="s">
        <v>2680</v>
      </c>
      <c r="W12" s="133">
        <v>422310</v>
      </c>
      <c r="X12" s="52"/>
      <c r="Y12" s="52"/>
      <c r="Z12" s="134">
        <v>2047.3</v>
      </c>
      <c r="AA12" s="52">
        <f t="shared" si="0"/>
        <v>599.85889999999995</v>
      </c>
    </row>
    <row r="13" spans="1:33" s="40" customFormat="1">
      <c r="B13" s="127" t="s">
        <v>1335</v>
      </c>
      <c r="C13" s="52" t="s">
        <v>2674</v>
      </c>
      <c r="D13" s="52" t="s">
        <v>1337</v>
      </c>
      <c r="E13" s="52" t="s">
        <v>2692</v>
      </c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 t="s">
        <v>2693</v>
      </c>
      <c r="Q13" s="52" t="s">
        <v>1937</v>
      </c>
      <c r="R13" s="52" t="s">
        <v>2694</v>
      </c>
      <c r="S13" s="52">
        <v>2</v>
      </c>
      <c r="T13" s="52" t="s">
        <v>2687</v>
      </c>
      <c r="U13" s="52"/>
      <c r="V13" s="52" t="s">
        <v>2680</v>
      </c>
      <c r="W13" s="133"/>
      <c r="X13" s="52"/>
      <c r="Y13" s="52"/>
      <c r="Z13" s="134">
        <v>2627</v>
      </c>
      <c r="AA13" s="52">
        <f t="shared" si="0"/>
        <v>769.7109999999999</v>
      </c>
    </row>
    <row r="14" spans="1:33" s="40" customFormat="1">
      <c r="B14" s="127" t="s">
        <v>1646</v>
      </c>
      <c r="C14" s="52" t="s">
        <v>2674</v>
      </c>
      <c r="D14" s="52" t="s">
        <v>1645</v>
      </c>
      <c r="E14" s="52" t="s">
        <v>2695</v>
      </c>
      <c r="F14" s="52" t="s">
        <v>2696</v>
      </c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133"/>
      <c r="X14" s="52"/>
      <c r="Y14" s="52"/>
      <c r="Z14" s="134"/>
      <c r="AA14" s="52">
        <f t="shared" si="0"/>
        <v>0</v>
      </c>
    </row>
    <row r="15" spans="1:33" s="40" customFormat="1">
      <c r="B15" s="127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133"/>
      <c r="X15" s="52"/>
      <c r="Y15" s="52"/>
      <c r="Z15" s="134"/>
      <c r="AA15" s="52">
        <f t="shared" si="0"/>
        <v>0</v>
      </c>
    </row>
    <row r="16" spans="1:33" s="40" customFormat="1"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6">
        <f t="shared" si="0"/>
        <v>0</v>
      </c>
    </row>
    <row r="18" spans="2:8" ht="15.6">
      <c r="B18" s="15" t="s">
        <v>2584</v>
      </c>
      <c r="C18" s="40"/>
      <c r="D18" s="40"/>
      <c r="E18" s="40"/>
      <c r="F18" s="40"/>
      <c r="G18" s="40"/>
      <c r="H18" s="40"/>
    </row>
    <row r="19" spans="2:8" ht="13.2">
      <c r="B19" s="113" t="s">
        <v>2585</v>
      </c>
      <c r="C19" s="41" t="s">
        <v>2586</v>
      </c>
      <c r="D19" s="41" t="s">
        <v>2587</v>
      </c>
      <c r="E19" s="41" t="s">
        <v>887</v>
      </c>
      <c r="F19" s="41"/>
      <c r="G19" s="41"/>
      <c r="H19" s="41"/>
    </row>
    <row r="20" spans="2:8">
      <c r="B20" s="17" t="s">
        <v>2588</v>
      </c>
      <c r="C20" s="54" t="s">
        <v>892</v>
      </c>
      <c r="D20" s="54" t="s">
        <v>1307</v>
      </c>
      <c r="E20" s="102" t="s">
        <v>2589</v>
      </c>
      <c r="F20" s="103"/>
      <c r="G20" s="103"/>
      <c r="H20" s="104"/>
    </row>
    <row r="21" spans="2:8">
      <c r="B21" s="17" t="s">
        <v>2590</v>
      </c>
      <c r="C21" s="54" t="s">
        <v>892</v>
      </c>
      <c r="D21" s="54" t="s">
        <v>2591</v>
      </c>
      <c r="E21" s="102" t="s">
        <v>2592</v>
      </c>
      <c r="F21" s="103"/>
      <c r="G21" s="103"/>
      <c r="H21" s="104"/>
    </row>
    <row r="22" spans="2:8">
      <c r="B22" s="17" t="s">
        <v>2074</v>
      </c>
      <c r="C22" s="54" t="s">
        <v>892</v>
      </c>
      <c r="D22" s="54" t="s">
        <v>2593</v>
      </c>
      <c r="E22" s="102" t="s">
        <v>2594</v>
      </c>
      <c r="F22" s="103"/>
      <c r="G22" s="103"/>
      <c r="H22" s="104"/>
    </row>
    <row r="23" spans="2:8">
      <c r="B23" s="17" t="s">
        <v>1996</v>
      </c>
      <c r="C23" s="54" t="s">
        <v>892</v>
      </c>
      <c r="D23" s="54" t="s">
        <v>2595</v>
      </c>
      <c r="E23" s="102" t="s">
        <v>2596</v>
      </c>
      <c r="F23" s="103"/>
      <c r="G23" s="103"/>
      <c r="H23" s="104"/>
    </row>
    <row r="24" spans="2:8">
      <c r="B24" s="17" t="s">
        <v>1872</v>
      </c>
      <c r="C24" s="54" t="s">
        <v>892</v>
      </c>
      <c r="D24" s="54" t="s">
        <v>914</v>
      </c>
      <c r="E24" s="102" t="s">
        <v>2597</v>
      </c>
      <c r="F24" s="103"/>
      <c r="G24" s="103"/>
      <c r="H24" s="104"/>
    </row>
    <row r="25" spans="2:8">
      <c r="B25" s="17" t="s">
        <v>1879</v>
      </c>
      <c r="C25" s="54" t="s">
        <v>892</v>
      </c>
      <c r="D25" s="54" t="s">
        <v>1148</v>
      </c>
      <c r="E25" s="102" t="s">
        <v>2598</v>
      </c>
      <c r="F25" s="103"/>
      <c r="G25" s="103"/>
      <c r="H25" s="104"/>
    </row>
    <row r="26" spans="2:8">
      <c r="B26" s="17" t="s">
        <v>2599</v>
      </c>
      <c r="C26" s="54" t="s">
        <v>892</v>
      </c>
      <c r="D26" s="54" t="s">
        <v>2600</v>
      </c>
      <c r="E26" s="102" t="s">
        <v>2601</v>
      </c>
      <c r="F26" s="103"/>
      <c r="G26" s="103"/>
      <c r="H26" s="104"/>
    </row>
    <row r="27" spans="2:8">
      <c r="B27" s="17" t="s">
        <v>1991</v>
      </c>
      <c r="C27" s="54" t="s">
        <v>892</v>
      </c>
      <c r="D27" s="54"/>
      <c r="E27" s="102" t="s">
        <v>2602</v>
      </c>
      <c r="F27" s="103"/>
      <c r="G27" s="103"/>
      <c r="H27" s="104"/>
    </row>
    <row r="28" spans="2:8">
      <c r="B28" s="17" t="s">
        <v>1870</v>
      </c>
      <c r="C28" s="54" t="s">
        <v>892</v>
      </c>
      <c r="D28" s="54" t="s">
        <v>896</v>
      </c>
      <c r="E28" s="102" t="s">
        <v>2603</v>
      </c>
      <c r="F28" s="103"/>
      <c r="G28" s="103"/>
      <c r="H28" s="104"/>
    </row>
    <row r="29" spans="2:8">
      <c r="B29" s="17"/>
      <c r="C29" s="17"/>
      <c r="D29" s="17"/>
      <c r="E29" s="17"/>
      <c r="F29" s="17"/>
      <c r="G29" s="17"/>
      <c r="H29" s="17"/>
    </row>
    <row r="31" spans="2:8" ht="15.6">
      <c r="B31" s="15" t="s">
        <v>2604</v>
      </c>
    </row>
    <row r="32" spans="2:8">
      <c r="B32" s="35" t="s">
        <v>1574</v>
      </c>
    </row>
    <row r="33" spans="2:2">
      <c r="B33" s="35" t="s">
        <v>1579</v>
      </c>
    </row>
    <row r="34" spans="2:2">
      <c r="B34" s="35" t="s">
        <v>1585</v>
      </c>
    </row>
    <row r="35" spans="2:2">
      <c r="B35" s="35" t="s">
        <v>1583</v>
      </c>
    </row>
    <row r="36" spans="2:2">
      <c r="B36" s="35" t="s">
        <v>1589</v>
      </c>
    </row>
    <row r="37" spans="2:2">
      <c r="B37" s="35" t="s">
        <v>1594</v>
      </c>
    </row>
    <row r="38" spans="2:2">
      <c r="B38" s="35" t="s">
        <v>1598</v>
      </c>
    </row>
    <row r="39" spans="2:2">
      <c r="B39" s="35" t="s">
        <v>1741</v>
      </c>
    </row>
    <row r="40" spans="2:2">
      <c r="B40" s="35" t="s">
        <v>2605</v>
      </c>
    </row>
    <row r="41" spans="2:2">
      <c r="B41" s="35" t="s">
        <v>2606</v>
      </c>
    </row>
    <row r="42" spans="2:2">
      <c r="B42" s="17"/>
    </row>
    <row r="43" spans="2:2">
      <c r="B43" s="40"/>
    </row>
    <row r="44" spans="2:2" ht="15.6">
      <c r="B44" s="15" t="s">
        <v>2607</v>
      </c>
    </row>
    <row r="45" spans="2:2">
      <c r="B45" s="35" t="s">
        <v>2608</v>
      </c>
    </row>
    <row r="46" spans="2:2">
      <c r="B46" s="35" t="s">
        <v>2609</v>
      </c>
    </row>
    <row r="47" spans="2:2">
      <c r="B47" s="35" t="s">
        <v>2610</v>
      </c>
    </row>
    <row r="48" spans="2:2">
      <c r="B48" s="35" t="s">
        <v>2611</v>
      </c>
    </row>
    <row r="49" spans="2:2">
      <c r="B49" s="54" t="s">
        <v>2612</v>
      </c>
    </row>
    <row r="50" spans="2:2">
      <c r="B50" s="17"/>
    </row>
    <row r="51" spans="2:2">
      <c r="B51" s="40"/>
    </row>
    <row r="52" spans="2:2" ht="15.6">
      <c r="B52" s="15" t="s">
        <v>2613</v>
      </c>
    </row>
    <row r="53" spans="2:2">
      <c r="B53" s="54" t="s">
        <v>1988</v>
      </c>
    </row>
    <row r="54" spans="2:2">
      <c r="B54" s="35"/>
    </row>
    <row r="55" spans="2:2">
      <c r="B55" s="35"/>
    </row>
    <row r="56" spans="2:2">
      <c r="B56" s="35"/>
    </row>
    <row r="57" spans="2:2">
      <c r="B57" s="35"/>
    </row>
    <row r="58" spans="2:2">
      <c r="B58" s="17"/>
    </row>
    <row r="59" spans="2:2">
      <c r="B59" s="40"/>
    </row>
    <row r="60" spans="2:2" ht="15.6">
      <c r="B60" s="15" t="s">
        <v>2614</v>
      </c>
    </row>
    <row r="61" spans="2:2">
      <c r="B61" s="35" t="s">
        <v>2082</v>
      </c>
    </row>
    <row r="62" spans="2:2">
      <c r="B62" s="35" t="s">
        <v>2003</v>
      </c>
    </row>
    <row r="63" spans="2:2">
      <c r="B63" s="35" t="s">
        <v>1575</v>
      </c>
    </row>
    <row r="64" spans="2:2">
      <c r="B64" s="17"/>
    </row>
    <row r="66" spans="2:2" ht="15.6">
      <c r="B66" s="15" t="s">
        <v>2615</v>
      </c>
    </row>
    <row r="67" spans="2:2">
      <c r="B67" s="35" t="s">
        <v>1576</v>
      </c>
    </row>
    <row r="68" spans="2:2">
      <c r="B68" s="35" t="s">
        <v>1578</v>
      </c>
    </row>
    <row r="69" spans="2:2">
      <c r="B69" s="35" t="s">
        <v>2616</v>
      </c>
    </row>
    <row r="70" spans="2:2">
      <c r="B70" s="52" t="s">
        <v>2617</v>
      </c>
    </row>
    <row r="71" spans="2:2">
      <c r="B71" s="52" t="s">
        <v>2618</v>
      </c>
    </row>
    <row r="72" spans="2:2">
      <c r="B72" s="52" t="s">
        <v>2619</v>
      </c>
    </row>
    <row r="73" spans="2:2">
      <c r="B73" s="52" t="s">
        <v>2620</v>
      </c>
    </row>
    <row r="74" spans="2:2">
      <c r="B74" s="52" t="s">
        <v>2621</v>
      </c>
    </row>
    <row r="75" spans="2:2">
      <c r="B75" s="52" t="s">
        <v>2622</v>
      </c>
    </row>
    <row r="76" spans="2:2">
      <c r="B76" s="52" t="s">
        <v>2623</v>
      </c>
    </row>
    <row r="77" spans="2:2">
      <c r="B77" s="52" t="s">
        <v>2624</v>
      </c>
    </row>
    <row r="78" spans="2:2">
      <c r="B78" s="52" t="s">
        <v>2625</v>
      </c>
    </row>
    <row r="79" spans="2:2">
      <c r="B79" s="52" t="s">
        <v>2626</v>
      </c>
    </row>
    <row r="80" spans="2:2">
      <c r="B80" s="52" t="s">
        <v>2627</v>
      </c>
    </row>
    <row r="81" spans="2:2">
      <c r="B81" s="52" t="s">
        <v>2628</v>
      </c>
    </row>
    <row r="82" spans="2:2">
      <c r="B82" s="52" t="s">
        <v>2629</v>
      </c>
    </row>
    <row r="83" spans="2:2">
      <c r="B83" s="52" t="s">
        <v>2630</v>
      </c>
    </row>
    <row r="84" spans="2:2">
      <c r="B84" s="52" t="s">
        <v>2631</v>
      </c>
    </row>
    <row r="85" spans="2:2">
      <c r="B85" s="52" t="s">
        <v>2632</v>
      </c>
    </row>
    <row r="86" spans="2:2">
      <c r="B86" s="52" t="s">
        <v>2633</v>
      </c>
    </row>
    <row r="87" spans="2:2">
      <c r="B87" s="52" t="s">
        <v>2634</v>
      </c>
    </row>
    <row r="88" spans="2:2">
      <c r="B88" s="17"/>
    </row>
    <row r="89" spans="2:2">
      <c r="B89" s="40"/>
    </row>
    <row r="90" spans="2:2" ht="15.6">
      <c r="B90" s="15" t="s">
        <v>2635</v>
      </c>
    </row>
    <row r="91" spans="2:2">
      <c r="B91" s="52" t="s">
        <v>2636</v>
      </c>
    </row>
    <row r="92" spans="2:2">
      <c r="B92" s="52" t="s">
        <v>2637</v>
      </c>
    </row>
    <row r="93" spans="2:2">
      <c r="B93" s="52" t="s">
        <v>2638</v>
      </c>
    </row>
    <row r="94" spans="2:2">
      <c r="B94" s="52" t="s">
        <v>2639</v>
      </c>
    </row>
    <row r="95" spans="2:2">
      <c r="B95" s="17"/>
    </row>
    <row r="96" spans="2:2">
      <c r="B96" s="40"/>
    </row>
    <row r="97" spans="2:2" ht="15.6">
      <c r="B97" s="15" t="s">
        <v>2640</v>
      </c>
    </row>
    <row r="98" spans="2:2">
      <c r="B98" s="52" t="s">
        <v>2641</v>
      </c>
    </row>
    <row r="99" spans="2:2">
      <c r="B99" s="52" t="s">
        <v>2642</v>
      </c>
    </row>
    <row r="100" spans="2:2">
      <c r="B100" s="52" t="s">
        <v>2643</v>
      </c>
    </row>
    <row r="101" spans="2:2">
      <c r="B101" s="52" t="s">
        <v>2644</v>
      </c>
    </row>
    <row r="102" spans="2:2">
      <c r="B102" s="52"/>
    </row>
    <row r="103" spans="2:2">
      <c r="B103" s="17"/>
    </row>
    <row r="104" spans="2:2">
      <c r="B104" s="40"/>
    </row>
    <row r="105" spans="2:2" ht="15.6">
      <c r="B105" s="68" t="s">
        <v>2647</v>
      </c>
    </row>
    <row r="106" spans="2:2">
      <c r="B106" s="52" t="s">
        <v>2645</v>
      </c>
    </row>
    <row r="107" spans="2:2">
      <c r="B107" s="52" t="s">
        <v>2609</v>
      </c>
    </row>
    <row r="108" spans="2:2">
      <c r="B108" s="52" t="s">
        <v>2610</v>
      </c>
    </row>
    <row r="109" spans="2:2">
      <c r="B109" s="52" t="s">
        <v>2646</v>
      </c>
    </row>
    <row r="110" spans="2:2">
      <c r="B110" s="70"/>
    </row>
    <row r="112" spans="2:2" ht="15.6">
      <c r="B112" s="15" t="s">
        <v>2648</v>
      </c>
    </row>
    <row r="113" spans="2:2">
      <c r="B113" s="52" t="s">
        <v>58</v>
      </c>
    </row>
    <row r="114" spans="2:2">
      <c r="B114" s="52" t="s">
        <v>300</v>
      </c>
    </row>
    <row r="115" spans="2:2">
      <c r="B115" s="52" t="s">
        <v>2649</v>
      </c>
    </row>
    <row r="116" spans="2:2">
      <c r="B116" s="52"/>
    </row>
    <row r="117" spans="2:2">
      <c r="B117" s="52"/>
    </row>
    <row r="118" spans="2:2">
      <c r="B118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B8F2-0BFB-48BE-8EFD-0DBF5CDB528A}">
  <sheetPr codeName="Sheet12"/>
  <dimension ref="B5:H27"/>
  <sheetViews>
    <sheetView workbookViewId="0">
      <selection activeCell="P50" sqref="P50"/>
    </sheetView>
  </sheetViews>
  <sheetFormatPr defaultColWidth="9" defaultRowHeight="10.199999999999999"/>
  <cols>
    <col min="1" max="1" width="12.6640625" style="111" customWidth="1"/>
    <col min="2" max="6" width="9" style="111"/>
    <col min="7" max="7" width="13.88671875" style="111" customWidth="1"/>
    <col min="8" max="8" width="9" style="111"/>
    <col min="9" max="9" width="2.6640625" style="111" customWidth="1"/>
    <col min="10" max="16384" width="9" style="111"/>
  </cols>
  <sheetData>
    <row r="5" spans="2:8" ht="24.6">
      <c r="B5" s="249" t="s">
        <v>2769</v>
      </c>
      <c r="C5" s="249"/>
      <c r="D5" s="249"/>
      <c r="E5" s="249"/>
      <c r="F5" s="249"/>
      <c r="G5" s="249"/>
      <c r="H5" s="249"/>
    </row>
    <row r="24" spans="3:7" ht="11.25" customHeight="1">
      <c r="C24" s="250" t="s">
        <v>4</v>
      </c>
      <c r="D24" s="250"/>
      <c r="E24" s="250"/>
      <c r="F24" s="250"/>
      <c r="G24" s="250"/>
    </row>
    <row r="25" spans="3:7">
      <c r="C25" s="250"/>
      <c r="D25" s="250"/>
      <c r="E25" s="250"/>
      <c r="F25" s="250"/>
      <c r="G25" s="250"/>
    </row>
    <row r="26" spans="3:7">
      <c r="C26" s="250"/>
      <c r="D26" s="250"/>
      <c r="E26" s="250"/>
      <c r="F26" s="250"/>
      <c r="G26" s="250"/>
    </row>
    <row r="27" spans="3:7">
      <c r="C27" s="250"/>
      <c r="D27" s="250"/>
      <c r="E27" s="250"/>
      <c r="F27" s="250"/>
      <c r="G27" s="250"/>
    </row>
  </sheetData>
  <sheetProtection selectLockedCells="1" selectUnlockedCells="1"/>
  <mergeCells count="2">
    <mergeCell ref="B5:H5"/>
    <mergeCell ref="C24:G27"/>
  </mergeCells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81CEF23FA0B3429B96123A3C79236C" ma:contentTypeVersion="15" ma:contentTypeDescription="Create a new document." ma:contentTypeScope="" ma:versionID="b6a841c43b12d3bea52c9c00dec33757">
  <xsd:schema xmlns:xsd="http://www.w3.org/2001/XMLSchema" xmlns:xs="http://www.w3.org/2001/XMLSchema" xmlns:p="http://schemas.microsoft.com/office/2006/metadata/properties" xmlns:ns1="http://schemas.microsoft.com/sharepoint/v3" xmlns:ns3="62e8c333-aae9-490e-8d25-8c442297a0fd" xmlns:ns4="3dd27dd8-1d95-4ec5-b1b1-f3959ebae561" targetNamespace="http://schemas.microsoft.com/office/2006/metadata/properties" ma:root="true" ma:fieldsID="2306cc8b570a509c8c8ec836df1e8f5c" ns1:_="" ns3:_="" ns4:_="">
    <xsd:import namespace="http://schemas.microsoft.com/sharepoint/v3"/>
    <xsd:import namespace="62e8c333-aae9-490e-8d25-8c442297a0fd"/>
    <xsd:import namespace="3dd27dd8-1d95-4ec5-b1b1-f3959ebae56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1:_ip_UnifiedCompliancePolicyProperties" minOccurs="0"/>
                <xsd:element ref="ns1:_ip_UnifiedCompliancePolicyUIAction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e8c333-aae9-490e-8d25-8c442297a0f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d27dd8-1d95-4ec5-b1b1-f3959ebae5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C8803A-7A71-4A60-A0E3-D6CFBDCD46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C1D3E7E-7B62-41DA-84EA-793C2DB671BD}">
  <ds:schemaRefs>
    <ds:schemaRef ds:uri="http://schemas.microsoft.com/sharepoint/v3"/>
    <ds:schemaRef ds:uri="62e8c333-aae9-490e-8d25-8c442297a0fd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3dd27dd8-1d95-4ec5-b1b1-f3959ebae561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DEB2FE8-CDFE-4DBB-852B-8BDAD0F17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2e8c333-aae9-490e-8d25-8c442297a0fd"/>
    <ds:schemaRef ds:uri="3dd27dd8-1d95-4ec5-b1b1-f3959ebae5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104</vt:i4>
      </vt:variant>
    </vt:vector>
  </HeadingPairs>
  <TitlesOfParts>
    <vt:vector size="151" baseType="lpstr">
      <vt:lpstr>Coverpage</vt:lpstr>
      <vt:lpstr>General</vt:lpstr>
      <vt:lpstr>Sites</vt:lpstr>
      <vt:lpstr>Network Services</vt:lpstr>
      <vt:lpstr>Network Security</vt:lpstr>
      <vt:lpstr>Monitoring &amp; Logging</vt:lpstr>
      <vt:lpstr>How To Add a Device</vt:lpstr>
      <vt:lpstr>Networks</vt:lpstr>
      <vt:lpstr>Devices</vt:lpstr>
      <vt:lpstr>Switches</vt:lpstr>
      <vt:lpstr>Components</vt:lpstr>
      <vt:lpstr>Connections</vt:lpstr>
      <vt:lpstr>VDI SVI Builder</vt:lpstr>
      <vt:lpstr>Device Port Builder</vt:lpstr>
      <vt:lpstr>Active Directory</vt:lpstr>
      <vt:lpstr>DNAC Platform</vt:lpstr>
      <vt:lpstr>ISE Platform</vt:lpstr>
      <vt:lpstr>ISE Policy</vt:lpstr>
      <vt:lpstr>FGHLHN01-1</vt:lpstr>
      <vt:lpstr>FGHLHN01-2</vt:lpstr>
      <vt:lpstr>FGHLHN32</vt:lpstr>
      <vt:lpstr>FGHLHN33</vt:lpstr>
      <vt:lpstr>FGHLHN41-1</vt:lpstr>
      <vt:lpstr>FGHLHN41-2</vt:lpstr>
      <vt:lpstr>FGHLHN42-1</vt:lpstr>
      <vt:lpstr>FGHLHN42-2</vt:lpstr>
      <vt:lpstr>FGHLHN43-1</vt:lpstr>
      <vt:lpstr>FGHLHN43-2</vt:lpstr>
      <vt:lpstr>FGHLHN141-1</vt:lpstr>
      <vt:lpstr>FGHLHN141-2</vt:lpstr>
      <vt:lpstr>FGHLHN142-1</vt:lpstr>
      <vt:lpstr>FGHLHN142-2</vt:lpstr>
      <vt:lpstr>FGHLHN143</vt:lpstr>
      <vt:lpstr>FGHLHN144</vt:lpstr>
      <vt:lpstr>FGHLHN171</vt:lpstr>
      <vt:lpstr>FGHLHN172</vt:lpstr>
      <vt:lpstr>FGHLHN71</vt:lpstr>
      <vt:lpstr>FGHLHN72</vt:lpstr>
      <vt:lpstr>FGHVLN43-1</vt:lpstr>
      <vt:lpstr>FGHVLN43-2</vt:lpstr>
      <vt:lpstr>FGHVLN71-1</vt:lpstr>
      <vt:lpstr>FGHVLN71-2</vt:lpstr>
      <vt:lpstr>FGHSDN71</vt:lpstr>
      <vt:lpstr>FGHSDN72</vt:lpstr>
      <vt:lpstr>FGHGDN71</vt:lpstr>
      <vt:lpstr>Lookups</vt:lpstr>
      <vt:lpstr>(Copyright)</vt:lpstr>
      <vt:lpstr>CHANGE_HISTORY</vt:lpstr>
      <vt:lpstr>CLIENT</vt:lpstr>
      <vt:lpstr>CLIENT_ID</vt:lpstr>
      <vt:lpstr>CONFIG_STATUS_LIST</vt:lpstr>
      <vt:lpstr>CONTENT_STATUS</vt:lpstr>
      <vt:lpstr>CREATED_BY</vt:lpstr>
      <vt:lpstr>DOCUMENT_NUMBER</vt:lpstr>
      <vt:lpstr>DOCUMENT_STATUS</vt:lpstr>
      <vt:lpstr>DOCUMENT_TITLE</vt:lpstr>
      <vt:lpstr>DOCUMENT_TYPE</vt:lpstr>
      <vt:lpstr>DOCUMENT_VERSION</vt:lpstr>
      <vt:lpstr>'VDI SVI Builder'!EXTERNAL_GATEWAY</vt:lpstr>
      <vt:lpstr>LAST_CHANGE</vt:lpstr>
      <vt:lpstr>LAST_EDITOR</vt:lpstr>
      <vt:lpstr>LAST_SAVED</vt:lpstr>
      <vt:lpstr>PORT_TYPE_LIST</vt:lpstr>
      <vt:lpstr>POSTCODE_LIST</vt:lpstr>
      <vt:lpstr>FGHGDN71!Print_Area</vt:lpstr>
      <vt:lpstr>'FGHLHN01-1'!Print_Area</vt:lpstr>
      <vt:lpstr>'FGHLHN01-2'!Print_Area</vt:lpstr>
      <vt:lpstr>FGHLHN171!Print_Area</vt:lpstr>
      <vt:lpstr>FGHLHN172!Print_Area</vt:lpstr>
      <vt:lpstr>FGHLHN71!Print_Area</vt:lpstr>
      <vt:lpstr>FGHLHN72!Print_Area</vt:lpstr>
      <vt:lpstr>FGHSDN71!Print_Area</vt:lpstr>
      <vt:lpstr>FGHSDN72!Print_Area</vt:lpstr>
      <vt:lpstr>'FGHVLN71-1'!Print_Area</vt:lpstr>
      <vt:lpstr>'FGHVLN71-2'!Print_Area</vt:lpstr>
      <vt:lpstr>General!Print_Area</vt:lpstr>
      <vt:lpstr>FGHGDN71!Print_Titles</vt:lpstr>
      <vt:lpstr>'FGHLHN01-1'!Print_Titles</vt:lpstr>
      <vt:lpstr>'FGHLHN01-2'!Print_Titles</vt:lpstr>
      <vt:lpstr>'FGHLHN141-1'!Print_Titles</vt:lpstr>
      <vt:lpstr>'FGHLHN141-2'!Print_Titles</vt:lpstr>
      <vt:lpstr>'FGHLHN142-1'!Print_Titles</vt:lpstr>
      <vt:lpstr>'FGHLHN142-2'!Print_Titles</vt:lpstr>
      <vt:lpstr>FGHLHN171!Print_Titles</vt:lpstr>
      <vt:lpstr>FGHLHN172!Print_Titles</vt:lpstr>
      <vt:lpstr>'FGHLHN41-1'!Print_Titles</vt:lpstr>
      <vt:lpstr>'FGHLHN41-2'!Print_Titles</vt:lpstr>
      <vt:lpstr>'FGHLHN42-1'!Print_Titles</vt:lpstr>
      <vt:lpstr>'FGHLHN42-2'!Print_Titles</vt:lpstr>
      <vt:lpstr>'FGHLHN43-1'!Print_Titles</vt:lpstr>
      <vt:lpstr>'FGHLHN43-2'!Print_Titles</vt:lpstr>
      <vt:lpstr>FGHLHN71!Print_Titles</vt:lpstr>
      <vt:lpstr>FGHLHN72!Print_Titles</vt:lpstr>
      <vt:lpstr>FGHSDN71!Print_Titles</vt:lpstr>
      <vt:lpstr>FGHSDN72!Print_Titles</vt:lpstr>
      <vt:lpstr>'FGHVLN43-1'!Print_Titles</vt:lpstr>
      <vt:lpstr>'FGHVLN43-2'!Print_Titles</vt:lpstr>
      <vt:lpstr>'FGHVLN71-1'!Print_Titles</vt:lpstr>
      <vt:lpstr>'FGHVLN71-2'!Print_Titles</vt:lpstr>
      <vt:lpstr>PROJECT</vt:lpstr>
      <vt:lpstr>REVISION_NUMBER</vt:lpstr>
      <vt:lpstr>'Active Directory'!SHEET_NAME</vt:lpstr>
      <vt:lpstr>Components!SHEET_NAME</vt:lpstr>
      <vt:lpstr>Connections!SHEET_NAME</vt:lpstr>
      <vt:lpstr>'Device Port Builder'!SHEET_NAME</vt:lpstr>
      <vt:lpstr>Devices!SHEET_NAME</vt:lpstr>
      <vt:lpstr>'DNAC Platform'!SHEET_NAME</vt:lpstr>
      <vt:lpstr>FGHGDN71!SHEET_NAME</vt:lpstr>
      <vt:lpstr>'FGHLHN01-1'!SHEET_NAME</vt:lpstr>
      <vt:lpstr>'FGHLHN01-2'!SHEET_NAME</vt:lpstr>
      <vt:lpstr>'FGHLHN141-1'!SHEET_NAME</vt:lpstr>
      <vt:lpstr>'FGHLHN141-2'!SHEET_NAME</vt:lpstr>
      <vt:lpstr>'FGHLHN142-1'!SHEET_NAME</vt:lpstr>
      <vt:lpstr>'FGHLHN142-2'!SHEET_NAME</vt:lpstr>
      <vt:lpstr>FGHLHN143!SHEET_NAME</vt:lpstr>
      <vt:lpstr>FGHLHN144!SHEET_NAME</vt:lpstr>
      <vt:lpstr>FGHLHN171!SHEET_NAME</vt:lpstr>
      <vt:lpstr>FGHLHN172!SHEET_NAME</vt:lpstr>
      <vt:lpstr>FGHLHN32!SHEET_NAME</vt:lpstr>
      <vt:lpstr>FGHLHN33!SHEET_NAME</vt:lpstr>
      <vt:lpstr>'FGHLHN41-1'!SHEET_NAME</vt:lpstr>
      <vt:lpstr>'FGHLHN41-2'!SHEET_NAME</vt:lpstr>
      <vt:lpstr>'FGHLHN42-1'!SHEET_NAME</vt:lpstr>
      <vt:lpstr>'FGHLHN42-2'!SHEET_NAME</vt:lpstr>
      <vt:lpstr>'FGHLHN43-1'!SHEET_NAME</vt:lpstr>
      <vt:lpstr>'FGHLHN43-2'!SHEET_NAME</vt:lpstr>
      <vt:lpstr>FGHLHN71!SHEET_NAME</vt:lpstr>
      <vt:lpstr>FGHLHN72!SHEET_NAME</vt:lpstr>
      <vt:lpstr>FGHSDN71!SHEET_NAME</vt:lpstr>
      <vt:lpstr>FGHSDN72!SHEET_NAME</vt:lpstr>
      <vt:lpstr>'FGHVLN43-1'!SHEET_NAME</vt:lpstr>
      <vt:lpstr>'FGHVLN43-2'!SHEET_NAME</vt:lpstr>
      <vt:lpstr>'FGHVLN71-1'!SHEET_NAME</vt:lpstr>
      <vt:lpstr>'FGHVLN71-2'!SHEET_NAME</vt:lpstr>
      <vt:lpstr>General!SHEET_NAME</vt:lpstr>
      <vt:lpstr>'How To Add a Device'!SHEET_NAME</vt:lpstr>
      <vt:lpstr>'ISE Platform'!SHEET_NAME</vt:lpstr>
      <vt:lpstr>'ISE Policy'!SHEET_NAME</vt:lpstr>
      <vt:lpstr>'Monitoring &amp; Logging'!SHEET_NAME</vt:lpstr>
      <vt:lpstr>'Network Security'!SHEET_NAME</vt:lpstr>
      <vt:lpstr>'Network Services'!SHEET_NAME</vt:lpstr>
      <vt:lpstr>Networks!SHEET_NAME</vt:lpstr>
      <vt:lpstr>Sites!SHEET_NAME</vt:lpstr>
      <vt:lpstr>Switches!SHEET_NAME</vt:lpstr>
      <vt:lpstr>'VDI SVI Builder'!SHEET_NAME</vt:lpstr>
      <vt:lpstr>SITE_ID_LIST</vt:lpstr>
      <vt:lpstr>SITE_INDEX_LIST</vt:lpstr>
      <vt:lpstr>SITE_LIST</vt:lpstr>
      <vt:lpstr>SUMMARY</vt:lpstr>
      <vt:lpstr>SWITCH_NAME_LIST</vt:lpstr>
      <vt:lpstr>VALIDATE_BEFORE_SAVE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Networking</dc:title>
  <dc:subject>Infrastructure Design</dc:subject>
  <dc:creator>Robert Field</dc:creator>
  <cp:keywords>FGH</cp:keywords>
  <dc:description>Not available</dc:description>
  <cp:lastModifiedBy>Steven Ricks</cp:lastModifiedBy>
  <cp:revision>1</cp:revision>
  <cp:lastPrinted>2021-01-18T11:16:06Z</cp:lastPrinted>
  <dcterms:created xsi:type="dcterms:W3CDTF">2020-06-08T16:10:40Z</dcterms:created>
  <dcterms:modified xsi:type="dcterms:W3CDTF">2021-03-24T10:24:46Z</dcterms:modified>
  <cp:category>Freemans Grattan Holdings</cp:category>
  <cp:contentStatus>DRAFT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0x010100DE81CEF23FA0B3429B96123A3C79236C</vt:lpwstr>
  </property>
</Properties>
</file>