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vestar8888/Desktop/Personal Finance/budget/"/>
    </mc:Choice>
  </mc:AlternateContent>
  <xr:revisionPtr revIDLastSave="0" documentId="13_ncr:1_{ED05DFF5-14A5-3B46-8DF5-6F9EBDF76BF8}" xr6:coauthVersionLast="47" xr6:coauthVersionMax="47" xr10:uidLastSave="{00000000-0000-0000-0000-000000000000}"/>
  <bookViews>
    <workbookView xWindow="-3220" yWindow="-22540" windowWidth="40960" windowHeight="22540" tabRatio="637" xr2:uid="{00000000-000D-0000-FFFF-FFFF00000000}"/>
  </bookViews>
  <sheets>
    <sheet name="Budget" sheetId="22" r:id="rId1"/>
    <sheet name="Tax Calculation" sheetId="18" r:id="rId2"/>
  </sheets>
  <calcPr calcId="191029" iterate="1"/>
  <customWorkbookViews>
    <customWorkbookView name="main" guid="{5DEB68D0-18B0-409F-A1B7-526211C97239}" maximized="1" xWindow="1" yWindow="1" windowWidth="1676" windowHeight="825" tabRatio="704" activeSheetId="1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8" l="1"/>
  <c r="H28" i="18" s="1"/>
  <c r="H40" i="18"/>
  <c r="H41" i="18" s="1"/>
  <c r="H42" i="18" s="1"/>
  <c r="E18" i="18"/>
  <c r="F18" i="18"/>
  <c r="G18" i="18"/>
  <c r="G17" i="18"/>
  <c r="F17" i="18"/>
  <c r="E17" i="18"/>
  <c r="G16" i="18"/>
  <c r="F16" i="18"/>
  <c r="E16" i="18"/>
  <c r="B16" i="18" s="1"/>
  <c r="E13" i="18"/>
  <c r="B13" i="18" s="1"/>
  <c r="F13" i="18"/>
  <c r="G13" i="18"/>
  <c r="E14" i="18"/>
  <c r="B14" i="18" s="1"/>
  <c r="F14" i="18"/>
  <c r="G14" i="18"/>
  <c r="E15" i="18"/>
  <c r="B15" i="18" s="1"/>
  <c r="F15" i="18"/>
  <c r="G15" i="18"/>
  <c r="G12" i="18"/>
  <c r="F12" i="18"/>
  <c r="E12" i="18"/>
  <c r="B12" i="18" s="1"/>
  <c r="G4" i="18"/>
  <c r="F5" i="18"/>
  <c r="G5" i="18"/>
  <c r="H5" i="18" s="1"/>
  <c r="F6" i="18"/>
  <c r="G6" i="18"/>
  <c r="F7" i="18"/>
  <c r="G7" i="18"/>
  <c r="H7" i="18" s="1"/>
  <c r="F8" i="18"/>
  <c r="G8" i="18"/>
  <c r="H8" i="18" s="1"/>
  <c r="G3" i="18"/>
  <c r="F3" i="18"/>
  <c r="E4" i="18"/>
  <c r="B4" i="18" s="1"/>
  <c r="E5" i="18"/>
  <c r="B5" i="18" s="1"/>
  <c r="E6" i="18"/>
  <c r="B6" i="18" s="1"/>
  <c r="E7" i="18"/>
  <c r="E8" i="18"/>
  <c r="E3" i="18"/>
  <c r="B3" i="18" s="1"/>
  <c r="AB9" i="22"/>
  <c r="AC9" i="22"/>
  <c r="AD9" i="22"/>
  <c r="AE9" i="22"/>
  <c r="AF9" i="22"/>
  <c r="AA9" i="22"/>
  <c r="AA18" i="22"/>
  <c r="AA17" i="22"/>
  <c r="AA16" i="22"/>
  <c r="AA15" i="22"/>
  <c r="AA14" i="22"/>
  <c r="AA13" i="22"/>
  <c r="AA12" i="22"/>
  <c r="AA11" i="22"/>
  <c r="AA10" i="22"/>
  <c r="H74" i="22"/>
  <c r="H79" i="22"/>
  <c r="H78" i="22"/>
  <c r="H77" i="22"/>
  <c r="H76" i="22"/>
  <c r="H75" i="22"/>
  <c r="H73" i="22"/>
  <c r="H50" i="22"/>
  <c r="H99" i="22"/>
  <c r="H100" i="22"/>
  <c r="H101" i="22"/>
  <c r="H102" i="22"/>
  <c r="H98" i="22"/>
  <c r="H87" i="22"/>
  <c r="H88" i="22"/>
  <c r="H89" i="22"/>
  <c r="H90" i="22"/>
  <c r="H91" i="22"/>
  <c r="H92" i="22"/>
  <c r="H93" i="22"/>
  <c r="H94" i="22"/>
  <c r="H95" i="22"/>
  <c r="H96" i="22"/>
  <c r="H86" i="22"/>
  <c r="H71" i="22"/>
  <c r="H72" i="22"/>
  <c r="H80" i="22"/>
  <c r="H81" i="22"/>
  <c r="H82" i="22"/>
  <c r="H83" i="22"/>
  <c r="H84" i="22"/>
  <c r="H70" i="22"/>
  <c r="H62" i="22"/>
  <c r="H63" i="22"/>
  <c r="H64" i="22"/>
  <c r="H65" i="22"/>
  <c r="H66" i="22"/>
  <c r="H67" i="22"/>
  <c r="H68" i="22"/>
  <c r="H61" i="22"/>
  <c r="H55" i="22"/>
  <c r="H56" i="22"/>
  <c r="H57" i="22"/>
  <c r="H58" i="22"/>
  <c r="H59" i="22"/>
  <c r="H54" i="22"/>
  <c r="H48" i="22"/>
  <c r="H49" i="22"/>
  <c r="H51" i="22"/>
  <c r="H52" i="22"/>
  <c r="H47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33" i="22"/>
  <c r="H25" i="22"/>
  <c r="H26" i="22"/>
  <c r="H27" i="22"/>
  <c r="H28" i="22"/>
  <c r="H29" i="22"/>
  <c r="H30" i="22"/>
  <c r="H31" i="22"/>
  <c r="H24" i="22"/>
  <c r="H15" i="22"/>
  <c r="H16" i="22"/>
  <c r="H17" i="22"/>
  <c r="H18" i="22"/>
  <c r="H19" i="22"/>
  <c r="H20" i="22"/>
  <c r="H21" i="22"/>
  <c r="H22" i="22"/>
  <c r="L20" i="22"/>
  <c r="H6" i="22"/>
  <c r="H9" i="22"/>
  <c r="H8" i="22"/>
  <c r="H7" i="22"/>
  <c r="H23" i="22" l="1"/>
  <c r="H53" i="22"/>
  <c r="AG14" i="22" s="1"/>
  <c r="H29" i="18"/>
  <c r="H30" i="18"/>
  <c r="H31" i="18"/>
  <c r="K41" i="18"/>
  <c r="K40" i="18"/>
  <c r="H6" i="18"/>
  <c r="C6" i="18" s="1"/>
  <c r="H18" i="18"/>
  <c r="H12" i="18"/>
  <c r="C12" i="18" s="1"/>
  <c r="H15" i="18"/>
  <c r="C15" i="18" s="1"/>
  <c r="H3" i="18"/>
  <c r="C3" i="18" s="1"/>
  <c r="H14" i="18"/>
  <c r="C14" i="18" s="1"/>
  <c r="H13" i="18"/>
  <c r="C13" i="18" s="1"/>
  <c r="H16" i="18"/>
  <c r="C16" i="18" s="1"/>
  <c r="H17" i="18"/>
  <c r="C5" i="18"/>
  <c r="H32" i="22"/>
  <c r="AG12" i="22" s="1"/>
  <c r="H46" i="22"/>
  <c r="AG13" i="22" s="1"/>
  <c r="AG11" i="22"/>
  <c r="H60" i="22"/>
  <c r="AG15" i="22" s="1"/>
  <c r="H69" i="22"/>
  <c r="AG16" i="22" s="1"/>
  <c r="H97" i="22"/>
  <c r="H85" i="22"/>
  <c r="AG17" i="22" s="1"/>
  <c r="D14" i="22"/>
  <c r="H14" i="22" s="1"/>
  <c r="D12" i="22"/>
  <c r="H12" i="22" s="1"/>
  <c r="D5" i="22"/>
  <c r="D13" i="22"/>
  <c r="H13" i="22" s="1"/>
  <c r="H4" i="22"/>
  <c r="AH14" i="22" l="1"/>
  <c r="AA26" i="22"/>
  <c r="AC26" i="22"/>
  <c r="AA28" i="22"/>
  <c r="AC28" i="22"/>
  <c r="AA23" i="22"/>
  <c r="AC23" i="22"/>
  <c r="AA25" i="22"/>
  <c r="AC25" i="22"/>
  <c r="AA24" i="22"/>
  <c r="AC24" i="22"/>
  <c r="AH17" i="22"/>
  <c r="AA29" i="22"/>
  <c r="AC29" i="22"/>
  <c r="AA27" i="22"/>
  <c r="AC27" i="22"/>
  <c r="AG18" i="22"/>
  <c r="AH18" i="22" s="1"/>
  <c r="AA30" i="22"/>
  <c r="AC30" i="22"/>
  <c r="H5" i="22"/>
  <c r="H3" i="22" s="1"/>
  <c r="AG9" i="22" s="1"/>
  <c r="F4" i="18"/>
  <c r="H4" i="18" s="1"/>
  <c r="C4" i="18" s="1"/>
  <c r="C10" i="18" s="1"/>
  <c r="C20" i="18" s="1"/>
  <c r="C22" i="18" s="1"/>
  <c r="K42" i="18"/>
  <c r="AH15" i="22"/>
  <c r="AH16" i="22"/>
  <c r="AH11" i="22"/>
  <c r="AH13" i="22"/>
  <c r="AH12" i="22"/>
  <c r="AC32" i="22" l="1"/>
  <c r="K43" i="18"/>
  <c r="AA21" i="22"/>
  <c r="AH9" i="22"/>
  <c r="AC21" i="22"/>
  <c r="AB29" i="22" l="1"/>
  <c r="AB28" i="22"/>
  <c r="AB25" i="22"/>
  <c r="AB26" i="22"/>
  <c r="AB27" i="22"/>
  <c r="AB23" i="22"/>
  <c r="AB21" i="22"/>
  <c r="AB24" i="22"/>
  <c r="AB30" i="22"/>
  <c r="K45" i="18"/>
  <c r="K44" i="18"/>
  <c r="AB32" i="22" l="1"/>
  <c r="C26" i="18"/>
  <c r="D26" i="18" l="1"/>
  <c r="C27" i="18"/>
  <c r="E26" i="18" l="1"/>
  <c r="D27" i="18"/>
  <c r="E27" i="18" s="1"/>
  <c r="C28" i="18"/>
  <c r="D28" i="18" l="1"/>
  <c r="E28" i="18" s="1"/>
  <c r="C29" i="18"/>
  <c r="D29" i="18" l="1"/>
  <c r="E29" i="18" s="1"/>
  <c r="C30" i="18"/>
  <c r="D30" i="18" l="1"/>
  <c r="E30" i="18" s="1"/>
  <c r="C31" i="18"/>
  <c r="D31" i="18" l="1"/>
  <c r="E31" i="18" s="1"/>
  <c r="C32" i="18"/>
  <c r="D35" i="18" l="1"/>
  <c r="D32" i="18"/>
  <c r="D33" i="18" s="1"/>
  <c r="C33" i="18"/>
  <c r="E21" i="18" s="1"/>
  <c r="D36" i="18" l="1"/>
  <c r="E32" i="18"/>
  <c r="D11" i="22"/>
  <c r="H11" i="22" s="1"/>
  <c r="H10" i="22" s="1"/>
  <c r="AG10" i="22" l="1"/>
  <c r="AA22" i="22" s="1"/>
  <c r="H103" i="22"/>
  <c r="B104" i="22" s="1"/>
  <c r="AC22" i="22" l="1"/>
  <c r="AB22" i="22" s="1"/>
  <c r="AH10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C5" authorId="0" shapeId="0" xr:uid="{BF96ABE7-19FC-E64C-AFE0-A8089F8AEB05}">
      <text>
        <r>
          <rPr>
            <b/>
            <sz val="10"/>
            <color rgb="FF000000"/>
            <rFont val="Tahoma"/>
            <family val="2"/>
          </rPr>
          <t>as % of salary</t>
        </r>
      </text>
    </comment>
    <comment ref="C12" authorId="0" shapeId="0" xr:uid="{C6509133-5C82-CC40-820F-CA759BB2BC1A}">
      <text>
        <r>
          <rPr>
            <b/>
            <sz val="10"/>
            <color rgb="FF000000"/>
            <rFont val="Tahoma"/>
            <family val="2"/>
          </rPr>
          <t>% state tax (if your state applies a flat tax to all income; may be more complex if your state has tax brackets)</t>
        </r>
      </text>
    </comment>
    <comment ref="C13" authorId="0" shapeId="0" xr:uid="{D6445976-91EC-4C46-9BC5-6A2CD36B876B}">
      <text>
        <r>
          <rPr>
            <b/>
            <sz val="10"/>
            <color rgb="FF000000"/>
            <rFont val="Tahoma"/>
            <family val="2"/>
          </rPr>
          <t>taxed about 6.2% of income up the first $147,000 in 2022</t>
        </r>
      </text>
    </comment>
    <comment ref="C14" authorId="0" shapeId="0" xr:uid="{EDBF820B-C131-D94C-AA56-2A804A47F199}">
      <text>
        <r>
          <rPr>
            <b/>
            <sz val="10"/>
            <color rgb="FF000000"/>
            <rFont val="Tahoma"/>
            <family val="2"/>
          </rPr>
          <t>flat 1.45% + 0.9% on earnings over $200,000 for single filers or $250,000 for joint filers</t>
        </r>
      </text>
    </comment>
    <comment ref="C18" authorId="0" shapeId="0" xr:uid="{005B9EC7-1BA8-084D-A1E7-3FC300972AD6}">
      <text>
        <r>
          <rPr>
            <b/>
            <sz val="10"/>
            <color rgb="FF000000"/>
            <rFont val="Tahoma"/>
            <family val="2"/>
          </rPr>
          <t>as % of salary</t>
        </r>
      </text>
    </comment>
  </commentList>
</comments>
</file>

<file path=xl/sharedStrings.xml><?xml version="1.0" encoding="utf-8"?>
<sst xmlns="http://schemas.openxmlformats.org/spreadsheetml/2006/main" count="296" uniqueCount="159">
  <si>
    <t>Income</t>
  </si>
  <si>
    <t>Education</t>
  </si>
  <si>
    <t>Other</t>
  </si>
  <si>
    <t>Electricity</t>
  </si>
  <si>
    <t>Gas</t>
  </si>
  <si>
    <t>Water</t>
  </si>
  <si>
    <t>Internet</t>
  </si>
  <si>
    <t>School fees</t>
  </si>
  <si>
    <t>School uniforms</t>
  </si>
  <si>
    <t>Excursions</t>
  </si>
  <si>
    <t>Baby products</t>
  </si>
  <si>
    <t>Weekly</t>
  </si>
  <si>
    <t>Fortnightly</t>
  </si>
  <si>
    <t>Monthly</t>
  </si>
  <si>
    <t>Annually</t>
  </si>
  <si>
    <t>Summary</t>
  </si>
  <si>
    <t>Quarterly</t>
  </si>
  <si>
    <t>Annual</t>
  </si>
  <si>
    <t xml:space="preserve">View : </t>
  </si>
  <si>
    <t>Other loans</t>
  </si>
  <si>
    <t>Groceries</t>
  </si>
  <si>
    <t>Toys</t>
  </si>
  <si>
    <t>Babysitting</t>
  </si>
  <si>
    <t>Childcare</t>
  </si>
  <si>
    <t>Sports &amp; activities</t>
  </si>
  <si>
    <t>Other school needs</t>
  </si>
  <si>
    <t>Child support payment</t>
  </si>
  <si>
    <t>$</t>
  </si>
  <si>
    <t>Frequency</t>
  </si>
  <si>
    <t>Bonus</t>
  </si>
  <si>
    <t>Bank Interest</t>
  </si>
  <si>
    <t>Capital Gains from investments</t>
  </si>
  <si>
    <t>Federal Income tax</t>
  </si>
  <si>
    <t>State Income tax</t>
  </si>
  <si>
    <t>Paycheck Deductions (e.g., Taxes, Retirement)</t>
  </si>
  <si>
    <t>Social Security tax (aka OASDI)</t>
  </si>
  <si>
    <t>Medicare tax</t>
  </si>
  <si>
    <t>Life insurance</t>
  </si>
  <si>
    <t>401k contribution: pre-tax (traditional)</t>
  </si>
  <si>
    <t>401k contribution: post-tax (roth)</t>
  </si>
  <si>
    <t>Medical Insurance</t>
  </si>
  <si>
    <t>401k contribution: after-tax</t>
  </si>
  <si>
    <t>Mortgage / Rent</t>
  </si>
  <si>
    <t>Eating out</t>
  </si>
  <si>
    <t>Food</t>
  </si>
  <si>
    <t>Public transit</t>
  </si>
  <si>
    <t>Uber</t>
  </si>
  <si>
    <t>Going out</t>
  </si>
  <si>
    <t>Home supplies</t>
  </si>
  <si>
    <t>Clothes</t>
  </si>
  <si>
    <t>Electronics</t>
  </si>
  <si>
    <t>Student loans</t>
  </si>
  <si>
    <t>Save for emergency</t>
  </si>
  <si>
    <t>Non-retirement Investments</t>
  </si>
  <si>
    <t>https://moneysmart.gov.au/budgeting/budget-planner</t>
  </si>
  <si>
    <t>Transportation</t>
  </si>
  <si>
    <t>Discretionary</t>
  </si>
  <si>
    <t>Xmas</t>
  </si>
  <si>
    <t>Gym</t>
  </si>
  <si>
    <t>Insurance</t>
  </si>
  <si>
    <t>Phone</t>
  </si>
  <si>
    <t>Salary</t>
  </si>
  <si>
    <t>Home / Rental Insurance</t>
  </si>
  <si>
    <t>Sewer</t>
  </si>
  <si>
    <t>Trash</t>
  </si>
  <si>
    <t>Lawn / Garden</t>
  </si>
  <si>
    <t>Home improvement</t>
  </si>
  <si>
    <t>For dropdowns:</t>
  </si>
  <si>
    <t>Car payments</t>
  </si>
  <si>
    <t>Car insurance</t>
  </si>
  <si>
    <t>Registration / License</t>
  </si>
  <si>
    <t>Gifts</t>
  </si>
  <si>
    <t>Barber / Salon</t>
  </si>
  <si>
    <t>Doctor</t>
  </si>
  <si>
    <t>Dentist</t>
  </si>
  <si>
    <t>Repair / maintenance</t>
  </si>
  <si>
    <t>Category</t>
  </si>
  <si>
    <t>Medicine</t>
  </si>
  <si>
    <t>Daily Living</t>
  </si>
  <si>
    <t>Savings and Loans</t>
  </si>
  <si>
    <t>Pets</t>
  </si>
  <si>
    <t>Kids</t>
  </si>
  <si>
    <t>FICA = Social Security tax (aka OASDI) + Medicare tax</t>
  </si>
  <si>
    <t>FICA is not tax deductible</t>
  </si>
  <si>
    <t>Federal Tax calculation:</t>
  </si>
  <si>
    <t>Roth IRA</t>
  </si>
  <si>
    <t>Taxable income</t>
  </si>
  <si>
    <t>Adjusted Gross Income (AGI)</t>
  </si>
  <si>
    <t>HSA contribution</t>
  </si>
  <si>
    <t>Traditional IRA</t>
  </si>
  <si>
    <t>Taxable Income</t>
  </si>
  <si>
    <t>Tax Rate</t>
  </si>
  <si>
    <t>(Single)</t>
  </si>
  <si>
    <t>(Married Filing Jointly)</t>
  </si>
  <si>
    <t>Up to $20,550</t>
  </si>
  <si>
    <t>$20,551 to $83,550</t>
  </si>
  <si>
    <t>$83,551 to $178,150</t>
  </si>
  <si>
    <t>$178,151 to $340,100</t>
  </si>
  <si>
    <t>$340,101 to $431,900</t>
  </si>
  <si>
    <t>$431,901 to $647,850</t>
  </si>
  <si>
    <t>Over $539,900</t>
  </si>
  <si>
    <t>Over $647,850</t>
  </si>
  <si>
    <t>Taxes due</t>
  </si>
  <si>
    <t>black text = linked or calculated</t>
  </si>
  <si>
    <t>Home &amp; Utilities</t>
  </si>
  <si>
    <t>Comprehensive AGI calculation</t>
  </si>
  <si>
    <t>https://blog.taxact.com/adjusted-gross-income-calculator/</t>
  </si>
  <si>
    <t>Inspired by</t>
  </si>
  <si>
    <t>blue text = inputted adjustable value</t>
  </si>
  <si>
    <t>2023 contribution limit:</t>
  </si>
  <si>
    <t>2023 contribution limit (Trad &amp; Roth combined):</t>
  </si>
  <si>
    <t>Heating</t>
  </si>
  <si>
    <t>Subscription</t>
  </si>
  <si>
    <t>+ $7,500 if ≥50 years old</t>
  </si>
  <si>
    <t>+ $1,500 if ≥50 years old</t>
  </si>
  <si>
    <t>Health &amp; Medical</t>
  </si>
  <si>
    <t>Donations</t>
  </si>
  <si>
    <t>Subscription 3</t>
  </si>
  <si>
    <t>Subscription 1</t>
  </si>
  <si>
    <t>Subscription 2</t>
  </si>
  <si>
    <t>Save for small trip</t>
  </si>
  <si>
    <t>Save for big trip</t>
  </si>
  <si>
    <t>Hobby 1</t>
  </si>
  <si>
    <t>Hobby 2</t>
  </si>
  <si>
    <t>OASDI stands for old age, survivors, and disability insurance</t>
  </si>
  <si>
    <t>For chart (final version):</t>
  </si>
  <si>
    <t>For chart (verbose):</t>
  </si>
  <si>
    <t>&lt;--- CLICK AND TOGGLE!</t>
  </si>
  <si>
    <t>Annualized $</t>
  </si>
  <si>
    <t>Amount</t>
  </si>
  <si>
    <t>Deductions</t>
  </si>
  <si>
    <t>[Linked from the "Income" section]</t>
  </si>
  <si>
    <t>Calculation</t>
  </si>
  <si>
    <t>Totals</t>
  </si>
  <si>
    <t xml:space="preserve">[Linked from the "Deductions" section + Trad IRA] </t>
  </si>
  <si>
    <t>Tax in bracket</t>
  </si>
  <si>
    <t>Taxable Income within tax bracket</t>
  </si>
  <si>
    <t>Effective Tax Rate:</t>
  </si>
  <si>
    <t>Marginal Tax Rate:</t>
  </si>
  <si>
    <t>2022 brackets:</t>
  </si>
  <si>
    <t>$0 to $11,000</t>
  </si>
  <si>
    <t>$0 to $10,275</t>
  </si>
  <si>
    <t>Over $11,000 to $44,725</t>
  </si>
  <si>
    <t>Over $10,275 to $41,775</t>
  </si>
  <si>
    <t>Over $44,725 to $95,375</t>
  </si>
  <si>
    <t>Over $41,775 to $89,075</t>
  </si>
  <si>
    <t>Over $95,375 to $182,100</t>
  </si>
  <si>
    <t>Over $89,075 to $170,050</t>
  </si>
  <si>
    <t>Over $182,100 to $231,250</t>
  </si>
  <si>
    <t>Over $170,050 to $215,950</t>
  </si>
  <si>
    <t>Over $231,250 to $578,125</t>
  </si>
  <si>
    <t>Over $215,950 to $539,900</t>
  </si>
  <si>
    <t>Over $578,125</t>
  </si>
  <si>
    <t>2023 Standard Deduction</t>
  </si>
  <si>
    <t>(Head of Household)</t>
  </si>
  <si>
    <t>yellow highlight = percentage input</t>
  </si>
  <si>
    <t>Roth IRA contribution eligibility starts becoming limited at $129k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</si>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</sst>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"/>
    <numFmt numFmtId="167" formatCode="&quot;$&quot;#,##0;[Red]&quot;$&quot;#,##0"/>
    <numFmt numFmtId="168" formatCode="&quot;$&quot;#,##0.00"/>
    <numFmt numFmtId="169" formatCode="0.0%"/>
  </numFmts>
  <fonts count="25" x14ac:knownFonts="1"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i/>
      <sz val="10"/>
      <color theme="1" tint="0.249977111117893"/>
      <name val="Arial"/>
      <family val="2"/>
    </font>
    <font>
      <sz val="10"/>
      <color rgb="FF305FBE"/>
      <name val="Arial"/>
      <family val="2"/>
    </font>
    <font>
      <sz val="10"/>
      <color theme="1"/>
      <name val="Arial"/>
      <family val="2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rgb="FF000000"/>
      <name val="Tahoma"/>
      <family val="2"/>
    </font>
    <font>
      <sz val="10"/>
      <color theme="3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rgb="FF305FBE"/>
      <name val="Arial"/>
      <family val="2"/>
    </font>
    <font>
      <sz val="14"/>
      <color rgb="FF305FBE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6B8E0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29A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485"/>
        <bgColor indexed="64"/>
      </patternFill>
    </fill>
    <fill>
      <patternFill patternType="solid">
        <fgColor rgb="FF652B91"/>
        <bgColor indexed="64"/>
      </patternFill>
    </fill>
    <fill>
      <patternFill patternType="solid">
        <fgColor rgb="FFE62C00"/>
        <bgColor indexed="64"/>
      </patternFill>
    </fill>
    <fill>
      <patternFill patternType="solid">
        <fgColor rgb="FFFF9BDE"/>
        <bgColor indexed="64"/>
      </patternFill>
    </fill>
    <fill>
      <patternFill patternType="solid">
        <fgColor rgb="FFB485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DA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theme="5" tint="0.79998168889431442"/>
      </patternFill>
    </fill>
  </fills>
  <borders count="95">
    <border>
      <left/>
      <right/>
      <top/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theme="0" tint="-0.24994659260841701"/>
      </right>
      <top style="hair">
        <color theme="0" tint="-0.24994659260841701"/>
      </top>
      <bottom/>
      <diagonal/>
    </border>
    <border>
      <left/>
      <right style="medium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rgb="FF6B8E06"/>
      </left>
      <right/>
      <top style="thick">
        <color rgb="FF6B8E06"/>
      </top>
      <bottom style="thick">
        <color rgb="FF6B8E06"/>
      </bottom>
      <diagonal/>
    </border>
    <border>
      <left/>
      <right/>
      <top style="thick">
        <color rgb="FF6B8E06"/>
      </top>
      <bottom style="thick">
        <color rgb="FF6B8E06"/>
      </bottom>
      <diagonal/>
    </border>
    <border>
      <left/>
      <right style="thick">
        <color rgb="FF6B8E06"/>
      </right>
      <top style="thick">
        <color rgb="FF6B8E06"/>
      </top>
      <bottom style="thick">
        <color rgb="FF6B8E06"/>
      </bottom>
      <diagonal/>
    </border>
    <border>
      <left style="thick">
        <color rgb="FF6DA400"/>
      </left>
      <right/>
      <top/>
      <bottom/>
      <diagonal/>
    </border>
    <border>
      <left/>
      <right style="thick">
        <color rgb="FF6DA400"/>
      </right>
      <top/>
      <bottom/>
      <diagonal/>
    </border>
    <border>
      <left style="thick">
        <color rgb="FF6DA400"/>
      </left>
      <right/>
      <top style="medium">
        <color rgb="FF006699"/>
      </top>
      <bottom/>
      <diagonal/>
    </border>
    <border>
      <left/>
      <right/>
      <top style="medium">
        <color rgb="FF006699"/>
      </top>
      <bottom/>
      <diagonal/>
    </border>
    <border>
      <left/>
      <right style="thick">
        <color rgb="FF6DA400"/>
      </right>
      <top style="medium">
        <color rgb="FF006699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ck">
        <color rgb="FF6DA400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hair">
        <color theme="0" tint="-0.24994659260841701"/>
      </top>
      <bottom/>
      <diagonal/>
    </border>
    <border>
      <left/>
      <right style="thick">
        <color rgb="FF6DA400"/>
      </right>
      <top style="hair">
        <color theme="0" tint="-0.24994659260841701"/>
      </top>
      <bottom/>
      <diagonal/>
    </border>
    <border>
      <left style="thick">
        <color rgb="FF6DA400"/>
      </left>
      <right/>
      <top style="medium">
        <color rgb="FF00CCFF"/>
      </top>
      <bottom/>
      <diagonal/>
    </border>
    <border>
      <left/>
      <right/>
      <top style="medium">
        <color rgb="FF00CCFF"/>
      </top>
      <bottom/>
      <diagonal/>
    </border>
    <border>
      <left/>
      <right/>
      <top style="medium">
        <color rgb="FF00B0F0"/>
      </top>
      <bottom/>
      <diagonal/>
    </border>
    <border>
      <left/>
      <right style="thick">
        <color rgb="FF6DA400"/>
      </right>
      <top style="medium">
        <color rgb="FF00CCFF"/>
      </top>
      <bottom/>
      <diagonal/>
    </border>
    <border>
      <left style="thick">
        <color rgb="FF6DA400"/>
      </left>
      <right/>
      <top style="medium">
        <color rgb="FF00B485"/>
      </top>
      <bottom/>
      <diagonal/>
    </border>
    <border>
      <left/>
      <right/>
      <top style="medium">
        <color rgb="FF00B485"/>
      </top>
      <bottom/>
      <diagonal/>
    </border>
    <border>
      <left/>
      <right/>
      <top style="medium">
        <color rgb="FF339966"/>
      </top>
      <bottom/>
      <diagonal/>
    </border>
    <border>
      <left/>
      <right style="thick">
        <color rgb="FF6DA400"/>
      </right>
      <top style="medium">
        <color rgb="FF00B485"/>
      </top>
      <bottom/>
      <diagonal/>
    </border>
    <border>
      <left style="thick">
        <color rgb="FF6DA400"/>
      </left>
      <right/>
      <top style="medium">
        <color rgb="FF652B91"/>
      </top>
      <bottom/>
      <diagonal/>
    </border>
    <border>
      <left/>
      <right/>
      <top style="medium">
        <color rgb="FF652B91"/>
      </top>
      <bottom/>
      <diagonal/>
    </border>
    <border>
      <left/>
      <right/>
      <top style="medium">
        <color rgb="FF7030A0"/>
      </top>
      <bottom/>
      <diagonal/>
    </border>
    <border>
      <left/>
      <right style="thick">
        <color rgb="FF6DA400"/>
      </right>
      <top style="medium">
        <color rgb="FF652B91"/>
      </top>
      <bottom/>
      <diagonal/>
    </border>
    <border>
      <left style="thick">
        <color rgb="FF6DA400"/>
      </left>
      <right/>
      <top style="medium">
        <color rgb="FFE62C00"/>
      </top>
      <bottom/>
      <diagonal/>
    </border>
    <border>
      <left/>
      <right/>
      <top style="medium">
        <color rgb="FFE62C00"/>
      </top>
      <bottom/>
      <diagonal/>
    </border>
    <border>
      <left/>
      <right/>
      <top style="medium">
        <color rgb="FFFF0000"/>
      </top>
      <bottom/>
      <diagonal/>
    </border>
    <border>
      <left/>
      <right style="thick">
        <color rgb="FF6DA400"/>
      </right>
      <top style="medium">
        <color rgb="FFE62C00"/>
      </top>
      <bottom/>
      <diagonal/>
    </border>
    <border>
      <left style="thick">
        <color rgb="FF6DA400"/>
      </left>
      <right/>
      <top style="medium">
        <color rgb="FFFF9BDE"/>
      </top>
      <bottom/>
      <diagonal/>
    </border>
    <border>
      <left/>
      <right/>
      <top style="medium">
        <color rgb="FFFF9BDE"/>
      </top>
      <bottom/>
      <diagonal/>
    </border>
    <border>
      <left/>
      <right/>
      <top style="medium">
        <color rgb="FFFF99FF"/>
      </top>
      <bottom/>
      <diagonal/>
    </border>
    <border>
      <left/>
      <right style="thick">
        <color rgb="FF6DA400"/>
      </right>
      <top style="medium">
        <color rgb="FFFF9BDE"/>
      </top>
      <bottom/>
      <diagonal/>
    </border>
    <border>
      <left style="thick">
        <color rgb="FF6DA400"/>
      </left>
      <right/>
      <top style="medium">
        <color rgb="FFB48500"/>
      </top>
      <bottom/>
      <diagonal/>
    </border>
    <border>
      <left/>
      <right/>
      <top style="medium">
        <color rgb="FFB48500"/>
      </top>
      <bottom/>
      <diagonal/>
    </border>
    <border>
      <left/>
      <right/>
      <top style="medium">
        <color rgb="FF996633"/>
      </top>
      <bottom/>
      <diagonal/>
    </border>
    <border>
      <left/>
      <right style="thick">
        <color rgb="FF6DA400"/>
      </right>
      <top style="medium">
        <color rgb="FFB48500"/>
      </top>
      <bottom/>
      <diagonal/>
    </border>
    <border>
      <left/>
      <right/>
      <top style="medium">
        <color rgb="FFE25B00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thick">
        <color rgb="FF6DA400"/>
      </right>
      <top style="medium">
        <color rgb="FFE25B00"/>
      </top>
      <bottom/>
      <diagonal/>
    </border>
    <border>
      <left style="thick">
        <color rgb="FF6DA400"/>
      </left>
      <right/>
      <top style="medium">
        <color rgb="FF6DA400"/>
      </top>
      <bottom/>
      <diagonal/>
    </border>
    <border>
      <left/>
      <right/>
      <top style="thick">
        <color rgb="FF6DA400"/>
      </top>
      <bottom/>
      <diagonal/>
    </border>
    <border>
      <left/>
      <right style="thick">
        <color rgb="FF6DA400"/>
      </right>
      <top style="thick">
        <color rgb="FF6DA400"/>
      </top>
      <bottom/>
      <diagonal/>
    </border>
    <border>
      <left/>
      <right/>
      <top/>
      <bottom style="thick">
        <color rgb="FF6DA400"/>
      </bottom>
      <diagonal/>
    </border>
    <border>
      <left/>
      <right style="thick">
        <color rgb="FF6DA400"/>
      </right>
      <top/>
      <bottom style="thick">
        <color rgb="FF6DA40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rgb="FFFF9BDE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 tint="-0.24994659260841701"/>
      </right>
      <top/>
      <bottom style="medium">
        <color rgb="FF00CCFF"/>
      </bottom>
      <diagonal/>
    </border>
    <border>
      <left/>
      <right style="medium">
        <color theme="0" tint="-0.24994659260841701"/>
      </right>
      <top style="hair">
        <color theme="0" tint="-0.24994659260841701"/>
      </top>
      <bottom style="hair">
        <color theme="0" tint="-0.34998626667073579"/>
      </bottom>
      <diagonal/>
    </border>
    <border>
      <left/>
      <right style="medium">
        <color theme="0" tint="-0.2499465926084170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medium">
        <color rgb="FF006699"/>
      </top>
      <bottom style="hair">
        <color theme="0" tint="-0.34998626667073579"/>
      </bottom>
      <diagonal/>
    </border>
    <border>
      <left style="medium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theme="1"/>
      </bottom>
      <diagonal/>
    </border>
    <border>
      <left/>
      <right/>
      <top style="thin">
        <color theme="5"/>
      </top>
      <bottom/>
      <diagonal/>
    </border>
    <border>
      <left/>
      <right style="dotted">
        <color theme="1"/>
      </right>
      <top style="thin">
        <color theme="5"/>
      </top>
      <bottom style="thin">
        <color theme="5"/>
      </bottom>
      <diagonal/>
    </border>
    <border>
      <left/>
      <right style="dotted">
        <color theme="1"/>
      </right>
      <top style="thin">
        <color theme="5"/>
      </top>
      <bottom/>
      <diagonal/>
    </border>
    <border>
      <left/>
      <right style="dotted">
        <color theme="1"/>
      </right>
      <top/>
      <bottom/>
      <diagonal/>
    </border>
    <border>
      <left/>
      <right style="dotted">
        <color theme="1"/>
      </right>
      <top/>
      <bottom style="thin">
        <color theme="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69" applyNumberFormat="0" applyFont="0" applyAlignment="0" applyProtection="0"/>
  </cellStyleXfs>
  <cellXfs count="231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167" fontId="0" fillId="0" borderId="0" xfId="0" applyNumberFormat="1"/>
    <xf numFmtId="0" fontId="7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167" fontId="7" fillId="4" borderId="5" xfId="0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/>
    <xf numFmtId="0" fontId="0" fillId="6" borderId="9" xfId="0" applyFill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0" borderId="10" xfId="0" applyBorder="1"/>
    <xf numFmtId="167" fontId="5" fillId="0" borderId="10" xfId="0" applyNumberFormat="1" applyFont="1" applyBorder="1"/>
    <xf numFmtId="0" fontId="0" fillId="0" borderId="11" xfId="0" applyBorder="1"/>
    <xf numFmtId="0" fontId="0" fillId="6" borderId="7" xfId="0" applyFill="1" applyBorder="1"/>
    <xf numFmtId="0" fontId="10" fillId="0" borderId="12" xfId="0" applyFont="1" applyBorder="1"/>
    <xf numFmtId="0" fontId="0" fillId="0" borderId="13" xfId="0" applyBorder="1"/>
    <xf numFmtId="167" fontId="0" fillId="0" borderId="14" xfId="0" applyNumberFormat="1" applyBorder="1"/>
    <xf numFmtId="0" fontId="0" fillId="0" borderId="15" xfId="0" applyBorder="1"/>
    <xf numFmtId="0" fontId="10" fillId="0" borderId="16" xfId="0" applyFont="1" applyBorder="1"/>
    <xf numFmtId="0" fontId="0" fillId="0" borderId="17" xfId="0" applyBorder="1"/>
    <xf numFmtId="0" fontId="0" fillId="0" borderId="18" xfId="0" applyBorder="1"/>
    <xf numFmtId="0" fontId="0" fillId="7" borderId="19" xfId="0" applyFill="1" applyBorder="1"/>
    <xf numFmtId="0" fontId="4" fillId="2" borderId="20" xfId="0" applyFont="1" applyFill="1" applyBorder="1" applyAlignment="1">
      <alignment vertic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0" fontId="0" fillId="0" borderId="20" xfId="0" applyBorder="1"/>
    <xf numFmtId="166" fontId="5" fillId="0" borderId="20" xfId="0" applyNumberFormat="1" applyFont="1" applyBorder="1"/>
    <xf numFmtId="0" fontId="0" fillId="0" borderId="22" xfId="0" applyBorder="1"/>
    <xf numFmtId="0" fontId="0" fillId="7" borderId="7" xfId="0" applyFill="1" applyBorder="1"/>
    <xf numFmtId="0" fontId="0" fillId="8" borderId="23" xfId="0" applyFill="1" applyBorder="1"/>
    <xf numFmtId="0" fontId="4" fillId="2" borderId="24" xfId="0" applyFont="1" applyFill="1" applyBorder="1" applyAlignment="1">
      <alignment vertical="center"/>
    </xf>
    <xf numFmtId="0" fontId="9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0" fillId="0" borderId="24" xfId="0" applyBorder="1"/>
    <xf numFmtId="166" fontId="5" fillId="0" borderId="24" xfId="0" applyNumberFormat="1" applyFont="1" applyBorder="1"/>
    <xf numFmtId="0" fontId="0" fillId="0" borderId="26" xfId="0" applyBorder="1"/>
    <xf numFmtId="0" fontId="0" fillId="8" borderId="7" xfId="0" applyFill="1" applyBorder="1"/>
    <xf numFmtId="0" fontId="0" fillId="9" borderId="27" xfId="0" applyFill="1" applyBorder="1"/>
    <xf numFmtId="0" fontId="4" fillId="2" borderId="28" xfId="0" applyFont="1" applyFill="1" applyBorder="1" applyAlignment="1">
      <alignment vertical="center"/>
    </xf>
    <xf numFmtId="0" fontId="9" fillId="0" borderId="29" xfId="0" applyFont="1" applyBorder="1" applyAlignment="1">
      <alignment horizontal="center"/>
    </xf>
    <xf numFmtId="0" fontId="9" fillId="0" borderId="29" xfId="0" applyFont="1" applyBorder="1" applyAlignment="1">
      <alignment horizontal="left"/>
    </xf>
    <xf numFmtId="0" fontId="0" fillId="0" borderId="28" xfId="0" applyBorder="1"/>
    <xf numFmtId="166" fontId="5" fillId="0" borderId="28" xfId="0" applyNumberFormat="1" applyFont="1" applyBorder="1"/>
    <xf numFmtId="0" fontId="0" fillId="0" borderId="30" xfId="0" applyBorder="1"/>
    <xf numFmtId="0" fontId="0" fillId="9" borderId="7" xfId="0" applyFill="1" applyBorder="1"/>
    <xf numFmtId="0" fontId="0" fillId="10" borderId="31" xfId="0" applyFill="1" applyBorder="1"/>
    <xf numFmtId="0" fontId="4" fillId="2" borderId="32" xfId="0" applyFont="1" applyFill="1" applyBorder="1" applyAlignment="1">
      <alignment vertical="center"/>
    </xf>
    <xf numFmtId="0" fontId="9" fillId="0" borderId="33" xfId="0" applyFont="1" applyBorder="1" applyAlignment="1">
      <alignment horizontal="center"/>
    </xf>
    <xf numFmtId="0" fontId="9" fillId="0" borderId="33" xfId="0" applyFont="1" applyBorder="1" applyAlignment="1">
      <alignment horizontal="left"/>
    </xf>
    <xf numFmtId="0" fontId="0" fillId="0" borderId="32" xfId="0" applyBorder="1"/>
    <xf numFmtId="166" fontId="5" fillId="0" borderId="32" xfId="0" applyNumberFormat="1" applyFont="1" applyBorder="1"/>
    <xf numFmtId="0" fontId="0" fillId="0" borderId="34" xfId="0" applyBorder="1"/>
    <xf numFmtId="0" fontId="0" fillId="10" borderId="7" xfId="0" applyFill="1" applyBorder="1"/>
    <xf numFmtId="0" fontId="0" fillId="11" borderId="35" xfId="0" applyFill="1" applyBorder="1"/>
    <xf numFmtId="0" fontId="4" fillId="2" borderId="36" xfId="0" applyFont="1" applyFill="1" applyBorder="1" applyAlignment="1">
      <alignment vertical="center"/>
    </xf>
    <xf numFmtId="0" fontId="9" fillId="0" borderId="37" xfId="0" applyFont="1" applyBorder="1" applyAlignment="1">
      <alignment horizontal="center"/>
    </xf>
    <xf numFmtId="0" fontId="0" fillId="0" borderId="36" xfId="0" applyBorder="1"/>
    <xf numFmtId="166" fontId="5" fillId="0" borderId="36" xfId="0" applyNumberFormat="1" applyFont="1" applyBorder="1"/>
    <xf numFmtId="0" fontId="0" fillId="0" borderId="38" xfId="0" applyBorder="1"/>
    <xf numFmtId="0" fontId="0" fillId="11" borderId="7" xfId="0" applyFill="1" applyBorder="1"/>
    <xf numFmtId="0" fontId="0" fillId="12" borderId="39" xfId="0" applyFill="1" applyBorder="1"/>
    <xf numFmtId="0" fontId="4" fillId="2" borderId="40" xfId="0" applyFont="1" applyFill="1" applyBorder="1" applyAlignment="1">
      <alignment vertical="center"/>
    </xf>
    <xf numFmtId="0" fontId="9" fillId="0" borderId="41" xfId="0" applyFont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0" fillId="0" borderId="40" xfId="0" applyBorder="1"/>
    <xf numFmtId="166" fontId="5" fillId="0" borderId="40" xfId="0" applyNumberFormat="1" applyFont="1" applyBorder="1"/>
    <xf numFmtId="0" fontId="0" fillId="0" borderId="42" xfId="0" applyBorder="1"/>
    <xf numFmtId="0" fontId="0" fillId="12" borderId="7" xfId="0" applyFill="1" applyBorder="1"/>
    <xf numFmtId="0" fontId="0" fillId="13" borderId="7" xfId="0" applyFill="1" applyBorder="1"/>
    <xf numFmtId="0" fontId="4" fillId="2" borderId="43" xfId="0" applyFont="1" applyFill="1" applyBorder="1" applyAlignment="1">
      <alignment vertical="center"/>
    </xf>
    <xf numFmtId="0" fontId="9" fillId="0" borderId="44" xfId="0" applyFont="1" applyBorder="1" applyAlignment="1">
      <alignment horizontal="center"/>
    </xf>
    <xf numFmtId="0" fontId="9" fillId="0" borderId="44" xfId="0" applyFont="1" applyBorder="1" applyAlignment="1">
      <alignment horizontal="left"/>
    </xf>
    <xf numFmtId="0" fontId="0" fillId="0" borderId="43" xfId="0" applyBorder="1"/>
    <xf numFmtId="166" fontId="5" fillId="0" borderId="43" xfId="0" applyNumberFormat="1" applyFont="1" applyBorder="1"/>
    <xf numFmtId="0" fontId="0" fillId="0" borderId="45" xfId="0" applyBorder="1"/>
    <xf numFmtId="0" fontId="0" fillId="0" borderId="8" xfId="0" applyBorder="1"/>
    <xf numFmtId="0" fontId="0" fillId="14" borderId="46" xfId="0" applyFill="1" applyBorder="1"/>
    <xf numFmtId="0" fontId="4" fillId="0" borderId="47" xfId="0" applyFont="1" applyBorder="1"/>
    <xf numFmtId="0" fontId="0" fillId="0" borderId="47" xfId="0" applyBorder="1"/>
    <xf numFmtId="164" fontId="5" fillId="0" borderId="47" xfId="0" applyNumberFormat="1" applyFont="1" applyBorder="1"/>
    <xf numFmtId="0" fontId="0" fillId="0" borderId="48" xfId="0" applyBorder="1"/>
    <xf numFmtId="0" fontId="0" fillId="14" borderId="7" xfId="0" applyFill="1" applyBorder="1"/>
    <xf numFmtId="0" fontId="3" fillId="0" borderId="0" xfId="0" applyFont="1"/>
    <xf numFmtId="167" fontId="5" fillId="0" borderId="0" xfId="0" applyNumberFormat="1" applyFont="1"/>
    <xf numFmtId="0" fontId="4" fillId="0" borderId="0" xfId="0" applyFont="1"/>
    <xf numFmtId="0" fontId="0" fillId="0" borderId="49" xfId="0" applyBorder="1"/>
    <xf numFmtId="167" fontId="0" fillId="0" borderId="49" xfId="0" applyNumberFormat="1" applyBorder="1"/>
    <xf numFmtId="0" fontId="0" fillId="0" borderId="50" xfId="0" applyBorder="1"/>
    <xf numFmtId="0" fontId="10" fillId="0" borderId="51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0" fillId="15" borderId="7" xfId="0" applyFill="1" applyBorder="1"/>
    <xf numFmtId="0" fontId="0" fillId="15" borderId="19" xfId="0" applyFill="1" applyBorder="1"/>
    <xf numFmtId="0" fontId="9" fillId="0" borderId="0" xfId="0" applyFont="1" applyAlignment="1">
      <alignment horizontal="left"/>
    </xf>
    <xf numFmtId="0" fontId="10" fillId="0" borderId="52" xfId="0" applyFont="1" applyBorder="1" applyProtection="1">
      <protection locked="0"/>
    </xf>
    <xf numFmtId="166" fontId="7" fillId="4" borderId="5" xfId="0" applyNumberFormat="1" applyFont="1" applyFill="1" applyBorder="1" applyAlignment="1">
      <alignment vertical="center"/>
    </xf>
    <xf numFmtId="166" fontId="9" fillId="0" borderId="10" xfId="0" applyNumberFormat="1" applyFont="1" applyBorder="1" applyAlignment="1">
      <alignment horizontal="right"/>
    </xf>
    <xf numFmtId="166" fontId="10" fillId="0" borderId="51" xfId="0" applyNumberFormat="1" applyFont="1" applyBorder="1" applyProtection="1">
      <protection locked="0"/>
    </xf>
    <xf numFmtId="166" fontId="11" fillId="0" borderId="51" xfId="0" applyNumberFormat="1" applyFont="1" applyBorder="1" applyProtection="1">
      <protection locked="0"/>
    </xf>
    <xf numFmtId="166" fontId="10" fillId="0" borderId="53" xfId="0" applyNumberFormat="1" applyFont="1" applyBorder="1" applyProtection="1">
      <protection locked="0"/>
    </xf>
    <xf numFmtId="166" fontId="9" fillId="0" borderId="21" xfId="0" applyNumberFormat="1" applyFont="1" applyBorder="1" applyAlignment="1">
      <alignment horizontal="right"/>
    </xf>
    <xf numFmtId="166" fontId="9" fillId="0" borderId="29" xfId="0" applyNumberFormat="1" applyFont="1" applyBorder="1" applyAlignment="1">
      <alignment horizontal="right"/>
    </xf>
    <xf numFmtId="166" fontId="9" fillId="0" borderId="25" xfId="0" applyNumberFormat="1" applyFont="1" applyBorder="1" applyAlignment="1">
      <alignment horizontal="right"/>
    </xf>
    <xf numFmtId="166" fontId="9" fillId="0" borderId="33" xfId="0" applyNumberFormat="1" applyFont="1" applyBorder="1" applyAlignment="1">
      <alignment horizontal="right"/>
    </xf>
    <xf numFmtId="166" fontId="9" fillId="0" borderId="41" xfId="0" applyNumberFormat="1" applyFont="1" applyBorder="1" applyAlignment="1">
      <alignment horizontal="right"/>
    </xf>
    <xf numFmtId="166" fontId="9" fillId="0" borderId="37" xfId="0" applyNumberFormat="1" applyFont="1" applyBorder="1" applyAlignment="1">
      <alignment horizontal="right"/>
    </xf>
    <xf numFmtId="166" fontId="9" fillId="0" borderId="44" xfId="0" applyNumberFormat="1" applyFont="1" applyBorder="1" applyAlignment="1">
      <alignment horizontal="right"/>
    </xf>
    <xf numFmtId="166" fontId="0" fillId="0" borderId="49" xfId="0" applyNumberFormat="1" applyBorder="1"/>
    <xf numFmtId="168" fontId="0" fillId="0" borderId="0" xfId="0" applyNumberFormat="1"/>
    <xf numFmtId="168" fontId="12" fillId="0" borderId="0" xfId="0" applyNumberFormat="1" applyFont="1"/>
    <xf numFmtId="168" fontId="0" fillId="0" borderId="54" xfId="0" applyNumberFormat="1" applyBorder="1"/>
    <xf numFmtId="168" fontId="0" fillId="0" borderId="0" xfId="0" applyNumberFormat="1" applyAlignment="1">
      <alignment horizontal="center"/>
    </xf>
    <xf numFmtId="168" fontId="13" fillId="0" borderId="0" xfId="0" applyNumberFormat="1" applyFont="1" applyAlignment="1">
      <alignment horizontal="center"/>
    </xf>
    <xf numFmtId="9" fontId="0" fillId="0" borderId="0" xfId="0" applyNumberFormat="1"/>
    <xf numFmtId="43" fontId="0" fillId="0" borderId="0" xfId="0" applyNumberFormat="1"/>
    <xf numFmtId="168" fontId="0" fillId="0" borderId="0" xfId="0" applyNumberFormat="1" applyAlignment="1">
      <alignment horizontal="left"/>
    </xf>
    <xf numFmtId="166" fontId="0" fillId="0" borderId="54" xfId="0" applyNumberFormat="1" applyBorder="1"/>
    <xf numFmtId="166" fontId="0" fillId="0" borderId="0" xfId="1" applyNumberFormat="1" applyFont="1" applyProtection="1"/>
    <xf numFmtId="166" fontId="15" fillId="0" borderId="51" xfId="0" applyNumberFormat="1" applyFont="1" applyBorder="1" applyProtection="1">
      <protection locked="0"/>
    </xf>
    <xf numFmtId="0" fontId="1" fillId="2" borderId="55" xfId="0" applyFont="1" applyFill="1" applyBorder="1" applyProtection="1">
      <protection locked="0"/>
    </xf>
    <xf numFmtId="0" fontId="1" fillId="2" borderId="56" xfId="0" applyFont="1" applyFill="1" applyBorder="1" applyProtection="1">
      <protection locked="0"/>
    </xf>
    <xf numFmtId="0" fontId="1" fillId="2" borderId="57" xfId="0" applyFont="1" applyFill="1" applyBorder="1" applyProtection="1">
      <protection locked="0"/>
    </xf>
    <xf numFmtId="0" fontId="4" fillId="2" borderId="58" xfId="0" applyFont="1" applyFill="1" applyBorder="1" applyAlignment="1">
      <alignment vertical="center"/>
    </xf>
    <xf numFmtId="0" fontId="0" fillId="0" borderId="59" xfId="0" applyBorder="1"/>
    <xf numFmtId="0" fontId="0" fillId="0" borderId="58" xfId="0" applyBorder="1"/>
    <xf numFmtId="0" fontId="16" fillId="5" borderId="7" xfId="0" applyFont="1" applyFill="1" applyBorder="1"/>
    <xf numFmtId="0" fontId="17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166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167" fontId="19" fillId="0" borderId="0" xfId="0" applyNumberFormat="1" applyFont="1" applyAlignment="1" applyProtection="1">
      <alignment horizontal="center"/>
      <protection locked="0"/>
    </xf>
    <xf numFmtId="0" fontId="16" fillId="5" borderId="8" xfId="0" applyFont="1" applyFill="1" applyBorder="1"/>
    <xf numFmtId="0" fontId="16" fillId="0" borderId="0" xfId="0" applyFont="1"/>
    <xf numFmtId="0" fontId="21" fillId="0" borderId="0" xfId="0" applyFont="1"/>
    <xf numFmtId="166" fontId="9" fillId="0" borderId="10" xfId="0" applyNumberFormat="1" applyFont="1" applyBorder="1" applyAlignment="1">
      <alignment horizontal="center"/>
    </xf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168" fontId="0" fillId="0" borderId="61" xfId="0" applyNumberFormat="1" applyBorder="1"/>
    <xf numFmtId="6" fontId="0" fillId="0" borderId="62" xfId="0" applyNumberFormat="1" applyBorder="1" applyAlignment="1">
      <alignment horizontal="left"/>
    </xf>
    <xf numFmtId="0" fontId="0" fillId="0" borderId="63" xfId="0" applyBorder="1"/>
    <xf numFmtId="168" fontId="0" fillId="0" borderId="66" xfId="0" applyNumberFormat="1" applyBorder="1"/>
    <xf numFmtId="6" fontId="0" fillId="0" borderId="67" xfId="0" applyNumberFormat="1" applyBorder="1" applyAlignment="1">
      <alignment horizontal="left"/>
    </xf>
    <xf numFmtId="0" fontId="0" fillId="0" borderId="68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22" fillId="3" borderId="0" xfId="0" applyFont="1" applyFill="1"/>
    <xf numFmtId="0" fontId="21" fillId="0" borderId="0" xfId="0" applyFont="1" applyAlignment="1">
      <alignment vertical="center"/>
    </xf>
    <xf numFmtId="166" fontId="0" fillId="16" borderId="69" xfId="3" applyNumberFormat="1" applyFont="1"/>
    <xf numFmtId="10" fontId="15" fillId="16" borderId="69" xfId="3" applyNumberFormat="1" applyFont="1"/>
    <xf numFmtId="166" fontId="0" fillId="0" borderId="0" xfId="1" applyNumberFormat="1" applyFont="1" applyBorder="1" applyAlignment="1">
      <alignment horizontal="left"/>
    </xf>
    <xf numFmtId="166" fontId="0" fillId="0" borderId="73" xfId="0" applyNumberFormat="1" applyBorder="1"/>
    <xf numFmtId="166" fontId="0" fillId="0" borderId="74" xfId="0" applyNumberFormat="1" applyBorder="1"/>
    <xf numFmtId="0" fontId="0" fillId="0" borderId="75" xfId="0" applyBorder="1"/>
    <xf numFmtId="166" fontId="0" fillId="0" borderId="76" xfId="0" applyNumberFormat="1" applyBorder="1" applyAlignment="1">
      <alignment horizontal="left"/>
    </xf>
    <xf numFmtId="0" fontId="0" fillId="0" borderId="77" xfId="0" applyBorder="1"/>
    <xf numFmtId="166" fontId="0" fillId="0" borderId="78" xfId="1" applyNumberFormat="1" applyFont="1" applyBorder="1" applyAlignment="1">
      <alignment horizontal="left"/>
    </xf>
    <xf numFmtId="166" fontId="0" fillId="0" borderId="79" xfId="0" applyNumberFormat="1" applyBorder="1" applyAlignment="1">
      <alignment horizontal="left"/>
    </xf>
    <xf numFmtId="166" fontId="0" fillId="16" borderId="80" xfId="3" applyNumberFormat="1" applyFont="1" applyBorder="1"/>
    <xf numFmtId="166" fontId="0" fillId="0" borderId="0" xfId="0" applyNumberFormat="1" applyAlignment="1">
      <alignment horizontal="left"/>
    </xf>
    <xf numFmtId="166" fontId="0" fillId="0" borderId="78" xfId="0" applyNumberFormat="1" applyBorder="1" applyAlignment="1">
      <alignment horizontal="left"/>
    </xf>
    <xf numFmtId="0" fontId="6" fillId="0" borderId="72" xfId="0" applyFont="1" applyBorder="1"/>
    <xf numFmtId="166" fontId="0" fillId="16" borderId="81" xfId="3" applyNumberFormat="1" applyFont="1" applyBorder="1"/>
    <xf numFmtId="166" fontId="0" fillId="16" borderId="82" xfId="3" applyNumberFormat="1" applyFont="1" applyBorder="1"/>
    <xf numFmtId="166" fontId="0" fillId="0" borderId="0" xfId="1" applyNumberFormat="1" applyFont="1" applyBorder="1"/>
    <xf numFmtId="168" fontId="0" fillId="0" borderId="75" xfId="0" applyNumberFormat="1" applyBorder="1"/>
    <xf numFmtId="168" fontId="0" fillId="0" borderId="77" xfId="0" applyNumberFormat="1" applyBorder="1"/>
    <xf numFmtId="168" fontId="0" fillId="0" borderId="78" xfId="0" applyNumberFormat="1" applyBorder="1"/>
    <xf numFmtId="166" fontId="0" fillId="0" borderId="78" xfId="1" applyNumberFormat="1" applyFont="1" applyBorder="1" applyProtection="1"/>
    <xf numFmtId="166" fontId="0" fillId="0" borderId="78" xfId="0" applyNumberFormat="1" applyBorder="1"/>
    <xf numFmtId="10" fontId="0" fillId="0" borderId="0" xfId="2" applyNumberFormat="1" applyFont="1"/>
    <xf numFmtId="168" fontId="24" fillId="17" borderId="0" xfId="0" applyNumberFormat="1" applyFont="1" applyFill="1" applyAlignment="1">
      <alignment horizontal="center"/>
    </xf>
    <xf numFmtId="9" fontId="24" fillId="0" borderId="0" xfId="2" applyFont="1" applyAlignment="1">
      <alignment horizontal="center"/>
    </xf>
    <xf numFmtId="168" fontId="24" fillId="0" borderId="0" xfId="0" applyNumberFormat="1" applyFont="1" applyAlignment="1">
      <alignment horizontal="center"/>
    </xf>
    <xf numFmtId="168" fontId="24" fillId="17" borderId="71" xfId="0" applyNumberFormat="1" applyFont="1" applyFill="1" applyBorder="1" applyAlignment="1">
      <alignment horizontal="center"/>
    </xf>
    <xf numFmtId="168" fontId="23" fillId="0" borderId="70" xfId="0" applyNumberFormat="1" applyFont="1" applyBorder="1" applyAlignment="1">
      <alignment horizontal="center"/>
    </xf>
    <xf numFmtId="168" fontId="23" fillId="0" borderId="70" xfId="0" applyNumberFormat="1" applyFont="1" applyBorder="1" applyAlignment="1">
      <alignment horizontal="center" wrapText="1"/>
    </xf>
    <xf numFmtId="168" fontId="24" fillId="17" borderId="83" xfId="0" applyNumberFormat="1" applyFont="1" applyFill="1" applyBorder="1" applyAlignment="1">
      <alignment horizontal="center"/>
    </xf>
    <xf numFmtId="166" fontId="15" fillId="16" borderId="80" xfId="3" applyNumberFormat="1" applyFont="1" applyBorder="1"/>
    <xf numFmtId="166" fontId="15" fillId="16" borderId="69" xfId="3" applyNumberFormat="1" applyFont="1"/>
    <xf numFmtId="168" fontId="0" fillId="0" borderId="0" xfId="0" applyNumberFormat="1" applyAlignment="1">
      <alignment horizontal="right"/>
    </xf>
    <xf numFmtId="168" fontId="13" fillId="0" borderId="0" xfId="0" applyNumberFormat="1" applyFont="1" applyAlignment="1">
      <alignment horizontal="right" indent="1"/>
    </xf>
    <xf numFmtId="0" fontId="13" fillId="0" borderId="0" xfId="0" applyFont="1"/>
    <xf numFmtId="168" fontId="24" fillId="17" borderId="83" xfId="0" applyNumberFormat="1" applyFont="1" applyFill="1" applyBorder="1" applyAlignment="1">
      <alignment horizontal="left"/>
    </xf>
    <xf numFmtId="168" fontId="24" fillId="0" borderId="0" xfId="0" applyNumberFormat="1" applyFont="1" applyAlignment="1">
      <alignment horizontal="left"/>
    </xf>
    <xf numFmtId="168" fontId="24" fillId="17" borderId="0" xfId="0" applyNumberFormat="1" applyFont="1" applyFill="1" applyAlignment="1">
      <alignment horizontal="left"/>
    </xf>
    <xf numFmtId="168" fontId="24" fillId="17" borderId="71" xfId="0" applyNumberFormat="1" applyFont="1" applyFill="1" applyBorder="1" applyAlignment="1">
      <alignment horizontal="left"/>
    </xf>
    <xf numFmtId="166" fontId="24" fillId="17" borderId="83" xfId="0" applyNumberFormat="1" applyFont="1" applyFill="1" applyBorder="1" applyAlignment="1">
      <alignment horizontal="center"/>
    </xf>
    <xf numFmtId="166" fontId="24" fillId="0" borderId="0" xfId="0" applyNumberFormat="1" applyFont="1" applyAlignment="1">
      <alignment horizontal="center"/>
    </xf>
    <xf numFmtId="166" fontId="24" fillId="17" borderId="0" xfId="0" applyNumberFormat="1" applyFont="1" applyFill="1" applyAlignment="1">
      <alignment horizontal="center"/>
    </xf>
    <xf numFmtId="166" fontId="24" fillId="17" borderId="71" xfId="0" applyNumberFormat="1" applyFont="1" applyFill="1" applyBorder="1" applyAlignment="1">
      <alignment horizontal="center"/>
    </xf>
    <xf numFmtId="166" fontId="23" fillId="0" borderId="70" xfId="0" applyNumberFormat="1" applyFont="1" applyBorder="1" applyAlignment="1">
      <alignment horizontal="center" wrapText="1"/>
    </xf>
    <xf numFmtId="168" fontId="23" fillId="0" borderId="84" xfId="0" applyNumberFormat="1" applyFont="1" applyBorder="1" applyAlignment="1">
      <alignment horizontal="center"/>
    </xf>
    <xf numFmtId="9" fontId="24" fillId="17" borderId="85" xfId="2" applyFont="1" applyFill="1" applyBorder="1" applyAlignment="1">
      <alignment horizontal="center"/>
    </xf>
    <xf numFmtId="9" fontId="24" fillId="0" borderId="86" xfId="2" applyFont="1" applyBorder="1" applyAlignment="1">
      <alignment horizontal="center"/>
    </xf>
    <xf numFmtId="9" fontId="24" fillId="17" borderId="86" xfId="2" applyFont="1" applyFill="1" applyBorder="1" applyAlignment="1">
      <alignment horizontal="center"/>
    </xf>
    <xf numFmtId="9" fontId="24" fillId="17" borderId="87" xfId="2" applyFont="1" applyFill="1" applyBorder="1" applyAlignment="1">
      <alignment horizontal="center"/>
    </xf>
    <xf numFmtId="166" fontId="10" fillId="0" borderId="60" xfId="0" applyNumberFormat="1" applyFont="1" applyBorder="1" applyAlignment="1" applyProtection="1">
      <alignment horizontal="left"/>
      <protection locked="0"/>
    </xf>
    <xf numFmtId="0" fontId="0" fillId="0" borderId="64" xfId="0" applyBorder="1" applyAlignment="1">
      <alignment horizontal="left" wrapText="1"/>
    </xf>
    <xf numFmtId="6" fontId="0" fillId="0" borderId="0" xfId="0" applyNumberFormat="1" applyAlignment="1">
      <alignment horizontal="left" vertical="center" shrinkToFit="1"/>
    </xf>
    <xf numFmtId="6" fontId="0" fillId="0" borderId="65" xfId="0" quotePrefix="1" applyNumberFormat="1" applyBorder="1" applyAlignment="1">
      <alignment horizontal="center" vertical="center" shrinkToFit="1"/>
    </xf>
    <xf numFmtId="6" fontId="0" fillId="0" borderId="65" xfId="0" applyNumberFormat="1" applyBorder="1" applyAlignment="1">
      <alignment horizontal="center" vertical="center" shrinkToFit="1"/>
    </xf>
    <xf numFmtId="0" fontId="0" fillId="0" borderId="61" xfId="0" applyBorder="1" applyAlignment="1">
      <alignment horizontal="left" wrapText="1"/>
    </xf>
    <xf numFmtId="0" fontId="0" fillId="0" borderId="66" xfId="0" applyBorder="1" applyAlignment="1">
      <alignment horizontal="left" wrapText="1"/>
    </xf>
    <xf numFmtId="6" fontId="0" fillId="0" borderId="62" xfId="0" applyNumberFormat="1" applyBorder="1" applyAlignment="1">
      <alignment horizontal="left" vertical="center" shrinkToFit="1"/>
    </xf>
    <xf numFmtId="6" fontId="0" fillId="0" borderId="67" xfId="0" applyNumberFormat="1" applyBorder="1" applyAlignment="1">
      <alignment horizontal="left" vertical="center" shrinkToFit="1"/>
    </xf>
    <xf numFmtId="6" fontId="0" fillId="0" borderId="63" xfId="0" quotePrefix="1" applyNumberFormat="1" applyBorder="1" applyAlignment="1">
      <alignment horizontal="center" vertical="center" shrinkToFit="1"/>
    </xf>
    <xf numFmtId="6" fontId="0" fillId="0" borderId="68" xfId="0" applyNumberFormat="1" applyBorder="1" applyAlignment="1">
      <alignment horizontal="center" vertical="center" shrinkToFit="1"/>
    </xf>
    <xf numFmtId="166" fontId="11" fillId="0" borderId="60" xfId="0" applyNumberFormat="1" applyFont="1" applyBorder="1" applyAlignment="1" applyProtection="1">
      <alignment horizontal="left"/>
      <protection locked="0"/>
    </xf>
    <xf numFmtId="166" fontId="11" fillId="16" borderId="69" xfId="3" applyNumberFormat="1" applyFont="1" applyAlignment="1" applyProtection="1">
      <alignment horizontal="left"/>
      <protection locked="0"/>
    </xf>
    <xf numFmtId="0" fontId="0" fillId="0" borderId="0" xfId="0" quotePrefix="1"/>
    <xf numFmtId="0" fontId="21" fillId="0" borderId="0" xfId="0" quotePrefix="1" applyFont="1"/>
    <xf numFmtId="0" fontId="21" fillId="0" borderId="88" xfId="0" applyFont="1" applyBorder="1"/>
    <xf numFmtId="169" fontId="0" fillId="0" borderId="0" xfId="2" applyNumberFormat="1" applyFont="1" applyBorder="1"/>
    <xf numFmtId="0" fontId="21" fillId="0" borderId="89" xfId="0" applyFont="1" applyBorder="1"/>
    <xf numFmtId="0" fontId="21" fillId="0" borderId="90" xfId="0" applyFont="1" applyBorder="1"/>
    <xf numFmtId="169" fontId="0" fillId="0" borderId="54" xfId="2" applyNumberFormat="1" applyFont="1" applyBorder="1"/>
    <xf numFmtId="0" fontId="21" fillId="0" borderId="91" xfId="0" applyFont="1" applyBorder="1"/>
    <xf numFmtId="9" fontId="21" fillId="0" borderId="0" xfId="2" quotePrefix="1" applyFont="1"/>
    <xf numFmtId="0" fontId="21" fillId="0" borderId="92" xfId="0" applyFont="1" applyBorder="1"/>
    <xf numFmtId="169" fontId="0" fillId="0" borderId="93" xfId="2" applyNumberFormat="1" applyFont="1" applyBorder="1"/>
    <xf numFmtId="0" fontId="21" fillId="0" borderId="94" xfId="0" applyFont="1" applyBorder="1"/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00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5353"/>
      <rgbColor rgb="009933FF"/>
      <rgbColor rgb="009999FF"/>
      <rgbColor rgb="00C80000"/>
      <rgbColor rgb="0066FF66"/>
      <rgbColor rgb="00ECE978"/>
      <rgbColor rgb="00FF99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2A3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1-E146-EE42-BB2C-6C17CED4199E}"/>
              </c:ext>
            </c:extLst>
          </c:dPt>
          <c:dPt>
            <c:idx val="1"/>
            <c:bubble3D val="0"/>
            <c:spPr>
              <a:solidFill>
                <a:srgbClr val="00B485"/>
              </a:solidFill>
            </c:spPr>
            <c:extLst>
              <c:ext xmlns:c16="http://schemas.microsoft.com/office/drawing/2014/chart" uri="{C3380CC4-5D6E-409C-BE32-E72D297353CC}">
                <c16:uniqueId val="{00000003-E146-EE42-BB2C-6C17CED4199E}"/>
              </c:ext>
            </c:extLst>
          </c:dPt>
          <c:dPt>
            <c:idx val="2"/>
            <c:bubble3D val="0"/>
            <c:spPr>
              <a:solidFill>
                <a:srgbClr val="652B91"/>
              </a:solidFill>
            </c:spPr>
            <c:extLst>
              <c:ext xmlns:c16="http://schemas.microsoft.com/office/drawing/2014/chart" uri="{C3380CC4-5D6E-409C-BE32-E72D297353CC}">
                <c16:uniqueId val="{00000005-E146-EE42-BB2C-6C17CED4199E}"/>
              </c:ext>
            </c:extLst>
          </c:dPt>
          <c:dPt>
            <c:idx val="3"/>
            <c:bubble3D val="0"/>
            <c:spPr>
              <a:solidFill>
                <a:srgbClr val="E62C00"/>
              </a:solidFill>
            </c:spPr>
            <c:extLst>
              <c:ext xmlns:c16="http://schemas.microsoft.com/office/drawing/2014/chart" uri="{C3380CC4-5D6E-409C-BE32-E72D297353CC}">
                <c16:uniqueId val="{00000007-E146-EE42-BB2C-6C17CED4199E}"/>
              </c:ext>
            </c:extLst>
          </c:dPt>
          <c:dPt>
            <c:idx val="4"/>
            <c:bubble3D val="0"/>
            <c:spPr>
              <a:solidFill>
                <a:srgbClr val="FF9BDE"/>
              </a:solidFill>
            </c:spPr>
            <c:extLst>
              <c:ext xmlns:c16="http://schemas.microsoft.com/office/drawing/2014/chart" uri="{C3380CC4-5D6E-409C-BE32-E72D297353CC}">
                <c16:uniqueId val="{00000009-E146-EE42-BB2C-6C17CED4199E}"/>
              </c:ext>
            </c:extLst>
          </c:dPt>
          <c:cat>
            <c:strRef>
              <c:f>Budget!$AA$22:$AA$30</c:f>
              <c:strCache>
                <c:ptCount val="6"/>
                <c:pt idx="0">
                  <c:v>Paycheck Deductions (e.g., Taxes, Retirement)</c:v>
                </c:pt>
                <c:pt idx="1">
                  <c:v>Savings and Loans</c:v>
                </c:pt>
                <c:pt idx="2">
                  <c:v>Home &amp; Utilities</c:v>
                </c:pt>
                <c:pt idx="3">
                  <c:v>Daily Living</c:v>
                </c:pt>
                <c:pt idx="4">
                  <c:v>Health &amp; Medical</c:v>
                </c:pt>
                <c:pt idx="5">
                  <c:v>Transportation</c:v>
                </c:pt>
              </c:strCache>
            </c:strRef>
          </c:cat>
          <c:val>
            <c:numRef>
              <c:f>Budget!$AB$22:$AB$30</c:f>
              <c:numCache>
                <c:formatCode>0.0%</c:formatCode>
                <c:ptCount val="9"/>
                <c:pt idx="0">
                  <c:v>0.67340853658536581</c:v>
                </c:pt>
                <c:pt idx="1">
                  <c:v>0.20121951219512194</c:v>
                </c:pt>
                <c:pt idx="2">
                  <c:v>0.53414634146341455</c:v>
                </c:pt>
                <c:pt idx="3">
                  <c:v>0.24146341463414633</c:v>
                </c:pt>
                <c:pt idx="4">
                  <c:v>4.8780487804878049E-3</c:v>
                </c:pt>
                <c:pt idx="5">
                  <c:v>1.8292682926829267E-2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46-EE42-BB2C-6C17CED4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81641693522473"/>
          <c:y val="8.4905583311265673E-2"/>
          <c:w val="0.34494224614328273"/>
          <c:h val="0.8199935737154068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1879601</xdr:colOff>
      <xdr:row>103</xdr:row>
      <xdr:rowOff>2</xdr:rowOff>
    </xdr:from>
    <xdr:to>
      <xdr:col>8</xdr:col>
      <xdr:colOff>42333</xdr:colOff>
      <xdr:row>117</xdr:row>
      <xdr:rowOff>152400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7A23F3C4-4793-D748-9952-9D657D9BB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100</xdr:row>
      <xdr:rowOff>0</xdr:rowOff>
    </xdr:from>
    <xdr:to>
      <xdr:col>26</xdr:col>
      <xdr:colOff>698500</xdr:colOff>
      <xdr:row>101</xdr:row>
      <xdr:rowOff>101600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510D333-3846-BA4A-81F1-EE14C7566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3500" y="17094200"/>
          <a:ext cx="69850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50000"/>
          </a:schemeClr>
        </a:solidFill>
        <a:ln>
          <a:solidFill>
            <a:schemeClr val="tx1"/>
          </a:solidFill>
        </a:ln>
      </a:spPr>
      <a:bodyPr vertOverflow="clip" rtlCol="0" anchor="ctr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384F-9B73-704E-844E-7D3D0A4B284B}">
  <dimension ref="A1:AL119"/>
  <sheetViews>
    <sheetView showGridLines="0" tabSelected="1" zoomScale="150" zoomScaleNormal="106" workbookViewId="0">
      <pane xSplit="1" ySplit="2" topLeftCell="B92" activePane="bottomRight" state="frozen"/>
      <selection pane="topRight" activeCell="B1" sqref="B1"/>
      <selection pane="bottomLeft" activeCell="A3" sqref="A3"/>
      <selection pane="bottomRight" activeCell="K116" sqref="K116"/>
    </sheetView>
  </sheetViews>
  <sheetFormatPr baseColWidth="10" defaultColWidth="9.1640625" defaultRowHeight="17" customHeight="1" x14ac:dyDescent="0.15"/>
  <cols>
    <col min="1" max="1" width="2.6640625" customWidth="1"/>
    <col min="2" max="2" width="45.5" customWidth="1"/>
    <col min="3" max="3" width="8" customWidth="1"/>
    <col min="4" max="4" width="18.1640625" style="14" customWidth="1"/>
    <col min="5" max="5" width="1.83203125" customWidth="1"/>
    <col min="6" max="7" width="18" customWidth="1"/>
    <col min="8" max="8" width="18" style="7" customWidth="1"/>
    <col min="9" max="9" width="3.5" customWidth="1"/>
    <col min="11" max="11" width="19.33203125" customWidth="1"/>
    <col min="12" max="12" width="7" customWidth="1"/>
    <col min="13" max="13" width="16.6640625" customWidth="1"/>
    <col min="14" max="14" width="9.6640625" customWidth="1"/>
    <col min="15" max="22" width="9.1640625" customWidth="1"/>
    <col min="27" max="27" width="19.1640625" customWidth="1"/>
    <col min="28" max="29" width="10.6640625" customWidth="1"/>
  </cols>
  <sheetData>
    <row r="1" spans="1:38" s="5" customFormat="1" ht="17" customHeight="1" thickTop="1" thickBot="1" x14ac:dyDescent="0.25">
      <c r="A1" s="8"/>
      <c r="B1" s="9"/>
      <c r="C1" s="10"/>
      <c r="D1" s="102"/>
      <c r="E1" s="10"/>
      <c r="F1" s="10"/>
      <c r="G1" s="10"/>
      <c r="H1" s="11"/>
      <c r="I1" s="12"/>
      <c r="J1" t="s">
        <v>107</v>
      </c>
      <c r="K1" t="s">
        <v>54</v>
      </c>
      <c r="L1"/>
      <c r="M1" s="4"/>
      <c r="O1" s="6"/>
      <c r="X1" s="139" t="s">
        <v>67</v>
      </c>
      <c r="AA1" s="155" t="s">
        <v>14</v>
      </c>
      <c r="AB1" s="155" t="s">
        <v>17</v>
      </c>
      <c r="AC1" s="140" t="s">
        <v>11</v>
      </c>
      <c r="AD1" s="155" t="s">
        <v>14</v>
      </c>
      <c r="AE1" s="155">
        <v>1</v>
      </c>
      <c r="AF1" s="155"/>
      <c r="AG1" s="155"/>
      <c r="AH1" s="155"/>
      <c r="AI1" s="155"/>
      <c r="AJ1" s="155"/>
      <c r="AK1" s="155"/>
      <c r="AL1" s="155"/>
    </row>
    <row r="2" spans="1:38" s="139" customFormat="1" ht="23" customHeight="1" thickTop="1" thickBot="1" x14ac:dyDescent="0.25">
      <c r="A2" s="132"/>
      <c r="B2" s="133" t="s">
        <v>76</v>
      </c>
      <c r="C2" s="134" t="s">
        <v>157</v>
      </c>
      <c r="D2" s="135" t="s">
        <v>27</v>
      </c>
      <c r="E2" s="133"/>
      <c r="F2" s="133" t="s">
        <v>28</v>
      </c>
      <c r="G2" s="136" t="s">
        <v>18</v>
      </c>
      <c r="H2" s="137" t="s">
        <v>13</v>
      </c>
      <c r="I2" s="138"/>
      <c r="J2" s="139" t="s">
        <v>127</v>
      </c>
      <c r="M2" s="144"/>
      <c r="AA2" s="140" t="s">
        <v>16</v>
      </c>
      <c r="AB2" s="140" t="s">
        <v>16</v>
      </c>
      <c r="AC2" s="140" t="s">
        <v>12</v>
      </c>
      <c r="AD2" s="140" t="s">
        <v>12</v>
      </c>
      <c r="AE2" s="140">
        <v>24</v>
      </c>
      <c r="AF2" s="140"/>
      <c r="AG2" s="140"/>
      <c r="AH2" s="140"/>
      <c r="AI2" s="140"/>
      <c r="AJ2" s="140"/>
      <c r="AK2" s="140"/>
      <c r="AL2" s="140"/>
    </row>
    <row r="3" spans="1:38" ht="17" customHeight="1" thickBot="1" x14ac:dyDescent="0.25">
      <c r="A3" s="15"/>
      <c r="B3" s="129" t="s">
        <v>0</v>
      </c>
      <c r="C3" s="18"/>
      <c r="D3" s="103"/>
      <c r="E3" s="16"/>
      <c r="F3" s="17"/>
      <c r="G3" s="131"/>
      <c r="H3" s="19">
        <f>SUM(H4:H9)</f>
        <v>4593.3333333333339</v>
      </c>
      <c r="I3" s="20"/>
      <c r="AA3" s="140" t="s">
        <v>13</v>
      </c>
      <c r="AB3" s="140" t="s">
        <v>13</v>
      </c>
      <c r="AC3" s="140" t="s">
        <v>13</v>
      </c>
      <c r="AD3" s="140" t="s">
        <v>13</v>
      </c>
      <c r="AE3" s="140">
        <v>12</v>
      </c>
      <c r="AF3" s="140"/>
      <c r="AG3" s="140"/>
      <c r="AH3" s="140"/>
      <c r="AI3" s="140"/>
      <c r="AJ3" s="140"/>
      <c r="AK3" s="140"/>
      <c r="AL3" s="140"/>
    </row>
    <row r="4" spans="1:38" ht="17" customHeight="1" thickBot="1" x14ac:dyDescent="0.25">
      <c r="A4" s="21"/>
      <c r="B4" s="1" t="s">
        <v>61</v>
      </c>
      <c r="C4" s="23"/>
      <c r="D4" s="104">
        <v>50000</v>
      </c>
      <c r="E4" s="22"/>
      <c r="F4" s="96" t="s">
        <v>14</v>
      </c>
      <c r="G4" s="130"/>
      <c r="H4" s="24">
        <f t="shared" ref="H4:H9" si="0">IF(F4="","",(D4*VLOOKUP(F4,$AD$1:$AE$5,2)/VLOOKUP($H$2,$AD$1:$AE$5,2)))</f>
        <v>4166.666666666667</v>
      </c>
      <c r="I4" s="25"/>
      <c r="K4" s="206" t="s">
        <v>108</v>
      </c>
      <c r="L4" s="206"/>
      <c r="M4" s="206"/>
      <c r="AA4" s="140" t="s">
        <v>11</v>
      </c>
      <c r="AB4" s="140" t="s">
        <v>11</v>
      </c>
      <c r="AC4" s="140" t="s">
        <v>16</v>
      </c>
      <c r="AD4" s="140" t="s">
        <v>16</v>
      </c>
      <c r="AE4" s="140">
        <v>4</v>
      </c>
      <c r="AF4" s="140"/>
      <c r="AG4" s="140"/>
      <c r="AH4" s="140"/>
      <c r="AI4" s="140"/>
      <c r="AJ4" s="140"/>
      <c r="AK4" s="140"/>
      <c r="AL4" s="140"/>
    </row>
    <row r="5" spans="1:38" ht="17" customHeight="1" thickBot="1" x14ac:dyDescent="0.25">
      <c r="A5" s="21"/>
      <c r="B5" s="1" t="s">
        <v>29</v>
      </c>
      <c r="C5" s="158">
        <v>0.1</v>
      </c>
      <c r="D5" s="105">
        <f>D4*C5</f>
        <v>5000</v>
      </c>
      <c r="E5" s="22"/>
      <c r="F5" s="96" t="s">
        <v>14</v>
      </c>
      <c r="G5" s="23"/>
      <c r="H5" s="24">
        <f t="shared" si="0"/>
        <v>416.66666666666669</v>
      </c>
      <c r="I5" s="25"/>
      <c r="K5" s="217" t="s">
        <v>103</v>
      </c>
      <c r="L5" s="217"/>
      <c r="M5" s="217"/>
      <c r="AA5" s="140" t="s">
        <v>12</v>
      </c>
      <c r="AB5" s="140" t="s">
        <v>12</v>
      </c>
      <c r="AC5" s="155" t="s">
        <v>14</v>
      </c>
      <c r="AD5" s="140" t="s">
        <v>11</v>
      </c>
      <c r="AE5" s="140">
        <v>52</v>
      </c>
      <c r="AF5" s="140"/>
      <c r="AG5" s="140"/>
      <c r="AH5" s="140"/>
      <c r="AI5" s="140"/>
      <c r="AJ5" s="140"/>
      <c r="AK5" s="140"/>
      <c r="AL5" s="140"/>
    </row>
    <row r="6" spans="1:38" ht="17" customHeight="1" thickBot="1" x14ac:dyDescent="0.25">
      <c r="A6" s="21"/>
      <c r="B6" s="1" t="s">
        <v>31</v>
      </c>
      <c r="C6" s="23"/>
      <c r="D6" s="104">
        <v>0</v>
      </c>
      <c r="E6" s="22"/>
      <c r="F6" s="96" t="s">
        <v>14</v>
      </c>
      <c r="G6" s="23"/>
      <c r="H6" s="24">
        <f t="shared" si="0"/>
        <v>0</v>
      </c>
      <c r="I6" s="25"/>
      <c r="K6" s="218" t="s">
        <v>155</v>
      </c>
      <c r="L6" s="218"/>
      <c r="M6" s="218"/>
      <c r="AA6" s="140"/>
      <c r="AB6" s="140"/>
      <c r="AC6" s="155"/>
      <c r="AD6" s="140"/>
      <c r="AE6" s="140"/>
      <c r="AF6" s="140"/>
      <c r="AG6" s="140"/>
      <c r="AH6" s="140"/>
      <c r="AI6" s="140"/>
      <c r="AJ6" s="140"/>
      <c r="AK6" s="140"/>
      <c r="AL6" s="140"/>
    </row>
    <row r="7" spans="1:38" ht="17" customHeight="1" thickBot="1" x14ac:dyDescent="0.25">
      <c r="A7" s="21"/>
      <c r="B7" s="1" t="s">
        <v>30</v>
      </c>
      <c r="C7" s="23"/>
      <c r="D7" s="104">
        <v>10</v>
      </c>
      <c r="E7" s="22"/>
      <c r="F7" s="96" t="s">
        <v>13</v>
      </c>
      <c r="G7" s="23"/>
      <c r="H7" s="24">
        <f t="shared" si="0"/>
        <v>10</v>
      </c>
      <c r="I7" s="25"/>
      <c r="J7" s="13"/>
      <c r="L7" s="121"/>
      <c r="M7" s="121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</row>
    <row r="8" spans="1:38" s="13" customFormat="1" ht="17" customHeight="1" thickBot="1" x14ac:dyDescent="0.25">
      <c r="A8" s="21"/>
      <c r="B8" s="1" t="s">
        <v>2</v>
      </c>
      <c r="C8" s="23"/>
      <c r="D8" s="125"/>
      <c r="E8" s="22"/>
      <c r="F8" s="96" t="s">
        <v>13</v>
      </c>
      <c r="G8" s="23"/>
      <c r="H8" s="24">
        <f t="shared" si="0"/>
        <v>0</v>
      </c>
      <c r="I8" s="25"/>
      <c r="J8"/>
      <c r="K8" s="115"/>
      <c r="L8" s="115"/>
      <c r="M8" s="115"/>
      <c r="AA8" s="156"/>
      <c r="AB8" s="156"/>
      <c r="AC8" s="140"/>
      <c r="AD8" s="140"/>
      <c r="AE8" s="140"/>
      <c r="AF8" s="156"/>
      <c r="AG8" s="156"/>
      <c r="AH8" s="156"/>
      <c r="AI8" s="156"/>
      <c r="AJ8" s="156"/>
      <c r="AK8" s="156"/>
      <c r="AL8" s="156"/>
    </row>
    <row r="9" spans="1:38" ht="17" customHeight="1" thickBot="1" x14ac:dyDescent="0.25">
      <c r="A9" s="21"/>
      <c r="B9" s="2" t="s">
        <v>2</v>
      </c>
      <c r="C9" s="27"/>
      <c r="D9" s="106"/>
      <c r="E9" s="26"/>
      <c r="F9" s="96" t="s">
        <v>16</v>
      </c>
      <c r="G9" s="27"/>
      <c r="H9" s="24">
        <f t="shared" si="0"/>
        <v>0</v>
      </c>
      <c r="I9" s="28"/>
      <c r="K9" s="115"/>
      <c r="L9" s="115"/>
      <c r="M9" s="115"/>
      <c r="X9" s="139" t="s">
        <v>126</v>
      </c>
      <c r="AA9" s="140" t="str">
        <f>B$3</f>
        <v>Income</v>
      </c>
      <c r="AB9" s="140">
        <f t="shared" ref="AB9:AG9" si="1">C$3</f>
        <v>0</v>
      </c>
      <c r="AC9" s="140">
        <f t="shared" si="1"/>
        <v>0</v>
      </c>
      <c r="AD9" s="140">
        <f t="shared" si="1"/>
        <v>0</v>
      </c>
      <c r="AE9" s="140">
        <f t="shared" si="1"/>
        <v>0</v>
      </c>
      <c r="AF9" s="140">
        <f t="shared" si="1"/>
        <v>0</v>
      </c>
      <c r="AG9" s="140">
        <f t="shared" si="1"/>
        <v>4593.3333333333339</v>
      </c>
      <c r="AH9" s="140" t="str">
        <f>IF(AG9=0,"",AA9)</f>
        <v>Income</v>
      </c>
      <c r="AI9" s="140"/>
      <c r="AJ9" s="140"/>
      <c r="AK9" s="140"/>
      <c r="AL9" s="140"/>
    </row>
    <row r="10" spans="1:38" ht="17" customHeight="1" thickBot="1" x14ac:dyDescent="0.25">
      <c r="A10" s="99"/>
      <c r="B10" s="30" t="s">
        <v>34</v>
      </c>
      <c r="C10" s="33"/>
      <c r="D10" s="107"/>
      <c r="E10" s="31"/>
      <c r="F10" s="32"/>
      <c r="G10" s="33"/>
      <c r="H10" s="34">
        <f>SUM(H11:H22)</f>
        <v>-1840.65</v>
      </c>
      <c r="I10" s="35"/>
      <c r="AA10" s="140" t="str">
        <f>B$10</f>
        <v>Paycheck Deductions (e.g., Taxes, Retirement)</v>
      </c>
      <c r="AB10" s="140">
        <v>3</v>
      </c>
      <c r="AC10" s="140">
        <v>3</v>
      </c>
      <c r="AD10" s="140">
        <v>3</v>
      </c>
      <c r="AE10" s="140">
        <v>3</v>
      </c>
      <c r="AF10" s="140"/>
      <c r="AG10" s="140">
        <f t="shared" ref="AG10" si="2">H$10</f>
        <v>-1840.65</v>
      </c>
      <c r="AH10" s="140" t="str">
        <f>IF(AG10=0,"",AA10)</f>
        <v>Paycheck Deductions (e.g., Taxes, Retirement)</v>
      </c>
      <c r="AI10" s="140"/>
      <c r="AJ10" s="140"/>
      <c r="AK10" s="140"/>
      <c r="AL10" s="140"/>
    </row>
    <row r="11" spans="1:38" ht="17" customHeight="1" thickBot="1" x14ac:dyDescent="0.25">
      <c r="A11" s="98"/>
      <c r="B11" s="3" t="s">
        <v>32</v>
      </c>
      <c r="C11" s="23"/>
      <c r="D11" s="105">
        <f>'Tax Calculation'!D33</f>
        <v>3882.7999999999997</v>
      </c>
      <c r="E11" s="22"/>
      <c r="F11" s="96" t="s">
        <v>14</v>
      </c>
      <c r="G11" s="23"/>
      <c r="H11" s="24">
        <f t="shared" ref="H11:H22" si="3">IF(F11="","",(D11*VLOOKUP(F11,$AD$1:$AE$5,2)/VLOOKUP($H$2,$AD$1:$AE$5,2))) * -1</f>
        <v>-323.56666666666666</v>
      </c>
      <c r="I11" s="25"/>
      <c r="AA11" s="140" t="str">
        <f>B$23</f>
        <v>Savings and Loans</v>
      </c>
      <c r="AB11" s="140">
        <v>2</v>
      </c>
      <c r="AC11" s="140">
        <v>2</v>
      </c>
      <c r="AD11" s="140">
        <v>2</v>
      </c>
      <c r="AE11" s="140">
        <v>2</v>
      </c>
      <c r="AF11" s="140"/>
      <c r="AG11" s="140">
        <f t="shared" ref="AG11" si="4">H$23</f>
        <v>-550</v>
      </c>
      <c r="AH11" s="140" t="str">
        <f t="shared" ref="AH11:AH18" si="5">IF(AG11=0,"",AA11)</f>
        <v>Savings and Loans</v>
      </c>
      <c r="AI11" s="140"/>
      <c r="AJ11" s="140"/>
      <c r="AK11" s="140"/>
      <c r="AL11" s="140"/>
    </row>
    <row r="12" spans="1:38" ht="17" customHeight="1" thickBot="1" x14ac:dyDescent="0.25">
      <c r="A12" s="98"/>
      <c r="B12" s="3" t="s">
        <v>33</v>
      </c>
      <c r="C12" s="158">
        <v>0.05</v>
      </c>
      <c r="D12" s="105">
        <f>$D$4*C12</f>
        <v>2500</v>
      </c>
      <c r="E12" s="22"/>
      <c r="F12" s="96" t="s">
        <v>14</v>
      </c>
      <c r="G12" s="23"/>
      <c r="H12" s="24">
        <f t="shared" si="3"/>
        <v>-208.33333333333334</v>
      </c>
      <c r="I12" s="25"/>
      <c r="AA12" s="140" t="str">
        <f>B$32</f>
        <v>Home &amp; Utilities</v>
      </c>
      <c r="AB12" s="140"/>
      <c r="AC12" s="140"/>
      <c r="AD12" s="140"/>
      <c r="AE12" s="140"/>
      <c r="AF12" s="140"/>
      <c r="AG12" s="140">
        <f t="shared" ref="AG12" si="6">H$32</f>
        <v>-1460</v>
      </c>
      <c r="AH12" s="140" t="str">
        <f t="shared" si="5"/>
        <v>Home &amp; Utilities</v>
      </c>
      <c r="AI12" s="140"/>
      <c r="AJ12" s="140"/>
      <c r="AK12" s="140"/>
      <c r="AL12" s="140"/>
    </row>
    <row r="13" spans="1:38" ht="17" customHeight="1" thickBot="1" x14ac:dyDescent="0.25">
      <c r="A13" s="98"/>
      <c r="B13" s="3" t="s">
        <v>35</v>
      </c>
      <c r="C13" s="158">
        <v>6.2E-2</v>
      </c>
      <c r="D13" s="105">
        <f>$D$4*C13</f>
        <v>3100</v>
      </c>
      <c r="E13" s="22"/>
      <c r="F13" s="96" t="s">
        <v>14</v>
      </c>
      <c r="G13" s="23"/>
      <c r="H13" s="24">
        <f t="shared" si="3"/>
        <v>-258.33333333333331</v>
      </c>
      <c r="I13" s="25"/>
      <c r="K13" s="145" t="s">
        <v>124</v>
      </c>
      <c r="L13" s="151"/>
      <c r="M13" s="147"/>
      <c r="AA13" s="140" t="str">
        <f>B$46</f>
        <v>Daily Living</v>
      </c>
      <c r="AB13" s="140"/>
      <c r="AC13" s="140"/>
      <c r="AD13" s="140"/>
      <c r="AE13" s="140"/>
      <c r="AF13" s="140"/>
      <c r="AG13" s="140">
        <f t="shared" ref="AG13" si="7">H$46</f>
        <v>-660</v>
      </c>
      <c r="AH13" s="140" t="str">
        <f t="shared" si="5"/>
        <v>Daily Living</v>
      </c>
      <c r="AI13" s="140"/>
      <c r="AJ13" s="140"/>
      <c r="AK13" s="140"/>
      <c r="AL13" s="140"/>
    </row>
    <row r="14" spans="1:38" ht="17" customHeight="1" thickBot="1" x14ac:dyDescent="0.25">
      <c r="A14" s="98"/>
      <c r="B14" s="3" t="s">
        <v>36</v>
      </c>
      <c r="C14" s="158">
        <v>1.4500000000000001E-2</v>
      </c>
      <c r="D14" s="105">
        <f>$D$4*C14</f>
        <v>725</v>
      </c>
      <c r="E14" s="22"/>
      <c r="F14" s="96" t="s">
        <v>14</v>
      </c>
      <c r="G14" s="23"/>
      <c r="H14" s="24">
        <f t="shared" si="3"/>
        <v>-60.416666666666664</v>
      </c>
      <c r="I14" s="25"/>
      <c r="K14" s="152" t="s">
        <v>82</v>
      </c>
      <c r="M14" s="153"/>
      <c r="AA14" s="140" t="str">
        <f>B$53</f>
        <v>Health &amp; Medical</v>
      </c>
      <c r="AB14" s="140">
        <v>4</v>
      </c>
      <c r="AC14" s="140">
        <v>4</v>
      </c>
      <c r="AD14" s="140">
        <v>4</v>
      </c>
      <c r="AE14" s="140">
        <v>4</v>
      </c>
      <c r="AF14" s="140"/>
      <c r="AG14" s="140">
        <f t="shared" ref="AG14" si="8">H$53</f>
        <v>-13.333333333333334</v>
      </c>
      <c r="AH14" s="140" t="str">
        <f t="shared" si="5"/>
        <v>Health &amp; Medical</v>
      </c>
      <c r="AI14" s="140"/>
      <c r="AJ14" s="140"/>
      <c r="AK14" s="140"/>
      <c r="AL14" s="140"/>
    </row>
    <row r="15" spans="1:38" ht="17" customHeight="1" thickBot="1" x14ac:dyDescent="0.25">
      <c r="A15" s="98"/>
      <c r="B15" s="3" t="s">
        <v>40</v>
      </c>
      <c r="C15" s="23"/>
      <c r="D15" s="104">
        <v>10</v>
      </c>
      <c r="E15" s="22"/>
      <c r="F15" s="96" t="s">
        <v>12</v>
      </c>
      <c r="G15" s="23"/>
      <c r="H15" s="24">
        <f t="shared" si="3"/>
        <v>-20</v>
      </c>
      <c r="I15" s="25"/>
      <c r="K15" s="148" t="s">
        <v>83</v>
      </c>
      <c r="L15" s="154"/>
      <c r="M15" s="150"/>
      <c r="AA15" s="140" t="str">
        <f>B$60</f>
        <v>Transportation</v>
      </c>
      <c r="AB15" s="140"/>
      <c r="AC15" s="140"/>
      <c r="AD15" s="140"/>
      <c r="AE15" s="140"/>
      <c r="AF15" s="140"/>
      <c r="AG15" s="140">
        <f t="shared" ref="AG15" si="9">H$60</f>
        <v>-50</v>
      </c>
      <c r="AH15" s="140" t="str">
        <f t="shared" si="5"/>
        <v>Transportation</v>
      </c>
      <c r="AI15" s="140"/>
      <c r="AJ15" s="140"/>
      <c r="AK15" s="140"/>
      <c r="AL15" s="140"/>
    </row>
    <row r="16" spans="1:38" ht="17" customHeight="1" thickBot="1" x14ac:dyDescent="0.25">
      <c r="A16" s="98"/>
      <c r="B16" s="3" t="s">
        <v>37</v>
      </c>
      <c r="C16" s="23"/>
      <c r="D16" s="104">
        <v>10</v>
      </c>
      <c r="E16" s="22"/>
      <c r="F16" s="96" t="s">
        <v>12</v>
      </c>
      <c r="G16" s="23"/>
      <c r="H16" s="24">
        <f t="shared" si="3"/>
        <v>-20</v>
      </c>
      <c r="I16" s="25"/>
      <c r="AA16" s="140" t="str">
        <f>B$69</f>
        <v>Discretionary</v>
      </c>
      <c r="AB16" s="140"/>
      <c r="AC16" s="140"/>
      <c r="AD16" s="140"/>
      <c r="AE16" s="140"/>
      <c r="AF16" s="140"/>
      <c r="AG16" s="140">
        <f t="shared" ref="AG16" si="10">H$69</f>
        <v>0</v>
      </c>
      <c r="AH16" s="140" t="str">
        <f t="shared" si="5"/>
        <v/>
      </c>
      <c r="AI16" s="140"/>
      <c r="AJ16" s="140"/>
      <c r="AK16" s="140"/>
      <c r="AL16" s="140"/>
    </row>
    <row r="17" spans="1:38" ht="17" customHeight="1" thickBot="1" x14ac:dyDescent="0.25">
      <c r="A17" s="98"/>
      <c r="B17" s="127" t="s">
        <v>88</v>
      </c>
      <c r="C17" s="23"/>
      <c r="D17" s="104">
        <v>75</v>
      </c>
      <c r="E17" s="22"/>
      <c r="F17" s="96" t="s">
        <v>12</v>
      </c>
      <c r="G17" s="23"/>
      <c r="H17" s="24">
        <f t="shared" si="3"/>
        <v>-150</v>
      </c>
      <c r="I17" s="25"/>
      <c r="K17" s="145" t="s">
        <v>109</v>
      </c>
      <c r="L17" s="146">
        <v>3850</v>
      </c>
      <c r="M17" s="147"/>
      <c r="AA17" s="140" t="str">
        <f>B$85</f>
        <v>Kids</v>
      </c>
      <c r="AB17" s="140"/>
      <c r="AC17" s="140"/>
      <c r="AD17" s="140"/>
      <c r="AE17" s="140"/>
      <c r="AF17" s="140"/>
      <c r="AG17" s="140">
        <f t="shared" ref="AG17" si="11">H$85</f>
        <v>0</v>
      </c>
      <c r="AH17" s="140" t="str">
        <f t="shared" si="5"/>
        <v/>
      </c>
      <c r="AI17" s="140"/>
      <c r="AJ17" s="140"/>
      <c r="AK17" s="140"/>
      <c r="AL17" s="140"/>
    </row>
    <row r="18" spans="1:38" ht="17" customHeight="1" thickBot="1" x14ac:dyDescent="0.25">
      <c r="A18" s="98"/>
      <c r="B18" s="128" t="s">
        <v>38</v>
      </c>
      <c r="C18" s="158">
        <v>0.05</v>
      </c>
      <c r="D18" s="104">
        <v>200</v>
      </c>
      <c r="E18" s="22"/>
      <c r="F18" s="96" t="s">
        <v>12</v>
      </c>
      <c r="G18" s="23"/>
      <c r="H18" s="24">
        <f t="shared" si="3"/>
        <v>-400</v>
      </c>
      <c r="I18" s="25"/>
      <c r="K18" s="207" t="s">
        <v>110</v>
      </c>
      <c r="L18" s="208">
        <v>22500</v>
      </c>
      <c r="M18" s="209" t="s">
        <v>113</v>
      </c>
      <c r="AA18" s="140" t="str">
        <f>B$97</f>
        <v>Pets</v>
      </c>
      <c r="AB18" s="140"/>
      <c r="AC18" s="140"/>
      <c r="AD18" s="140"/>
      <c r="AE18" s="140"/>
      <c r="AF18" s="140"/>
      <c r="AG18" s="140">
        <f t="shared" ref="AG18" si="12">H$97</f>
        <v>0</v>
      </c>
      <c r="AH18" s="140" t="str">
        <f t="shared" si="5"/>
        <v/>
      </c>
      <c r="AI18" s="140"/>
      <c r="AJ18" s="140"/>
      <c r="AK18" s="140"/>
      <c r="AL18" s="140"/>
    </row>
    <row r="19" spans="1:38" ht="17" customHeight="1" thickBot="1" x14ac:dyDescent="0.25">
      <c r="A19" s="98"/>
      <c r="B19" s="128" t="s">
        <v>39</v>
      </c>
      <c r="C19" s="23"/>
      <c r="D19" s="104">
        <v>200</v>
      </c>
      <c r="E19" s="22"/>
      <c r="F19" s="96" t="s">
        <v>12</v>
      </c>
      <c r="G19" s="23"/>
      <c r="H19" s="24">
        <f t="shared" si="3"/>
        <v>-400</v>
      </c>
      <c r="I19" s="25"/>
      <c r="K19" s="207"/>
      <c r="L19" s="208"/>
      <c r="M19" s="21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</row>
    <row r="20" spans="1:38" ht="17" customHeight="1" thickBot="1" x14ac:dyDescent="0.25">
      <c r="A20" s="98"/>
      <c r="B20" s="128" t="s">
        <v>41</v>
      </c>
      <c r="C20" s="23"/>
      <c r="D20" s="104"/>
      <c r="E20" s="22"/>
      <c r="F20" s="96" t="s">
        <v>14</v>
      </c>
      <c r="G20" s="23"/>
      <c r="H20" s="24">
        <f t="shared" si="3"/>
        <v>0</v>
      </c>
      <c r="I20" s="25"/>
      <c r="K20" s="148" t="s">
        <v>109</v>
      </c>
      <c r="L20" s="149">
        <f>66000-L17</f>
        <v>62150</v>
      </c>
      <c r="M20" s="150"/>
      <c r="AD20" s="140"/>
      <c r="AE20" s="140"/>
      <c r="AF20" s="140"/>
      <c r="AG20" s="140"/>
      <c r="AH20" s="140"/>
      <c r="AI20" s="140"/>
      <c r="AJ20" s="140"/>
      <c r="AK20" s="140"/>
      <c r="AL20" s="140"/>
    </row>
    <row r="21" spans="1:38" ht="17" customHeight="1" thickBot="1" x14ac:dyDescent="0.25">
      <c r="A21" s="98"/>
      <c r="B21" s="128" t="s">
        <v>2</v>
      </c>
      <c r="C21" s="23"/>
      <c r="D21" s="104"/>
      <c r="E21" s="22"/>
      <c r="F21" s="96" t="s">
        <v>14</v>
      </c>
      <c r="G21" s="23"/>
      <c r="H21" s="24">
        <f t="shared" si="3"/>
        <v>0</v>
      </c>
      <c r="I21" s="25"/>
      <c r="K21" s="115"/>
      <c r="L21" s="142"/>
      <c r="X21" s="139" t="s">
        <v>125</v>
      </c>
      <c r="AA21" s="228" t="str">
        <f t="shared" ref="AA21:AA30" si="13">IF($AG9=0,"",AA9)</f>
        <v>Income</v>
      </c>
      <c r="AB21" s="229">
        <f>IFERROR(AC21/$AC$32,"")</f>
        <v>-1.6804878048780489</v>
      </c>
      <c r="AC21" s="230">
        <f>IF($AG9=0,"",AG9)</f>
        <v>4593.3333333333339</v>
      </c>
      <c r="AD21" s="140"/>
      <c r="AE21" s="140"/>
      <c r="AF21" s="140"/>
      <c r="AG21" s="140"/>
      <c r="AH21" s="140"/>
      <c r="AI21" s="140"/>
      <c r="AJ21" s="140"/>
      <c r="AK21" s="140"/>
      <c r="AL21" s="140"/>
    </row>
    <row r="22" spans="1:38" ht="17" customHeight="1" thickBot="1" x14ac:dyDescent="0.25">
      <c r="A22" s="98"/>
      <c r="B22" s="126" t="s">
        <v>2</v>
      </c>
      <c r="C22" s="23"/>
      <c r="D22" s="104"/>
      <c r="E22" s="22"/>
      <c r="F22" s="96" t="s">
        <v>14</v>
      </c>
      <c r="G22" s="23"/>
      <c r="H22" s="24">
        <f t="shared" si="3"/>
        <v>0</v>
      </c>
      <c r="I22" s="25"/>
      <c r="K22" s="115"/>
      <c r="L22" s="142"/>
      <c r="AA22" s="221" t="str">
        <f t="shared" si="13"/>
        <v>Paycheck Deductions (e.g., Taxes, Retirement)</v>
      </c>
      <c r="AB22" s="222">
        <f t="shared" ref="AB22:AB30" si="14">IFERROR(AC22/$AC$32,"")</f>
        <v>0.67340853658536581</v>
      </c>
      <c r="AC22" s="223">
        <f>IF($AG10=0,"",AG10)</f>
        <v>-1840.65</v>
      </c>
      <c r="AD22" s="140"/>
      <c r="AE22" s="140"/>
      <c r="AF22" s="140"/>
      <c r="AG22" s="140"/>
      <c r="AH22" s="140"/>
      <c r="AI22" s="140"/>
      <c r="AJ22" s="140"/>
      <c r="AK22" s="140"/>
      <c r="AL22" s="140"/>
    </row>
    <row r="23" spans="1:38" ht="17" customHeight="1" thickBot="1" x14ac:dyDescent="0.25">
      <c r="A23" s="37"/>
      <c r="B23" s="38" t="s">
        <v>79</v>
      </c>
      <c r="C23" s="41"/>
      <c r="D23" s="109"/>
      <c r="E23" s="39"/>
      <c r="F23" s="40"/>
      <c r="G23" s="41"/>
      <c r="H23" s="42">
        <f>SUM(H24:H31)</f>
        <v>-550</v>
      </c>
      <c r="I23" s="43"/>
      <c r="L23" s="143"/>
      <c r="AA23" s="221" t="str">
        <f t="shared" si="13"/>
        <v>Savings and Loans</v>
      </c>
      <c r="AB23" s="222">
        <f t="shared" si="14"/>
        <v>0.20121951219512194</v>
      </c>
      <c r="AC23" s="223">
        <f>IF($AG11=0,"",AG11)</f>
        <v>-550</v>
      </c>
      <c r="AD23" s="140"/>
      <c r="AE23" s="140"/>
      <c r="AF23" s="140"/>
      <c r="AG23" s="140"/>
      <c r="AH23" s="140"/>
      <c r="AI23" s="140"/>
      <c r="AJ23" s="140"/>
      <c r="AK23" s="140"/>
      <c r="AL23" s="140"/>
    </row>
    <row r="24" spans="1:38" ht="17" customHeight="1" thickBot="1" x14ac:dyDescent="0.25">
      <c r="A24" s="44"/>
      <c r="B24" s="3" t="s">
        <v>89</v>
      </c>
      <c r="C24" s="23"/>
      <c r="D24" s="104"/>
      <c r="E24" s="22"/>
      <c r="F24" s="96" t="s">
        <v>13</v>
      </c>
      <c r="G24" s="23"/>
      <c r="H24" s="24">
        <f t="shared" ref="H24:H31" si="15">IF(F24="","",(D24*VLOOKUP(F24,$AD$1:$AE$5,2)/VLOOKUP($H$2,$AD$1:$AE$5,2))) * -1</f>
        <v>0</v>
      </c>
      <c r="I24" s="25"/>
      <c r="K24" s="211" t="s">
        <v>110</v>
      </c>
      <c r="L24" s="213">
        <v>6500</v>
      </c>
      <c r="M24" s="215" t="s">
        <v>114</v>
      </c>
      <c r="AA24" s="221" t="str">
        <f t="shared" si="13"/>
        <v>Home &amp; Utilities</v>
      </c>
      <c r="AB24" s="222">
        <f t="shared" si="14"/>
        <v>0.53414634146341455</v>
      </c>
      <c r="AC24" s="223">
        <f>IF($AG12=0,"",AG12)</f>
        <v>-1460</v>
      </c>
      <c r="AL24" s="140"/>
    </row>
    <row r="25" spans="1:38" ht="17" customHeight="1" thickBot="1" x14ac:dyDescent="0.25">
      <c r="A25" s="44"/>
      <c r="B25" s="3" t="s">
        <v>85</v>
      </c>
      <c r="C25" s="23"/>
      <c r="D25" s="104">
        <v>500</v>
      </c>
      <c r="E25" s="22"/>
      <c r="F25" s="96" t="s">
        <v>13</v>
      </c>
      <c r="G25" s="23"/>
      <c r="H25" s="24">
        <f t="shared" si="15"/>
        <v>-500</v>
      </c>
      <c r="I25" s="25"/>
      <c r="K25" s="212"/>
      <c r="L25" s="214"/>
      <c r="M25" s="216"/>
      <c r="AA25" s="221" t="str">
        <f t="shared" si="13"/>
        <v>Daily Living</v>
      </c>
      <c r="AB25" s="222">
        <f t="shared" si="14"/>
        <v>0.24146341463414633</v>
      </c>
      <c r="AC25" s="223">
        <f>IF($AG13=0,"",AG13)</f>
        <v>-660</v>
      </c>
      <c r="AL25" s="140"/>
    </row>
    <row r="26" spans="1:38" ht="17" customHeight="1" thickBot="1" x14ac:dyDescent="0.25">
      <c r="A26" s="44"/>
      <c r="B26" s="3" t="s">
        <v>53</v>
      </c>
      <c r="C26" s="23"/>
      <c r="D26" s="104"/>
      <c r="E26" s="22"/>
      <c r="F26" s="96" t="s">
        <v>13</v>
      </c>
      <c r="G26" s="23"/>
      <c r="H26" s="24">
        <f t="shared" si="15"/>
        <v>0</v>
      </c>
      <c r="I26" s="25"/>
      <c r="AA26" s="221" t="str">
        <f t="shared" si="13"/>
        <v>Health &amp; Medical</v>
      </c>
      <c r="AB26" s="222">
        <f t="shared" si="14"/>
        <v>4.8780487804878049E-3</v>
      </c>
      <c r="AC26" s="223">
        <f>IF($AG14=0,"",AG14)</f>
        <v>-13.333333333333334</v>
      </c>
      <c r="AL26" s="140"/>
    </row>
    <row r="27" spans="1:38" ht="17" customHeight="1" thickBot="1" x14ac:dyDescent="0.25">
      <c r="A27" s="44"/>
      <c r="B27" s="3" t="s">
        <v>51</v>
      </c>
      <c r="C27" s="23"/>
      <c r="D27" s="104">
        <v>50</v>
      </c>
      <c r="E27" s="22"/>
      <c r="F27" s="96" t="s">
        <v>13</v>
      </c>
      <c r="G27" s="23"/>
      <c r="H27" s="24">
        <f t="shared" si="15"/>
        <v>-50</v>
      </c>
      <c r="I27" s="25"/>
      <c r="AA27" s="221" t="str">
        <f t="shared" si="13"/>
        <v>Transportation</v>
      </c>
      <c r="AB27" s="222">
        <f t="shared" si="14"/>
        <v>1.8292682926829267E-2</v>
      </c>
      <c r="AC27" s="223">
        <f>IF($AG15=0,"",AG15)</f>
        <v>-50</v>
      </c>
      <c r="AL27" s="140"/>
    </row>
    <row r="28" spans="1:38" ht="17" customHeight="1" thickBot="1" x14ac:dyDescent="0.25">
      <c r="A28" s="44"/>
      <c r="B28" s="3" t="s">
        <v>19</v>
      </c>
      <c r="C28" s="23"/>
      <c r="D28" s="104"/>
      <c r="E28" s="22"/>
      <c r="F28" s="96" t="s">
        <v>13</v>
      </c>
      <c r="G28" s="23"/>
      <c r="H28" s="24">
        <f t="shared" si="15"/>
        <v>0</v>
      </c>
      <c r="I28" s="25"/>
      <c r="AA28" s="221" t="str">
        <f t="shared" si="13"/>
        <v/>
      </c>
      <c r="AB28" s="222" t="str">
        <f t="shared" si="14"/>
        <v/>
      </c>
      <c r="AC28" s="223" t="str">
        <f t="shared" ref="AC28:AC29" si="16">IF($AG16=0,"",AG16)</f>
        <v/>
      </c>
      <c r="AL28" s="140"/>
    </row>
    <row r="29" spans="1:38" ht="17" customHeight="1" thickBot="1" x14ac:dyDescent="0.25">
      <c r="A29" s="44"/>
      <c r="B29" s="3" t="s">
        <v>52</v>
      </c>
      <c r="C29" s="23"/>
      <c r="D29" s="104"/>
      <c r="E29" s="22"/>
      <c r="F29" s="96" t="s">
        <v>13</v>
      </c>
      <c r="G29" s="23"/>
      <c r="H29" s="24">
        <f t="shared" si="15"/>
        <v>0</v>
      </c>
      <c r="I29" s="25"/>
      <c r="AA29" s="221" t="str">
        <f t="shared" si="13"/>
        <v/>
      </c>
      <c r="AB29" s="222" t="str">
        <f t="shared" si="14"/>
        <v/>
      </c>
      <c r="AC29" s="223" t="str">
        <f t="shared" si="16"/>
        <v/>
      </c>
      <c r="AL29" s="140"/>
    </row>
    <row r="30" spans="1:38" ht="17" customHeight="1" thickBot="1" x14ac:dyDescent="0.25">
      <c r="A30" s="44"/>
      <c r="B30" s="2" t="s">
        <v>2</v>
      </c>
      <c r="C30" s="23"/>
      <c r="D30" s="104"/>
      <c r="E30" s="22"/>
      <c r="F30" s="96" t="s">
        <v>13</v>
      </c>
      <c r="G30" s="23"/>
      <c r="H30" s="24">
        <f t="shared" si="15"/>
        <v>0</v>
      </c>
      <c r="I30" s="25"/>
      <c r="AA30" s="224" t="str">
        <f t="shared" si="13"/>
        <v/>
      </c>
      <c r="AB30" s="225" t="str">
        <f t="shared" si="14"/>
        <v/>
      </c>
      <c r="AC30" s="226" t="str">
        <f t="shared" ref="AC30" si="17">IF($AG18=0,"",AG18)</f>
        <v/>
      </c>
      <c r="AL30" s="140"/>
    </row>
    <row r="31" spans="1:38" ht="17" customHeight="1" thickBot="1" x14ac:dyDescent="0.25">
      <c r="A31" s="44"/>
      <c r="B31" s="2" t="s">
        <v>2</v>
      </c>
      <c r="C31" s="27"/>
      <c r="D31" s="106"/>
      <c r="E31" s="26"/>
      <c r="F31" s="96" t="s">
        <v>13</v>
      </c>
      <c r="G31" s="27"/>
      <c r="H31" s="24">
        <f t="shared" si="15"/>
        <v>0</v>
      </c>
      <c r="I31" s="28"/>
      <c r="AA31" s="219"/>
      <c r="AC31" s="220"/>
      <c r="AL31" s="140"/>
    </row>
    <row r="32" spans="1:38" ht="17" customHeight="1" thickBot="1" x14ac:dyDescent="0.25">
      <c r="A32" s="29"/>
      <c r="B32" s="30" t="s">
        <v>104</v>
      </c>
      <c r="C32" s="33"/>
      <c r="D32" s="107"/>
      <c r="E32" s="31"/>
      <c r="F32" s="32"/>
      <c r="G32" s="33"/>
      <c r="H32" s="34">
        <f>SUM(H33:H45)</f>
        <v>-1460</v>
      </c>
      <c r="I32" s="35"/>
      <c r="AA32" s="219" t="s">
        <v>158</v>
      </c>
      <c r="AB32" s="227">
        <f>SUM(AB23:AB30)</f>
        <v>0.99999999999999989</v>
      </c>
      <c r="AC32" s="220">
        <f>SUM(AC23:AC30)</f>
        <v>-2733.3333333333335</v>
      </c>
      <c r="AL32" s="140"/>
    </row>
    <row r="33" spans="1:38" ht="17" customHeight="1" thickBot="1" x14ac:dyDescent="0.25">
      <c r="A33" s="36"/>
      <c r="B33" s="3" t="s">
        <v>42</v>
      </c>
      <c r="C33" s="23"/>
      <c r="D33" s="104">
        <v>1250</v>
      </c>
      <c r="E33" s="22"/>
      <c r="F33" s="96" t="s">
        <v>13</v>
      </c>
      <c r="G33" s="23"/>
      <c r="H33" s="24">
        <f t="shared" ref="H33:H45" si="18">IF(F33="","",(D33*VLOOKUP(F33,$AD$1:$AE$5,2)/VLOOKUP($H$2,$AD$1:$AE$5,2))) * -1</f>
        <v>-1250</v>
      </c>
      <c r="I33" s="25"/>
      <c r="AL33" s="140"/>
    </row>
    <row r="34" spans="1:38" ht="17" customHeight="1" thickBot="1" x14ac:dyDescent="0.25">
      <c r="A34" s="36"/>
      <c r="B34" s="3" t="s">
        <v>62</v>
      </c>
      <c r="C34" s="23"/>
      <c r="D34" s="104">
        <v>10</v>
      </c>
      <c r="E34" s="22"/>
      <c r="F34" s="96" t="s">
        <v>13</v>
      </c>
      <c r="G34" s="23"/>
      <c r="H34" s="24">
        <f t="shared" si="18"/>
        <v>-10</v>
      </c>
      <c r="I34" s="25"/>
      <c r="AL34" s="140"/>
    </row>
    <row r="35" spans="1:38" ht="17" customHeight="1" thickBot="1" x14ac:dyDescent="0.2">
      <c r="A35" s="36"/>
      <c r="B35" s="3" t="s">
        <v>6</v>
      </c>
      <c r="C35" s="23"/>
      <c r="D35" s="104">
        <v>100</v>
      </c>
      <c r="E35" s="22"/>
      <c r="F35" s="96" t="s">
        <v>13</v>
      </c>
      <c r="G35" s="23"/>
      <c r="H35" s="24">
        <f t="shared" si="18"/>
        <v>-100</v>
      </c>
      <c r="I35" s="25"/>
    </row>
    <row r="36" spans="1:38" ht="17" customHeight="1" thickBot="1" x14ac:dyDescent="0.2">
      <c r="A36" s="36"/>
      <c r="B36" s="3" t="s">
        <v>3</v>
      </c>
      <c r="C36" s="23"/>
      <c r="D36" s="104">
        <v>40</v>
      </c>
      <c r="E36" s="22"/>
      <c r="F36" s="96" t="s">
        <v>13</v>
      </c>
      <c r="G36" s="23"/>
      <c r="H36" s="24">
        <f t="shared" si="18"/>
        <v>-40</v>
      </c>
      <c r="I36" s="25"/>
    </row>
    <row r="37" spans="1:38" ht="17" customHeight="1" thickBot="1" x14ac:dyDescent="0.2">
      <c r="A37" s="36"/>
      <c r="B37" s="3" t="s">
        <v>5</v>
      </c>
      <c r="C37" s="23"/>
      <c r="D37" s="104">
        <v>20</v>
      </c>
      <c r="E37" s="22"/>
      <c r="F37" s="96" t="s">
        <v>13</v>
      </c>
      <c r="G37" s="23"/>
      <c r="H37" s="24">
        <f t="shared" si="18"/>
        <v>-20</v>
      </c>
      <c r="I37" s="25"/>
    </row>
    <row r="38" spans="1:38" ht="17" customHeight="1" thickBot="1" x14ac:dyDescent="0.2">
      <c r="A38" s="36"/>
      <c r="B38" s="3" t="s">
        <v>111</v>
      </c>
      <c r="C38" s="23"/>
      <c r="D38" s="104">
        <v>20</v>
      </c>
      <c r="E38" s="22"/>
      <c r="F38" s="96" t="s">
        <v>13</v>
      </c>
      <c r="G38" s="23"/>
      <c r="H38" s="24">
        <f t="shared" si="18"/>
        <v>-20</v>
      </c>
      <c r="I38" s="25"/>
    </row>
    <row r="39" spans="1:38" ht="17" customHeight="1" thickBot="1" x14ac:dyDescent="0.2">
      <c r="A39" s="36"/>
      <c r="B39" s="3" t="s">
        <v>64</v>
      </c>
      <c r="C39" s="23"/>
      <c r="D39" s="104">
        <v>10</v>
      </c>
      <c r="E39" s="22"/>
      <c r="F39" s="96" t="s">
        <v>13</v>
      </c>
      <c r="G39" s="23"/>
      <c r="H39" s="24">
        <f t="shared" si="18"/>
        <v>-10</v>
      </c>
      <c r="I39" s="25"/>
    </row>
    <row r="40" spans="1:38" ht="17" customHeight="1" thickBot="1" x14ac:dyDescent="0.2">
      <c r="A40" s="36"/>
      <c r="B40" s="3" t="s">
        <v>63</v>
      </c>
      <c r="C40" s="23"/>
      <c r="D40" s="104">
        <v>10</v>
      </c>
      <c r="E40" s="22"/>
      <c r="F40" s="96" t="s">
        <v>13</v>
      </c>
      <c r="G40" s="23"/>
      <c r="H40" s="24">
        <f t="shared" si="18"/>
        <v>-10</v>
      </c>
      <c r="I40" s="25"/>
    </row>
    <row r="41" spans="1:38" ht="17" customHeight="1" thickBot="1" x14ac:dyDescent="0.2">
      <c r="A41" s="36"/>
      <c r="B41" s="3" t="s">
        <v>65</v>
      </c>
      <c r="C41" s="23"/>
      <c r="D41" s="104"/>
      <c r="E41" s="22"/>
      <c r="F41" s="96" t="s">
        <v>13</v>
      </c>
      <c r="G41" s="23"/>
      <c r="H41" s="24">
        <f t="shared" si="18"/>
        <v>0</v>
      </c>
      <c r="I41" s="25"/>
    </row>
    <row r="42" spans="1:38" ht="17" customHeight="1" thickBot="1" x14ac:dyDescent="0.2">
      <c r="A42" s="36"/>
      <c r="B42" s="3" t="s">
        <v>66</v>
      </c>
      <c r="C42" s="23"/>
      <c r="D42" s="104"/>
      <c r="E42" s="22"/>
      <c r="F42" s="96" t="s">
        <v>13</v>
      </c>
      <c r="G42" s="23"/>
      <c r="H42" s="24">
        <f t="shared" si="18"/>
        <v>0</v>
      </c>
      <c r="I42" s="25"/>
    </row>
    <row r="43" spans="1:38" ht="17" customHeight="1" thickBot="1" x14ac:dyDescent="0.2">
      <c r="A43" s="36"/>
      <c r="B43" s="3" t="s">
        <v>48</v>
      </c>
      <c r="C43" s="27"/>
      <c r="D43" s="106"/>
      <c r="E43" s="26"/>
      <c r="F43" s="96" t="s">
        <v>13</v>
      </c>
      <c r="G43" s="27"/>
      <c r="H43" s="24">
        <f t="shared" si="18"/>
        <v>0</v>
      </c>
      <c r="I43" s="28"/>
    </row>
    <row r="44" spans="1:38" ht="17" customHeight="1" thickBot="1" x14ac:dyDescent="0.2">
      <c r="A44" s="36"/>
      <c r="B44" s="3" t="s">
        <v>2</v>
      </c>
      <c r="C44" s="27"/>
      <c r="D44" s="106"/>
      <c r="E44" s="26"/>
      <c r="F44" s="96" t="s">
        <v>13</v>
      </c>
      <c r="G44" s="27"/>
      <c r="H44" s="24">
        <f t="shared" si="18"/>
        <v>0</v>
      </c>
      <c r="I44" s="28"/>
    </row>
    <row r="45" spans="1:38" ht="17" customHeight="1" thickBot="1" x14ac:dyDescent="0.2">
      <c r="A45" s="36"/>
      <c r="B45" s="3" t="s">
        <v>2</v>
      </c>
      <c r="C45" s="27"/>
      <c r="D45" s="106"/>
      <c r="E45" s="26"/>
      <c r="F45" s="96" t="s">
        <v>13</v>
      </c>
      <c r="G45" s="27"/>
      <c r="H45" s="24">
        <f t="shared" si="18"/>
        <v>0</v>
      </c>
      <c r="I45" s="28"/>
    </row>
    <row r="46" spans="1:38" ht="17" customHeight="1" thickBot="1" x14ac:dyDescent="0.25">
      <c r="A46" s="45"/>
      <c r="B46" s="46" t="s">
        <v>78</v>
      </c>
      <c r="C46" s="49"/>
      <c r="D46" s="108"/>
      <c r="E46" s="47"/>
      <c r="F46" s="48"/>
      <c r="G46" s="49"/>
      <c r="H46" s="50">
        <f>SUM(H47:H52)</f>
        <v>-660</v>
      </c>
      <c r="I46" s="51"/>
    </row>
    <row r="47" spans="1:38" ht="17" customHeight="1" thickBot="1" x14ac:dyDescent="0.2">
      <c r="A47" s="52"/>
      <c r="B47" s="3" t="s">
        <v>20</v>
      </c>
      <c r="C47" s="23"/>
      <c r="D47" s="104">
        <v>300</v>
      </c>
      <c r="E47" s="22"/>
      <c r="F47" s="96" t="s">
        <v>13</v>
      </c>
      <c r="G47" s="23"/>
      <c r="H47" s="24">
        <f t="shared" ref="H47:H52" si="19">IF(F47="","",(D47*VLOOKUP(F47,$AD$1:$AE$5,2)/VLOOKUP($H$2,$AD$1:$AE$5,2))) * -1</f>
        <v>-300</v>
      </c>
      <c r="I47" s="25"/>
    </row>
    <row r="48" spans="1:38" ht="17" customHeight="1" thickBot="1" x14ac:dyDescent="0.2">
      <c r="A48" s="52"/>
      <c r="B48" s="3" t="s">
        <v>43</v>
      </c>
      <c r="C48" s="23"/>
      <c r="D48" s="104">
        <v>300</v>
      </c>
      <c r="E48" s="22"/>
      <c r="F48" s="96" t="s">
        <v>13</v>
      </c>
      <c r="G48" s="23"/>
      <c r="H48" s="24">
        <f t="shared" si="19"/>
        <v>-300</v>
      </c>
      <c r="I48" s="25"/>
    </row>
    <row r="49" spans="1:9" ht="17" customHeight="1" thickBot="1" x14ac:dyDescent="0.2">
      <c r="A49" s="52"/>
      <c r="B49" s="3" t="s">
        <v>72</v>
      </c>
      <c r="C49" s="27"/>
      <c r="D49" s="106">
        <v>30</v>
      </c>
      <c r="E49" s="26"/>
      <c r="F49" s="96" t="s">
        <v>16</v>
      </c>
      <c r="G49" s="27"/>
      <c r="H49" s="24">
        <f t="shared" si="19"/>
        <v>-10</v>
      </c>
      <c r="I49" s="28"/>
    </row>
    <row r="50" spans="1:9" ht="17" customHeight="1" thickBot="1" x14ac:dyDescent="0.2">
      <c r="A50" s="52"/>
      <c r="B50" s="3" t="s">
        <v>60</v>
      </c>
      <c r="C50" s="23"/>
      <c r="D50" s="104">
        <v>50</v>
      </c>
      <c r="E50" s="22"/>
      <c r="F50" s="96" t="s">
        <v>13</v>
      </c>
      <c r="G50" s="23"/>
      <c r="H50" s="24">
        <f t="shared" si="19"/>
        <v>-50</v>
      </c>
      <c r="I50" s="25"/>
    </row>
    <row r="51" spans="1:9" ht="17" customHeight="1" thickBot="1" x14ac:dyDescent="0.2">
      <c r="A51" s="52"/>
      <c r="B51" s="3" t="s">
        <v>2</v>
      </c>
      <c r="C51" s="23"/>
      <c r="D51" s="104">
        <v>0</v>
      </c>
      <c r="E51" s="22"/>
      <c r="F51" s="96" t="s">
        <v>13</v>
      </c>
      <c r="G51" s="23"/>
      <c r="H51" s="24">
        <f t="shared" si="19"/>
        <v>0</v>
      </c>
      <c r="I51" s="25"/>
    </row>
    <row r="52" spans="1:9" ht="17" customHeight="1" thickBot="1" x14ac:dyDescent="0.2">
      <c r="A52" s="52"/>
      <c r="B52" s="3" t="s">
        <v>2</v>
      </c>
      <c r="C52" s="27"/>
      <c r="D52" s="106">
        <v>0</v>
      </c>
      <c r="E52" s="26"/>
      <c r="F52" s="96" t="s">
        <v>11</v>
      </c>
      <c r="G52" s="27"/>
      <c r="H52" s="24">
        <f t="shared" si="19"/>
        <v>0</v>
      </c>
      <c r="I52" s="28"/>
    </row>
    <row r="53" spans="1:9" ht="17" customHeight="1" thickBot="1" x14ac:dyDescent="0.25">
      <c r="A53" s="53"/>
      <c r="B53" s="54" t="s">
        <v>115</v>
      </c>
      <c r="C53" s="57"/>
      <c r="D53" s="110"/>
      <c r="E53" s="55"/>
      <c r="F53" s="56"/>
      <c r="G53" s="57"/>
      <c r="H53" s="58">
        <f>SUM(H54:H59)</f>
        <v>-13.333333333333334</v>
      </c>
      <c r="I53" s="59"/>
    </row>
    <row r="54" spans="1:9" ht="17" customHeight="1" thickBot="1" x14ac:dyDescent="0.2">
      <c r="A54" s="60"/>
      <c r="B54" s="3" t="s">
        <v>77</v>
      </c>
      <c r="C54" s="23"/>
      <c r="D54" s="104"/>
      <c r="E54" s="22"/>
      <c r="F54" s="96" t="s">
        <v>13</v>
      </c>
      <c r="G54" s="23"/>
      <c r="H54" s="24">
        <f t="shared" ref="H54:H59" si="20">IF(F54="","",(D54*VLOOKUP(F54,$AD$1:$AE$5,2)/VLOOKUP($H$2,$AD$1:$AE$5,2))) * -1</f>
        <v>0</v>
      </c>
      <c r="I54" s="25"/>
    </row>
    <row r="55" spans="1:9" ht="17" customHeight="1" thickBot="1" x14ac:dyDescent="0.2">
      <c r="A55" s="60"/>
      <c r="B55" s="3" t="s">
        <v>73</v>
      </c>
      <c r="C55" s="23"/>
      <c r="D55" s="104">
        <v>20</v>
      </c>
      <c r="E55" s="22"/>
      <c r="F55" s="96" t="s">
        <v>16</v>
      </c>
      <c r="G55" s="23"/>
      <c r="H55" s="24">
        <f t="shared" si="20"/>
        <v>-6.666666666666667</v>
      </c>
      <c r="I55" s="25"/>
    </row>
    <row r="56" spans="1:9" ht="17" customHeight="1" thickBot="1" x14ac:dyDescent="0.2">
      <c r="A56" s="60"/>
      <c r="B56" s="3" t="s">
        <v>74</v>
      </c>
      <c r="C56" s="23"/>
      <c r="D56" s="104">
        <v>20</v>
      </c>
      <c r="E56" s="22"/>
      <c r="F56" s="96" t="s">
        <v>16</v>
      </c>
      <c r="G56" s="23"/>
      <c r="H56" s="24">
        <f t="shared" si="20"/>
        <v>-6.666666666666667</v>
      </c>
      <c r="I56" s="25"/>
    </row>
    <row r="57" spans="1:9" ht="17" customHeight="1" thickBot="1" x14ac:dyDescent="0.2">
      <c r="A57" s="60"/>
      <c r="B57" s="3" t="s">
        <v>58</v>
      </c>
      <c r="C57" s="23"/>
      <c r="D57" s="104"/>
      <c r="E57" s="22"/>
      <c r="F57" s="96" t="s">
        <v>13</v>
      </c>
      <c r="G57" s="23"/>
      <c r="H57" s="24">
        <f t="shared" si="20"/>
        <v>0</v>
      </c>
      <c r="I57" s="25"/>
    </row>
    <row r="58" spans="1:9" ht="17" customHeight="1" thickBot="1" x14ac:dyDescent="0.2">
      <c r="A58" s="60"/>
      <c r="B58" s="2" t="s">
        <v>2</v>
      </c>
      <c r="C58" s="23"/>
      <c r="D58" s="104"/>
      <c r="E58" s="22"/>
      <c r="F58" s="96" t="s">
        <v>16</v>
      </c>
      <c r="G58" s="23"/>
      <c r="H58" s="24">
        <f t="shared" si="20"/>
        <v>0</v>
      </c>
      <c r="I58" s="25"/>
    </row>
    <row r="59" spans="1:9" ht="17" customHeight="1" thickBot="1" x14ac:dyDescent="0.2">
      <c r="A59" s="60"/>
      <c r="B59" s="2" t="s">
        <v>2</v>
      </c>
      <c r="C59" s="27"/>
      <c r="D59" s="106"/>
      <c r="E59" s="26"/>
      <c r="F59" s="101" t="s">
        <v>13</v>
      </c>
      <c r="G59" s="27"/>
      <c r="H59" s="24">
        <f t="shared" si="20"/>
        <v>0</v>
      </c>
      <c r="I59" s="28"/>
    </row>
    <row r="60" spans="1:9" ht="17" customHeight="1" thickBot="1" x14ac:dyDescent="0.25">
      <c r="A60" s="68"/>
      <c r="B60" s="69" t="s">
        <v>55</v>
      </c>
      <c r="C60" s="72"/>
      <c r="D60" s="111"/>
      <c r="E60" s="70"/>
      <c r="F60" s="71"/>
      <c r="G60" s="72"/>
      <c r="H60" s="73">
        <f>SUM(H61:H68)</f>
        <v>-50</v>
      </c>
      <c r="I60" s="74"/>
    </row>
    <row r="61" spans="1:9" ht="17" customHeight="1" thickBot="1" x14ac:dyDescent="0.2">
      <c r="A61" s="75"/>
      <c r="B61" s="3" t="s">
        <v>68</v>
      </c>
      <c r="C61" s="23"/>
      <c r="D61" s="104"/>
      <c r="E61" s="22"/>
      <c r="F61" s="96" t="s">
        <v>13</v>
      </c>
      <c r="G61" s="23"/>
      <c r="H61" s="24">
        <f t="shared" ref="H61:H68" si="21">IF(F61="","",(D61*VLOOKUP(F61,$AD$1:$AE$5,2)/VLOOKUP($H$2,$AD$1:$AE$5,2))) * -1</f>
        <v>0</v>
      </c>
      <c r="I61" s="25"/>
    </row>
    <row r="62" spans="1:9" ht="17" customHeight="1" thickBot="1" x14ac:dyDescent="0.2">
      <c r="A62" s="75"/>
      <c r="B62" s="3" t="s">
        <v>69</v>
      </c>
      <c r="C62" s="23"/>
      <c r="D62" s="104"/>
      <c r="E62" s="22"/>
      <c r="F62" s="96" t="s">
        <v>13</v>
      </c>
      <c r="G62" s="23"/>
      <c r="H62" s="24">
        <f t="shared" si="21"/>
        <v>0</v>
      </c>
      <c r="I62" s="25"/>
    </row>
    <row r="63" spans="1:9" ht="17" customHeight="1" thickBot="1" x14ac:dyDescent="0.2">
      <c r="A63" s="75"/>
      <c r="B63" s="3" t="s">
        <v>4</v>
      </c>
      <c r="C63" s="23"/>
      <c r="D63" s="104"/>
      <c r="E63" s="22"/>
      <c r="F63" s="96" t="s">
        <v>13</v>
      </c>
      <c r="G63" s="23"/>
      <c r="H63" s="24">
        <f t="shared" si="21"/>
        <v>0</v>
      </c>
      <c r="I63" s="25"/>
    </row>
    <row r="64" spans="1:9" ht="17" customHeight="1" thickBot="1" x14ac:dyDescent="0.2">
      <c r="A64" s="75"/>
      <c r="B64" s="3" t="s">
        <v>70</v>
      </c>
      <c r="C64" s="23"/>
      <c r="D64" s="104"/>
      <c r="E64" s="22"/>
      <c r="F64" s="96" t="s">
        <v>14</v>
      </c>
      <c r="G64" s="23"/>
      <c r="H64" s="24">
        <f t="shared" si="21"/>
        <v>0</v>
      </c>
      <c r="I64" s="25"/>
    </row>
    <row r="65" spans="1:9" ht="17" customHeight="1" thickBot="1" x14ac:dyDescent="0.2">
      <c r="A65" s="75"/>
      <c r="B65" s="3" t="s">
        <v>75</v>
      </c>
      <c r="C65" s="23"/>
      <c r="D65" s="104"/>
      <c r="E65" s="22"/>
      <c r="F65" s="96" t="s">
        <v>14</v>
      </c>
      <c r="G65" s="23"/>
      <c r="H65" s="24">
        <f t="shared" si="21"/>
        <v>0</v>
      </c>
      <c r="I65" s="25"/>
    </row>
    <row r="66" spans="1:9" ht="17" customHeight="1" thickBot="1" x14ac:dyDescent="0.2">
      <c r="A66" s="75"/>
      <c r="B66" s="3" t="s">
        <v>45</v>
      </c>
      <c r="C66" s="23"/>
      <c r="D66" s="104"/>
      <c r="E66" s="22"/>
      <c r="F66" s="96" t="s">
        <v>11</v>
      </c>
      <c r="G66" s="23"/>
      <c r="H66" s="24">
        <f t="shared" si="21"/>
        <v>0</v>
      </c>
      <c r="I66" s="25"/>
    </row>
    <row r="67" spans="1:9" ht="17" customHeight="1" thickBot="1" x14ac:dyDescent="0.2">
      <c r="A67" s="75"/>
      <c r="B67" s="3" t="s">
        <v>46</v>
      </c>
      <c r="C67" s="23"/>
      <c r="D67" s="104"/>
      <c r="E67" s="22"/>
      <c r="F67" s="96" t="s">
        <v>11</v>
      </c>
      <c r="G67" s="23"/>
      <c r="H67" s="24">
        <f t="shared" si="21"/>
        <v>0</v>
      </c>
      <c r="I67" s="25"/>
    </row>
    <row r="68" spans="1:9" ht="17" customHeight="1" thickBot="1" x14ac:dyDescent="0.2">
      <c r="A68" s="75"/>
      <c r="B68" s="2" t="s">
        <v>2</v>
      </c>
      <c r="C68" s="27"/>
      <c r="D68" s="106">
        <v>50</v>
      </c>
      <c r="E68" s="26"/>
      <c r="F68" s="101" t="s">
        <v>13</v>
      </c>
      <c r="G68" s="27"/>
      <c r="H68" s="24">
        <f t="shared" si="21"/>
        <v>-50</v>
      </c>
      <c r="I68" s="28"/>
    </row>
    <row r="69" spans="1:9" ht="17" customHeight="1" thickBot="1" x14ac:dyDescent="0.25">
      <c r="A69" s="61"/>
      <c r="B69" s="62" t="s">
        <v>56</v>
      </c>
      <c r="C69" s="64"/>
      <c r="D69" s="112"/>
      <c r="E69" s="63"/>
      <c r="F69" s="100"/>
      <c r="G69" s="64"/>
      <c r="H69" s="65">
        <f>SUM(H70:H84)</f>
        <v>0</v>
      </c>
      <c r="I69" s="66"/>
    </row>
    <row r="70" spans="1:9" ht="17" customHeight="1" thickBot="1" x14ac:dyDescent="0.2">
      <c r="A70" s="67"/>
      <c r="B70" s="3" t="s">
        <v>47</v>
      </c>
      <c r="C70" s="23"/>
      <c r="D70" s="104"/>
      <c r="E70" s="22"/>
      <c r="F70" s="96" t="s">
        <v>13</v>
      </c>
      <c r="G70" s="23"/>
      <c r="H70" s="24">
        <f t="shared" ref="H70:H84" si="22">IF(F70="","",(D70*VLOOKUP(F70,$AD$1:$AE$5,2)/VLOOKUP($H$2,$AD$1:$AE$5,2))) * -1</f>
        <v>0</v>
      </c>
      <c r="I70" s="25"/>
    </row>
    <row r="71" spans="1:9" ht="17" customHeight="1" thickBot="1" x14ac:dyDescent="0.2">
      <c r="A71" s="67"/>
      <c r="B71" s="3" t="s">
        <v>49</v>
      </c>
      <c r="C71" s="23"/>
      <c r="D71" s="104"/>
      <c r="E71" s="22"/>
      <c r="F71" s="96" t="s">
        <v>16</v>
      </c>
      <c r="G71" s="23"/>
      <c r="H71" s="24">
        <f t="shared" si="22"/>
        <v>0</v>
      </c>
      <c r="I71" s="25"/>
    </row>
    <row r="72" spans="1:9" ht="17" customHeight="1" thickBot="1" x14ac:dyDescent="0.2">
      <c r="A72" s="67"/>
      <c r="B72" s="3" t="s">
        <v>50</v>
      </c>
      <c r="C72" s="23"/>
      <c r="D72" s="104"/>
      <c r="E72" s="22"/>
      <c r="F72" s="96" t="s">
        <v>14</v>
      </c>
      <c r="G72" s="23"/>
      <c r="H72" s="24">
        <f t="shared" si="22"/>
        <v>0</v>
      </c>
      <c r="I72" s="25"/>
    </row>
    <row r="73" spans="1:9" ht="17" customHeight="1" thickBot="1" x14ac:dyDescent="0.2">
      <c r="A73" s="67"/>
      <c r="B73" s="3" t="s">
        <v>1</v>
      </c>
      <c r="C73" s="23"/>
      <c r="D73" s="104"/>
      <c r="E73" s="22"/>
      <c r="F73" s="96" t="s">
        <v>13</v>
      </c>
      <c r="G73" s="23"/>
      <c r="H73" s="24">
        <f t="shared" si="22"/>
        <v>0</v>
      </c>
      <c r="I73" s="25"/>
    </row>
    <row r="74" spans="1:9" ht="17" customHeight="1" thickBot="1" x14ac:dyDescent="0.2">
      <c r="A74" s="67"/>
      <c r="B74" s="127" t="s">
        <v>118</v>
      </c>
      <c r="C74" s="23"/>
      <c r="D74" s="104"/>
      <c r="E74" s="22"/>
      <c r="F74" s="96" t="s">
        <v>13</v>
      </c>
      <c r="G74" s="23"/>
      <c r="H74" s="24">
        <f t="shared" si="22"/>
        <v>0</v>
      </c>
      <c r="I74" s="25"/>
    </row>
    <row r="75" spans="1:9" ht="17" customHeight="1" thickBot="1" x14ac:dyDescent="0.2">
      <c r="A75" s="67"/>
      <c r="B75" s="128" t="s">
        <v>119</v>
      </c>
      <c r="C75" s="23"/>
      <c r="D75" s="104"/>
      <c r="E75" s="22"/>
      <c r="F75" s="96" t="s">
        <v>13</v>
      </c>
      <c r="G75" s="23"/>
      <c r="H75" s="24">
        <f t="shared" si="22"/>
        <v>0</v>
      </c>
      <c r="I75" s="25"/>
    </row>
    <row r="76" spans="1:9" ht="17" customHeight="1" thickBot="1" x14ac:dyDescent="0.2">
      <c r="A76" s="67"/>
      <c r="B76" s="97" t="s">
        <v>117</v>
      </c>
      <c r="C76" s="23"/>
      <c r="D76" s="104"/>
      <c r="E76" s="22"/>
      <c r="F76" s="96" t="s">
        <v>13</v>
      </c>
      <c r="G76" s="23"/>
      <c r="H76" s="24">
        <f t="shared" si="22"/>
        <v>0</v>
      </c>
      <c r="I76" s="25"/>
    </row>
    <row r="77" spans="1:9" ht="17" customHeight="1" thickBot="1" x14ac:dyDescent="0.2">
      <c r="A77" s="67"/>
      <c r="B77" s="3" t="s">
        <v>120</v>
      </c>
      <c r="C77" s="23"/>
      <c r="D77" s="104"/>
      <c r="E77" s="22"/>
      <c r="F77" s="96" t="s">
        <v>13</v>
      </c>
      <c r="G77" s="23"/>
      <c r="H77" s="24">
        <f t="shared" si="22"/>
        <v>0</v>
      </c>
      <c r="I77" s="25"/>
    </row>
    <row r="78" spans="1:9" ht="17" customHeight="1" thickBot="1" x14ac:dyDescent="0.2">
      <c r="A78" s="67"/>
      <c r="B78" s="3" t="s">
        <v>121</v>
      </c>
      <c r="C78" s="23"/>
      <c r="D78" s="104"/>
      <c r="E78" s="22"/>
      <c r="F78" s="96" t="s">
        <v>13</v>
      </c>
      <c r="G78" s="23"/>
      <c r="H78" s="24">
        <f t="shared" si="22"/>
        <v>0</v>
      </c>
      <c r="I78" s="25"/>
    </row>
    <row r="79" spans="1:9" ht="17" customHeight="1" thickBot="1" x14ac:dyDescent="0.2">
      <c r="A79" s="67"/>
      <c r="B79" s="3" t="s">
        <v>122</v>
      </c>
      <c r="C79" s="23"/>
      <c r="D79" s="104"/>
      <c r="E79" s="22"/>
      <c r="F79" s="96" t="s">
        <v>13</v>
      </c>
      <c r="G79" s="23"/>
      <c r="H79" s="24">
        <f t="shared" si="22"/>
        <v>0</v>
      </c>
      <c r="I79" s="25"/>
    </row>
    <row r="80" spans="1:9" ht="17" customHeight="1" thickBot="1" x14ac:dyDescent="0.2">
      <c r="A80" s="67"/>
      <c r="B80" s="3" t="s">
        <v>123</v>
      </c>
      <c r="C80" s="23"/>
      <c r="D80" s="104"/>
      <c r="E80" s="22"/>
      <c r="F80" s="96" t="s">
        <v>13</v>
      </c>
      <c r="G80" s="23"/>
      <c r="H80" s="24">
        <f t="shared" si="22"/>
        <v>0</v>
      </c>
      <c r="I80" s="25"/>
    </row>
    <row r="81" spans="1:9" ht="17" customHeight="1" thickBot="1" x14ac:dyDescent="0.2">
      <c r="A81" s="67"/>
      <c r="B81" s="97" t="s">
        <v>71</v>
      </c>
      <c r="C81" s="23"/>
      <c r="D81" s="104"/>
      <c r="E81" s="22"/>
      <c r="F81" s="96" t="s">
        <v>13</v>
      </c>
      <c r="G81" s="23"/>
      <c r="H81" s="24">
        <f t="shared" si="22"/>
        <v>0</v>
      </c>
      <c r="I81" s="25"/>
    </row>
    <row r="82" spans="1:9" ht="17" customHeight="1" thickBot="1" x14ac:dyDescent="0.2">
      <c r="A82" s="67"/>
      <c r="B82" s="3" t="s">
        <v>57</v>
      </c>
      <c r="C82" s="23"/>
      <c r="D82" s="104"/>
      <c r="E82" s="22"/>
      <c r="F82" s="96" t="s">
        <v>14</v>
      </c>
      <c r="G82" s="23"/>
      <c r="H82" s="24">
        <f t="shared" si="22"/>
        <v>0</v>
      </c>
      <c r="I82" s="25"/>
    </row>
    <row r="83" spans="1:9" ht="17" customHeight="1" thickBot="1" x14ac:dyDescent="0.2">
      <c r="A83" s="67"/>
      <c r="B83" s="3" t="s">
        <v>116</v>
      </c>
      <c r="C83" s="23"/>
      <c r="D83" s="104"/>
      <c r="E83" s="22"/>
      <c r="F83" s="96" t="s">
        <v>13</v>
      </c>
      <c r="G83" s="23"/>
      <c r="H83" s="24">
        <f t="shared" si="22"/>
        <v>0</v>
      </c>
      <c r="I83" s="25"/>
    </row>
    <row r="84" spans="1:9" ht="17" customHeight="1" thickBot="1" x14ac:dyDescent="0.2">
      <c r="A84" s="67"/>
      <c r="B84" s="3" t="s">
        <v>2</v>
      </c>
      <c r="C84" s="23"/>
      <c r="D84" s="104"/>
      <c r="E84" s="22"/>
      <c r="F84" s="96" t="s">
        <v>13</v>
      </c>
      <c r="G84" s="23"/>
      <c r="H84" s="24">
        <f t="shared" si="22"/>
        <v>0</v>
      </c>
      <c r="I84" s="25"/>
    </row>
    <row r="85" spans="1:9" ht="17" customHeight="1" thickBot="1" x14ac:dyDescent="0.25">
      <c r="A85" s="76"/>
      <c r="B85" s="77" t="s">
        <v>81</v>
      </c>
      <c r="C85" s="80"/>
      <c r="D85" s="113"/>
      <c r="E85" s="78"/>
      <c r="F85" s="79"/>
      <c r="G85" s="80"/>
      <c r="H85" s="81">
        <f>-SUM(H86:H96)</f>
        <v>0</v>
      </c>
      <c r="I85" s="82"/>
    </row>
    <row r="86" spans="1:9" ht="17" customHeight="1" thickBot="1" x14ac:dyDescent="0.2">
      <c r="A86" s="76"/>
      <c r="B86" s="3" t="s">
        <v>10</v>
      </c>
      <c r="C86" s="23"/>
      <c r="D86" s="104"/>
      <c r="E86" s="22"/>
      <c r="F86" s="96" t="s">
        <v>13</v>
      </c>
      <c r="G86" s="23"/>
      <c r="H86" s="24">
        <f t="shared" ref="H86:H96" si="23">IF(F86="","",(D86*VLOOKUP(F86,$AD$1:$AE$5,2)/VLOOKUP($H$2,$AD$1:$AE$5,2))) * -1</f>
        <v>0</v>
      </c>
      <c r="I86" s="25"/>
    </row>
    <row r="87" spans="1:9" ht="17" customHeight="1" thickBot="1" x14ac:dyDescent="0.2">
      <c r="A87" s="76"/>
      <c r="B87" s="3" t="s">
        <v>21</v>
      </c>
      <c r="C87" s="23"/>
      <c r="D87" s="104"/>
      <c r="E87" s="22"/>
      <c r="F87" s="96" t="s">
        <v>13</v>
      </c>
      <c r="G87" s="23"/>
      <c r="H87" s="24">
        <f t="shared" si="23"/>
        <v>0</v>
      </c>
      <c r="I87" s="25"/>
    </row>
    <row r="88" spans="1:9" ht="17" customHeight="1" thickBot="1" x14ac:dyDescent="0.2">
      <c r="A88" s="76"/>
      <c r="B88" s="3" t="s">
        <v>22</v>
      </c>
      <c r="C88" s="23"/>
      <c r="D88" s="104"/>
      <c r="E88" s="22"/>
      <c r="F88" s="96" t="s">
        <v>13</v>
      </c>
      <c r="G88" s="23"/>
      <c r="H88" s="24">
        <f t="shared" si="23"/>
        <v>0</v>
      </c>
      <c r="I88" s="25"/>
    </row>
    <row r="89" spans="1:9" ht="17" customHeight="1" thickBot="1" x14ac:dyDescent="0.2">
      <c r="A89" s="76"/>
      <c r="B89" s="3" t="s">
        <v>23</v>
      </c>
      <c r="C89" s="23"/>
      <c r="D89" s="104"/>
      <c r="E89" s="22"/>
      <c r="F89" s="96" t="s">
        <v>13</v>
      </c>
      <c r="G89" s="23"/>
      <c r="H89" s="24">
        <f t="shared" si="23"/>
        <v>0</v>
      </c>
      <c r="I89" s="25"/>
    </row>
    <row r="90" spans="1:9" ht="17" customHeight="1" thickBot="1" x14ac:dyDescent="0.2">
      <c r="A90" s="76"/>
      <c r="B90" s="3" t="s">
        <v>24</v>
      </c>
      <c r="C90" s="23"/>
      <c r="D90" s="104"/>
      <c r="E90" s="22"/>
      <c r="F90" s="96" t="s">
        <v>13</v>
      </c>
      <c r="G90" s="23"/>
      <c r="H90" s="24">
        <f t="shared" si="23"/>
        <v>0</v>
      </c>
      <c r="I90" s="25"/>
    </row>
    <row r="91" spans="1:9" ht="17" customHeight="1" thickBot="1" x14ac:dyDescent="0.2">
      <c r="A91" s="76"/>
      <c r="B91" s="3" t="s">
        <v>7</v>
      </c>
      <c r="C91" s="23"/>
      <c r="D91" s="104"/>
      <c r="E91" s="22"/>
      <c r="F91" s="96" t="s">
        <v>13</v>
      </c>
      <c r="G91" s="23"/>
      <c r="H91" s="24">
        <f t="shared" si="23"/>
        <v>0</v>
      </c>
      <c r="I91" s="25"/>
    </row>
    <row r="92" spans="1:9" ht="17" customHeight="1" thickBot="1" x14ac:dyDescent="0.2">
      <c r="A92" s="76"/>
      <c r="B92" s="3" t="s">
        <v>9</v>
      </c>
      <c r="C92" s="23"/>
      <c r="D92" s="104"/>
      <c r="E92" s="22"/>
      <c r="F92" s="96" t="s">
        <v>13</v>
      </c>
      <c r="G92" s="23"/>
      <c r="H92" s="24">
        <f t="shared" si="23"/>
        <v>0</v>
      </c>
      <c r="I92" s="25"/>
    </row>
    <row r="93" spans="1:9" ht="17" customHeight="1" thickBot="1" x14ac:dyDescent="0.2">
      <c r="A93" s="76"/>
      <c r="B93" s="3" t="s">
        <v>8</v>
      </c>
      <c r="C93" s="23"/>
      <c r="D93" s="104"/>
      <c r="E93" s="22"/>
      <c r="F93" s="96" t="s">
        <v>13</v>
      </c>
      <c r="G93" s="23"/>
      <c r="H93" s="24">
        <f t="shared" si="23"/>
        <v>0</v>
      </c>
      <c r="I93" s="25"/>
    </row>
    <row r="94" spans="1:9" ht="17" customHeight="1" thickBot="1" x14ac:dyDescent="0.2">
      <c r="A94" s="76"/>
      <c r="B94" s="3" t="s">
        <v>25</v>
      </c>
      <c r="C94" s="23"/>
      <c r="D94" s="104"/>
      <c r="E94" s="22"/>
      <c r="F94" s="96" t="s">
        <v>13</v>
      </c>
      <c r="G94" s="23"/>
      <c r="H94" s="24">
        <f t="shared" si="23"/>
        <v>0</v>
      </c>
      <c r="I94" s="25"/>
    </row>
    <row r="95" spans="1:9" ht="17" customHeight="1" thickBot="1" x14ac:dyDescent="0.2">
      <c r="A95" s="76"/>
      <c r="B95" s="3" t="s">
        <v>26</v>
      </c>
      <c r="C95" s="23"/>
      <c r="D95" s="104"/>
      <c r="E95" s="22"/>
      <c r="F95" s="96" t="s">
        <v>13</v>
      </c>
      <c r="G95" s="23"/>
      <c r="H95" s="24">
        <f t="shared" si="23"/>
        <v>0</v>
      </c>
      <c r="I95" s="25"/>
    </row>
    <row r="96" spans="1:9" ht="17" customHeight="1" thickBot="1" x14ac:dyDescent="0.2">
      <c r="A96" s="76"/>
      <c r="B96" s="2" t="s">
        <v>2</v>
      </c>
      <c r="D96" s="106"/>
      <c r="E96" s="26"/>
      <c r="F96" s="96" t="s">
        <v>13</v>
      </c>
      <c r="H96" s="24">
        <f t="shared" si="23"/>
        <v>0</v>
      </c>
      <c r="I96" s="83"/>
    </row>
    <row r="97" spans="1:12" ht="17" customHeight="1" thickBot="1" x14ac:dyDescent="0.25">
      <c r="A97" s="15"/>
      <c r="B97" s="129" t="s">
        <v>80</v>
      </c>
      <c r="C97" s="18"/>
      <c r="D97" s="141"/>
      <c r="E97" s="16"/>
      <c r="F97" s="17"/>
      <c r="G97" s="18"/>
      <c r="H97" s="19">
        <f>SUM(H98:H102)</f>
        <v>0</v>
      </c>
      <c r="I97" s="20"/>
    </row>
    <row r="98" spans="1:12" ht="17" customHeight="1" thickBot="1" x14ac:dyDescent="0.2">
      <c r="A98" s="21"/>
      <c r="B98" s="1" t="s">
        <v>44</v>
      </c>
      <c r="C98" s="23"/>
      <c r="D98" s="104"/>
      <c r="E98" s="22"/>
      <c r="F98" s="96" t="s">
        <v>13</v>
      </c>
      <c r="G98" s="23"/>
      <c r="H98" s="24">
        <f>IF(F98="","",(D98*VLOOKUP(F98,$AD$1:$AE$5,2)/VLOOKUP($H$2,$AD$1:$AE$5,2))) * -1</f>
        <v>0</v>
      </c>
      <c r="I98" s="25"/>
    </row>
    <row r="99" spans="1:12" ht="17" customHeight="1" thickBot="1" x14ac:dyDescent="0.2">
      <c r="A99" s="21"/>
      <c r="B99" s="1" t="s">
        <v>59</v>
      </c>
      <c r="C99" s="23"/>
      <c r="D99" s="104"/>
      <c r="E99" s="22"/>
      <c r="F99" s="96" t="s">
        <v>13</v>
      </c>
      <c r="G99" s="23"/>
      <c r="H99" s="24">
        <f>IF(F99="","",(D99*VLOOKUP(F99,$AD$1:$AE$5,2)/VLOOKUP($H$2,$AD$1:$AE$5,2))) * -1</f>
        <v>0</v>
      </c>
      <c r="I99" s="25"/>
    </row>
    <row r="100" spans="1:12" ht="17" customHeight="1" thickBot="1" x14ac:dyDescent="0.2">
      <c r="A100" s="21"/>
      <c r="B100" s="1" t="s">
        <v>21</v>
      </c>
      <c r="C100" s="23"/>
      <c r="D100" s="104"/>
      <c r="E100" s="22"/>
      <c r="F100" s="96" t="s">
        <v>13</v>
      </c>
      <c r="G100" s="23"/>
      <c r="H100" s="24">
        <f>IF(F100="","",(D100*VLOOKUP(F100,$AD$1:$AE$5,2)/VLOOKUP($H$2,$AD$1:$AE$5,2))) * -1</f>
        <v>0</v>
      </c>
      <c r="I100" s="25"/>
    </row>
    <row r="101" spans="1:12" ht="17" customHeight="1" thickBot="1" x14ac:dyDescent="0.2">
      <c r="A101" s="21"/>
      <c r="B101" s="127" t="s">
        <v>112</v>
      </c>
      <c r="C101" s="23"/>
      <c r="D101" s="104"/>
      <c r="E101" s="22"/>
      <c r="F101" s="96" t="s">
        <v>13</v>
      </c>
      <c r="G101" s="23"/>
      <c r="H101" s="24">
        <f>IF(F101="","",(D101*VLOOKUP(F101,$AD$1:$AE$5,2)/VLOOKUP($H$2,$AD$1:$AE$5,2))) * -1</f>
        <v>0</v>
      </c>
      <c r="I101" s="25"/>
      <c r="J101" s="13"/>
      <c r="K101" s="13"/>
      <c r="L101" s="13"/>
    </row>
    <row r="102" spans="1:12" ht="17" customHeight="1" thickBot="1" x14ac:dyDescent="0.2">
      <c r="A102" s="21"/>
      <c r="B102" s="1" t="s">
        <v>2</v>
      </c>
      <c r="C102" s="27"/>
      <c r="D102" s="27"/>
      <c r="E102" s="26"/>
      <c r="F102" s="96" t="s">
        <v>13</v>
      </c>
      <c r="G102" s="27"/>
      <c r="H102" s="24">
        <f>IF(F102="","",(D102*VLOOKUP(F102,$AD$1:$AE$5,2)/VLOOKUP($H$2,$AD$1:$AE$5,2))) * -1</f>
        <v>0</v>
      </c>
      <c r="I102" s="28"/>
      <c r="J102" s="13"/>
      <c r="K102" s="13"/>
      <c r="L102" s="13"/>
    </row>
    <row r="103" spans="1:12" ht="17" customHeight="1" thickTop="1" x14ac:dyDescent="0.2">
      <c r="A103" s="84"/>
      <c r="B103" s="85" t="s">
        <v>15</v>
      </c>
      <c r="C103" s="86"/>
      <c r="D103" s="86"/>
      <c r="E103" s="86"/>
      <c r="F103" s="86"/>
      <c r="G103" s="86"/>
      <c r="H103" s="87">
        <f>H3+H10+H32+H23+H46+H53+H69+H60+H85+H97</f>
        <v>19.35000000000052</v>
      </c>
      <c r="I103" s="88"/>
    </row>
    <row r="104" spans="1:12" ht="17" customHeight="1" x14ac:dyDescent="0.2">
      <c r="A104" s="89"/>
      <c r="B104" s="90" t="str">
        <f>IF(H103&gt;=0,"Budget is in surplus","Budget is in deficit")</f>
        <v>Budget is in surplus</v>
      </c>
      <c r="H104" s="91"/>
      <c r="I104" s="83"/>
    </row>
    <row r="105" spans="1:12" ht="17" customHeight="1" x14ac:dyDescent="0.2">
      <c r="A105" s="89"/>
      <c r="B105" s="92"/>
      <c r="H105" s="91"/>
      <c r="I105" s="83"/>
    </row>
    <row r="106" spans="1:12" ht="17" customHeight="1" x14ac:dyDescent="0.2">
      <c r="A106" s="89"/>
      <c r="B106" s="92"/>
      <c r="H106" s="91"/>
      <c r="I106" s="83"/>
    </row>
    <row r="107" spans="1:12" ht="17" customHeight="1" x14ac:dyDescent="0.2">
      <c r="A107" s="89"/>
      <c r="B107" s="92"/>
      <c r="H107" s="91"/>
      <c r="I107" s="83"/>
    </row>
    <row r="108" spans="1:12" ht="17" customHeight="1" x14ac:dyDescent="0.2">
      <c r="A108" s="89"/>
      <c r="B108" s="92"/>
      <c r="H108" s="91"/>
      <c r="I108" s="83"/>
    </row>
    <row r="109" spans="1:12" ht="17" customHeight="1" x14ac:dyDescent="0.2">
      <c r="A109" s="89"/>
      <c r="B109" s="92"/>
      <c r="H109" s="91"/>
      <c r="I109" s="83"/>
    </row>
    <row r="110" spans="1:12" ht="17" customHeight="1" x14ac:dyDescent="0.2">
      <c r="A110" s="89"/>
      <c r="B110" s="92"/>
      <c r="H110" s="91"/>
      <c r="I110" s="83"/>
    </row>
    <row r="111" spans="1:12" ht="17" customHeight="1" x14ac:dyDescent="0.2">
      <c r="A111" s="89"/>
      <c r="B111" s="92"/>
      <c r="H111" s="91"/>
      <c r="I111" s="83"/>
    </row>
    <row r="112" spans="1:12" ht="17" customHeight="1" x14ac:dyDescent="0.2">
      <c r="A112" s="89"/>
      <c r="B112" s="92"/>
      <c r="H112" s="91"/>
      <c r="I112" s="83"/>
    </row>
    <row r="113" spans="1:9" ht="17" customHeight="1" x14ac:dyDescent="0.2">
      <c r="A113" s="89"/>
      <c r="B113" s="92"/>
      <c r="H113" s="91"/>
      <c r="I113" s="83"/>
    </row>
    <row r="114" spans="1:9" ht="17" customHeight="1" x14ac:dyDescent="0.2">
      <c r="A114" s="89"/>
      <c r="B114" s="92"/>
      <c r="H114" s="91"/>
      <c r="I114" s="83"/>
    </row>
    <row r="115" spans="1:9" ht="17" customHeight="1" x14ac:dyDescent="0.2">
      <c r="A115" s="89"/>
      <c r="B115" s="92"/>
      <c r="H115" s="91"/>
      <c r="I115" s="83"/>
    </row>
    <row r="116" spans="1:9" ht="17" customHeight="1" x14ac:dyDescent="0.2">
      <c r="A116" s="89"/>
      <c r="B116" s="92"/>
      <c r="H116" s="91"/>
      <c r="I116" s="83"/>
    </row>
    <row r="117" spans="1:9" ht="17" customHeight="1" x14ac:dyDescent="0.2">
      <c r="A117" s="89"/>
      <c r="B117" s="92"/>
      <c r="H117" s="91"/>
      <c r="I117" s="83"/>
    </row>
    <row r="118" spans="1:9" ht="17" customHeight="1" thickBot="1" x14ac:dyDescent="0.2">
      <c r="A118" s="89"/>
      <c r="B118" s="93"/>
      <c r="C118" s="93"/>
      <c r="D118" s="114"/>
      <c r="E118" s="93"/>
      <c r="F118" s="93"/>
      <c r="G118" s="93"/>
      <c r="H118" s="94"/>
      <c r="I118" s="95"/>
    </row>
    <row r="119" spans="1:9" ht="17" customHeight="1" thickTop="1" x14ac:dyDescent="0.15"/>
  </sheetData>
  <sheetProtection selectLockedCells="1"/>
  <protectedRanges>
    <protectedRange sqref="H2" name="Total view"/>
    <protectedRange sqref="F86:F96 F61:F68 F4:F9 F33:F45 F24:F31 F98:F102 F11:F22 F47:F52 F54:F59 F70:F84" name="Frequency"/>
    <protectedRange sqref="B86:B96 B11:B17 B77:B80 B61:B68 B4:B9 B33:B45 B24:B31 B102 B98:B100 B47:B52 B54:B59 B70:B73 B82:B84" name="Item"/>
    <protectedRange sqref="D86:D96 D61:D68 D4:D9 K4:K6 D33:D45 D24:D31 D98:D101 D11:D22 D47:D52 D54:D59 D70:D84" name="Amount"/>
  </protectedRanges>
  <mergeCells count="9">
    <mergeCell ref="K4:M4"/>
    <mergeCell ref="K18:K19"/>
    <mergeCell ref="L18:L19"/>
    <mergeCell ref="M18:M19"/>
    <mergeCell ref="K24:K25"/>
    <mergeCell ref="L24:L25"/>
    <mergeCell ref="M24:M25"/>
    <mergeCell ref="K5:M5"/>
    <mergeCell ref="K6:M6"/>
  </mergeCells>
  <conditionalFormatting sqref="K15:K17 K13">
    <cfRule type="expression" dxfId="3" priority="3">
      <formula>_xlfn.ISFORMULA(A2)</formula>
    </cfRule>
  </conditionalFormatting>
  <conditionalFormatting sqref="K14 K21:K23">
    <cfRule type="expression" dxfId="2" priority="5">
      <formula>_xlfn.ISFORMULA(A1)</formula>
    </cfRule>
  </conditionalFormatting>
  <conditionalFormatting sqref="K26:K31">
    <cfRule type="expression" dxfId="1" priority="1">
      <formula>_xlfn.ISFORMULA(A13)</formula>
    </cfRule>
  </conditionalFormatting>
  <conditionalFormatting sqref="K20">
    <cfRule type="expression" dxfId="0" priority="6">
      <formula>_xlfn.ISFORMULA(A8)</formula>
    </cfRule>
  </conditionalFormatting>
  <dataValidations count="2">
    <dataValidation type="list" allowBlank="1" showInputMessage="1" showErrorMessage="1" sqref="F54:F59 F86:F96 F98:F102 F4:F31 F33:F52 F61:F84" xr:uid="{80EA8677-D7CE-C943-A450-BF73A69B4804}">
      <formula1>$AC$1:$AC$7</formula1>
    </dataValidation>
    <dataValidation type="list" allowBlank="1" showInputMessage="1" showErrorMessage="1" sqref="H2" xr:uid="{9127A4BD-3554-A84E-8E9C-48C20C6E4440}">
      <formula1>$AA$1:$AA$5</formula1>
    </dataValidation>
  </dataValidations>
  <pageMargins left="0.7" right="0.7" top="0.75" bottom="0.75" header="0.3" footer="0.3"/>
  <pageSetup paperSize="9" orientation="portrait"/>
  <ignoredErrors>
    <ignoredError sqref="H97 H85 H69 H60 H53 H46 H3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zoomScale="183" workbookViewId="0">
      <selection activeCell="D15" sqref="D15"/>
    </sheetView>
  </sheetViews>
  <sheetFormatPr baseColWidth="10" defaultRowHeight="12" customHeight="1" x14ac:dyDescent="0.15"/>
  <cols>
    <col min="2" max="2" width="23.5" customWidth="1"/>
    <col min="4" max="4" width="9.1640625" customWidth="1"/>
    <col min="5" max="5" width="28.6640625" customWidth="1"/>
    <col min="6" max="6" width="12.1640625" customWidth="1"/>
    <col min="7" max="7" width="21.1640625" customWidth="1"/>
    <col min="8" max="8" width="13.33203125" customWidth="1"/>
    <col min="9" max="9" width="3" customWidth="1"/>
    <col min="10" max="10" width="20" customWidth="1"/>
    <col min="11" max="11" width="24.5" bestFit="1" customWidth="1"/>
    <col min="12" max="12" width="2" customWidth="1"/>
    <col min="13" max="13" width="20" customWidth="1"/>
    <col min="14" max="14" width="24.5" bestFit="1" customWidth="1"/>
  </cols>
  <sheetData>
    <row r="1" spans="1:13" ht="12" customHeight="1" thickBot="1" x14ac:dyDescent="0.2">
      <c r="A1" s="116" t="s">
        <v>84</v>
      </c>
    </row>
    <row r="2" spans="1:13" ht="12" customHeight="1" x14ac:dyDescent="0.15">
      <c r="E2" s="170" t="s">
        <v>131</v>
      </c>
      <c r="F2" s="160" t="s">
        <v>129</v>
      </c>
      <c r="G2" s="160" t="s">
        <v>28</v>
      </c>
      <c r="H2" s="161" t="s">
        <v>128</v>
      </c>
      <c r="J2" s="115"/>
      <c r="M2" s="115"/>
    </row>
    <row r="3" spans="1:13" ht="12" customHeight="1" x14ac:dyDescent="0.15">
      <c r="A3" t="s">
        <v>0</v>
      </c>
      <c r="B3" s="187" t="str">
        <f>E3</f>
        <v>Salary</v>
      </c>
      <c r="C3" s="188">
        <f>H3</f>
        <v>50000</v>
      </c>
      <c r="E3" s="162" t="str">
        <f>Budget!B4</f>
        <v>Salary</v>
      </c>
      <c r="F3" s="159">
        <f>Budget!D4</f>
        <v>50000</v>
      </c>
      <c r="G3" s="168" t="str">
        <f>Budget!F4</f>
        <v>Annually</v>
      </c>
      <c r="H3" s="163">
        <f>IF(G3="Annually",F3,IF(G3="Monthly", F3*12, IF(G3="Fortnightly", F3*24,"(Frequency can only be monthly or annual - at least right now)")))</f>
        <v>50000</v>
      </c>
      <c r="J3" s="115"/>
      <c r="M3" s="115"/>
    </row>
    <row r="4" spans="1:13" ht="12" customHeight="1" x14ac:dyDescent="0.15">
      <c r="B4" s="187" t="str">
        <f>E4</f>
        <v>Bonus</v>
      </c>
      <c r="C4" s="188">
        <f>H4</f>
        <v>5000</v>
      </c>
      <c r="E4" s="162" t="str">
        <f>Budget!B5</f>
        <v>Bonus</v>
      </c>
      <c r="F4" s="159">
        <f>Budget!D5</f>
        <v>5000</v>
      </c>
      <c r="G4" s="168" t="str">
        <f>Budget!F5</f>
        <v>Annually</v>
      </c>
      <c r="H4" s="163">
        <f t="shared" ref="H4:H8" si="0">IF(G4="Annually",F4,IF(G4="Monthly", F4*12, IF(G4="Fortnightly", F4*24,"(Frequency can only be monthly or annual - at least right now)")))</f>
        <v>5000</v>
      </c>
      <c r="J4" s="115"/>
      <c r="M4" s="115"/>
    </row>
    <row r="5" spans="1:13" ht="12" customHeight="1" x14ac:dyDescent="0.15">
      <c r="B5" s="187" t="str">
        <f>E5</f>
        <v>Capital Gains from investments</v>
      </c>
      <c r="C5" s="188">
        <f>H5</f>
        <v>0</v>
      </c>
      <c r="E5" s="162" t="str">
        <f>Budget!B6</f>
        <v>Capital Gains from investments</v>
      </c>
      <c r="F5" s="159">
        <f>Budget!D6</f>
        <v>0</v>
      </c>
      <c r="G5" s="168" t="str">
        <f>Budget!F6</f>
        <v>Annually</v>
      </c>
      <c r="H5" s="163">
        <f t="shared" si="0"/>
        <v>0</v>
      </c>
      <c r="J5" s="115"/>
      <c r="M5" s="115"/>
    </row>
    <row r="6" spans="1:13" ht="12" customHeight="1" x14ac:dyDescent="0.15">
      <c r="B6" s="187" t="str">
        <f>E6</f>
        <v>Bank Interest</v>
      </c>
      <c r="C6" s="188">
        <f>H6</f>
        <v>120</v>
      </c>
      <c r="E6" s="162" t="str">
        <f>Budget!B7</f>
        <v>Bank Interest</v>
      </c>
      <c r="F6" s="159">
        <f>Budget!D7</f>
        <v>10</v>
      </c>
      <c r="G6" s="168" t="str">
        <f>Budget!F7</f>
        <v>Monthly</v>
      </c>
      <c r="H6" s="163">
        <f t="shared" si="0"/>
        <v>120</v>
      </c>
      <c r="J6" s="115"/>
      <c r="M6" s="115"/>
    </row>
    <row r="7" spans="1:13" ht="12" customHeight="1" x14ac:dyDescent="0.15">
      <c r="B7" s="167"/>
      <c r="C7" s="157"/>
      <c r="E7" s="162" t="str">
        <f>Budget!B8</f>
        <v>Other</v>
      </c>
      <c r="F7" s="159">
        <f>Budget!D8</f>
        <v>0</v>
      </c>
      <c r="G7" s="168" t="str">
        <f>Budget!F8</f>
        <v>Monthly</v>
      </c>
      <c r="H7" s="163">
        <f t="shared" si="0"/>
        <v>0</v>
      </c>
      <c r="J7" s="115"/>
      <c r="M7" s="115"/>
    </row>
    <row r="8" spans="1:13" ht="12" customHeight="1" thickBot="1" x14ac:dyDescent="0.2">
      <c r="B8" s="167"/>
      <c r="C8" s="157"/>
      <c r="E8" s="164" t="str">
        <f>Budget!B9</f>
        <v>Other</v>
      </c>
      <c r="F8" s="165">
        <f>Budget!D9</f>
        <v>0</v>
      </c>
      <c r="G8" s="169" t="str">
        <f>Budget!F9</f>
        <v>Quarterly</v>
      </c>
      <c r="H8" s="163" t="str">
        <f t="shared" si="0"/>
        <v>(Frequency can only be monthly or annual - at least right now)</v>
      </c>
    </row>
    <row r="9" spans="1:13" ht="12" customHeight="1" thickBot="1" x14ac:dyDescent="0.2">
      <c r="B9" s="171"/>
      <c r="C9" s="172"/>
      <c r="F9" s="14"/>
      <c r="G9" s="173"/>
      <c r="H9" s="173"/>
      <c r="J9" s="14"/>
      <c r="M9" s="14"/>
    </row>
    <row r="10" spans="1:13" ht="12" customHeight="1" thickBot="1" x14ac:dyDescent="0.2">
      <c r="B10" s="115" t="s">
        <v>86</v>
      </c>
      <c r="C10" s="14">
        <f>SUM(C3:C9)</f>
        <v>55120</v>
      </c>
      <c r="E10" s="115"/>
      <c r="F10" s="14"/>
      <c r="H10" s="14"/>
      <c r="I10" s="14"/>
      <c r="J10" s="14"/>
      <c r="M10" s="14"/>
    </row>
    <row r="11" spans="1:13" ht="12" customHeight="1" x14ac:dyDescent="0.15">
      <c r="E11" s="170" t="s">
        <v>134</v>
      </c>
      <c r="F11" s="160" t="s">
        <v>129</v>
      </c>
      <c r="G11" s="160" t="s">
        <v>28</v>
      </c>
      <c r="H11" s="161" t="s">
        <v>128</v>
      </c>
      <c r="I11" s="14"/>
      <c r="J11" s="14"/>
      <c r="M11" s="14"/>
    </row>
    <row r="12" spans="1:13" ht="12" customHeight="1" x14ac:dyDescent="0.15">
      <c r="A12" t="s">
        <v>130</v>
      </c>
      <c r="B12" s="187" t="str">
        <f>E12</f>
        <v>Medical Insurance</v>
      </c>
      <c r="C12" s="188">
        <f>H12</f>
        <v>240</v>
      </c>
      <c r="E12" s="174" t="str">
        <f>Budget!B15</f>
        <v>Medical Insurance</v>
      </c>
      <c r="F12" s="115">
        <f>Budget!D15</f>
        <v>10</v>
      </c>
      <c r="G12" s="115" t="str">
        <f>Budget!F15</f>
        <v>Fortnightly</v>
      </c>
      <c r="H12" s="163">
        <f t="shared" ref="H12:H15" si="1">IF(G12="Annually",F12,IF(G12="Monthly", F12*12, IF(G12="Fortnightly", F12*24,"(Frequency can only be monthly or annual - at least right now)")))</f>
        <v>240</v>
      </c>
      <c r="I12" s="14"/>
      <c r="J12" s="14"/>
      <c r="M12" s="14"/>
    </row>
    <row r="13" spans="1:13" ht="12" customHeight="1" x14ac:dyDescent="0.15">
      <c r="B13" s="187" t="str">
        <f>E13</f>
        <v>Life insurance</v>
      </c>
      <c r="C13" s="188">
        <f>H13</f>
        <v>240</v>
      </c>
      <c r="E13" s="174" t="str">
        <f>Budget!B16</f>
        <v>Life insurance</v>
      </c>
      <c r="F13" s="115">
        <f>Budget!D16</f>
        <v>10</v>
      </c>
      <c r="G13" s="115" t="str">
        <f>Budget!F16</f>
        <v>Fortnightly</v>
      </c>
      <c r="H13" s="163">
        <f t="shared" si="1"/>
        <v>240</v>
      </c>
      <c r="I13" s="14"/>
      <c r="J13" s="14"/>
      <c r="M13" s="14"/>
    </row>
    <row r="14" spans="1:13" ht="12" customHeight="1" x14ac:dyDescent="0.15">
      <c r="B14" s="187" t="str">
        <f>E14</f>
        <v>HSA contribution</v>
      </c>
      <c r="C14" s="188">
        <f>H14</f>
        <v>1800</v>
      </c>
      <c r="E14" s="174" t="str">
        <f>Budget!B17</f>
        <v>HSA contribution</v>
      </c>
      <c r="F14" s="115">
        <f>Budget!D17</f>
        <v>75</v>
      </c>
      <c r="G14" s="115" t="str">
        <f>Budget!F17</f>
        <v>Fortnightly</v>
      </c>
      <c r="H14" s="163">
        <f t="shared" si="1"/>
        <v>1800</v>
      </c>
      <c r="I14" s="14"/>
      <c r="J14" s="14"/>
      <c r="M14" s="14"/>
    </row>
    <row r="15" spans="1:13" ht="12" customHeight="1" x14ac:dyDescent="0.15">
      <c r="B15" s="187" t="str">
        <f>E15</f>
        <v>401k contribution: pre-tax (traditional)</v>
      </c>
      <c r="C15" s="188">
        <f>H15</f>
        <v>4800</v>
      </c>
      <c r="E15" s="174" t="str">
        <f>Budget!B18</f>
        <v>401k contribution: pre-tax (traditional)</v>
      </c>
      <c r="F15" s="115">
        <f>Budget!D18</f>
        <v>200</v>
      </c>
      <c r="G15" s="115" t="str">
        <f>Budget!F18</f>
        <v>Fortnightly</v>
      </c>
      <c r="H15" s="163">
        <f t="shared" si="1"/>
        <v>4800</v>
      </c>
      <c r="I15" s="14"/>
    </row>
    <row r="16" spans="1:13" ht="12" customHeight="1" x14ac:dyDescent="0.15">
      <c r="B16" s="187" t="str">
        <f t="shared" ref="B16" si="2">E16</f>
        <v>Traditional IRA</v>
      </c>
      <c r="C16" s="188">
        <f t="shared" ref="C16" si="3">H16</f>
        <v>0</v>
      </c>
      <c r="E16" s="174" t="str">
        <f>Budget!B24</f>
        <v>Traditional IRA</v>
      </c>
      <c r="F16" s="115">
        <f>Budget!D24</f>
        <v>0</v>
      </c>
      <c r="G16" s="115" t="str">
        <f>Budget!F24</f>
        <v>Monthly</v>
      </c>
      <c r="H16" s="163">
        <f t="shared" ref="H16" si="4">IF(G16="Annually",F16,IF(G16="Monthly", F16*12, "(Frequency can only be monthly or annual - at least right now)"))</f>
        <v>0</v>
      </c>
      <c r="I16" s="14"/>
    </row>
    <row r="17" spans="2:14" ht="12" customHeight="1" x14ac:dyDescent="0.15">
      <c r="B17" s="167"/>
      <c r="C17" s="157"/>
      <c r="E17" s="174" t="str">
        <f>Budget!B30</f>
        <v>Other</v>
      </c>
      <c r="F17" s="115">
        <f>Budget!D30</f>
        <v>0</v>
      </c>
      <c r="G17" s="115" t="str">
        <f>Budget!F30</f>
        <v>Monthly</v>
      </c>
      <c r="H17" s="163">
        <f t="shared" ref="H17" si="5">IF(G17="Annually",F17,IF(G17="Monthly", F17*12, "(Frequency can only be monthly or annual - at least right now)"))</f>
        <v>0</v>
      </c>
      <c r="I17" s="14"/>
      <c r="J17" s="115"/>
      <c r="K17" s="115"/>
      <c r="L17" s="115"/>
      <c r="M17" s="115"/>
      <c r="N17" s="115"/>
    </row>
    <row r="18" spans="2:14" ht="12" customHeight="1" thickBot="1" x14ac:dyDescent="0.2">
      <c r="B18" s="167"/>
      <c r="C18" s="157"/>
      <c r="E18" s="175" t="str">
        <f>Budget!B31</f>
        <v>Other</v>
      </c>
      <c r="F18" s="176">
        <f>Budget!D31</f>
        <v>0</v>
      </c>
      <c r="G18" s="176" t="str">
        <f>Budget!F31</f>
        <v>Monthly</v>
      </c>
      <c r="H18" s="166">
        <f t="shared" ref="H18" si="6">IF(G18="Annually",F18,IF(G18="Monthly", F18*12, "(Frequency can only be monthly or annual - at least right now)"))</f>
        <v>0</v>
      </c>
      <c r="I18" s="14"/>
      <c r="J18" s="115"/>
      <c r="K18" s="115"/>
      <c r="L18" s="115"/>
      <c r="M18" s="115"/>
      <c r="N18" s="115"/>
    </row>
    <row r="19" spans="2:14" ht="12" customHeight="1" thickBot="1" x14ac:dyDescent="0.2">
      <c r="B19" s="171"/>
      <c r="C19" s="172"/>
      <c r="G19" s="14"/>
      <c r="H19" s="14"/>
      <c r="I19" s="14"/>
      <c r="J19" s="115"/>
      <c r="K19" s="115"/>
      <c r="L19" s="115"/>
      <c r="M19" s="115"/>
      <c r="N19" s="115"/>
    </row>
    <row r="20" spans="2:14" ht="12" customHeight="1" x14ac:dyDescent="0.15">
      <c r="B20" s="115" t="s">
        <v>87</v>
      </c>
      <c r="C20" s="14">
        <f>C10-SUM(C12:C19)</f>
        <v>48040</v>
      </c>
      <c r="E20" s="115" t="s">
        <v>105</v>
      </c>
      <c r="F20" s="115" t="s">
        <v>106</v>
      </c>
      <c r="G20" s="14"/>
      <c r="H20" s="14"/>
      <c r="I20" s="14"/>
      <c r="J20" s="115"/>
      <c r="K20" s="115"/>
      <c r="L20" s="115"/>
      <c r="M20" s="115"/>
      <c r="N20" s="115"/>
    </row>
    <row r="21" spans="2:14" ht="12" customHeight="1" x14ac:dyDescent="0.15">
      <c r="B21" s="117" t="s">
        <v>153</v>
      </c>
      <c r="C21" s="123">
        <v>-13850</v>
      </c>
      <c r="E21" s="122" t="str">
        <f>IF(C33&lt;&gt;C22, "Taxable Income does NOT Income in Bracket!! THIS IS A ERROR...", "Looks good. Taxable Income matches Income in Bracket")</f>
        <v>Looks good. Taxable Income matches Income in Bracket</v>
      </c>
      <c r="F21" s="115"/>
      <c r="G21" s="115"/>
      <c r="H21" s="115"/>
      <c r="I21" s="115"/>
      <c r="J21" s="115"/>
      <c r="K21" s="115"/>
      <c r="L21" s="115"/>
      <c r="M21" s="115"/>
      <c r="N21" s="115"/>
    </row>
    <row r="22" spans="2:14" ht="12" customHeight="1" x14ac:dyDescent="0.15">
      <c r="B22" s="115" t="s">
        <v>90</v>
      </c>
      <c r="C22" s="14">
        <f>C20+C21</f>
        <v>34190</v>
      </c>
      <c r="E22" s="14" t="s">
        <v>156</v>
      </c>
      <c r="F22" s="118"/>
      <c r="G22" s="118"/>
      <c r="H22" s="115"/>
      <c r="I22" s="115"/>
      <c r="J22" s="115"/>
      <c r="K22" s="115"/>
      <c r="L22" s="115"/>
      <c r="M22" s="115"/>
      <c r="N22" s="115"/>
    </row>
    <row r="23" spans="2:14" ht="12" customHeight="1" x14ac:dyDescent="0.15">
      <c r="B23" s="115"/>
      <c r="C23" s="14"/>
      <c r="E23" s="14"/>
      <c r="F23" s="118"/>
      <c r="G23" s="118"/>
      <c r="H23" s="115"/>
      <c r="I23" s="115"/>
      <c r="J23" s="115"/>
      <c r="K23" s="115"/>
      <c r="L23" s="115"/>
      <c r="M23" s="115"/>
      <c r="N23" s="115"/>
    </row>
    <row r="25" spans="2:14" ht="12" customHeight="1" x14ac:dyDescent="0.15">
      <c r="C25" s="190" t="s">
        <v>136</v>
      </c>
      <c r="D25" s="119" t="s">
        <v>102</v>
      </c>
      <c r="E25" s="191" t="s">
        <v>132</v>
      </c>
      <c r="F25" s="201" t="s">
        <v>91</v>
      </c>
      <c r="G25" s="184" t="s">
        <v>92</v>
      </c>
      <c r="H25" s="185" t="s">
        <v>135</v>
      </c>
      <c r="J25" s="184" t="s">
        <v>93</v>
      </c>
      <c r="K25" s="185" t="s">
        <v>135</v>
      </c>
      <c r="M25" s="184" t="s">
        <v>154</v>
      </c>
      <c r="N25" s="185" t="s">
        <v>135</v>
      </c>
    </row>
    <row r="26" spans="2:14" ht="12" customHeight="1" x14ac:dyDescent="0.15">
      <c r="B26" s="115"/>
      <c r="C26" s="124">
        <f>IF($C$22-H26&gt;0, H26, C22)</f>
        <v>11000</v>
      </c>
      <c r="D26" s="14">
        <f t="shared" ref="D26:D32" si="7">C26*F26</f>
        <v>1100</v>
      </c>
      <c r="E26" t="str">
        <f>"$"&amp;C26&amp;" * "&amp;'Tax Calculation'!$F26*100&amp;"% "&amp;" = $"&amp;D26</f>
        <v>$11000 * 10%  = $1100</v>
      </c>
      <c r="F26" s="202">
        <v>0.1</v>
      </c>
      <c r="G26" s="192" t="s">
        <v>140</v>
      </c>
      <c r="H26" s="196">
        <v>11000</v>
      </c>
      <c r="J26" s="186"/>
      <c r="K26" s="186"/>
      <c r="M26" s="186"/>
      <c r="N26" s="186"/>
    </row>
    <row r="27" spans="2:14" ht="12" customHeight="1" x14ac:dyDescent="0.15">
      <c r="B27" s="115"/>
      <c r="C27" s="124">
        <f>IF($C$22-C26-H27&gt;0, H27, $C$22-C26)</f>
        <v>23190</v>
      </c>
      <c r="D27" s="14">
        <f t="shared" si="7"/>
        <v>2782.7999999999997</v>
      </c>
      <c r="E27" t="str">
        <f>"$"&amp;C27&amp;" * "&amp;'Tax Calculation'!$F27*100&amp;"% "&amp;" = $"&amp;D27</f>
        <v>$23190 * 12%  = $2782.8</v>
      </c>
      <c r="F27" s="203">
        <v>0.12</v>
      </c>
      <c r="G27" s="193" t="s">
        <v>142</v>
      </c>
      <c r="H27" s="197">
        <f>44725-H26</f>
        <v>33725</v>
      </c>
      <c r="J27" s="182"/>
      <c r="K27" s="182"/>
      <c r="M27" s="182"/>
      <c r="N27" s="182"/>
    </row>
    <row r="28" spans="2:14" ht="12" customHeight="1" x14ac:dyDescent="0.15">
      <c r="B28" s="115"/>
      <c r="C28" s="124">
        <f>IF($C$22-C26-C27-H28&gt;0, H28,$C$22-C26-C27)</f>
        <v>0</v>
      </c>
      <c r="D28" s="14">
        <f t="shared" si="7"/>
        <v>0</v>
      </c>
      <c r="E28" t="str">
        <f>"$"&amp;C28&amp;" * "&amp;'Tax Calculation'!$F28*100&amp;"% "&amp;" = $"&amp;D28</f>
        <v>$0 * 22%  = $0</v>
      </c>
      <c r="F28" s="204">
        <v>0.22</v>
      </c>
      <c r="G28" s="194" t="s">
        <v>144</v>
      </c>
      <c r="H28" s="198">
        <f>95375-SUM(H26:H27)</f>
        <v>50650</v>
      </c>
      <c r="J28" s="180"/>
      <c r="K28" s="180"/>
      <c r="M28" s="180"/>
      <c r="N28" s="180"/>
    </row>
    <row r="29" spans="2:14" ht="12" customHeight="1" x14ac:dyDescent="0.15">
      <c r="B29" s="115"/>
      <c r="C29" s="124">
        <f>IF($C$22-C26-C27-C28-H29&gt;0, H29,$C$22-C26-C27-C28)</f>
        <v>0</v>
      </c>
      <c r="D29" s="14">
        <f t="shared" si="7"/>
        <v>0</v>
      </c>
      <c r="E29" t="str">
        <f>"$"&amp;C29&amp;" * "&amp;'Tax Calculation'!$F29*100&amp;"% "&amp;" = $"&amp;D29</f>
        <v>$0 * 24%  = $0</v>
      </c>
      <c r="F29" s="203">
        <v>0.24</v>
      </c>
      <c r="G29" s="193" t="s">
        <v>146</v>
      </c>
      <c r="H29" s="197">
        <f>182100-SUM(H26:H28)</f>
        <v>86725</v>
      </c>
      <c r="J29" s="182"/>
      <c r="K29" s="182"/>
      <c r="M29" s="182"/>
      <c r="N29" s="182"/>
    </row>
    <row r="30" spans="2:14" ht="12" customHeight="1" x14ac:dyDescent="0.15">
      <c r="B30" s="115"/>
      <c r="C30" s="124">
        <f>IF($C$22-C26-C27-C28-C29-H30&gt;0, H30,$C$22-C26-C27-C28-C29)</f>
        <v>0</v>
      </c>
      <c r="D30" s="14">
        <f t="shared" si="7"/>
        <v>0</v>
      </c>
      <c r="E30" t="str">
        <f>"$"&amp;C30&amp;" * "&amp;'Tax Calculation'!$F30*100&amp;"% "&amp;" = $"&amp;D30</f>
        <v>$0 * 32%  = $0</v>
      </c>
      <c r="F30" s="204">
        <v>0.32</v>
      </c>
      <c r="G30" s="194" t="s">
        <v>148</v>
      </c>
      <c r="H30" s="198">
        <f>231250-SUM(H26:H29)</f>
        <v>49150</v>
      </c>
      <c r="J30" s="180"/>
      <c r="K30" s="180"/>
      <c r="M30" s="180"/>
      <c r="N30" s="180"/>
    </row>
    <row r="31" spans="2:14" ht="12" customHeight="1" x14ac:dyDescent="0.15">
      <c r="B31" s="115"/>
      <c r="C31" s="124">
        <f>IF($C$22-C26-C27-C28-C29-C30-H31&gt;0, H31,$C$22-C26-C27-C28-C29-C30)</f>
        <v>0</v>
      </c>
      <c r="D31" s="14">
        <f t="shared" si="7"/>
        <v>0</v>
      </c>
      <c r="E31" t="str">
        <f>"$"&amp;C31&amp;" * "&amp;'Tax Calculation'!$F31*100&amp;"% "&amp;" = $"&amp;D31</f>
        <v>$0 * 35%  = $0</v>
      </c>
      <c r="F31" s="203">
        <v>0.35</v>
      </c>
      <c r="G31" s="193" t="s">
        <v>150</v>
      </c>
      <c r="H31" s="197">
        <f>578125-SUM(H26:H30)</f>
        <v>346875</v>
      </c>
      <c r="J31" s="182"/>
      <c r="K31" s="182"/>
      <c r="L31" s="120"/>
      <c r="M31" s="182"/>
      <c r="N31" s="182"/>
    </row>
    <row r="32" spans="2:14" ht="12" customHeight="1" thickBot="1" x14ac:dyDescent="0.2">
      <c r="B32" s="115"/>
      <c r="C32" s="177">
        <f>IF($C$22-C26-C27-C28-C29-C30-C31-H32&gt;0, H32,$C$22-C26-C27-C28-C29-C30-C31)</f>
        <v>0</v>
      </c>
      <c r="D32" s="178">
        <f t="shared" si="7"/>
        <v>0</v>
      </c>
      <c r="E32" t="str">
        <f>"$"&amp;C32&amp;" * "&amp;'Tax Calculation'!$F32*100&amp;"% "&amp;" = $"&amp;D32</f>
        <v>$0 * 37%  = $0</v>
      </c>
      <c r="F32" s="205">
        <v>0.37</v>
      </c>
      <c r="G32" s="195" t="s">
        <v>152</v>
      </c>
      <c r="H32" s="199"/>
      <c r="J32" s="183"/>
      <c r="K32" s="183"/>
      <c r="L32" s="120"/>
      <c r="M32" s="183"/>
      <c r="N32" s="183"/>
    </row>
    <row r="33" spans="2:14" ht="12" customHeight="1" x14ac:dyDescent="0.15">
      <c r="B33" s="115" t="s">
        <v>133</v>
      </c>
      <c r="C33" s="115">
        <f>SUM(C26:C32)</f>
        <v>34190</v>
      </c>
      <c r="D33" s="115">
        <f>SUM(D26:D32)</f>
        <v>3882.7999999999997</v>
      </c>
      <c r="H33" s="14"/>
    </row>
    <row r="34" spans="2:14" ht="12" customHeight="1" x14ac:dyDescent="0.15">
      <c r="B34" s="115"/>
      <c r="E34" s="115"/>
      <c r="H34" s="14"/>
    </row>
    <row r="35" spans="2:14" ht="12" customHeight="1" x14ac:dyDescent="0.15">
      <c r="B35" s="115" t="s">
        <v>138</v>
      </c>
      <c r="C35" s="115"/>
      <c r="D35" s="179">
        <f>IF(D26=0, "You don't pay tax?", IF(D27=0,F26,IF(D28=0,F27,IF(D29=0,F28,IF(D30=0,F29,IF(D31,F30,IF(D32=0,F31,"You make too much to be using this spreadsheet")))))))</f>
        <v>0.12</v>
      </c>
      <c r="E35" s="115"/>
      <c r="H35" s="14"/>
    </row>
    <row r="36" spans="2:14" ht="12" customHeight="1" x14ac:dyDescent="0.15">
      <c r="B36" s="115" t="s">
        <v>137</v>
      </c>
      <c r="D36" s="179">
        <f>D33/C33</f>
        <v>0.11356536999122549</v>
      </c>
      <c r="E36" s="115"/>
      <c r="F36" s="181"/>
      <c r="G36" s="182"/>
      <c r="H36" s="197"/>
      <c r="I36" s="182"/>
      <c r="J36" s="182"/>
      <c r="M36" s="182"/>
    </row>
    <row r="37" spans="2:14" ht="12" customHeight="1" x14ac:dyDescent="0.15">
      <c r="B37" s="115"/>
      <c r="H37" s="14"/>
    </row>
    <row r="38" spans="2:14" ht="12" customHeight="1" x14ac:dyDescent="0.15">
      <c r="B38" s="115"/>
      <c r="D38" s="115"/>
      <c r="H38" s="14"/>
    </row>
    <row r="39" spans="2:14" ht="12" customHeight="1" x14ac:dyDescent="0.15">
      <c r="E39" s="189" t="s">
        <v>139</v>
      </c>
      <c r="F39" s="201" t="s">
        <v>91</v>
      </c>
      <c r="G39" s="184" t="s">
        <v>92</v>
      </c>
      <c r="H39" s="200" t="s">
        <v>135</v>
      </c>
      <c r="J39" s="184" t="s">
        <v>93</v>
      </c>
      <c r="K39" s="185" t="s">
        <v>135</v>
      </c>
      <c r="M39" s="184" t="s">
        <v>154</v>
      </c>
      <c r="N39" s="185" t="s">
        <v>135</v>
      </c>
    </row>
    <row r="40" spans="2:14" ht="12" customHeight="1" x14ac:dyDescent="0.15">
      <c r="C40" s="14"/>
      <c r="D40" s="115"/>
      <c r="E40" s="115"/>
      <c r="F40" s="202">
        <v>0.1</v>
      </c>
      <c r="G40" s="192" t="s">
        <v>141</v>
      </c>
      <c r="H40" s="196">
        <f>10275</f>
        <v>10275</v>
      </c>
      <c r="J40" s="186" t="s">
        <v>94</v>
      </c>
      <c r="K40" s="186">
        <f t="shared" ref="K40:K45" si="8">H40*2</f>
        <v>20550</v>
      </c>
      <c r="M40" s="186"/>
      <c r="N40" s="186"/>
    </row>
    <row r="41" spans="2:14" ht="12" customHeight="1" x14ac:dyDescent="0.15">
      <c r="B41" s="115"/>
      <c r="C41" s="115"/>
      <c r="D41" s="115"/>
      <c r="E41" s="115"/>
      <c r="F41" s="203">
        <v>0.12</v>
      </c>
      <c r="G41" s="193" t="s">
        <v>143</v>
      </c>
      <c r="H41" s="197">
        <f>41775-H40</f>
        <v>31500</v>
      </c>
      <c r="J41" s="182" t="s">
        <v>95</v>
      </c>
      <c r="K41" s="182">
        <f t="shared" si="8"/>
        <v>63000</v>
      </c>
      <c r="M41" s="182"/>
      <c r="N41" s="182"/>
    </row>
    <row r="42" spans="2:14" ht="12" customHeight="1" x14ac:dyDescent="0.15">
      <c r="B42" s="115"/>
      <c r="C42" s="115"/>
      <c r="D42" s="115"/>
      <c r="E42" s="115"/>
      <c r="F42" s="204">
        <v>0.22</v>
      </c>
      <c r="G42" s="194" t="s">
        <v>145</v>
      </c>
      <c r="H42" s="198">
        <f>89075-H41-H40</f>
        <v>47300</v>
      </c>
      <c r="J42" s="180" t="s">
        <v>96</v>
      </c>
      <c r="K42" s="180">
        <f t="shared" si="8"/>
        <v>94600</v>
      </c>
      <c r="M42" s="180"/>
      <c r="N42" s="180"/>
    </row>
    <row r="43" spans="2:14" ht="12" customHeight="1" x14ac:dyDescent="0.15">
      <c r="B43" s="115"/>
      <c r="E43" s="115"/>
      <c r="F43" s="203">
        <v>0.24</v>
      </c>
      <c r="G43" s="193" t="s">
        <v>147</v>
      </c>
      <c r="H43" s="182"/>
      <c r="J43" s="182" t="s">
        <v>97</v>
      </c>
      <c r="K43" s="182">
        <f t="shared" si="8"/>
        <v>0</v>
      </c>
      <c r="M43" s="182"/>
      <c r="N43" s="182"/>
    </row>
    <row r="44" spans="2:14" ht="12" customHeight="1" x14ac:dyDescent="0.15">
      <c r="B44" s="115"/>
      <c r="C44" s="115"/>
      <c r="D44" s="115"/>
      <c r="E44" s="115"/>
      <c r="F44" s="204">
        <v>0.32</v>
      </c>
      <c r="G44" s="194" t="s">
        <v>149</v>
      </c>
      <c r="H44" s="180"/>
      <c r="J44" s="180" t="s">
        <v>98</v>
      </c>
      <c r="K44" s="180">
        <f t="shared" si="8"/>
        <v>0</v>
      </c>
      <c r="M44" s="180"/>
      <c r="N44" s="180"/>
    </row>
    <row r="45" spans="2:14" ht="12" customHeight="1" x14ac:dyDescent="0.15">
      <c r="F45" s="203">
        <v>0.35</v>
      </c>
      <c r="G45" s="193" t="s">
        <v>151</v>
      </c>
      <c r="H45" s="182"/>
      <c r="J45" s="182" t="s">
        <v>99</v>
      </c>
      <c r="K45" s="182">
        <f t="shared" si="8"/>
        <v>0</v>
      </c>
      <c r="M45" s="182"/>
      <c r="N45" s="182"/>
    </row>
    <row r="46" spans="2:14" ht="12" customHeight="1" x14ac:dyDescent="0.15">
      <c r="B46" s="115"/>
      <c r="F46" s="205">
        <v>0.37</v>
      </c>
      <c r="G46" s="195" t="s">
        <v>100</v>
      </c>
      <c r="H46" s="183"/>
      <c r="J46" s="183" t="s">
        <v>101</v>
      </c>
      <c r="K46" s="183"/>
      <c r="M46" s="183"/>
      <c r="N46" s="183"/>
    </row>
    <row r="47" spans="2:14" ht="12" customHeight="1" x14ac:dyDescent="0.15">
      <c r="B47" s="115"/>
      <c r="C47" s="115"/>
      <c r="D47" s="1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C Document" ma:contentTypeID="0x010100B5F685A1365F544391EF8C813B164F3A00914E7A0F3CFC1C4C909EFBD5E76E6A3E" ma:contentTypeVersion="27" ma:contentTypeDescription="" ma:contentTypeScope="" ma:versionID="3f02e6f2d6d0b03c4e335c7b561b95e0">
  <xsd:schema xmlns:xsd="http://www.w3.org/2001/XMLSchema" xmlns:xs="http://www.w3.org/2001/XMLSchema" xmlns:p="http://schemas.microsoft.com/office/2006/metadata/properties" xmlns:ns2="da7a9ac0-bc47-4684-84e6-3a8e9ac80c12" xmlns:ns3="bacc0698-7578-4d85-9081-38129c24f0cc" xmlns:ns5="http://schemas.microsoft.com/sharepoint/v4" xmlns:ns6="17f478ab-373e-4295-9ff0-9b833ad01319" targetNamespace="http://schemas.microsoft.com/office/2006/metadata/properties" ma:root="true" ma:fieldsID="4e7f3df23901f22f3bf1ab14ab74db9d" ns2:_="" ns3:_="" ns5:_="" ns6:_="">
    <xsd:import namespace="da7a9ac0-bc47-4684-84e6-3a8e9ac80c12"/>
    <xsd:import namespace="bacc0698-7578-4d85-9081-38129c24f0cc"/>
    <xsd:import namespace="http://schemas.microsoft.com/sharepoint/v4"/>
    <xsd:import namespace="17f478ab-373e-4295-9ff0-9b833ad01319"/>
    <xsd:element name="properties">
      <xsd:complexType>
        <xsd:sequence>
          <xsd:element name="documentManagement">
            <xsd:complexType>
              <xsd:all>
                <xsd:element ref="ns2:RecordNumber" minOccurs="0"/>
                <xsd:element ref="ns2:ObjectiveID" minOccurs="0"/>
                <xsd:element ref="ns2:SenateOrder12" minOccurs="0"/>
                <xsd:element ref="ns2:SignificantFlag" minOccurs="0"/>
                <xsd:element ref="ns2:SignificantReason" minOccurs="0"/>
                <xsd:element ref="ns3:TaxCatchAll" minOccurs="0"/>
                <xsd:element ref="ns3:TaxCatchAllLabel" minOccurs="0"/>
                <xsd:element ref="ns2:ded95d7ab059406991d558011d18c177" minOccurs="0"/>
                <xsd:element ref="ns3:bf518a87166e49259aa75dac006d703c" minOccurs="0"/>
                <xsd:element ref="ns5:IconOverlay" minOccurs="0"/>
                <xsd:element ref="ns2:NotesLinks" minOccurs="0"/>
                <xsd:element ref="ns6:Reviewers" minOccurs="0"/>
                <xsd:element ref="ns6:Approvers" minOccurs="0"/>
                <xsd:element ref="ns3:ce1d55daccc845abbea925724191e84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a9ac0-bc47-4684-84e6-3a8e9ac80c12" elementFormDefault="qualified">
    <xsd:import namespace="http://schemas.microsoft.com/office/2006/documentManagement/types"/>
    <xsd:import namespace="http://schemas.microsoft.com/office/infopath/2007/PartnerControls"/>
    <xsd:element name="RecordNumber" ma:index="1" nillable="true" ma:displayName="Document ID" ma:hidden="true" ma:internalName="RecordNumber">
      <xsd:simpleType>
        <xsd:restriction base="dms:Text">
          <xsd:maxLength value="255"/>
        </xsd:restriction>
      </xsd:simpleType>
    </xsd:element>
    <xsd:element name="ObjectiveID" ma:index="3" nillable="true" ma:displayName="Objective ID" ma:hidden="true" ma:internalName="ObjectiveID">
      <xsd:simpleType>
        <xsd:restriction base="dms:Text">
          <xsd:maxLength value="255"/>
        </xsd:restriction>
      </xsd:simpleType>
    </xsd:element>
    <xsd:element name="SenateOrder12" ma:index="4" nillable="true" ma:displayName="Senate Order #12" ma:default="0" ma:hidden="true" ma:internalName="SenateOrder12">
      <xsd:simpleType>
        <xsd:restriction base="dms:Boolean"/>
      </xsd:simpleType>
    </xsd:element>
    <xsd:element name="SignificantFlag" ma:index="5" nillable="true" ma:displayName="Significant Flag" ma:default="0" ma:hidden="true" ma:internalName="SignificantFlag">
      <xsd:simpleType>
        <xsd:restriction base="dms:Boolean"/>
      </xsd:simpleType>
    </xsd:element>
    <xsd:element name="SignificantReason" ma:index="6" nillable="true" ma:displayName="Significant Reason" ma:hidden="true" ma:internalName="SignificantReason">
      <xsd:simpleType>
        <xsd:restriction base="dms:Text">
          <xsd:maxLength value="255"/>
        </xsd:restriction>
      </xsd:simpleType>
    </xsd:element>
    <xsd:element name="ded95d7ab059406991d558011d18c177" ma:index="15" nillable="true" ma:displayName="SecurityClassification_0" ma:hidden="true" ma:internalName="ded95d7ab059406991d558011d18c177" ma:readOnly="false">
      <xsd:simpleType>
        <xsd:restriction base="dms:Note"/>
      </xsd:simpleType>
    </xsd:element>
    <xsd:element name="NotesLinks" ma:index="20" nillable="true" ma:displayName="Notes &amp; Links" ma:description="Use this field to enter relevant document/site hyperlinks and/or notes." ma:internalName="NotesLink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c0698-7578-4d85-9081-38129c24f0cc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0c899698-218d-488b-89fc-4a1f3cde5226}" ma:internalName="TaxCatchAll" ma:showField="CatchAllData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0c899698-218d-488b-89fc-4a1f3cde5226}" ma:internalName="TaxCatchAllLabel" ma:readOnly="true" ma:showField="CatchAllDataLabel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f518a87166e49259aa75dac006d703c" ma:index="17" ma:taxonomy="true" ma:internalName="bf518a87166e49259aa75dac006d703c" ma:taxonomyFieldName="SecurityClassification" ma:displayName="Security Classification" ma:default="8;#Unclassified|130890fe-834f-4e13-bf5c-d9bccac902a4" ma:fieldId="{bf518a87-166e-4925-9aa7-5dac006d703c}" ma:sspId="b38671ba-7d76-46f8-b8a5-5fc3a7d6229d" ma:termSetId="1d2f2699-c9ac-44b7-aa84-d64945e6f0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e1d55daccc845abbea925724191e84f" ma:index="24" nillable="true" ma:taxonomy="true" ma:internalName="ce1d55daccc845abbea925724191e84f" ma:taxonomyFieldName="CalculatorTool" ma:displayName="CalculatorTool" ma:default="" ma:fieldId="{ce1d55da-ccc8-45ab-bea9-25724191e84f}" ma:sspId="b38671ba-7d76-46f8-b8a5-5fc3a7d6229d" ma:termSetId="696d4589-0bec-412d-859e-caa9c1c39f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478ab-373e-4295-9ff0-9b833ad01319" elementFormDefault="qualified">
    <xsd:import namespace="http://schemas.microsoft.com/office/2006/documentManagement/types"/>
    <xsd:import namespace="http://schemas.microsoft.com/office/infopath/2007/PartnerControls"/>
    <xsd:element name="Reviewers" ma:index="21" nillable="true" ma:displayName="Reviewers" ma:list="UserInfo" ma:SharePointGroup="0" ma:internalName="Review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" ma:index="22" nillable="true" ma:displayName="Approvers" ma:list="UserInfo" ma:SharePointGroup="0" ma:internalName="Approv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B6C0E0-C117-7647-A826-6222B2697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7a9ac0-bc47-4684-84e6-3a8e9ac80c12"/>
    <ds:schemaRef ds:uri="bacc0698-7578-4d85-9081-38129c24f0cc"/>
    <ds:schemaRef ds:uri="http://schemas.microsoft.com/sharepoint/v4"/>
    <ds:schemaRef ds:uri="17f478ab-373e-4295-9ff0-9b833ad0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EECCAE-7E4F-1F43-8873-35021270E735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3DE6530-7BD8-DF41-B1A4-A1908DD501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Tax Calculation</vt:lpstr>
    </vt:vector>
  </TitlesOfParts>
  <Company>Watson Wyatt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planner</dc:title>
  <dc:subject>Budget planner spreadsheet</dc:subject>
  <dc:creator>ASIC</dc:creator>
  <cp:lastModifiedBy>Steve</cp:lastModifiedBy>
  <cp:lastPrinted>2011-09-21T05:01:23Z</cp:lastPrinted>
  <dcterms:created xsi:type="dcterms:W3CDTF">2010-07-12T00:57:12Z</dcterms:created>
  <dcterms:modified xsi:type="dcterms:W3CDTF">2022-11-07T04:59:56Z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C308347</vt:lpwstr>
  </property>
  <property fmtid="{D5CDD505-2E9C-101B-9397-08002B2CF9AE}" pid="3" name="Objective-Title">
    <vt:lpwstr>Budget-planner vertical</vt:lpwstr>
  </property>
  <property fmtid="{D5CDD505-2E9C-101B-9397-08002B2CF9AE}" pid="4" name="Objective-Comment">
    <vt:lpwstr/>
  </property>
  <property fmtid="{D5CDD505-2E9C-101B-9397-08002B2CF9AE}" pid="5" name="Objective-CreationStamp">
    <vt:filetime>2014-11-03T23:02:38Z</vt:filetime>
  </property>
  <property fmtid="{D5CDD505-2E9C-101B-9397-08002B2CF9AE}" pid="6" name="Objective-IsApproved">
    <vt:bool>false</vt:bool>
  </property>
  <property fmtid="{D5CDD505-2E9C-101B-9397-08002B2CF9AE}" pid="7" name="Objective-IsPublished">
    <vt:bool>true</vt:bool>
  </property>
  <property fmtid="{D5CDD505-2E9C-101B-9397-08002B2CF9AE}" pid="8" name="Objective-DatePublished">
    <vt:filetime>2014-11-06T23:32:20Z</vt:filetime>
  </property>
  <property fmtid="{D5CDD505-2E9C-101B-9397-08002B2CF9AE}" pid="9" name="Objective-ModificationStamp">
    <vt:filetime>2014-11-06T22:32:22Z</vt:filetime>
  </property>
  <property fmtid="{D5CDD505-2E9C-101B-9397-08002B2CF9AE}" pid="10" name="Objective-Owner">
    <vt:lpwstr>Nicole Hoschke</vt:lpwstr>
  </property>
  <property fmtid="{D5CDD505-2E9C-101B-9397-08002B2CF9AE}" pid="11" name="Objective-Path">
    <vt:lpwstr>BCS:ASIC:CONSUMERS &amp; INVESTORS:Education Programs:MoneySmart:Calculators &amp; apps:Budget Planner Excel:</vt:lpwstr>
  </property>
  <property fmtid="{D5CDD505-2E9C-101B-9397-08002B2CF9AE}" pid="12" name="Objective-Parent">
    <vt:lpwstr>Budget Planner Excel</vt:lpwstr>
  </property>
  <property fmtid="{D5CDD505-2E9C-101B-9397-08002B2CF9AE}" pid="13" name="Objective-State">
    <vt:lpwstr>Published</vt:lpwstr>
  </property>
  <property fmtid="{D5CDD505-2E9C-101B-9397-08002B2CF9AE}" pid="14" name="Objective-Version">
    <vt:lpwstr>3.0</vt:lpwstr>
  </property>
  <property fmtid="{D5CDD505-2E9C-101B-9397-08002B2CF9AE}" pid="15" name="Objective-VersionNumber">
    <vt:i4>4</vt:i4>
  </property>
  <property fmtid="{D5CDD505-2E9C-101B-9397-08002B2CF9AE}" pid="16" name="Objective-VersionComment">
    <vt:lpwstr/>
  </property>
  <property fmtid="{D5CDD505-2E9C-101B-9397-08002B2CF9AE}" pid="17" name="Objective-FileNumber">
    <vt:lpwstr>2011 - 005855</vt:lpwstr>
  </property>
  <property fmtid="{D5CDD505-2E9C-101B-9397-08002B2CF9AE}" pid="18" name="Objective-Classification">
    <vt:lpwstr>[Inherited - IN-CONFIDENCE]</vt:lpwstr>
  </property>
  <property fmtid="{D5CDD505-2E9C-101B-9397-08002B2CF9AE}" pid="19" name="Objective-Caveats">
    <vt:lpwstr/>
  </property>
  <property fmtid="{D5CDD505-2E9C-101B-9397-08002B2CF9AE}" pid="20" name="Objective-Category [system]">
    <vt:lpwstr/>
  </property>
  <property fmtid="{D5CDD505-2E9C-101B-9397-08002B2CF9AE}" pid="21" name="ContentTypeId">
    <vt:lpwstr>0x010100B5F685A1365F544391EF8C813B164F3A00914E7A0F3CFC1C4C909EFBD5E76E6A3E</vt:lpwstr>
  </property>
  <property fmtid="{D5CDD505-2E9C-101B-9397-08002B2CF9AE}" pid="22" name="RecordNumber">
    <vt:lpwstr>R20160000287661</vt:lpwstr>
  </property>
  <property fmtid="{D5CDD505-2E9C-101B-9397-08002B2CF9AE}" pid="23" name="ObjectiveID">
    <vt:lpwstr/>
  </property>
  <property fmtid="{D5CDD505-2E9C-101B-9397-08002B2CF9AE}" pid="24" name="ce1d55daccc845abbea925724191e84f">
    <vt:lpwstr>Budget Planner|66d08f46-d816-44ac-bda2-c36d7282d756</vt:lpwstr>
  </property>
  <property fmtid="{D5CDD505-2E9C-101B-9397-08002B2CF9AE}" pid="25" name="IconOverlay">
    <vt:lpwstr/>
  </property>
  <property fmtid="{D5CDD505-2E9C-101B-9397-08002B2CF9AE}" pid="26" name="TaxCatchAll">
    <vt:lpwstr>8;#Unclassified|130890fe-834f-4e13-bf5c-d9bccac902a4;#24;#Budget Planner|66d08f46-d816-44ac-bda2-c36d7282d756</vt:lpwstr>
  </property>
  <property fmtid="{D5CDD505-2E9C-101B-9397-08002B2CF9AE}" pid="27" name="SignificantFlag">
    <vt:lpwstr>0</vt:lpwstr>
  </property>
  <property fmtid="{D5CDD505-2E9C-101B-9397-08002B2CF9AE}" pid="28" name="SenateOrder12">
    <vt:lpwstr>0</vt:lpwstr>
  </property>
  <property fmtid="{D5CDD505-2E9C-101B-9397-08002B2CF9AE}" pid="29" name="bf518a87166e49259aa75dac006d703c">
    <vt:lpwstr>Unclassified|130890fe-834f-4e13-bf5c-d9bccac902a4</vt:lpwstr>
  </property>
  <property fmtid="{D5CDD505-2E9C-101B-9397-08002B2CF9AE}" pid="30" name="ded95d7ab059406991d558011d18c177">
    <vt:lpwstr/>
  </property>
  <property fmtid="{D5CDD505-2E9C-101B-9397-08002B2CF9AE}" pid="31" name="Approvers">
    <vt:lpwstr/>
  </property>
  <property fmtid="{D5CDD505-2E9C-101B-9397-08002B2CF9AE}" pid="32" name="Reviewers">
    <vt:lpwstr/>
  </property>
  <property fmtid="{D5CDD505-2E9C-101B-9397-08002B2CF9AE}" pid="33" name="SignificantReason">
    <vt:lpwstr/>
  </property>
  <property fmtid="{D5CDD505-2E9C-101B-9397-08002B2CF9AE}" pid="34" name="NotesLinks">
    <vt:lpwstr/>
  </property>
  <property fmtid="{D5CDD505-2E9C-101B-9397-08002B2CF9AE}" pid="35" name="CalculatorTool">
    <vt:lpwstr>24;#Budget Planner|66d08f46-d816-44ac-bda2-c36d7282d756</vt:lpwstr>
  </property>
  <property fmtid="{D5CDD505-2E9C-101B-9397-08002B2CF9AE}" pid="36" name="SecurityClassification">
    <vt:lpwstr>8;#Unclassified|130890fe-834f-4e13-bf5c-d9bccac902a4</vt:lpwstr>
  </property>
  <property fmtid="{D5CDD505-2E9C-101B-9397-08002B2CF9AE}" pid="37" name="RecordPoint_WorkflowType">
    <vt:lpwstr>ActiveSubmitStub</vt:lpwstr>
  </property>
  <property fmtid="{D5CDD505-2E9C-101B-9397-08002B2CF9AE}" pid="38" name="RecordPoint_ActiveItemSiteId">
    <vt:lpwstr>{69805c8e-1046-4a72-a854-618be15f08ca}</vt:lpwstr>
  </property>
  <property fmtid="{D5CDD505-2E9C-101B-9397-08002B2CF9AE}" pid="39" name="RecordPoint_ActiveItemListId">
    <vt:lpwstr>{76c1cb93-e08e-48b3-aa05-8c3dc3f16a68}</vt:lpwstr>
  </property>
  <property fmtid="{D5CDD505-2E9C-101B-9397-08002B2CF9AE}" pid="40" name="RecordPoint_ActiveItemUniqueId">
    <vt:lpwstr>{2f8c6491-1783-4518-95ca-38e877996c98}</vt:lpwstr>
  </property>
  <property fmtid="{D5CDD505-2E9C-101B-9397-08002B2CF9AE}" pid="41" name="RecordPoint_ActiveItemWebId">
    <vt:lpwstr>{bacc0698-7578-4d85-9081-38129c24f0cc}</vt:lpwstr>
  </property>
  <property fmtid="{D5CDD505-2E9C-101B-9397-08002B2CF9AE}" pid="42" name="RecordPoint_SubmissionCompleted">
    <vt:lpwstr>2016-05-19T09:10:15.7635748+10:00</vt:lpwstr>
  </property>
  <property fmtid="{D5CDD505-2E9C-101B-9397-08002B2CF9AE}" pid="43" name="RecordPoint_RecordNumberSubmitted">
    <vt:lpwstr>R20160000287661</vt:lpwstr>
  </property>
</Properties>
</file>