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Enforcements!$A$2:$N$39</definedName>
    <definedName name="_xlnm._FilterDatabase" localSheetId="0" hidden="1">'Train Runs'!$A$2:$AA$148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5" i="1" l="1"/>
  <c r="L126" i="1"/>
  <c r="L127" i="1"/>
  <c r="T128" i="1" l="1"/>
  <c r="V128" i="1"/>
  <c r="W128" i="1"/>
  <c r="X128" i="1"/>
  <c r="Y128" i="1" s="1"/>
  <c r="U128" i="1" s="1"/>
  <c r="Z128" i="1"/>
  <c r="AA128" i="1"/>
  <c r="T129" i="1"/>
  <c r="V129" i="1"/>
  <c r="W129" i="1"/>
  <c r="Y129" i="1"/>
  <c r="U129" i="1" s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 s="1"/>
  <c r="U131" i="1" s="1"/>
  <c r="Z131" i="1"/>
  <c r="AA131" i="1"/>
  <c r="T132" i="1"/>
  <c r="V132" i="1"/>
  <c r="W132" i="1"/>
  <c r="X132" i="1"/>
  <c r="Y132" i="1" s="1"/>
  <c r="U132" i="1" s="1"/>
  <c r="Z132" i="1"/>
  <c r="AA132" i="1"/>
  <c r="T133" i="1"/>
  <c r="V133" i="1"/>
  <c r="W133" i="1"/>
  <c r="X133" i="1"/>
  <c r="Y133" i="1"/>
  <c r="U133" i="1" s="1"/>
  <c r="Z133" i="1"/>
  <c r="AA133" i="1"/>
  <c r="T134" i="1"/>
  <c r="V134" i="1"/>
  <c r="W134" i="1"/>
  <c r="X134" i="1"/>
  <c r="Y134" i="1" s="1"/>
  <c r="U134" i="1" s="1"/>
  <c r="Z134" i="1"/>
  <c r="AA134" i="1"/>
  <c r="P130" i="1"/>
  <c r="K130" i="1"/>
  <c r="L130" i="1"/>
  <c r="M130" i="1"/>
  <c r="V126" i="1"/>
  <c r="V127" i="1"/>
  <c r="M126" i="1"/>
  <c r="N126" i="1" s="1"/>
  <c r="M127" i="1"/>
  <c r="N127" i="1" s="1"/>
  <c r="Y126" i="1"/>
  <c r="U126" i="1" s="1"/>
  <c r="T126" i="1"/>
  <c r="K126" i="1"/>
  <c r="V11" i="1"/>
  <c r="V12" i="1"/>
  <c r="V13" i="1"/>
  <c r="V14" i="1"/>
  <c r="K6" i="1"/>
  <c r="L6" i="1"/>
  <c r="M6" i="1"/>
  <c r="P6" i="1" s="1"/>
  <c r="T6" i="1"/>
  <c r="V6" i="1"/>
  <c r="W6" i="1"/>
  <c r="X6" i="1"/>
  <c r="Z6" i="1"/>
  <c r="AA6" i="1"/>
  <c r="T7" i="1"/>
  <c r="V7" i="1"/>
  <c r="W7" i="1"/>
  <c r="X7" i="1"/>
  <c r="Z7" i="1"/>
  <c r="AA7" i="1"/>
  <c r="V75" i="1"/>
  <c r="V76" i="1"/>
  <c r="V77" i="1"/>
  <c r="V8" i="1"/>
  <c r="W31" i="1"/>
  <c r="X31" i="1"/>
  <c r="Y31" i="1" s="1"/>
  <c r="U31" i="1" s="1"/>
  <c r="Z31" i="1"/>
  <c r="AA31" i="1"/>
  <c r="W32" i="1"/>
  <c r="X32" i="1"/>
  <c r="Z32" i="1"/>
  <c r="AA32" i="1"/>
  <c r="W33" i="1"/>
  <c r="X33" i="1"/>
  <c r="Z33" i="1"/>
  <c r="AA33" i="1"/>
  <c r="T31" i="1"/>
  <c r="T32" i="1"/>
  <c r="T33" i="1"/>
  <c r="T34" i="1"/>
  <c r="T35" i="1"/>
  <c r="T36" i="1"/>
  <c r="V28" i="1"/>
  <c r="V29" i="1"/>
  <c r="V30" i="1"/>
  <c r="V31" i="1"/>
  <c r="V32" i="1"/>
  <c r="V33" i="1"/>
  <c r="V34" i="1"/>
  <c r="V35" i="1"/>
  <c r="V36" i="1"/>
  <c r="K31" i="1"/>
  <c r="L31" i="1"/>
  <c r="M31" i="1"/>
  <c r="N31" i="1" s="1"/>
  <c r="Y7" i="1" l="1"/>
  <c r="U7" i="1" s="1"/>
  <c r="Y33" i="1"/>
  <c r="U33" i="1" s="1"/>
  <c r="Y6" i="1"/>
  <c r="U6" i="1" s="1"/>
  <c r="Y32" i="1"/>
  <c r="U32" i="1" s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V141" i="1"/>
  <c r="V142" i="1"/>
  <c r="V143" i="1"/>
  <c r="V144" i="1"/>
  <c r="V135" i="1"/>
  <c r="V136" i="1"/>
  <c r="V145" i="1"/>
  <c r="V146" i="1"/>
  <c r="V147" i="1"/>
  <c r="V148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37" i="1"/>
  <c r="V138" i="1"/>
  <c r="V139" i="1"/>
  <c r="V140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18" i="1"/>
  <c r="V19" i="1"/>
  <c r="V20" i="1"/>
  <c r="V22" i="1"/>
  <c r="V21" i="1"/>
  <c r="V23" i="1"/>
  <c r="T121" i="1"/>
  <c r="W121" i="1"/>
  <c r="X121" i="1"/>
  <c r="Z121" i="1"/>
  <c r="AA121" i="1"/>
  <c r="T122" i="1"/>
  <c r="W122" i="1"/>
  <c r="X122" i="1"/>
  <c r="Y122" i="1" s="1"/>
  <c r="U122" i="1" s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Y125" i="1" s="1"/>
  <c r="U125" i="1" s="1"/>
  <c r="Z125" i="1"/>
  <c r="AA125" i="1"/>
  <c r="T127" i="1"/>
  <c r="W127" i="1"/>
  <c r="X127" i="1"/>
  <c r="Y127" i="1" s="1"/>
  <c r="Z127" i="1"/>
  <c r="AA127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2" i="1"/>
  <c r="W142" i="1"/>
  <c r="X142" i="1"/>
  <c r="Z142" i="1"/>
  <c r="AA142" i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M125" i="1"/>
  <c r="N125" i="1" s="1"/>
  <c r="K127" i="1"/>
  <c r="K128" i="1"/>
  <c r="L128" i="1"/>
  <c r="M128" i="1"/>
  <c r="N128" i="1" s="1"/>
  <c r="K129" i="1"/>
  <c r="L129" i="1"/>
  <c r="M129" i="1"/>
  <c r="P129" i="1" s="1"/>
  <c r="K131" i="1"/>
  <c r="L131" i="1"/>
  <c r="M131" i="1"/>
  <c r="N131" i="1" s="1"/>
  <c r="K133" i="1"/>
  <c r="L133" i="1"/>
  <c r="M133" i="1"/>
  <c r="N133" i="1" s="1"/>
  <c r="K132" i="1"/>
  <c r="L132" i="1"/>
  <c r="M132" i="1"/>
  <c r="N132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Y142" i="1" l="1"/>
  <c r="U142" i="1" s="1"/>
  <c r="Y138" i="1"/>
  <c r="U138" i="1" s="1"/>
  <c r="Y139" i="1"/>
  <c r="U139" i="1" s="1"/>
  <c r="Y135" i="1"/>
  <c r="U135" i="1" s="1"/>
  <c r="Y124" i="1"/>
  <c r="U124" i="1" s="1"/>
  <c r="U127" i="1"/>
  <c r="Y123" i="1"/>
  <c r="U123" i="1" s="1"/>
  <c r="Y136" i="1"/>
  <c r="U136" i="1" s="1"/>
  <c r="Y137" i="1"/>
  <c r="U137" i="1" s="1"/>
  <c r="Y140" i="1"/>
  <c r="U140" i="1" s="1"/>
  <c r="Y121" i="1"/>
  <c r="U121" i="1" s="1"/>
  <c r="T99" i="1"/>
  <c r="Y99" i="1"/>
  <c r="U99" i="1" s="1"/>
  <c r="Z99" i="1"/>
  <c r="AA99" i="1"/>
  <c r="K99" i="1"/>
  <c r="L99" i="1"/>
  <c r="M99" i="1"/>
  <c r="N99" i="1" s="1"/>
  <c r="K68" i="1"/>
  <c r="L68" i="1"/>
  <c r="M68" i="1"/>
  <c r="N68" i="1" s="1"/>
  <c r="T68" i="1"/>
  <c r="W68" i="1"/>
  <c r="X68" i="1"/>
  <c r="Z68" i="1"/>
  <c r="AA68" i="1"/>
  <c r="Y68" i="1" l="1"/>
  <c r="U68" i="1" s="1"/>
  <c r="M91" i="1"/>
  <c r="N91" i="1" s="1"/>
  <c r="M69" i="1"/>
  <c r="N69" i="1" s="1"/>
  <c r="L35" i="1"/>
  <c r="M35" i="1"/>
  <c r="N35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L45" i="1"/>
  <c r="M45" i="1"/>
  <c r="N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W35" i="1"/>
  <c r="X35" i="1"/>
  <c r="Z35" i="1"/>
  <c r="AA35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P27" i="3" s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Y40" i="1" l="1"/>
  <c r="U40" i="1" s="1"/>
  <c r="Y47" i="1"/>
  <c r="U47" i="1" s="1"/>
  <c r="Y43" i="1"/>
  <c r="U43" i="1" s="1"/>
  <c r="Y39" i="1"/>
  <c r="U39" i="1" s="1"/>
  <c r="Y35" i="1"/>
  <c r="U35" i="1" s="1"/>
  <c r="Y42" i="1"/>
  <c r="U42" i="1" s="1"/>
  <c r="Y44" i="1"/>
  <c r="U44" i="1" s="1"/>
  <c r="Y46" i="1"/>
  <c r="U46" i="1" s="1"/>
  <c r="Y38" i="1"/>
  <c r="U38" i="1" s="1"/>
  <c r="Y41" i="1"/>
  <c r="U41" i="1" s="1"/>
  <c r="Y48" i="1"/>
  <c r="U48" i="1" s="1"/>
  <c r="Y36" i="1"/>
  <c r="U36" i="1" s="1"/>
  <c r="Y45" i="1"/>
  <c r="U45" i="1" s="1"/>
  <c r="Y37" i="1"/>
  <c r="U37" i="1" s="1"/>
  <c r="L9" i="3"/>
  <c r="L27" i="3"/>
  <c r="L11" i="3"/>
  <c r="K112" i="1"/>
  <c r="L112" i="1"/>
  <c r="M112" i="1"/>
  <c r="N112" i="1" s="1"/>
  <c r="T112" i="1"/>
  <c r="W112" i="1"/>
  <c r="X112" i="1"/>
  <c r="Z112" i="1"/>
  <c r="AA112" i="1"/>
  <c r="K113" i="1"/>
  <c r="L113" i="1"/>
  <c r="M113" i="1"/>
  <c r="N113" i="1" s="1"/>
  <c r="T113" i="1"/>
  <c r="W113" i="1"/>
  <c r="X113" i="1"/>
  <c r="Z113" i="1"/>
  <c r="AA113" i="1"/>
  <c r="K114" i="1"/>
  <c r="L114" i="1"/>
  <c r="M114" i="1"/>
  <c r="N114" i="1" s="1"/>
  <c r="T114" i="1"/>
  <c r="W114" i="1"/>
  <c r="X114" i="1"/>
  <c r="Z114" i="1"/>
  <c r="AA114" i="1"/>
  <c r="K115" i="1"/>
  <c r="L115" i="1"/>
  <c r="M115" i="1"/>
  <c r="P115" i="1" s="1"/>
  <c r="T115" i="1"/>
  <c r="W115" i="1"/>
  <c r="X115" i="1"/>
  <c r="Z115" i="1"/>
  <c r="AA115" i="1"/>
  <c r="K116" i="1"/>
  <c r="L116" i="1"/>
  <c r="M116" i="1"/>
  <c r="N116" i="1" s="1"/>
  <c r="T116" i="1"/>
  <c r="W116" i="1"/>
  <c r="X116" i="1"/>
  <c r="Z116" i="1"/>
  <c r="AA116" i="1"/>
  <c r="K117" i="1"/>
  <c r="L117" i="1"/>
  <c r="M117" i="1"/>
  <c r="N117" i="1" s="1"/>
  <c r="T117" i="1"/>
  <c r="W117" i="1"/>
  <c r="X117" i="1"/>
  <c r="Z117" i="1"/>
  <c r="AA117" i="1"/>
  <c r="K118" i="1"/>
  <c r="L118" i="1"/>
  <c r="M118" i="1"/>
  <c r="N118" i="1" s="1"/>
  <c r="T118" i="1"/>
  <c r="W118" i="1"/>
  <c r="X118" i="1"/>
  <c r="Z118" i="1"/>
  <c r="AA118" i="1"/>
  <c r="K119" i="1"/>
  <c r="L119" i="1"/>
  <c r="M119" i="1"/>
  <c r="N119" i="1" s="1"/>
  <c r="T119" i="1"/>
  <c r="W119" i="1"/>
  <c r="X119" i="1"/>
  <c r="Z119" i="1"/>
  <c r="AA119" i="1"/>
  <c r="K120" i="1"/>
  <c r="L120" i="1"/>
  <c r="M120" i="1"/>
  <c r="N120" i="1" s="1"/>
  <c r="T120" i="1"/>
  <c r="W120" i="1"/>
  <c r="X120" i="1"/>
  <c r="Z120" i="1"/>
  <c r="AA120" i="1"/>
  <c r="K142" i="1"/>
  <c r="L142" i="1"/>
  <c r="M142" i="1"/>
  <c r="N142" i="1" s="1"/>
  <c r="K143" i="1"/>
  <c r="L143" i="1"/>
  <c r="M143" i="1"/>
  <c r="N143" i="1" s="1"/>
  <c r="T143" i="1"/>
  <c r="W143" i="1"/>
  <c r="X143" i="1"/>
  <c r="Z143" i="1"/>
  <c r="AA143" i="1"/>
  <c r="K145" i="1"/>
  <c r="L145" i="1"/>
  <c r="M145" i="1"/>
  <c r="N145" i="1" s="1"/>
  <c r="T145" i="1"/>
  <c r="W145" i="1"/>
  <c r="X145" i="1"/>
  <c r="Z145" i="1"/>
  <c r="AA145" i="1"/>
  <c r="K147" i="1"/>
  <c r="L147" i="1"/>
  <c r="M147" i="1"/>
  <c r="N147" i="1" s="1"/>
  <c r="T147" i="1"/>
  <c r="W147" i="1"/>
  <c r="X147" i="1"/>
  <c r="Z147" i="1"/>
  <c r="AA147" i="1"/>
  <c r="K121" i="1"/>
  <c r="L121" i="1"/>
  <c r="M121" i="1"/>
  <c r="N121" i="1" s="1"/>
  <c r="K141" i="1"/>
  <c r="L141" i="1"/>
  <c r="M141" i="1"/>
  <c r="N141" i="1" s="1"/>
  <c r="T141" i="1"/>
  <c r="W141" i="1"/>
  <c r="X141" i="1"/>
  <c r="Z141" i="1"/>
  <c r="AA141" i="1"/>
  <c r="K144" i="1"/>
  <c r="L144" i="1"/>
  <c r="M144" i="1"/>
  <c r="N144" i="1" s="1"/>
  <c r="T144" i="1"/>
  <c r="W144" i="1"/>
  <c r="X144" i="1"/>
  <c r="Z144" i="1"/>
  <c r="AA144" i="1"/>
  <c r="K146" i="1"/>
  <c r="L146" i="1"/>
  <c r="M146" i="1"/>
  <c r="N146" i="1" s="1"/>
  <c r="T146" i="1"/>
  <c r="W146" i="1"/>
  <c r="X146" i="1"/>
  <c r="Z146" i="1"/>
  <c r="AA146" i="1"/>
  <c r="K148" i="1"/>
  <c r="L148" i="1"/>
  <c r="M148" i="1"/>
  <c r="N148" i="1" s="1"/>
  <c r="T148" i="1"/>
  <c r="W148" i="1"/>
  <c r="X148" i="1"/>
  <c r="Z148" i="1"/>
  <c r="AA148" i="1"/>
  <c r="Y144" i="1" l="1"/>
  <c r="U144" i="1" s="1"/>
  <c r="Y118" i="1"/>
  <c r="U118" i="1" s="1"/>
  <c r="Y141" i="1"/>
  <c r="U141" i="1" s="1"/>
  <c r="Y146" i="1"/>
  <c r="U146" i="1" s="1"/>
  <c r="Y148" i="1"/>
  <c r="U148" i="1" s="1"/>
  <c r="Y116" i="1"/>
  <c r="U116" i="1" s="1"/>
  <c r="Y115" i="1"/>
  <c r="U115" i="1" s="1"/>
  <c r="Y113" i="1"/>
  <c r="U113" i="1" s="1"/>
  <c r="Y117" i="1"/>
  <c r="U117" i="1" s="1"/>
  <c r="Y143" i="1"/>
  <c r="U143" i="1" s="1"/>
  <c r="Y114" i="1"/>
  <c r="U114" i="1" s="1"/>
  <c r="Y119" i="1"/>
  <c r="U119" i="1" s="1"/>
  <c r="Y147" i="1"/>
  <c r="U147" i="1" s="1"/>
  <c r="Y112" i="1"/>
  <c r="U112" i="1" s="1"/>
  <c r="Y145" i="1"/>
  <c r="U145" i="1" s="1"/>
  <c r="Y120" i="1"/>
  <c r="U120" i="1" s="1"/>
  <c r="L25" i="3"/>
  <c r="L38" i="3"/>
  <c r="L16" i="3"/>
  <c r="I150" i="1"/>
  <c r="J154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L36" i="3"/>
  <c r="L31" i="3"/>
  <c r="L6" i="3"/>
  <c r="V24" i="1"/>
  <c r="V25" i="1"/>
  <c r="W54" i="1" l="1"/>
  <c r="W55" i="1"/>
  <c r="X55" i="1"/>
  <c r="W56" i="1"/>
  <c r="X56" i="1"/>
  <c r="L20" i="3"/>
  <c r="L12" i="3"/>
  <c r="L7" i="3"/>
  <c r="L35" i="3"/>
  <c r="L14" i="3"/>
  <c r="L3" i="3"/>
  <c r="L37" i="3"/>
  <c r="L13" i="3"/>
  <c r="L10" i="3"/>
  <c r="L26" i="3"/>
  <c r="L22" i="3"/>
  <c r="L33" i="3"/>
  <c r="L39" i="3"/>
  <c r="L19" i="3"/>
  <c r="L4" i="3"/>
  <c r="L8" i="3"/>
  <c r="L28" i="3"/>
  <c r="L34" i="3"/>
  <c r="L18" i="3"/>
  <c r="L21" i="3"/>
  <c r="L32" i="3"/>
  <c r="L30" i="3"/>
  <c r="L23" i="3"/>
  <c r="L29" i="3"/>
  <c r="L17" i="3"/>
  <c r="L5" i="3"/>
  <c r="L24" i="3"/>
  <c r="M5" i="1"/>
  <c r="N5" i="1" s="1"/>
  <c r="T5" i="1"/>
  <c r="V5" i="1"/>
  <c r="W5" i="1"/>
  <c r="X5" i="1"/>
  <c r="Z5" i="1"/>
  <c r="AA5" i="1"/>
  <c r="M7" i="1"/>
  <c r="N7" i="1" s="1"/>
  <c r="M8" i="1"/>
  <c r="N8" i="1" s="1"/>
  <c r="T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W11" i="1"/>
  <c r="Z11" i="1"/>
  <c r="AA11" i="1"/>
  <c r="M12" i="1"/>
  <c r="N12" i="1" s="1"/>
  <c r="T12" i="1"/>
  <c r="W12" i="1"/>
  <c r="X12" i="1"/>
  <c r="Z12" i="1"/>
  <c r="AA12" i="1"/>
  <c r="M13" i="1"/>
  <c r="N13" i="1" s="1"/>
  <c r="T13" i="1"/>
  <c r="W13" i="1"/>
  <c r="X13" i="1"/>
  <c r="Z13" i="1"/>
  <c r="AA13" i="1"/>
  <c r="M14" i="1"/>
  <c r="N14" i="1" s="1"/>
  <c r="T14" i="1"/>
  <c r="W14" i="1"/>
  <c r="Y14" i="1" s="1"/>
  <c r="Z14" i="1"/>
  <c r="AA14" i="1"/>
  <c r="M15" i="1"/>
  <c r="N15" i="1" s="1"/>
  <c r="T15" i="1"/>
  <c r="V15" i="1"/>
  <c r="W15" i="1"/>
  <c r="X15" i="1"/>
  <c r="Z15" i="1"/>
  <c r="AA15" i="1"/>
  <c r="M16" i="1"/>
  <c r="P16" i="1" s="1"/>
  <c r="T16" i="1"/>
  <c r="V16" i="1"/>
  <c r="W16" i="1"/>
  <c r="X16" i="1"/>
  <c r="Z16" i="1"/>
  <c r="AA16" i="1"/>
  <c r="M17" i="1"/>
  <c r="N17" i="1" s="1"/>
  <c r="T17" i="1"/>
  <c r="V17" i="1"/>
  <c r="W17" i="1"/>
  <c r="X17" i="1"/>
  <c r="Z17" i="1"/>
  <c r="AA17" i="1"/>
  <c r="M18" i="1"/>
  <c r="N18" i="1" s="1"/>
  <c r="T18" i="1"/>
  <c r="W18" i="1"/>
  <c r="X18" i="1"/>
  <c r="Z18" i="1"/>
  <c r="AA18" i="1"/>
  <c r="M20" i="1"/>
  <c r="N20" i="1" s="1"/>
  <c r="T20" i="1"/>
  <c r="P26" i="3" s="1"/>
  <c r="W20" i="1"/>
  <c r="X20" i="1"/>
  <c r="Z20" i="1"/>
  <c r="AA20" i="1"/>
  <c r="M19" i="1"/>
  <c r="N19" i="1" s="1"/>
  <c r="T19" i="1"/>
  <c r="W19" i="1"/>
  <c r="X19" i="1"/>
  <c r="Z19" i="1"/>
  <c r="AA19" i="1"/>
  <c r="M22" i="1"/>
  <c r="T22" i="1"/>
  <c r="W22" i="1"/>
  <c r="X22" i="1"/>
  <c r="Z22" i="1"/>
  <c r="AA22" i="1"/>
  <c r="M21" i="1"/>
  <c r="T21" i="1"/>
  <c r="W21" i="1"/>
  <c r="X21" i="1"/>
  <c r="Z21" i="1"/>
  <c r="AA21" i="1"/>
  <c r="M23" i="1"/>
  <c r="N23" i="1" s="1"/>
  <c r="T23" i="1"/>
  <c r="W23" i="1"/>
  <c r="X23" i="1"/>
  <c r="Z23" i="1"/>
  <c r="AA23" i="1"/>
  <c r="M24" i="1"/>
  <c r="N24" i="1" s="1"/>
  <c r="T24" i="1"/>
  <c r="W24" i="1"/>
  <c r="X24" i="1"/>
  <c r="Z24" i="1"/>
  <c r="AA24" i="1"/>
  <c r="M25" i="1"/>
  <c r="N25" i="1" s="1"/>
  <c r="T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Z27" i="1"/>
  <c r="AA27" i="1"/>
  <c r="M28" i="1"/>
  <c r="N28" i="1" s="1"/>
  <c r="T28" i="1"/>
  <c r="W28" i="1"/>
  <c r="X28" i="1"/>
  <c r="Z28" i="1"/>
  <c r="AA28" i="1"/>
  <c r="M29" i="1"/>
  <c r="N29" i="1" s="1"/>
  <c r="T29" i="1"/>
  <c r="W29" i="1"/>
  <c r="X29" i="1"/>
  <c r="Z29" i="1"/>
  <c r="AA29" i="1"/>
  <c r="M30" i="1"/>
  <c r="P30" i="1" s="1"/>
  <c r="T30" i="1"/>
  <c r="W30" i="1"/>
  <c r="X30" i="1"/>
  <c r="Z30" i="1"/>
  <c r="AA30" i="1"/>
  <c r="M32" i="1"/>
  <c r="N32" i="1" s="1"/>
  <c r="M33" i="1"/>
  <c r="N33" i="1" s="1"/>
  <c r="M34" i="1"/>
  <c r="N34" i="1" s="1"/>
  <c r="W34" i="1"/>
  <c r="X34" i="1"/>
  <c r="Z34" i="1"/>
  <c r="AA34" i="1"/>
  <c r="T49" i="1"/>
  <c r="W49" i="1"/>
  <c r="X49" i="1"/>
  <c r="Z49" i="1"/>
  <c r="AA49" i="1"/>
  <c r="M50" i="1"/>
  <c r="N50" i="1" s="1"/>
  <c r="T50" i="1"/>
  <c r="W50" i="1"/>
  <c r="X50" i="1"/>
  <c r="Z50" i="1"/>
  <c r="AA50" i="1"/>
  <c r="M51" i="1"/>
  <c r="N51" i="1" s="1"/>
  <c r="T51" i="1"/>
  <c r="W51" i="1"/>
  <c r="X51" i="1"/>
  <c r="Z51" i="1"/>
  <c r="AA51" i="1"/>
  <c r="M52" i="1"/>
  <c r="N52" i="1" s="1"/>
  <c r="T52" i="1"/>
  <c r="W52" i="1"/>
  <c r="Z52" i="1"/>
  <c r="AA52" i="1"/>
  <c r="M53" i="1"/>
  <c r="N53" i="1" s="1"/>
  <c r="T53" i="1"/>
  <c r="W53" i="1"/>
  <c r="X53" i="1"/>
  <c r="Z53" i="1"/>
  <c r="AA53" i="1"/>
  <c r="M54" i="1"/>
  <c r="N54" i="1" s="1"/>
  <c r="T54" i="1"/>
  <c r="Z54" i="1"/>
  <c r="AA54" i="1"/>
  <c r="M55" i="1"/>
  <c r="N55" i="1" s="1"/>
  <c r="T55" i="1"/>
  <c r="Z55" i="1"/>
  <c r="AA55" i="1"/>
  <c r="M56" i="1"/>
  <c r="N56" i="1" s="1"/>
  <c r="T56" i="1"/>
  <c r="Z56" i="1"/>
  <c r="AA56" i="1"/>
  <c r="M57" i="1"/>
  <c r="N57" i="1" s="1"/>
  <c r="T57" i="1"/>
  <c r="W57" i="1"/>
  <c r="X57" i="1"/>
  <c r="Z57" i="1"/>
  <c r="AA57" i="1"/>
  <c r="M58" i="1"/>
  <c r="N58" i="1" s="1"/>
  <c r="T58" i="1"/>
  <c r="W58" i="1"/>
  <c r="X58" i="1"/>
  <c r="Z58" i="1"/>
  <c r="AA58" i="1"/>
  <c r="M59" i="1"/>
  <c r="N59" i="1" s="1"/>
  <c r="T59" i="1"/>
  <c r="W59" i="1"/>
  <c r="X59" i="1"/>
  <c r="Z59" i="1"/>
  <c r="AA59" i="1"/>
  <c r="M60" i="1"/>
  <c r="N60" i="1" s="1"/>
  <c r="T60" i="1"/>
  <c r="W60" i="1"/>
  <c r="X60" i="1"/>
  <c r="Z60" i="1"/>
  <c r="AA60" i="1"/>
  <c r="M61" i="1"/>
  <c r="N61" i="1" s="1"/>
  <c r="T61" i="1"/>
  <c r="W61" i="1"/>
  <c r="X61" i="1"/>
  <c r="Z61" i="1"/>
  <c r="AA61" i="1"/>
  <c r="M62" i="1"/>
  <c r="N62" i="1" s="1"/>
  <c r="T62" i="1"/>
  <c r="W62" i="1"/>
  <c r="X62" i="1"/>
  <c r="Z62" i="1"/>
  <c r="AA62" i="1"/>
  <c r="M63" i="1"/>
  <c r="N63" i="1" s="1"/>
  <c r="T63" i="1"/>
  <c r="W63" i="1"/>
  <c r="X63" i="1"/>
  <c r="Z63" i="1"/>
  <c r="AA63" i="1"/>
  <c r="M64" i="1"/>
  <c r="N64" i="1" s="1"/>
  <c r="T64" i="1"/>
  <c r="W64" i="1"/>
  <c r="X64" i="1"/>
  <c r="Z64" i="1"/>
  <c r="AA64" i="1"/>
  <c r="M65" i="1"/>
  <c r="N65" i="1" s="1"/>
  <c r="T65" i="1"/>
  <c r="W65" i="1"/>
  <c r="X65" i="1"/>
  <c r="Z65" i="1"/>
  <c r="AA65" i="1"/>
  <c r="M66" i="1"/>
  <c r="N66" i="1" s="1"/>
  <c r="T66" i="1"/>
  <c r="W66" i="1"/>
  <c r="X66" i="1"/>
  <c r="Z66" i="1"/>
  <c r="AA66" i="1"/>
  <c r="M67" i="1"/>
  <c r="N67" i="1" s="1"/>
  <c r="T67" i="1"/>
  <c r="W67" i="1"/>
  <c r="X67" i="1"/>
  <c r="Z67" i="1"/>
  <c r="AA67" i="1"/>
  <c r="T69" i="1"/>
  <c r="W69" i="1"/>
  <c r="Z69" i="1"/>
  <c r="AA69" i="1"/>
  <c r="M70" i="1"/>
  <c r="P70" i="1" s="1"/>
  <c r="T70" i="1"/>
  <c r="W70" i="1"/>
  <c r="X70" i="1"/>
  <c r="Z70" i="1"/>
  <c r="AA70" i="1"/>
  <c r="M71" i="1"/>
  <c r="N71" i="1" s="1"/>
  <c r="T71" i="1"/>
  <c r="W71" i="1"/>
  <c r="X71" i="1"/>
  <c r="Z71" i="1"/>
  <c r="AA71" i="1"/>
  <c r="M72" i="1"/>
  <c r="N72" i="1" s="1"/>
  <c r="T72" i="1"/>
  <c r="W72" i="1"/>
  <c r="Z72" i="1"/>
  <c r="AA72" i="1"/>
  <c r="M73" i="1"/>
  <c r="N73" i="1" s="1"/>
  <c r="T73" i="1"/>
  <c r="W73" i="1"/>
  <c r="X73" i="1"/>
  <c r="Z73" i="1"/>
  <c r="AA73" i="1"/>
  <c r="M74" i="1"/>
  <c r="N74" i="1" s="1"/>
  <c r="T74" i="1"/>
  <c r="W74" i="1"/>
  <c r="X74" i="1"/>
  <c r="Z74" i="1"/>
  <c r="AA74" i="1"/>
  <c r="M75" i="1"/>
  <c r="P75" i="1" s="1"/>
  <c r="T75" i="1"/>
  <c r="W75" i="1"/>
  <c r="X75" i="1"/>
  <c r="Z75" i="1"/>
  <c r="AA75" i="1"/>
  <c r="M76" i="1"/>
  <c r="N76" i="1" s="1"/>
  <c r="T76" i="1"/>
  <c r="W76" i="1"/>
  <c r="X76" i="1"/>
  <c r="Z76" i="1"/>
  <c r="AA76" i="1"/>
  <c r="M77" i="1"/>
  <c r="N77" i="1" s="1"/>
  <c r="T77" i="1"/>
  <c r="W77" i="1"/>
  <c r="X77" i="1"/>
  <c r="Z77" i="1"/>
  <c r="AA77" i="1"/>
  <c r="M78" i="1"/>
  <c r="N78" i="1" s="1"/>
  <c r="T78" i="1"/>
  <c r="W78" i="1"/>
  <c r="X78" i="1"/>
  <c r="Z78" i="1"/>
  <c r="AA78" i="1"/>
  <c r="M79" i="1"/>
  <c r="N79" i="1" s="1"/>
  <c r="T79" i="1"/>
  <c r="W79" i="1"/>
  <c r="X79" i="1"/>
  <c r="Z79" i="1"/>
  <c r="AA79" i="1"/>
  <c r="M80" i="1"/>
  <c r="N80" i="1" s="1"/>
  <c r="T80" i="1"/>
  <c r="W80" i="1"/>
  <c r="X80" i="1"/>
  <c r="Z80" i="1"/>
  <c r="AA80" i="1"/>
  <c r="M81" i="1"/>
  <c r="N81" i="1" s="1"/>
  <c r="T81" i="1"/>
  <c r="W81" i="1"/>
  <c r="X81" i="1"/>
  <c r="Z81" i="1"/>
  <c r="AA81" i="1"/>
  <c r="M82" i="1"/>
  <c r="N82" i="1" s="1"/>
  <c r="T82" i="1"/>
  <c r="W82" i="1"/>
  <c r="X82" i="1"/>
  <c r="Z82" i="1"/>
  <c r="AA82" i="1"/>
  <c r="M83" i="1"/>
  <c r="N83" i="1" s="1"/>
  <c r="T83" i="1"/>
  <c r="W83" i="1"/>
  <c r="X83" i="1"/>
  <c r="Z83" i="1"/>
  <c r="AA83" i="1"/>
  <c r="M84" i="1"/>
  <c r="N84" i="1" s="1"/>
  <c r="T84" i="1"/>
  <c r="W84" i="1"/>
  <c r="X84" i="1"/>
  <c r="Z84" i="1"/>
  <c r="AA84" i="1"/>
  <c r="M85" i="1"/>
  <c r="N85" i="1" s="1"/>
  <c r="T85" i="1"/>
  <c r="W85" i="1"/>
  <c r="X85" i="1"/>
  <c r="Z85" i="1"/>
  <c r="AA85" i="1"/>
  <c r="M86" i="1"/>
  <c r="N86" i="1" s="1"/>
  <c r="T86" i="1"/>
  <c r="W86" i="1"/>
  <c r="X86" i="1"/>
  <c r="Z86" i="1"/>
  <c r="AA86" i="1"/>
  <c r="M87" i="1"/>
  <c r="N87" i="1" s="1"/>
  <c r="T87" i="1"/>
  <c r="W87" i="1"/>
  <c r="X87" i="1"/>
  <c r="Z87" i="1"/>
  <c r="AA87" i="1"/>
  <c r="M88" i="1"/>
  <c r="N88" i="1" s="1"/>
  <c r="T88" i="1"/>
  <c r="W88" i="1"/>
  <c r="X88" i="1"/>
  <c r="Z88" i="1"/>
  <c r="AA88" i="1"/>
  <c r="M89" i="1"/>
  <c r="N89" i="1" s="1"/>
  <c r="T89" i="1"/>
  <c r="W89" i="1"/>
  <c r="X89" i="1"/>
  <c r="Z89" i="1"/>
  <c r="AA89" i="1"/>
  <c r="M90" i="1"/>
  <c r="N90" i="1" s="1"/>
  <c r="T90" i="1"/>
  <c r="W90" i="1"/>
  <c r="X90" i="1"/>
  <c r="Z90" i="1"/>
  <c r="AA90" i="1"/>
  <c r="T91" i="1"/>
  <c r="W91" i="1"/>
  <c r="Y91" i="1" s="1"/>
  <c r="U91" i="1" s="1"/>
  <c r="Z91" i="1"/>
  <c r="AA91" i="1"/>
  <c r="M92" i="1"/>
  <c r="N92" i="1" s="1"/>
  <c r="T92" i="1"/>
  <c r="W92" i="1"/>
  <c r="X92" i="1"/>
  <c r="Z92" i="1"/>
  <c r="AA92" i="1"/>
  <c r="M93" i="1"/>
  <c r="N93" i="1" s="1"/>
  <c r="T93" i="1"/>
  <c r="W93" i="1"/>
  <c r="X93" i="1"/>
  <c r="Z93" i="1"/>
  <c r="AA93" i="1"/>
  <c r="M94" i="1"/>
  <c r="N94" i="1" s="1"/>
  <c r="T94" i="1"/>
  <c r="W94" i="1"/>
  <c r="X94" i="1"/>
  <c r="Z94" i="1"/>
  <c r="AA94" i="1"/>
  <c r="M95" i="1"/>
  <c r="N95" i="1" s="1"/>
  <c r="T95" i="1"/>
  <c r="W95" i="1"/>
  <c r="X95" i="1"/>
  <c r="Z95" i="1"/>
  <c r="AA95" i="1"/>
  <c r="M96" i="1"/>
  <c r="N96" i="1" s="1"/>
  <c r="T96" i="1"/>
  <c r="W96" i="1"/>
  <c r="X96" i="1"/>
  <c r="Z96" i="1"/>
  <c r="AA96" i="1"/>
  <c r="M97" i="1"/>
  <c r="N97" i="1" s="1"/>
  <c r="T97" i="1"/>
  <c r="W97" i="1"/>
  <c r="X97" i="1"/>
  <c r="Z97" i="1"/>
  <c r="AA97" i="1"/>
  <c r="M98" i="1"/>
  <c r="N98" i="1" s="1"/>
  <c r="T98" i="1"/>
  <c r="W98" i="1"/>
  <c r="X98" i="1"/>
  <c r="Z98" i="1"/>
  <c r="AA98" i="1"/>
  <c r="M100" i="1"/>
  <c r="N100" i="1" s="1"/>
  <c r="T100" i="1"/>
  <c r="W100" i="1"/>
  <c r="X100" i="1"/>
  <c r="Z100" i="1"/>
  <c r="AA100" i="1"/>
  <c r="M101" i="1"/>
  <c r="N101" i="1" s="1"/>
  <c r="T101" i="1"/>
  <c r="W101" i="1"/>
  <c r="X101" i="1"/>
  <c r="Z101" i="1"/>
  <c r="AA101" i="1"/>
  <c r="M102" i="1"/>
  <c r="N102" i="1" s="1"/>
  <c r="T102" i="1"/>
  <c r="W102" i="1"/>
  <c r="X102" i="1"/>
  <c r="Z102" i="1"/>
  <c r="AA102" i="1"/>
  <c r="M103" i="1"/>
  <c r="T103" i="1"/>
  <c r="W103" i="1"/>
  <c r="X103" i="1"/>
  <c r="Z103" i="1"/>
  <c r="AA103" i="1"/>
  <c r="M104" i="1"/>
  <c r="T104" i="1"/>
  <c r="W104" i="1"/>
  <c r="X104" i="1"/>
  <c r="Z104" i="1"/>
  <c r="AA104" i="1"/>
  <c r="M105" i="1"/>
  <c r="N105" i="1" s="1"/>
  <c r="T105" i="1"/>
  <c r="W105" i="1"/>
  <c r="X105" i="1"/>
  <c r="Z105" i="1"/>
  <c r="AA105" i="1"/>
  <c r="M106" i="1"/>
  <c r="N106" i="1" s="1"/>
  <c r="T106" i="1"/>
  <c r="W106" i="1"/>
  <c r="X106" i="1"/>
  <c r="Z106" i="1"/>
  <c r="AA106" i="1"/>
  <c r="M107" i="1"/>
  <c r="N107" i="1" s="1"/>
  <c r="T107" i="1"/>
  <c r="W107" i="1"/>
  <c r="X107" i="1"/>
  <c r="Z107" i="1"/>
  <c r="AA107" i="1"/>
  <c r="M108" i="1"/>
  <c r="N108" i="1" s="1"/>
  <c r="T108" i="1"/>
  <c r="W108" i="1"/>
  <c r="X108" i="1"/>
  <c r="Z108" i="1"/>
  <c r="AA108" i="1"/>
  <c r="M109" i="1"/>
  <c r="N109" i="1" s="1"/>
  <c r="T109" i="1"/>
  <c r="W109" i="1"/>
  <c r="X109" i="1"/>
  <c r="Z109" i="1"/>
  <c r="AA109" i="1"/>
  <c r="M110" i="1"/>
  <c r="N110" i="1" s="1"/>
  <c r="T110" i="1"/>
  <c r="W110" i="1"/>
  <c r="X110" i="1"/>
  <c r="Z110" i="1"/>
  <c r="AA110" i="1"/>
  <c r="M111" i="1"/>
  <c r="N111" i="1" s="1"/>
  <c r="T111" i="1"/>
  <c r="W111" i="1"/>
  <c r="X111" i="1"/>
  <c r="Z111" i="1"/>
  <c r="AA111" i="1"/>
  <c r="P22" i="1" l="1"/>
  <c r="P25" i="3"/>
  <c r="P104" i="1"/>
  <c r="P29" i="3"/>
  <c r="P8" i="3"/>
  <c r="Y15" i="1"/>
  <c r="U15" i="1" s="1"/>
  <c r="P32" i="3"/>
  <c r="P33" i="3"/>
  <c r="P15" i="3"/>
  <c r="P14" i="3"/>
  <c r="P10" i="3"/>
  <c r="P17" i="3"/>
  <c r="P3" i="3"/>
  <c r="P22" i="3"/>
  <c r="P37" i="3"/>
  <c r="P34" i="3"/>
  <c r="P16" i="3"/>
  <c r="P19" i="3"/>
  <c r="P7" i="3"/>
  <c r="P31" i="3"/>
  <c r="P18" i="3"/>
  <c r="P30" i="3"/>
  <c r="P36" i="3"/>
  <c r="P23" i="3"/>
  <c r="P13" i="3"/>
  <c r="P39" i="3"/>
  <c r="P11" i="3"/>
  <c r="P12" i="3"/>
  <c r="P4" i="3"/>
  <c r="P35" i="3"/>
  <c r="P6" i="3"/>
  <c r="P21" i="3"/>
  <c r="P5" i="3"/>
  <c r="P20" i="3"/>
  <c r="P38" i="3"/>
  <c r="P24" i="3"/>
  <c r="Y58" i="1"/>
  <c r="U58" i="1" s="1"/>
  <c r="Y66" i="1"/>
  <c r="U66" i="1" s="1"/>
  <c r="Y108" i="1"/>
  <c r="U108" i="1" s="1"/>
  <c r="Y104" i="1"/>
  <c r="U104" i="1" s="1"/>
  <c r="Y100" i="1"/>
  <c r="U100" i="1" s="1"/>
  <c r="Y95" i="1"/>
  <c r="U95" i="1" s="1"/>
  <c r="Y87" i="1"/>
  <c r="U87" i="1" s="1"/>
  <c r="Y83" i="1"/>
  <c r="U83" i="1" s="1"/>
  <c r="Y79" i="1"/>
  <c r="U79" i="1" s="1"/>
  <c r="Y57" i="1"/>
  <c r="U57" i="1" s="1"/>
  <c r="Y110" i="1"/>
  <c r="U110" i="1" s="1"/>
  <c r="Y73" i="1"/>
  <c r="U73" i="1" s="1"/>
  <c r="Y52" i="1"/>
  <c r="U52" i="1" s="1"/>
  <c r="Y34" i="1"/>
  <c r="U34" i="1" s="1"/>
  <c r="Y29" i="1"/>
  <c r="U29" i="1" s="1"/>
  <c r="Y26" i="1"/>
  <c r="U26" i="1" s="1"/>
  <c r="Y21" i="1"/>
  <c r="U21" i="1" s="1"/>
  <c r="Y18" i="1"/>
  <c r="U18" i="1" s="1"/>
  <c r="U14" i="1"/>
  <c r="Y65" i="1"/>
  <c r="U65" i="1" s="1"/>
  <c r="Y109" i="1"/>
  <c r="U109" i="1" s="1"/>
  <c r="Y106" i="1"/>
  <c r="U106" i="1" s="1"/>
  <c r="Y102" i="1"/>
  <c r="U102" i="1" s="1"/>
  <c r="Y97" i="1"/>
  <c r="U97" i="1" s="1"/>
  <c r="Y93" i="1"/>
  <c r="U93" i="1" s="1"/>
  <c r="Y89" i="1"/>
  <c r="U89" i="1" s="1"/>
  <c r="Y85" i="1"/>
  <c r="U85" i="1" s="1"/>
  <c r="Y81" i="1"/>
  <c r="U81" i="1" s="1"/>
  <c r="Y77" i="1"/>
  <c r="U77" i="1" s="1"/>
  <c r="Y74" i="1"/>
  <c r="U74" i="1" s="1"/>
  <c r="Y50" i="1"/>
  <c r="U50" i="1" s="1"/>
  <c r="Y28" i="1"/>
  <c r="U28" i="1" s="1"/>
  <c r="Y24" i="1"/>
  <c r="U24" i="1" s="1"/>
  <c r="Y19" i="1"/>
  <c r="U19" i="1" s="1"/>
  <c r="Y16" i="1"/>
  <c r="U16" i="1" s="1"/>
  <c r="Y12" i="1"/>
  <c r="U12" i="1" s="1"/>
  <c r="Y9" i="1"/>
  <c r="U9" i="1" s="1"/>
  <c r="Y107" i="1"/>
  <c r="U107" i="1" s="1"/>
  <c r="Y103" i="1"/>
  <c r="U103" i="1" s="1"/>
  <c r="Y98" i="1"/>
  <c r="U98" i="1" s="1"/>
  <c r="Y94" i="1"/>
  <c r="U94" i="1" s="1"/>
  <c r="Y90" i="1"/>
  <c r="U90" i="1" s="1"/>
  <c r="Y86" i="1"/>
  <c r="U86" i="1" s="1"/>
  <c r="Y82" i="1"/>
  <c r="U82" i="1" s="1"/>
  <c r="Y78" i="1"/>
  <c r="U78" i="1" s="1"/>
  <c r="Y75" i="1"/>
  <c r="U75" i="1" s="1"/>
  <c r="Y69" i="1"/>
  <c r="U69" i="1" s="1"/>
  <c r="Y63" i="1"/>
  <c r="U63" i="1" s="1"/>
  <c r="Y59" i="1"/>
  <c r="U59" i="1" s="1"/>
  <c r="Y13" i="1"/>
  <c r="U13" i="1" s="1"/>
  <c r="Y111" i="1"/>
  <c r="U111" i="1" s="1"/>
  <c r="Y105" i="1"/>
  <c r="U105" i="1" s="1"/>
  <c r="Y101" i="1"/>
  <c r="U101" i="1" s="1"/>
  <c r="Y96" i="1"/>
  <c r="U96" i="1" s="1"/>
  <c r="Y92" i="1"/>
  <c r="U92" i="1" s="1"/>
  <c r="Y88" i="1"/>
  <c r="U88" i="1" s="1"/>
  <c r="Y84" i="1"/>
  <c r="U84" i="1" s="1"/>
  <c r="Y80" i="1"/>
  <c r="U80" i="1" s="1"/>
  <c r="Y76" i="1"/>
  <c r="U76" i="1" s="1"/>
  <c r="Y71" i="1"/>
  <c r="U71" i="1" s="1"/>
  <c r="Y61" i="1"/>
  <c r="U61" i="1" s="1"/>
  <c r="Y55" i="1"/>
  <c r="U55" i="1" s="1"/>
  <c r="Y51" i="1"/>
  <c r="U51" i="1" s="1"/>
  <c r="Y22" i="1"/>
  <c r="U22" i="1" s="1"/>
  <c r="Y10" i="1"/>
  <c r="U10" i="1" s="1"/>
  <c r="Y5" i="1"/>
  <c r="U5" i="1" s="1"/>
  <c r="Y70" i="1"/>
  <c r="U70" i="1" s="1"/>
  <c r="Y62" i="1"/>
  <c r="U62" i="1" s="1"/>
  <c r="Y54" i="1"/>
  <c r="U54" i="1" s="1"/>
  <c r="Y25" i="1"/>
  <c r="U25" i="1" s="1"/>
  <c r="Y17" i="1"/>
  <c r="U17" i="1" s="1"/>
  <c r="Y67" i="1"/>
  <c r="U67" i="1" s="1"/>
  <c r="Y60" i="1"/>
  <c r="U60" i="1" s="1"/>
  <c r="Y53" i="1"/>
  <c r="U53" i="1" s="1"/>
  <c r="Y30" i="1"/>
  <c r="U30" i="1" s="1"/>
  <c r="Y23" i="1"/>
  <c r="U23" i="1" s="1"/>
  <c r="Y8" i="1"/>
  <c r="U8" i="1" s="1"/>
  <c r="Y72" i="1"/>
  <c r="U72" i="1" s="1"/>
  <c r="Y64" i="1"/>
  <c r="U64" i="1" s="1"/>
  <c r="Y56" i="1"/>
  <c r="U56" i="1" s="1"/>
  <c r="Y49" i="1"/>
  <c r="U49" i="1" s="1"/>
  <c r="Y27" i="1"/>
  <c r="U27" i="1" s="1"/>
  <c r="Y20" i="1"/>
  <c r="U20" i="1" s="1"/>
  <c r="Y11" i="1"/>
  <c r="U11" i="1" s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19" i="1"/>
  <c r="L22" i="1"/>
  <c r="L21" i="1"/>
  <c r="L23" i="1"/>
  <c r="L24" i="1"/>
  <c r="L25" i="1"/>
  <c r="L26" i="1"/>
  <c r="L27" i="1"/>
  <c r="L28" i="1"/>
  <c r="L29" i="1"/>
  <c r="L30" i="1"/>
  <c r="L32" i="1"/>
  <c r="L33" i="1"/>
  <c r="L34" i="1"/>
  <c r="L50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L4" i="1"/>
  <c r="M4" i="1"/>
  <c r="N4" i="1" s="1"/>
  <c r="M3" i="1"/>
  <c r="N3" i="1" s="1"/>
  <c r="J153" i="1" l="1"/>
  <c r="J152" i="1"/>
  <c r="N156" i="1"/>
  <c r="J156" i="1"/>
  <c r="J155" i="1"/>
  <c r="L15" i="3"/>
  <c r="J157" i="1" l="1"/>
  <c r="A1" i="6"/>
  <c r="M41" i="3"/>
  <c r="M42" i="3" s="1"/>
  <c r="A1" i="3"/>
  <c r="O154" i="1"/>
  <c r="N154" i="1"/>
  <c r="M154" i="1"/>
  <c r="AA4" i="1"/>
  <c r="Z4" i="1"/>
  <c r="X4" i="1"/>
  <c r="W4" i="1"/>
  <c r="V4" i="1"/>
  <c r="T4" i="1"/>
  <c r="AA3" i="1"/>
  <c r="Z3" i="1"/>
  <c r="X3" i="1"/>
  <c r="W3" i="1"/>
  <c r="V3" i="1"/>
  <c r="T3" i="1"/>
  <c r="P28" i="3" s="1"/>
  <c r="P9" i="3" l="1"/>
  <c r="Y4" i="1"/>
  <c r="U4" i="1" s="1"/>
  <c r="Y3" i="1"/>
  <c r="U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<sst xmlns="http://schemas.openxmlformats.org/spreadsheetml/2006/main" count="1427" uniqueCount="437">
  <si>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</si>
  <si>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</si>
  <si>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</si>
  <si>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</si>
  <si>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</si>
  <si>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</si>
  <si>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</si>
  <si>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</si>
  <si>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</si>
  <si>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</si>
  <si>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</si>
  <si>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</si>
  <si>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</si>
  <si>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</si>
  <si>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</si>
  <si>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</si>
  <si>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</si>
  <si>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</si>
  <si>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</si>
  <si>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</si>
  <si>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</si>
  <si>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</si>
  <si>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</si>
  <si>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</si>
  <si>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</si>
  <si>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</si>
  <si>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</si>
  <si>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</si>
  <si>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</si>
  <si>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</si>
  <si>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</si>
  <si>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</si>
  <si>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</si>
  <si>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</si>
  <si>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</si>
  <si>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</si>
  <si>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</si>
  <si>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</si>
  <si>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</si>
  <si>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</si>
  <si>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</si>
  <si>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</si>
  <si>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</si>
  <si>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</si>
  <si>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</si>
  <si>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</si>
  <si>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</si>
  <si>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</si>
  <si>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</si>
  <si>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</si>
  <si>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</si>
  <si>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</si>
  <si>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</si>
  <si>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</si>
  <si>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</si>
  <si>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</si>
  <si>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</si>
  <si>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</si>
  <si>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</si>
  <si>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</si>
  <si>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</si>
  <si>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</si>
  <si>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</si>
  <si>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</si>
  <si>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</si>
  <si>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</si>
  <si>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</si>
  <si>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</si>
  <si>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</si>
  <si>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</si>
  <si>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</si>
  <si>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</si>
  <si>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</si>
  <si>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</si>
  <si>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</si>
  <si>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</si>
  <si>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</si>
  <si>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</si>
  <si>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</si>
  <si>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</si>
  <si>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</si>
  <si>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</si>
  <si>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</si>
  <si>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</si>
  <si>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</si>
  <si>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</si>
  <si>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</si>
  <si>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</si>
  <si>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</si>
  <si>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</si>
  <si>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</si>
  <si>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</si>
  <si>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</si>
  <si>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</si>
  <si>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</si>
  <si>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</si>
  <si>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</si>
  <si>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</si>
  <si>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</si>
  <si>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204:233280</t>
  </si>
  <si>
    <t>204:233312</t>
  </si>
  <si>
    <t>204:141</t>
  </si>
  <si>
    <t>204:232982</t>
  </si>
  <si>
    <t>204:232985</t>
  </si>
  <si>
    <t>204:156</t>
  </si>
  <si>
    <t>204:149</t>
  </si>
  <si>
    <t>204:232983</t>
  </si>
  <si>
    <t>204:233297</t>
  </si>
  <si>
    <t>GRADE CROSSING</t>
  </si>
  <si>
    <t>Bulletin (2)</t>
  </si>
  <si>
    <t>204:471</t>
  </si>
  <si>
    <t>204:232971</t>
  </si>
  <si>
    <t>204:444</t>
  </si>
  <si>
    <t>204:442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</si>
  <si>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</si>
  <si>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</si>
  <si>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</si>
  <si>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</si>
  <si>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</si>
  <si>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</si>
  <si>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</si>
  <si>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</si>
  <si>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</si>
  <si>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</si>
  <si>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</si>
  <si>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</si>
  <si>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</si>
  <si>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204:232998</t>
  </si>
  <si>
    <t>204:233278</t>
  </si>
  <si>
    <t>204:161</t>
  </si>
  <si>
    <t>204:232980</t>
  </si>
  <si>
    <t>204:446</t>
  </si>
  <si>
    <t>204:129</t>
  </si>
  <si>
    <t>rtdc.l.rtdc.4044:itc</t>
  </si>
  <si>
    <t>rtdc.l.rtdc.4043:itc</t>
  </si>
  <si>
    <t>LOZA</t>
  </si>
  <si>
    <t>ROCHA</t>
  </si>
  <si>
    <t>SPECTOR</t>
  </si>
  <si>
    <t>204:232981</t>
  </si>
  <si>
    <t>204:232978</t>
  </si>
  <si>
    <t>204:232974</t>
  </si>
  <si>
    <t>204:477</t>
  </si>
  <si>
    <t>204:233323</t>
  </si>
  <si>
    <t>204:233316</t>
  </si>
  <si>
    <t>204:433</t>
  </si>
  <si>
    <t>204:233311</t>
  </si>
  <si>
    <t>204:449</t>
  </si>
  <si>
    <t>204:232986</t>
  </si>
  <si>
    <t>204:233291</t>
  </si>
  <si>
    <t>204:467</t>
  </si>
  <si>
    <t>204:233285</t>
  </si>
  <si>
    <t>204:232976</t>
  </si>
  <si>
    <t>STRICKLAND</t>
  </si>
  <si>
    <t>rtdc.l.rtdc.4014:itc</t>
  </si>
  <si>
    <t>REBOLETTI</t>
  </si>
  <si>
    <t>rtdc.l.rtdc.4013:itc</t>
  </si>
  <si>
    <t>BARTLETT</t>
  </si>
  <si>
    <t>YANAI</t>
  </si>
  <si>
    <t>Enroute Failure</t>
  </si>
  <si>
    <t>204:349</t>
  </si>
  <si>
    <t>204:232963</t>
  </si>
  <si>
    <t>204:233049</t>
  </si>
  <si>
    <t>204:734</t>
  </si>
  <si>
    <t>204:233286</t>
  </si>
  <si>
    <t>204:170</t>
  </si>
  <si>
    <t>204:232992</t>
  </si>
  <si>
    <t>204:233004</t>
  </si>
  <si>
    <t>204:469</t>
  </si>
  <si>
    <t>204:233000</t>
  </si>
  <si>
    <t>204:232993</t>
  </si>
  <si>
    <t>204:232964</t>
  </si>
  <si>
    <t>204:232966</t>
  </si>
  <si>
    <t>204:233332</t>
  </si>
  <si>
    <t>204:232970</t>
  </si>
  <si>
    <t>204:233003</t>
  </si>
  <si>
    <t>204:119</t>
  </si>
  <si>
    <t>204:232957</t>
  </si>
  <si>
    <t>204:233284</t>
  </si>
  <si>
    <t>204:232967</t>
  </si>
  <si>
    <t>204:167</t>
  </si>
  <si>
    <t>204:232961</t>
  </si>
  <si>
    <t>204:233282</t>
  </si>
  <si>
    <t>204:232959</t>
  </si>
  <si>
    <t>rtdc.l.rtdc.4042:itc</t>
  </si>
  <si>
    <t>GEBRETEKLE</t>
  </si>
  <si>
    <t>COOLAHAN</t>
  </si>
  <si>
    <t>STEWART</t>
  </si>
  <si>
    <t>rtdc.l.rtdc.4041:itc</t>
  </si>
  <si>
    <t>YOUNG</t>
  </si>
  <si>
    <t>rtdc.l.rtdc.4024:itc</t>
  </si>
  <si>
    <t>rtdc.l.rtdc.4023:itc</t>
  </si>
  <si>
    <t>101-02</t>
  </si>
  <si>
    <t>204:761</t>
  </si>
  <si>
    <t>204:233321</t>
  </si>
  <si>
    <t>102-02</t>
  </si>
  <si>
    <t>204:232679</t>
  </si>
  <si>
    <t>204:1153</t>
  </si>
  <si>
    <t>103-02</t>
  </si>
  <si>
    <t>204:832</t>
  </si>
  <si>
    <t>204:233431</t>
  </si>
  <si>
    <t>105-02</t>
  </si>
  <si>
    <t>204:635</t>
  </si>
  <si>
    <t>204:233331</t>
  </si>
  <si>
    <t>106-02</t>
  </si>
  <si>
    <t>204:232677</t>
  </si>
  <si>
    <t>107-02</t>
  </si>
  <si>
    <t>204:475</t>
  </si>
  <si>
    <t>108-02</t>
  </si>
  <si>
    <t>109-02</t>
  </si>
  <si>
    <t>110-02</t>
  </si>
  <si>
    <t>204:365</t>
  </si>
  <si>
    <t>111-02</t>
  </si>
  <si>
    <t>204:763</t>
  </si>
  <si>
    <t>112-02</t>
  </si>
  <si>
    <t>113-02</t>
  </si>
  <si>
    <t>204:233098</t>
  </si>
  <si>
    <t>114-02</t>
  </si>
  <si>
    <t>204:232943</t>
  </si>
  <si>
    <t>204:185374</t>
  </si>
  <si>
    <t>115-02</t>
  </si>
  <si>
    <t>116-02</t>
  </si>
  <si>
    <t>117-02</t>
  </si>
  <si>
    <t>204:233315</t>
  </si>
  <si>
    <t>118-02</t>
  </si>
  <si>
    <t>204:154</t>
  </si>
  <si>
    <t>119-02</t>
  </si>
  <si>
    <t>204:19195</t>
  </si>
  <si>
    <t>204:874</t>
  </si>
  <si>
    <t>204:1317</t>
  </si>
  <si>
    <t>120-02</t>
  </si>
  <si>
    <t>204:132</t>
  </si>
  <si>
    <t>121-02</t>
  </si>
  <si>
    <t>204:233310</t>
  </si>
  <si>
    <t>122-02</t>
  </si>
  <si>
    <t>123-02</t>
  </si>
  <si>
    <t>204:673</t>
  </si>
  <si>
    <t>204:233288</t>
  </si>
  <si>
    <t>124-02</t>
  </si>
  <si>
    <t>125-02</t>
  </si>
  <si>
    <t>204:233308</t>
  </si>
  <si>
    <t>126-02</t>
  </si>
  <si>
    <t>127-02</t>
  </si>
  <si>
    <t>204:406</t>
  </si>
  <si>
    <t>204:195429</t>
  </si>
  <si>
    <t>128-02</t>
  </si>
  <si>
    <t>204:391</t>
  </si>
  <si>
    <t>129-02</t>
  </si>
  <si>
    <t>130-02</t>
  </si>
  <si>
    <t>131-02</t>
  </si>
  <si>
    <t>204:233403</t>
  </si>
  <si>
    <t>132-02</t>
  </si>
  <si>
    <t>204:233080</t>
  </si>
  <si>
    <t>133-02</t>
  </si>
  <si>
    <t>134-02</t>
  </si>
  <si>
    <t>204:233027</t>
  </si>
  <si>
    <t>135-02</t>
  </si>
  <si>
    <t>136-02</t>
  </si>
  <si>
    <t>204:232988</t>
  </si>
  <si>
    <t>137-02</t>
  </si>
  <si>
    <t>204:431</t>
  </si>
  <si>
    <t>204:233317</t>
  </si>
  <si>
    <t>138-02</t>
  </si>
  <si>
    <t>139-02</t>
  </si>
  <si>
    <t>140-02</t>
  </si>
  <si>
    <t>204:163</t>
  </si>
  <si>
    <t>141-02</t>
  </si>
  <si>
    <t>204:537</t>
  </si>
  <si>
    <t>142-02</t>
  </si>
  <si>
    <t>204:5300</t>
  </si>
  <si>
    <t>143-02</t>
  </si>
  <si>
    <t>144-02</t>
  </si>
  <si>
    <t>145-02</t>
  </si>
  <si>
    <t>204:480</t>
  </si>
  <si>
    <t>146-02</t>
  </si>
  <si>
    <t>204:233013</t>
  </si>
  <si>
    <t>147-02</t>
  </si>
  <si>
    <t>148-02</t>
  </si>
  <si>
    <t>149-02</t>
  </si>
  <si>
    <t>150-02</t>
  </si>
  <si>
    <t>151-02</t>
  </si>
  <si>
    <t>152-02</t>
  </si>
  <si>
    <t>153-02</t>
  </si>
  <si>
    <t>204:233304</t>
  </si>
  <si>
    <t>154-02</t>
  </si>
  <si>
    <t>155-02</t>
  </si>
  <si>
    <t>156-02</t>
  </si>
  <si>
    <t>204:221</t>
  </si>
  <si>
    <t>157-02</t>
  </si>
  <si>
    <t>158-02</t>
  </si>
  <si>
    <t>204:232987</t>
  </si>
  <si>
    <t>159-02</t>
  </si>
  <si>
    <t>160-02</t>
  </si>
  <si>
    <t>204:165</t>
  </si>
  <si>
    <t>161-02</t>
  </si>
  <si>
    <t>204:233338</t>
  </si>
  <si>
    <t>162-02</t>
  </si>
  <si>
    <t>204:233010</t>
  </si>
  <si>
    <t>163-02</t>
  </si>
  <si>
    <t>204:233372</t>
  </si>
  <si>
    <t>164-02</t>
  </si>
  <si>
    <t>165-02</t>
  </si>
  <si>
    <t>204:233281</t>
  </si>
  <si>
    <t>166-02</t>
  </si>
  <si>
    <t>167-02</t>
  </si>
  <si>
    <t>168-02</t>
  </si>
  <si>
    <t>204:1675</t>
  </si>
  <si>
    <t>169-02</t>
  </si>
  <si>
    <t>204:549</t>
  </si>
  <si>
    <t>170-02</t>
  </si>
  <si>
    <t>171-02</t>
  </si>
  <si>
    <t>172-02</t>
  </si>
  <si>
    <t>204:232969</t>
  </si>
  <si>
    <t>173-02</t>
  </si>
  <si>
    <t>174-02</t>
  </si>
  <si>
    <t>204:232968</t>
  </si>
  <si>
    <t>175-02</t>
  </si>
  <si>
    <t>176-02</t>
  </si>
  <si>
    <t>177-02</t>
  </si>
  <si>
    <t>178-02</t>
  </si>
  <si>
    <t>204:233006</t>
  </si>
  <si>
    <t>179-02</t>
  </si>
  <si>
    <t>204:642</t>
  </si>
  <si>
    <t>180-02</t>
  </si>
  <si>
    <t>181-02</t>
  </si>
  <si>
    <t>204:313</t>
  </si>
  <si>
    <t>182-02</t>
  </si>
  <si>
    <t>204:232979</t>
  </si>
  <si>
    <t>183-02</t>
  </si>
  <si>
    <t>184-02</t>
  </si>
  <si>
    <t>185-02</t>
  </si>
  <si>
    <t>204:320</t>
  </si>
  <si>
    <t>186-02</t>
  </si>
  <si>
    <t>204:232989</t>
  </si>
  <si>
    <t>187-02</t>
  </si>
  <si>
    <t>204:233251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</si>
  <si>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</si>
  <si>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</si>
  <si>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</si>
  <si>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</si>
  <si>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</si>
  <si>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</si>
  <si>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</si>
  <si>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</si>
  <si>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</si>
  <si>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</si>
  <si>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</si>
  <si>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</si>
  <si>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</si>
  <si>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204:111209</t>
  </si>
  <si>
    <t>204:86353</t>
  </si>
  <si>
    <t>204:54298</t>
  </si>
  <si>
    <t>201-02</t>
  </si>
  <si>
    <t>204:233264</t>
  </si>
  <si>
    <t>202-02</t>
  </si>
  <si>
    <t>204:232945</t>
  </si>
  <si>
    <t>203-02</t>
  </si>
  <si>
    <t>204-02</t>
  </si>
  <si>
    <t>204:232984</t>
  </si>
  <si>
    <t>205-02</t>
  </si>
  <si>
    <t>206-02</t>
  </si>
  <si>
    <t>207-02</t>
  </si>
  <si>
    <t>208-02</t>
  </si>
  <si>
    <t>209-02</t>
  </si>
  <si>
    <t>210-02</t>
  </si>
  <si>
    <t>211-02</t>
  </si>
  <si>
    <t>204:86375</t>
  </si>
  <si>
    <t>212-02</t>
  </si>
  <si>
    <t>213-02</t>
  </si>
  <si>
    <t>214-02</t>
  </si>
  <si>
    <t>215-02</t>
  </si>
  <si>
    <t>204:478</t>
  </si>
  <si>
    <t>216-02</t>
  </si>
  <si>
    <t>217-02</t>
  </si>
  <si>
    <t>218-02</t>
  </si>
  <si>
    <t>219-02</t>
  </si>
  <si>
    <t>204:233302</t>
  </si>
  <si>
    <t>220-02</t>
  </si>
  <si>
    <t>221-02</t>
  </si>
  <si>
    <t>223-02</t>
  </si>
  <si>
    <t>204:233287</t>
  </si>
  <si>
    <t>224-02</t>
  </si>
  <si>
    <t>225-02</t>
  </si>
  <si>
    <t>227-02</t>
  </si>
  <si>
    <t>204:233272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</si>
  <si>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</si>
  <si>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</si>
  <si>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</si>
  <si>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</si>
  <si>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</si>
  <si>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</si>
  <si>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</si>
  <si>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</si>
  <si>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204:233300</t>
  </si>
  <si>
    <t>236-02</t>
  </si>
  <si>
    <t>237-02</t>
  </si>
  <si>
    <t>238-02</t>
  </si>
  <si>
    <t>204:892</t>
  </si>
  <si>
    <t>239-02</t>
  </si>
  <si>
    <t>204:484</t>
  </si>
  <si>
    <t>240-02</t>
  </si>
  <si>
    <t>241-02</t>
  </si>
  <si>
    <t>242-02</t>
  </si>
  <si>
    <t>204:181</t>
  </si>
  <si>
    <t>243-02</t>
  </si>
  <si>
    <t>204:233307</t>
  </si>
  <si>
    <t>244-02</t>
  </si>
  <si>
    <t>204:232975</t>
  </si>
  <si>
    <t>303-02</t>
  </si>
  <si>
    <t>104-02</t>
  </si>
  <si>
    <t>222-02</t>
  </si>
  <si>
    <t>rtdc.l.rtdc.4027:itc</t>
  </si>
  <si>
    <t>rtdc.l.rtdc.4026:itc</t>
  </si>
  <si>
    <t>rtdc.l.rtdc.4011:itc</t>
  </si>
  <si>
    <t>rtdc.l.rtdc.4008:itc</t>
  </si>
  <si>
    <t>rtdc.l.rtdc.4025:itc</t>
  </si>
  <si>
    <t>rtdc.l.rtdc.4007:itc</t>
  </si>
  <si>
    <t>rtdc.l.rtdc.4028:itc</t>
  </si>
  <si>
    <t>rtdc.l.rtdc.4012:itc</t>
  </si>
  <si>
    <t>BRUDER</t>
  </si>
  <si>
    <t>NEWELL</t>
  </si>
  <si>
    <t>BEAM</t>
  </si>
  <si>
    <t>SANTIZO</t>
  </si>
  <si>
    <t>LEDERHAUSE</t>
  </si>
  <si>
    <t>MALAVE</t>
  </si>
  <si>
    <t>MAYBERRY</t>
  </si>
  <si>
    <t>NELSON</t>
  </si>
  <si>
    <t>226-02</t>
  </si>
  <si>
    <t>GOLIGHTLY</t>
  </si>
  <si>
    <t>BUTLER</t>
  </si>
  <si>
    <t>Onboard Comms</t>
  </si>
  <si>
    <t>Resolved</t>
  </si>
  <si>
    <t>Form C</t>
  </si>
  <si>
    <t>Wimax Gap</t>
  </si>
  <si>
    <t>Stop Signal with Warning</t>
  </si>
  <si>
    <t>Navigational Faults</t>
  </si>
  <si>
    <t>Wimax - Signal Unknown - Cutout</t>
  </si>
  <si>
    <t>Cutout to pass bulletin distance &gt; 500ft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</si>
</sst>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topLeftCell="A100" zoomScale="85" zoomScaleNormal="85" workbookViewId="0">
      <selection activeCell="R104" sqref="R10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191</v>
      </c>
      <c r="B3" s="60">
        <v>4011</v>
      </c>
      <c r="C3" s="60" t="s">
        <v>62</v>
      </c>
      <c r="D3" s="60" t="s">
        <v>192</v>
      </c>
      <c r="E3" s="30">
        <v>42523.132604166669</v>
      </c>
      <c r="F3" s="30">
        <v>42523.13349537037</v>
      </c>
      <c r="G3" s="38">
        <v>1</v>
      </c>
      <c r="H3" s="30" t="s">
        <v>193</v>
      </c>
      <c r="I3" s="30">
        <v>42523.161562499998</v>
      </c>
      <c r="J3" s="60">
        <v>0</v>
      </c>
      <c r="K3" s="60" t="str">
        <f t="shared" ref="K3:K34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:M34" si="1">I3-F3</f>
        <v>2.806712962774327E-2</v>
      </c>
      <c r="N3" s="13">
        <f t="shared" ref="N3:P66" si="2">24*60*SUM($M3:$M3)</f>
        <v>40.416666663950309</v>
      </c>
      <c r="O3" s="13"/>
      <c r="P3" s="13"/>
      <c r="Q3" s="61"/>
      <c r="R3" s="61"/>
      <c r="T3" s="73" t="str">
        <f t="shared" ref="T3:T36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https://search-rtdc-monitor-bjffxe2xuh6vdkpspy63sjmuny.us-east-1.es.amazonaws.com/_plugin/kibana/#/discover/Steve-Slow-Train-Analysis-(2080s-and-2083s)?_g=(refreshInterval:(display:Off,section:0,value:0),time:(from:'2016-06-02 03:09:57-0600',mode:absolute,to:'2016-06-02 03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 t="shared" ref="U3:U67" si="4">IF(Y3&lt;23,"Y","N")</f>
        <v>N</v>
      </c>
      <c r="V3" s="73" t="e">
        <f t="shared" ref="V3:V67" si="5">VALUE(LEFT(A3,3))-VALUE(LEFT(A2,3))</f>
        <v>#VALUE!</v>
      </c>
      <c r="W3" s="73">
        <f t="shared" ref="W3:W34" si="6">RIGHT(D3,LEN(D3)-4)/10000</f>
        <v>7.6100000000000001E-2</v>
      </c>
      <c r="X3" s="73">
        <f t="shared" ref="X3:X34" si="7">RIGHT(H3,LEN(H3)-4)/10000</f>
        <v>23.332100000000001</v>
      </c>
      <c r="Y3" s="73">
        <f t="shared" ref="Y3:Y34" si="8">ABS(X3-W3)</f>
        <v>23.256</v>
      </c>
      <c r="Z3" s="74" t="e">
        <f>VLOOKUP(A3,Enforcements!$C$3:$J$39,8,0)</f>
        <v>#N/A</v>
      </c>
      <c r="AA3" s="74" t="e">
        <f>VLOOKUP(A3,Enforcements!$C$3:$J$39,3,0)</f>
        <v>#N/A</v>
      </c>
    </row>
    <row r="4" spans="1:89" s="2" customFormat="1" x14ac:dyDescent="0.25">
      <c r="A4" s="60" t="s">
        <v>194</v>
      </c>
      <c r="B4" s="60">
        <v>4030</v>
      </c>
      <c r="C4" s="60" t="s">
        <v>62</v>
      </c>
      <c r="D4" s="60" t="s">
        <v>195</v>
      </c>
      <c r="E4" s="30">
        <v>42523.170914351853</v>
      </c>
      <c r="F4" s="30">
        <v>42523.172094907408</v>
      </c>
      <c r="G4" s="38">
        <v>1</v>
      </c>
      <c r="H4" s="30" t="s">
        <v>196</v>
      </c>
      <c r="I4" s="30">
        <v>42523.201388888891</v>
      </c>
      <c r="J4" s="60">
        <v>0</v>
      </c>
      <c r="K4" s="60" t="str">
        <f t="shared" si="0"/>
        <v>4029/4030</v>
      </c>
      <c r="L4" s="60" t="str">
        <f>VLOOKUP(A4,'Trips&amp;Operators'!$C$1:$E$9999,3,FALSE)</f>
        <v>COOLAHAN</v>
      </c>
      <c r="M4" s="12">
        <f t="shared" si="1"/>
        <v>2.9293981482624076E-2</v>
      </c>
      <c r="N4" s="13">
        <f t="shared" si="2"/>
        <v>42.18333333497867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04:05:07-0600',mode:absolute,to:'2016-06-02 04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23.267900000000001</v>
      </c>
      <c r="X4" s="73">
        <f t="shared" si="7"/>
        <v>0.1153</v>
      </c>
      <c r="Y4" s="73">
        <f t="shared" si="8"/>
        <v>23.1526</v>
      </c>
      <c r="Z4" s="74" t="e">
        <f>VLOOKUP(A4,Enforcements!$C$3:$J$39,8,0)</f>
        <v>#N/A</v>
      </c>
      <c r="AA4" s="74" t="e">
        <f>VLOOKUP(A4,Enforcements!$C$3:$J$39,3,0)</f>
        <v>#N/A</v>
      </c>
    </row>
    <row r="5" spans="1:89" s="2" customFormat="1" x14ac:dyDescent="0.25">
      <c r="A5" s="60" t="s">
        <v>197</v>
      </c>
      <c r="B5" s="60">
        <v>4042</v>
      </c>
      <c r="C5" s="60" t="s">
        <v>62</v>
      </c>
      <c r="D5" s="60" t="s">
        <v>198</v>
      </c>
      <c r="E5" s="30">
        <v>42523.153981481482</v>
      </c>
      <c r="F5" s="30">
        <v>42523.154965277776</v>
      </c>
      <c r="G5" s="38">
        <v>1</v>
      </c>
      <c r="H5" s="30" t="s">
        <v>199</v>
      </c>
      <c r="I5" s="30">
        <v>42523.182442129626</v>
      </c>
      <c r="J5" s="60">
        <v>0</v>
      </c>
      <c r="K5" s="60" t="str">
        <f t="shared" si="0"/>
        <v>4041/4042</v>
      </c>
      <c r="L5" s="60" t="str">
        <f>VLOOKUP(A5,'Trips&amp;Operators'!$C$1:$E$9999,3,FALSE)</f>
        <v>STARKS</v>
      </c>
      <c r="M5" s="12">
        <f t="shared" si="1"/>
        <v>2.7476851850224193E-2</v>
      </c>
      <c r="N5" s="13">
        <f t="shared" si="2"/>
        <v>39.566666664322838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03:40:44-0600',mode:absolute,to:'2016-06-02 04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8.3199999999999996E-2</v>
      </c>
      <c r="X5" s="73">
        <f t="shared" si="7"/>
        <v>23.3431</v>
      </c>
      <c r="Y5" s="73">
        <f t="shared" si="8"/>
        <v>23.259899999999998</v>
      </c>
      <c r="Z5" s="74" t="e">
        <f>VLOOKUP(A5,Enforcements!$C$3:$J$39,8,0)</f>
        <v>#N/A</v>
      </c>
      <c r="AA5" s="74" t="e">
        <f>VLOOKUP(A5,Enforcements!$C$3:$J$39,3,0)</f>
        <v>#N/A</v>
      </c>
    </row>
    <row r="6" spans="1:89" s="2" customFormat="1" x14ac:dyDescent="0.25">
      <c r="A6" s="60" t="s">
        <v>408</v>
      </c>
      <c r="B6" s="60">
        <v>4013</v>
      </c>
      <c r="C6" s="60"/>
      <c r="D6" s="60"/>
      <c r="E6" s="30"/>
      <c r="F6" s="30">
        <v>42523.195798611108</v>
      </c>
      <c r="G6" s="38"/>
      <c r="H6" s="30"/>
      <c r="I6" s="30">
        <v>42523.20412037037</v>
      </c>
      <c r="J6" s="60">
        <v>0</v>
      </c>
      <c r="K6" s="60" t="str">
        <f t="shared" ref="K6" si="9">IF(ISEVEN(B6),(B6-1)&amp;"/"&amp;B6,B6&amp;"/"&amp;(B6+1))</f>
        <v>4013/4014</v>
      </c>
      <c r="L6" s="60" t="str">
        <f>VLOOKUP(A6,'Trips&amp;Operators'!$C$1:$E$9999,3,FALSE)</f>
        <v>STARKS</v>
      </c>
      <c r="M6" s="12">
        <f t="shared" ref="M6" si="10">I6-F6</f>
        <v>8.3217592618893832E-3</v>
      </c>
      <c r="N6" s="13"/>
      <c r="O6" s="13"/>
      <c r="P6" s="13">
        <f t="shared" si="2"/>
        <v>11.983333337120712</v>
      </c>
      <c r="Q6" s="61"/>
      <c r="R6" s="61" t="s">
        <v>158</v>
      </c>
      <c r="T6" s="73" t="e">
        <f t="shared" ref="T6:T7" si="11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#VALUE!</v>
      </c>
      <c r="U6" s="73" t="e">
        <f t="shared" ref="U6:U7" si="12">IF(Y6&lt;23,"Y","N")</f>
        <v>#VALUE!</v>
      </c>
      <c r="V6" s="73">
        <f t="shared" ref="V6:V7" si="13">VALUE(LEFT(A6,3))-VALUE(LEFT(A5,3))</f>
        <v>1</v>
      </c>
      <c r="W6" s="73" t="e">
        <f t="shared" ref="W6:W7" si="14">RIGHT(D6,LEN(D6)-4)/10000</f>
        <v>#VALUE!</v>
      </c>
      <c r="X6" s="73" t="e">
        <f t="shared" ref="X6:X7" si="15">RIGHT(H6,LEN(H6)-4)/10000</f>
        <v>#VALUE!</v>
      </c>
      <c r="Y6" s="73" t="e">
        <f t="shared" ref="Y6:Y7" si="16">ABS(X6-W6)</f>
        <v>#VALUE!</v>
      </c>
      <c r="Z6" s="74" t="e">
        <f>VLOOKUP(A6,Enforcements!$C$3:$J$39,8,0)</f>
        <v>#N/A</v>
      </c>
      <c r="AA6" s="74" t="e">
        <f>VLOOKUP(A6,Enforcements!$C$3:$J$39,3,0)</f>
        <v>#N/A</v>
      </c>
    </row>
    <row r="7" spans="1:89" s="2" customFormat="1" x14ac:dyDescent="0.25">
      <c r="A7" s="60" t="s">
        <v>200</v>
      </c>
      <c r="B7" s="60">
        <v>4027</v>
      </c>
      <c r="C7" s="60" t="s">
        <v>62</v>
      </c>
      <c r="D7" s="60" t="s">
        <v>201</v>
      </c>
      <c r="E7" s="30">
        <v>42523.17050925926</v>
      </c>
      <c r="F7" s="30">
        <v>42523.1716087963</v>
      </c>
      <c r="G7" s="38">
        <v>1</v>
      </c>
      <c r="H7" s="30" t="s">
        <v>202</v>
      </c>
      <c r="I7" s="30">
        <v>42523.202430555553</v>
      </c>
      <c r="J7" s="60">
        <v>0</v>
      </c>
      <c r="K7" s="60" t="str">
        <f t="shared" si="0"/>
        <v>4027/4028</v>
      </c>
      <c r="L7" s="60" t="str">
        <f>VLOOKUP(A7,'Trips&amp;Operators'!$C$1:$E$9999,3,FALSE)</f>
        <v>LEDERHAUSE</v>
      </c>
      <c r="M7" s="12">
        <f t="shared" si="1"/>
        <v>3.0821759253740311E-2</v>
      </c>
      <c r="N7" s="13">
        <f t="shared" si="2"/>
        <v>44.383333325386047</v>
      </c>
      <c r="O7" s="13"/>
      <c r="P7" s="13"/>
      <c r="Q7" s="61"/>
      <c r="R7" s="61"/>
      <c r="T7" s="73" t="str">
        <f t="shared" si="11"/>
        <v>https://search-rtdc-monitor-bjffxe2xuh6vdkpspy63sjmuny.us-east-1.es.amazonaws.com/_plugin/kibana/#/discover/Steve-Slow-Train-Analysis-(2080s-and-2083s)?_g=(refreshInterval:(display:Off,section:0,value:0),time:(from:'2016-06-02 04:04:32-0600',mode:absolute,to:'2016-06-02 04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" s="73" t="str">
        <f t="shared" si="12"/>
        <v>N</v>
      </c>
      <c r="V7" s="73">
        <f t="shared" si="13"/>
        <v>1</v>
      </c>
      <c r="W7" s="73">
        <f t="shared" si="14"/>
        <v>6.3500000000000001E-2</v>
      </c>
      <c r="X7" s="73">
        <f t="shared" si="15"/>
        <v>23.333100000000002</v>
      </c>
      <c r="Y7" s="73">
        <f t="shared" si="16"/>
        <v>23.269600000000001</v>
      </c>
      <c r="Z7" s="74" t="e">
        <f>VLOOKUP(A7,Enforcements!$C$3:$J$39,8,0)</f>
        <v>#N/A</v>
      </c>
      <c r="AA7" s="74" t="e">
        <f>VLOOKUP(A7,Enforcements!$C$3:$J$39,3,0)</f>
        <v>#N/A</v>
      </c>
    </row>
    <row r="8" spans="1:89" s="2" customFormat="1" x14ac:dyDescent="0.25">
      <c r="A8" s="60" t="s">
        <v>203</v>
      </c>
      <c r="B8" s="60">
        <v>4032</v>
      </c>
      <c r="C8" s="60" t="s">
        <v>62</v>
      </c>
      <c r="D8" s="60" t="s">
        <v>204</v>
      </c>
      <c r="E8" s="30">
        <v>42523.212592592594</v>
      </c>
      <c r="F8" s="30">
        <v>42523.213379629633</v>
      </c>
      <c r="G8" s="38">
        <v>1</v>
      </c>
      <c r="H8" s="30" t="s">
        <v>75</v>
      </c>
      <c r="I8" s="30">
        <v>42523.242222222223</v>
      </c>
      <c r="J8" s="60">
        <v>0</v>
      </c>
      <c r="K8" s="60" t="str">
        <f t="shared" si="0"/>
        <v>4031/4032</v>
      </c>
      <c r="L8" s="60" t="str">
        <f>VLOOKUP(A8,'Trips&amp;Operators'!$C$1:$E$9999,3,FALSE)</f>
        <v>LEDERHAUSE</v>
      </c>
      <c r="M8" s="12">
        <f t="shared" si="1"/>
        <v>2.884259259008104E-2</v>
      </c>
      <c r="N8" s="13">
        <f t="shared" si="2"/>
        <v>41.533333329716697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05:05:08-0600',mode:absolute,to:'2016-06-02 05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23.267700000000001</v>
      </c>
      <c r="X8" s="73">
        <f t="shared" si="7"/>
        <v>1.4999999999999999E-2</v>
      </c>
      <c r="Y8" s="73">
        <f t="shared" si="8"/>
        <v>23.252700000000001</v>
      </c>
      <c r="Z8" s="74" t="e">
        <f>VLOOKUP(A8,Enforcements!$C$3:$J$39,8,0)</f>
        <v>#N/A</v>
      </c>
      <c r="AA8" s="74" t="e">
        <f>VLOOKUP(A8,Enforcements!$C$3:$J$39,3,0)</f>
        <v>#N/A</v>
      </c>
    </row>
    <row r="9" spans="1:89" s="2" customFormat="1" x14ac:dyDescent="0.25">
      <c r="A9" s="60" t="s">
        <v>205</v>
      </c>
      <c r="B9" s="60">
        <v>4025</v>
      </c>
      <c r="C9" s="60" t="s">
        <v>62</v>
      </c>
      <c r="D9" s="60" t="s">
        <v>206</v>
      </c>
      <c r="E9" s="30">
        <v>42523.179942129631</v>
      </c>
      <c r="F9" s="30">
        <v>42523.181504629632</v>
      </c>
      <c r="G9" s="38">
        <v>2</v>
      </c>
      <c r="H9" s="30" t="s">
        <v>145</v>
      </c>
      <c r="I9" s="30">
        <v>42523.215173611112</v>
      </c>
      <c r="J9" s="60">
        <v>0</v>
      </c>
      <c r="K9" s="60" t="str">
        <f t="shared" si="0"/>
        <v>4025/4026</v>
      </c>
      <c r="L9" s="60" t="str">
        <f>VLOOKUP(A9,'Trips&amp;Operators'!$C$1:$E$9999,3,FALSE)</f>
        <v>SANTIZO</v>
      </c>
      <c r="M9" s="12">
        <f t="shared" si="1"/>
        <v>3.3668981479422655E-2</v>
      </c>
      <c r="N9" s="13">
        <f t="shared" si="2"/>
        <v>48.483333330368623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04:18:07-0600',mode:absolute,to:'2016-06-02 05:10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4.7500000000000001E-2</v>
      </c>
      <c r="X9" s="73">
        <f t="shared" si="7"/>
        <v>23.331099999999999</v>
      </c>
      <c r="Y9" s="73">
        <f t="shared" si="8"/>
        <v>23.2836</v>
      </c>
      <c r="Z9" s="74" t="e">
        <f>VLOOKUP(A9,Enforcements!$C$3:$J$39,8,0)</f>
        <v>#N/A</v>
      </c>
      <c r="AA9" s="74" t="e">
        <f>VLOOKUP(A9,Enforcements!$C$3:$J$39,3,0)</f>
        <v>#N/A</v>
      </c>
    </row>
    <row r="10" spans="1:89" s="2" customFormat="1" x14ac:dyDescent="0.25">
      <c r="A10" s="60" t="s">
        <v>207</v>
      </c>
      <c r="B10" s="60">
        <v>4026</v>
      </c>
      <c r="C10" s="60" t="s">
        <v>62</v>
      </c>
      <c r="D10" s="60" t="s">
        <v>130</v>
      </c>
      <c r="E10" s="30">
        <v>42523.221458333333</v>
      </c>
      <c r="F10" s="30">
        <v>42523.223425925928</v>
      </c>
      <c r="G10" s="38">
        <v>2</v>
      </c>
      <c r="H10" s="30" t="s">
        <v>104</v>
      </c>
      <c r="I10" s="30">
        <v>42523.252395833333</v>
      </c>
      <c r="J10" s="60">
        <v>0</v>
      </c>
      <c r="K10" s="60" t="str">
        <f t="shared" si="0"/>
        <v>4025/4026</v>
      </c>
      <c r="L10" s="60" t="str">
        <f>VLOOKUP(A10,'Trips&amp;Operators'!$C$1:$E$9999,3,FALSE)</f>
        <v>SANTIZO</v>
      </c>
      <c r="M10" s="12">
        <f t="shared" si="1"/>
        <v>2.8969907405553386E-2</v>
      </c>
      <c r="N10" s="13">
        <f t="shared" si="2"/>
        <v>41.716666663996875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05:17:54-0600',mode:absolute,to:'2016-06-02 06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23.297999999999998</v>
      </c>
      <c r="X10" s="73">
        <f t="shared" si="7"/>
        <v>1.5599999999999999E-2</v>
      </c>
      <c r="Y10" s="73">
        <f t="shared" si="8"/>
        <v>23.282399999999999</v>
      </c>
      <c r="Z10" s="74" t="e">
        <f>VLOOKUP(A10,Enforcements!$C$3:$J$39,8,0)</f>
        <v>#N/A</v>
      </c>
      <c r="AA10" s="74" t="e">
        <f>VLOOKUP(A10,Enforcements!$C$3:$J$39,3,0)</f>
        <v>#N/A</v>
      </c>
    </row>
    <row r="11" spans="1:89" s="2" customFormat="1" x14ac:dyDescent="0.25">
      <c r="A11" s="60" t="s">
        <v>208</v>
      </c>
      <c r="B11" s="60">
        <v>4024</v>
      </c>
      <c r="C11" s="60" t="s">
        <v>62</v>
      </c>
      <c r="D11" s="60" t="s">
        <v>167</v>
      </c>
      <c r="E11" s="30">
        <v>42523.193842592591</v>
      </c>
      <c r="F11" s="30">
        <v>42523.195509259262</v>
      </c>
      <c r="G11" s="38">
        <v>2</v>
      </c>
      <c r="H11" s="30" t="s">
        <v>149</v>
      </c>
      <c r="I11" s="30">
        <v>42523.224282407406</v>
      </c>
      <c r="J11" s="60">
        <v>0</v>
      </c>
      <c r="K11" s="60" t="str">
        <f t="shared" si="0"/>
        <v>4023/4024</v>
      </c>
      <c r="L11" s="60" t="str">
        <f>VLOOKUP(A11,'Trips&amp;Operators'!$C$1:$E$9999,3,FALSE)</f>
        <v>STRICKLAND</v>
      </c>
      <c r="M11" s="12">
        <f t="shared" si="1"/>
        <v>2.8773148143955041E-2</v>
      </c>
      <c r="N11" s="13">
        <f t="shared" si="2"/>
        <v>41.433333327295259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04:38:08-0600',mode:absolute,to:'2016-06-02 05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4.6899999999999997E-2</v>
      </c>
      <c r="X11" s="73">
        <v>23.331199999999999</v>
      </c>
      <c r="Y11" s="73">
        <f t="shared" si="8"/>
        <v>23.284299999999998</v>
      </c>
      <c r="Z11" s="74">
        <f>VLOOKUP(A11,Enforcements!$C$3:$J$39,8,0)</f>
        <v>233491</v>
      </c>
      <c r="AA11" s="74" t="str">
        <f>VLOOKUP(A11,Enforcements!$C$3:$J$39,3,0)</f>
        <v>TRACK WARRANT AUTHORITY</v>
      </c>
    </row>
    <row r="12" spans="1:89" s="2" customFormat="1" x14ac:dyDescent="0.25">
      <c r="A12" s="60" t="s">
        <v>209</v>
      </c>
      <c r="B12" s="60">
        <v>4023</v>
      </c>
      <c r="C12" s="60" t="s">
        <v>62</v>
      </c>
      <c r="D12" s="60" t="s">
        <v>96</v>
      </c>
      <c r="E12" s="30">
        <v>42523.233680555553</v>
      </c>
      <c r="F12" s="30">
        <v>42523.235081018516</v>
      </c>
      <c r="G12" s="38">
        <v>2</v>
      </c>
      <c r="H12" s="30" t="s">
        <v>210</v>
      </c>
      <c r="I12" s="30">
        <v>42523.264178240737</v>
      </c>
      <c r="J12" s="60">
        <v>0</v>
      </c>
      <c r="K12" s="60" t="str">
        <f t="shared" si="0"/>
        <v>4023/4024</v>
      </c>
      <c r="L12" s="60" t="str">
        <f>VLOOKUP(A12,'Trips&amp;Operators'!$C$1:$E$9999,3,FALSE)</f>
        <v>STRICKLAND</v>
      </c>
      <c r="M12" s="12">
        <f t="shared" si="1"/>
        <v>2.9097222221025731E-2</v>
      </c>
      <c r="N12" s="13">
        <f t="shared" si="2"/>
        <v>41.899999998277053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05:35:30-0600',mode:absolute,to:'2016-06-02 06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23.299099999999999</v>
      </c>
      <c r="X12" s="73">
        <f t="shared" si="7"/>
        <v>3.6499999999999998E-2</v>
      </c>
      <c r="Y12" s="73">
        <f t="shared" si="8"/>
        <v>23.262599999999999</v>
      </c>
      <c r="Z12" s="74" t="e">
        <f>VLOOKUP(A12,Enforcements!$C$3:$J$39,8,0)</f>
        <v>#N/A</v>
      </c>
      <c r="AA12" s="74" t="e">
        <f>VLOOKUP(A12,Enforcements!$C$3:$J$39,3,0)</f>
        <v>#N/A</v>
      </c>
    </row>
    <row r="13" spans="1:89" s="2" customFormat="1" x14ac:dyDescent="0.25">
      <c r="A13" s="60" t="s">
        <v>211</v>
      </c>
      <c r="B13" s="60">
        <v>4011</v>
      </c>
      <c r="C13" s="60" t="s">
        <v>62</v>
      </c>
      <c r="D13" s="60" t="s">
        <v>212</v>
      </c>
      <c r="E13" s="30">
        <v>42523.207766203705</v>
      </c>
      <c r="F13" s="30">
        <v>42523.209305555552</v>
      </c>
      <c r="G13" s="38">
        <v>2</v>
      </c>
      <c r="H13" s="30" t="s">
        <v>163</v>
      </c>
      <c r="I13" s="30">
        <v>42523.234293981484</v>
      </c>
      <c r="J13" s="60">
        <v>0</v>
      </c>
      <c r="K13" s="60" t="str">
        <f t="shared" si="0"/>
        <v>4011/4012</v>
      </c>
      <c r="L13" s="60" t="str">
        <f>VLOOKUP(A13,'Trips&amp;Operators'!$C$1:$E$9999,3,FALSE)</f>
        <v>GEBRETEKLE</v>
      </c>
      <c r="M13" s="12">
        <f t="shared" si="1"/>
        <v>2.4988425931951497E-2</v>
      </c>
      <c r="N13" s="13">
        <f t="shared" si="2"/>
        <v>35.983333342010155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04:58:11-0600',mode:absolute,to:'2016-06-02 05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7.6300000000000007E-2</v>
      </c>
      <c r="X13" s="73">
        <f t="shared" si="7"/>
        <v>23.328600000000002</v>
      </c>
      <c r="Y13" s="73">
        <f t="shared" si="8"/>
        <v>23.252300000000002</v>
      </c>
      <c r="Z13" s="74" t="e">
        <f>VLOOKUP(A13,Enforcements!$C$3:$J$39,8,0)</f>
        <v>#N/A</v>
      </c>
      <c r="AA13" s="74" t="e">
        <f>VLOOKUP(A13,Enforcements!$C$3:$J$39,3,0)</f>
        <v>#N/A</v>
      </c>
    </row>
    <row r="14" spans="1:89" s="2" customFormat="1" x14ac:dyDescent="0.25">
      <c r="A14" s="60" t="s">
        <v>213</v>
      </c>
      <c r="B14" s="60">
        <v>4012</v>
      </c>
      <c r="C14" s="60" t="s">
        <v>62</v>
      </c>
      <c r="D14" s="60" t="s">
        <v>130</v>
      </c>
      <c r="E14" s="30">
        <v>42523.244803240741</v>
      </c>
      <c r="F14" s="30">
        <v>42523.246041666665</v>
      </c>
      <c r="G14" s="38">
        <v>1</v>
      </c>
      <c r="H14" s="30" t="s">
        <v>77</v>
      </c>
      <c r="I14" s="30">
        <v>42523.273009259261</v>
      </c>
      <c r="J14" s="60">
        <v>0</v>
      </c>
      <c r="K14" s="60" t="str">
        <f t="shared" si="0"/>
        <v>4011/4012</v>
      </c>
      <c r="L14" s="60" t="str">
        <f>VLOOKUP(A14,'Trips&amp;Operators'!$C$1:$E$9999,3,FALSE)</f>
        <v>GEBRETEKLE</v>
      </c>
      <c r="M14" s="12">
        <f t="shared" si="1"/>
        <v>2.6967592595610768E-2</v>
      </c>
      <c r="N14" s="13">
        <f t="shared" si="2"/>
        <v>38.833333337679505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05:51:31-0600',mode:absolute,to:'2016-06-02 06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23.297999999999998</v>
      </c>
      <c r="X14" s="73">
        <v>1.6299999999999999E-2</v>
      </c>
      <c r="Y14" s="73">
        <f t="shared" si="8"/>
        <v>23.281699999999997</v>
      </c>
      <c r="Z14" s="74" t="e">
        <f>VLOOKUP(A14,Enforcements!$C$3:$J$39,8,0)</f>
        <v>#N/A</v>
      </c>
      <c r="AA14" s="74" t="e">
        <f>VLOOKUP(A14,Enforcements!$C$3:$J$39,3,0)</f>
        <v>#N/A</v>
      </c>
    </row>
    <row r="15" spans="1:89" s="2" customFormat="1" x14ac:dyDescent="0.25">
      <c r="A15" s="60" t="s">
        <v>214</v>
      </c>
      <c r="B15" s="60">
        <v>4029</v>
      </c>
      <c r="C15" s="60" t="s">
        <v>62</v>
      </c>
      <c r="D15" s="60" t="s">
        <v>97</v>
      </c>
      <c r="E15" s="30">
        <v>42523.212557870371</v>
      </c>
      <c r="F15" s="30">
        <v>42523.215127314812</v>
      </c>
      <c r="G15" s="38">
        <v>3</v>
      </c>
      <c r="H15" s="30" t="s">
        <v>215</v>
      </c>
      <c r="I15" s="30">
        <v>42523.247581018521</v>
      </c>
      <c r="J15" s="60">
        <v>2</v>
      </c>
      <c r="K15" s="60" t="str">
        <f t="shared" si="0"/>
        <v>4029/4030</v>
      </c>
      <c r="L15" s="60" t="str">
        <f>VLOOKUP(A15,'Trips&amp;Operators'!$C$1:$E$9999,3,FALSE)</f>
        <v>COOLAHAN</v>
      </c>
      <c r="M15" s="12">
        <f t="shared" si="1"/>
        <v>3.2453703708597459E-2</v>
      </c>
      <c r="N15" s="13">
        <f t="shared" si="2"/>
        <v>46.733333340380341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05:05:05-0600',mode:absolute,to:'2016-06-02 05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4.3799999999999999E-2</v>
      </c>
      <c r="X15" s="73">
        <f t="shared" si="7"/>
        <v>23.309799999999999</v>
      </c>
      <c r="Y15" s="73">
        <f t="shared" si="8"/>
        <v>23.265999999999998</v>
      </c>
      <c r="Z15" s="74">
        <f>VLOOKUP(A15,Enforcements!$C$3:$J$39,8,0)</f>
        <v>198242</v>
      </c>
      <c r="AA15" s="74" t="str">
        <f>VLOOKUP(A15,Enforcements!$C$3:$J$39,3,0)</f>
        <v>SIGNAL</v>
      </c>
    </row>
    <row r="16" spans="1:89" s="2" customFormat="1" x14ac:dyDescent="0.25">
      <c r="A16" s="60" t="s">
        <v>216</v>
      </c>
      <c r="B16" s="60">
        <v>4030</v>
      </c>
      <c r="C16" s="60" t="s">
        <v>62</v>
      </c>
      <c r="D16" s="60" t="s">
        <v>217</v>
      </c>
      <c r="E16" s="30">
        <v>42523.254444444443</v>
      </c>
      <c r="F16" s="30">
        <v>42523.25540509259</v>
      </c>
      <c r="G16" s="38">
        <v>1</v>
      </c>
      <c r="H16" s="30" t="s">
        <v>218</v>
      </c>
      <c r="I16" s="30">
        <v>42523.262986111113</v>
      </c>
      <c r="J16" s="60">
        <v>0</v>
      </c>
      <c r="K16" s="60" t="str">
        <f t="shared" si="0"/>
        <v>4029/4030</v>
      </c>
      <c r="L16" s="60" t="str">
        <f>VLOOKUP(A16,'Trips&amp;Operators'!$C$1:$E$9999,3,FALSE)</f>
        <v>COOLAHAN</v>
      </c>
      <c r="M16" s="12">
        <f t="shared" si="1"/>
        <v>7.5810185226146132E-3</v>
      </c>
      <c r="N16" s="13"/>
      <c r="O16" s="13"/>
      <c r="P16" s="13">
        <f t="shared" si="2"/>
        <v>10.916666672565043</v>
      </c>
      <c r="Q16" s="61"/>
      <c r="R16" s="61" t="s">
        <v>435</v>
      </c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06:05:24-0600',mode:absolute,to:'2016-06-02 06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6" s="73" t="str">
        <f t="shared" si="4"/>
        <v>Y</v>
      </c>
      <c r="V16" s="73">
        <f t="shared" si="5"/>
        <v>1</v>
      </c>
      <c r="W16" s="73">
        <f t="shared" si="6"/>
        <v>23.2943</v>
      </c>
      <c r="X16" s="73">
        <f t="shared" si="7"/>
        <v>18.537400000000002</v>
      </c>
      <c r="Y16" s="73">
        <f t="shared" si="8"/>
        <v>4.7568999999999981</v>
      </c>
      <c r="Z16" s="74" t="e">
        <f>VLOOKUP(A16,Enforcements!$C$3:$J$39,8,0)</f>
        <v>#N/A</v>
      </c>
      <c r="AA16" s="74" t="e">
        <f>VLOOKUP(A16,Enforcements!$C$3:$J$39,3,0)</f>
        <v>#N/A</v>
      </c>
    </row>
    <row r="17" spans="1:27" s="2" customFormat="1" x14ac:dyDescent="0.25">
      <c r="A17" s="60" t="s">
        <v>219</v>
      </c>
      <c r="B17" s="60">
        <v>4042</v>
      </c>
      <c r="C17" s="60" t="s">
        <v>62</v>
      </c>
      <c r="D17" s="60" t="s">
        <v>162</v>
      </c>
      <c r="E17" s="30">
        <v>42523.227013888885</v>
      </c>
      <c r="F17" s="30">
        <v>42523.228321759256</v>
      </c>
      <c r="G17" s="38">
        <v>1</v>
      </c>
      <c r="H17" s="30" t="s">
        <v>63</v>
      </c>
      <c r="I17" s="30">
        <v>42523.25513888889</v>
      </c>
      <c r="J17" s="60">
        <v>0</v>
      </c>
      <c r="K17" s="60" t="str">
        <f t="shared" si="0"/>
        <v>4041/4042</v>
      </c>
      <c r="L17" s="60" t="str">
        <f>VLOOKUP(A17,'Trips&amp;Operators'!$C$1:$E$9999,3,FALSE)</f>
        <v>NELSON</v>
      </c>
      <c r="M17" s="12">
        <f t="shared" si="1"/>
        <v>2.6817129633855075E-2</v>
      </c>
      <c r="N17" s="13">
        <f t="shared" si="2"/>
        <v>38.616666672751307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05:25:54-0600',mode:absolute,to:'2016-06-02 06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7.3400000000000007E-2</v>
      </c>
      <c r="X17" s="73">
        <f t="shared" si="7"/>
        <v>23.329499999999999</v>
      </c>
      <c r="Y17" s="73">
        <f t="shared" si="8"/>
        <v>23.2561</v>
      </c>
      <c r="Z17" s="74" t="e">
        <f>VLOOKUP(A17,Enforcements!$C$3:$J$39,8,0)</f>
        <v>#N/A</v>
      </c>
      <c r="AA17" s="74" t="e">
        <f>VLOOKUP(A17,Enforcements!$C$3:$J$39,3,0)</f>
        <v>#N/A</v>
      </c>
    </row>
    <row r="18" spans="1:27" s="2" customFormat="1" x14ac:dyDescent="0.25">
      <c r="A18" s="60" t="s">
        <v>220</v>
      </c>
      <c r="B18" s="60">
        <v>4041</v>
      </c>
      <c r="C18" s="60" t="s">
        <v>62</v>
      </c>
      <c r="D18" s="60" t="s">
        <v>102</v>
      </c>
      <c r="E18" s="30">
        <v>42523.26222222222</v>
      </c>
      <c r="F18" s="30">
        <v>42523.263333333336</v>
      </c>
      <c r="G18" s="38">
        <v>1</v>
      </c>
      <c r="H18" s="30" t="s">
        <v>105</v>
      </c>
      <c r="I18" s="30">
        <v>42523.29587962963</v>
      </c>
      <c r="J18" s="60">
        <v>1</v>
      </c>
      <c r="K18" s="60" t="str">
        <f t="shared" si="0"/>
        <v>4041/4042</v>
      </c>
      <c r="L18" s="60" t="str">
        <f>VLOOKUP(A18,'Trips&amp;Operators'!$C$1:$E$9999,3,FALSE)</f>
        <v>NELSON</v>
      </c>
      <c r="M18" s="12">
        <f t="shared" si="1"/>
        <v>3.2546296293730848E-2</v>
      </c>
      <c r="N18" s="13">
        <f t="shared" si="2"/>
        <v>46.86666666297242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06:16:36-0600',mode:absolute,to:'2016-06-02 07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23.298200000000001</v>
      </c>
      <c r="X18" s="73">
        <f t="shared" si="7"/>
        <v>1.49E-2</v>
      </c>
      <c r="Y18" s="73">
        <f t="shared" si="8"/>
        <v>23.283300000000001</v>
      </c>
      <c r="Z18" s="74">
        <f>VLOOKUP(A18,Enforcements!$C$3:$J$39,8,0)</f>
        <v>1</v>
      </c>
      <c r="AA18" s="74" t="str">
        <f>VLOOKUP(A18,Enforcements!$C$3:$J$39,3,0)</f>
        <v>TRACK WARRANT AUTHORITY</v>
      </c>
    </row>
    <row r="19" spans="1:27" s="2" customFormat="1" x14ac:dyDescent="0.25">
      <c r="A19" s="60" t="s">
        <v>221</v>
      </c>
      <c r="B19" s="60">
        <v>4014</v>
      </c>
      <c r="C19" s="60" t="s">
        <v>62</v>
      </c>
      <c r="D19" s="60" t="s">
        <v>113</v>
      </c>
      <c r="E19" s="30">
        <v>42523.236168981479</v>
      </c>
      <c r="F19" s="30">
        <v>42523.237372685187</v>
      </c>
      <c r="G19" s="38">
        <v>1</v>
      </c>
      <c r="H19" s="30" t="s">
        <v>222</v>
      </c>
      <c r="I19" s="30">
        <v>42523.264872685184</v>
      </c>
      <c r="J19" s="60">
        <v>0</v>
      </c>
      <c r="K19" s="60" t="str">
        <f>IF(ISEVEN(B19),(B19-1)&amp;"/"&amp;B19,B19&amp;"/"&amp;(B19+1))</f>
        <v>4013/4014</v>
      </c>
      <c r="L19" s="60" t="str">
        <f>VLOOKUP(A19,'Trips&amp;Operators'!$C$1:$E$9999,3,FALSE)</f>
        <v>BEAM</v>
      </c>
      <c r="M19" s="12">
        <f>I19-F19</f>
        <v>2.749999999650754E-2</v>
      </c>
      <c r="N19" s="13">
        <f t="shared" si="2"/>
        <v>39.599999994970858</v>
      </c>
      <c r="O19" s="13"/>
      <c r="P19" s="13"/>
      <c r="Q19" s="61"/>
      <c r="R19" s="61"/>
      <c r="T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https://search-rtdc-monitor-bjffxe2xuh6vdkpspy63sjmuny.us-east-1.es.amazonaws.com/_plugin/kibana/#/discover/Steve-Slow-Train-Analysis-(2080s-and-2083s)?_g=(refreshInterval:(display:Off,section:0,value:0),time:(from:'2016-06-02 05:39:05-0600',mode:absolute,to:'2016-06-02 06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>IF(Y19&lt;23,"Y","N")</f>
        <v>N</v>
      </c>
      <c r="V19" s="73">
        <f t="shared" si="5"/>
        <v>1</v>
      </c>
      <c r="W19" s="73">
        <f>RIGHT(D19,LEN(D19)-4)/10000</f>
        <v>4.4200000000000003E-2</v>
      </c>
      <c r="X19" s="73">
        <f>RIGHT(H19,LEN(H19)-4)/10000</f>
        <v>23.331499999999998</v>
      </c>
      <c r="Y19" s="73">
        <f>ABS(X19-W19)</f>
        <v>23.287299999999998</v>
      </c>
      <c r="Z19" s="74" t="e">
        <f>VLOOKUP(A19,Enforcements!$C$3:$J$39,8,0)</f>
        <v>#N/A</v>
      </c>
      <c r="AA19" s="74" t="e">
        <f>VLOOKUP(A19,Enforcements!$C$3:$J$39,3,0)</f>
        <v>#N/A</v>
      </c>
    </row>
    <row r="20" spans="1:27" s="2" customFormat="1" x14ac:dyDescent="0.25">
      <c r="A20" s="60" t="s">
        <v>223</v>
      </c>
      <c r="B20" s="60">
        <v>4013</v>
      </c>
      <c r="C20" s="60" t="s">
        <v>62</v>
      </c>
      <c r="D20" s="60" t="s">
        <v>169</v>
      </c>
      <c r="E20" s="30">
        <v>42523.271041666667</v>
      </c>
      <c r="F20" s="30">
        <v>42523.271979166668</v>
      </c>
      <c r="G20" s="38">
        <v>1</v>
      </c>
      <c r="H20" s="30" t="s">
        <v>224</v>
      </c>
      <c r="I20" s="30">
        <v>42523.306666666664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BEAM</v>
      </c>
      <c r="M20" s="12">
        <f t="shared" si="1"/>
        <v>3.4687499995925464E-2</v>
      </c>
      <c r="N20" s="13">
        <f t="shared" si="2"/>
        <v>49.949999994132668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06:29:18-0600',mode:absolute,to:'2016-06-02 07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3" t="str">
        <f t="shared" si="4"/>
        <v>N</v>
      </c>
      <c r="V20" s="73">
        <f t="shared" si="5"/>
        <v>1</v>
      </c>
      <c r="W20" s="73">
        <f t="shared" si="6"/>
        <v>23.299299999999999</v>
      </c>
      <c r="X20" s="73">
        <f t="shared" si="7"/>
        <v>1.54E-2</v>
      </c>
      <c r="Y20" s="73">
        <f t="shared" si="8"/>
        <v>23.283899999999999</v>
      </c>
      <c r="Z20" s="74">
        <f>VLOOKUP(A20,Enforcements!$C$3:$J$39,8,0)</f>
        <v>1</v>
      </c>
      <c r="AA20" s="74" t="str">
        <f>VLOOKUP(A20,Enforcements!$C$3:$J$39,3,0)</f>
        <v>TRACK WARRANT AUTHORITY</v>
      </c>
    </row>
    <row r="21" spans="1:27" s="2" customFormat="1" x14ac:dyDescent="0.25">
      <c r="A21" s="60" t="s">
        <v>225</v>
      </c>
      <c r="B21" s="60">
        <v>4027</v>
      </c>
      <c r="C21" s="60" t="s">
        <v>62</v>
      </c>
      <c r="D21" s="60" t="s">
        <v>227</v>
      </c>
      <c r="E21" s="30">
        <v>42523.246354166666</v>
      </c>
      <c r="F21" s="30">
        <v>42523.250763888886</v>
      </c>
      <c r="G21" s="38">
        <v>6</v>
      </c>
      <c r="H21" s="30" t="s">
        <v>228</v>
      </c>
      <c r="I21" s="30">
        <v>42523.251817129632</v>
      </c>
      <c r="J21" s="60">
        <v>0</v>
      </c>
      <c r="K21" s="60" t="str">
        <f>IF(ISEVEN(B21),(B21-1)&amp;"/"&amp;B21,B21&amp;"/"&amp;(B21+1))</f>
        <v>4027/4028</v>
      </c>
      <c r="L21" s="60" t="str">
        <f>VLOOKUP(A21,'Trips&amp;Operators'!$C$1:$E$9999,3,FALSE)</f>
        <v>LEDERHAUSE</v>
      </c>
      <c r="M21" s="12">
        <f>I21-F21</f>
        <v>1.0532407468417659E-3</v>
      </c>
      <c r="N21" s="13"/>
      <c r="O21" s="13"/>
      <c r="P21" s="13"/>
      <c r="Q21" s="61"/>
      <c r="R21" s="61"/>
      <c r="T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https://search-rtdc-monitor-bjffxe2xuh6vdkpspy63sjmuny.us-east-1.es.amazonaws.com/_plugin/kibana/#/discover/Steve-Slow-Train-Analysis-(2080s-and-2083s)?_g=(refreshInterval:(display:Off,section:0,value:0),time:(from:'2016-06-02 05:53:45-0600',mode:absolute,to:'2016-06-02 06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1" s="73" t="str">
        <f>IF(Y21&lt;23,"Y","N")</f>
        <v>Y</v>
      </c>
      <c r="V21" s="73">
        <f>VALUE(LEFT(A21,3))-VALUE(LEFT(A22,3))</f>
        <v>0</v>
      </c>
      <c r="W21" s="73">
        <f>RIGHT(D21,LEN(D21)-4)/10000</f>
        <v>8.7400000000000005E-2</v>
      </c>
      <c r="X21" s="73">
        <f>RIGHT(H21,LEN(H21)-4)/10000</f>
        <v>0.13170000000000001</v>
      </c>
      <c r="Y21" s="73">
        <f>ABS(X21-W21)</f>
        <v>4.4300000000000006E-2</v>
      </c>
      <c r="Z21" s="74" t="e">
        <f>VLOOKUP(A21,Enforcements!$C$3:$J$39,8,0)</f>
        <v>#N/A</v>
      </c>
      <c r="AA21" s="74" t="e">
        <f>VLOOKUP(A21,Enforcements!$C$3:$J$39,3,0)</f>
        <v>#N/A</v>
      </c>
    </row>
    <row r="22" spans="1:27" s="2" customFormat="1" x14ac:dyDescent="0.25">
      <c r="A22" s="60" t="s">
        <v>225</v>
      </c>
      <c r="B22" s="60">
        <v>4027</v>
      </c>
      <c r="C22" s="60" t="s">
        <v>62</v>
      </c>
      <c r="D22" s="60" t="s">
        <v>226</v>
      </c>
      <c r="E22" s="30">
        <v>42523.254803240743</v>
      </c>
      <c r="F22" s="30">
        <v>42523.255567129629</v>
      </c>
      <c r="G22" s="38">
        <v>1</v>
      </c>
      <c r="H22" s="30" t="s">
        <v>177</v>
      </c>
      <c r="I22" s="30">
        <v>42523.277083333334</v>
      </c>
      <c r="J22" s="60">
        <v>0</v>
      </c>
      <c r="K22" s="60" t="str">
        <f t="shared" si="0"/>
        <v>4027/4028</v>
      </c>
      <c r="L22" s="60" t="str">
        <f>VLOOKUP(A22,'Trips&amp;Operators'!$C$1:$E$9999,3,FALSE)</f>
        <v>LEDERHAUSE</v>
      </c>
      <c r="M22" s="12">
        <f t="shared" si="1"/>
        <v>2.1516203705687076E-2</v>
      </c>
      <c r="N22" s="13"/>
      <c r="O22" s="13"/>
      <c r="P22" s="13">
        <f>24*60*SUM($M21:$M22)</f>
        <v>32.500000011641532</v>
      </c>
      <c r="Q22" s="61"/>
      <c r="R22" s="61" t="s">
        <v>434</v>
      </c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06:05:55-0600',mode:absolute,to:'2016-06-02 06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2" s="73" t="str">
        <f t="shared" si="4"/>
        <v>Y</v>
      </c>
      <c r="V22" s="73">
        <f>VALUE(LEFT(A22,3))-VALUE(LEFT(A20,3))</f>
        <v>1</v>
      </c>
      <c r="W22" s="73">
        <f t="shared" si="6"/>
        <v>1.9195</v>
      </c>
      <c r="X22" s="73">
        <f t="shared" si="7"/>
        <v>23.328399999999998</v>
      </c>
      <c r="Y22" s="73">
        <f t="shared" si="8"/>
        <v>21.408899999999999</v>
      </c>
      <c r="Z22" s="74" t="e">
        <f>VLOOKUP(A22,Enforcements!$C$3:$J$39,8,0)</f>
        <v>#N/A</v>
      </c>
      <c r="AA22" s="74" t="e">
        <f>VLOOKUP(A22,Enforcements!$C$3:$J$39,3,0)</f>
        <v>#N/A</v>
      </c>
    </row>
    <row r="23" spans="1:27" s="2" customFormat="1" x14ac:dyDescent="0.25">
      <c r="A23" s="60" t="s">
        <v>229</v>
      </c>
      <c r="B23" s="60">
        <v>4028</v>
      </c>
      <c r="C23" s="60" t="s">
        <v>62</v>
      </c>
      <c r="D23" s="60" t="s">
        <v>102</v>
      </c>
      <c r="E23" s="30">
        <v>42523.286724537036</v>
      </c>
      <c r="F23" s="30">
        <v>42523.287569444445</v>
      </c>
      <c r="G23" s="38">
        <v>1</v>
      </c>
      <c r="H23" s="30" t="s">
        <v>230</v>
      </c>
      <c r="I23" s="30">
        <v>42523.317407407405</v>
      </c>
      <c r="J23" s="60">
        <v>0</v>
      </c>
      <c r="K23" s="60" t="str">
        <f t="shared" si="0"/>
        <v>4027/4028</v>
      </c>
      <c r="L23" s="60" t="str">
        <f>VLOOKUP(A23,'Trips&amp;Operators'!$C$1:$E$9999,3,FALSE)</f>
        <v>LEDERHAUSE</v>
      </c>
      <c r="M23" s="12">
        <f t="shared" si="1"/>
        <v>2.9837962960300501E-2</v>
      </c>
      <c r="N23" s="13">
        <f t="shared" si="2"/>
        <v>42.966666662832722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06:51:53-0600',mode:absolute,to:'2016-06-02 07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3" s="73" t="str">
        <f t="shared" si="4"/>
        <v>N</v>
      </c>
      <c r="V23" s="73">
        <f>VALUE(LEFT(A23,3))-VALUE(LEFT(A21,3))</f>
        <v>1</v>
      </c>
      <c r="W23" s="73">
        <f t="shared" si="6"/>
        <v>23.298200000000001</v>
      </c>
      <c r="X23" s="73">
        <f t="shared" si="7"/>
        <v>1.32E-2</v>
      </c>
      <c r="Y23" s="73">
        <f t="shared" si="8"/>
        <v>23.285</v>
      </c>
      <c r="Z23" s="74" t="e">
        <f>VLOOKUP(A23,Enforcements!$C$3:$J$39,8,0)</f>
        <v>#N/A</v>
      </c>
      <c r="AA23" s="74" t="e">
        <f>VLOOKUP(A23,Enforcements!$C$3:$J$39,3,0)</f>
        <v>#N/A</v>
      </c>
    </row>
    <row r="24" spans="1:27" s="2" customFormat="1" x14ac:dyDescent="0.25">
      <c r="A24" s="60" t="s">
        <v>231</v>
      </c>
      <c r="B24" s="60">
        <v>4025</v>
      </c>
      <c r="C24" s="60" t="s">
        <v>62</v>
      </c>
      <c r="D24" s="60" t="s">
        <v>67</v>
      </c>
      <c r="E24" s="30">
        <v>42523.258252314816</v>
      </c>
      <c r="F24" s="30">
        <v>42523.259074074071</v>
      </c>
      <c r="G24" s="38">
        <v>1</v>
      </c>
      <c r="H24" s="30" t="s">
        <v>232</v>
      </c>
      <c r="I24" s="30">
        <v>42523.285624999997</v>
      </c>
      <c r="J24" s="60">
        <v>0</v>
      </c>
      <c r="K24" s="60" t="str">
        <f t="shared" si="0"/>
        <v>4025/4026</v>
      </c>
      <c r="L24" s="60" t="str">
        <f>VLOOKUP(A24,'Trips&amp;Operators'!$C$1:$E$9999,3,FALSE)</f>
        <v>SANTIZO</v>
      </c>
      <c r="M24" s="12">
        <f t="shared" si="1"/>
        <v>2.6550925926130731E-2</v>
      </c>
      <c r="N24" s="13">
        <f t="shared" si="2"/>
        <v>38.233333333628252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06:10:53-0600',mode:absolute,to:'2016-06-02 06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4.5100000000000001E-2</v>
      </c>
      <c r="X24" s="73">
        <f t="shared" si="7"/>
        <v>23.331</v>
      </c>
      <c r="Y24" s="73">
        <f t="shared" si="8"/>
        <v>23.285899999999998</v>
      </c>
      <c r="Z24" s="74" t="e">
        <f>VLOOKUP(A24,Enforcements!$C$3:$J$39,8,0)</f>
        <v>#N/A</v>
      </c>
      <c r="AA24" s="74" t="e">
        <f>VLOOKUP(A24,Enforcements!$C$3:$J$39,3,0)</f>
        <v>#N/A</v>
      </c>
    </row>
    <row r="25" spans="1:27" s="2" customFormat="1" x14ac:dyDescent="0.25">
      <c r="A25" s="60" t="s">
        <v>233</v>
      </c>
      <c r="B25" s="60">
        <v>4026</v>
      </c>
      <c r="C25" s="60" t="s">
        <v>62</v>
      </c>
      <c r="D25" s="60" t="s">
        <v>82</v>
      </c>
      <c r="E25" s="30">
        <v>42523.294988425929</v>
      </c>
      <c r="F25" s="30">
        <v>42523.296909722223</v>
      </c>
      <c r="G25" s="38">
        <v>2</v>
      </c>
      <c r="H25" s="30" t="s">
        <v>91</v>
      </c>
      <c r="I25" s="30">
        <v>42523.328159722223</v>
      </c>
      <c r="J25" s="60">
        <v>0</v>
      </c>
      <c r="K25" s="60" t="str">
        <f t="shared" si="0"/>
        <v>4025/4026</v>
      </c>
      <c r="L25" s="60" t="str">
        <f>VLOOKUP(A25,'Trips&amp;Operators'!$C$1:$E$9999,3,FALSE)</f>
        <v>SANTIZO</v>
      </c>
      <c r="M25" s="12">
        <f t="shared" si="1"/>
        <v>3.125E-2</v>
      </c>
      <c r="N25" s="13">
        <f t="shared" si="2"/>
        <v>45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07:03:47-0600',mode:absolute,to:'2016-06-02 07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23.299600000000002</v>
      </c>
      <c r="X25" s="73">
        <f t="shared" si="7"/>
        <v>1.43E-2</v>
      </c>
      <c r="Y25" s="73">
        <f t="shared" si="8"/>
        <v>23.285300000000003</v>
      </c>
      <c r="Z25" s="74" t="e">
        <f>VLOOKUP(A25,Enforcements!$C$3:$J$39,8,0)</f>
        <v>#N/A</v>
      </c>
      <c r="AA25" s="74" t="e">
        <f>VLOOKUP(A25,Enforcements!$C$3:$J$39,3,0)</f>
        <v>#N/A</v>
      </c>
    </row>
    <row r="26" spans="1:27" s="2" customFormat="1" x14ac:dyDescent="0.25">
      <c r="A26" s="60" t="s">
        <v>234</v>
      </c>
      <c r="B26" s="60">
        <v>4024</v>
      </c>
      <c r="C26" s="60" t="s">
        <v>62</v>
      </c>
      <c r="D26" s="60" t="s">
        <v>235</v>
      </c>
      <c r="E26" s="30">
        <v>42523.267881944441</v>
      </c>
      <c r="F26" s="30">
        <v>42523.269247685188</v>
      </c>
      <c r="G26" s="38">
        <v>1</v>
      </c>
      <c r="H26" s="30" t="s">
        <v>236</v>
      </c>
      <c r="I26" s="30">
        <v>42523.300474537034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STRICKLAND</v>
      </c>
      <c r="M26" s="12">
        <f t="shared" si="1"/>
        <v>3.1226851846440695E-2</v>
      </c>
      <c r="N26" s="13">
        <f t="shared" si="2"/>
        <v>44.966666658874601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06:24:45-0600',mode:absolute,to:'2016-06-02 07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6.7299999999999999E-2</v>
      </c>
      <c r="X26" s="73">
        <f t="shared" si="7"/>
        <v>23.328800000000001</v>
      </c>
      <c r="Y26" s="73">
        <f t="shared" si="8"/>
        <v>23.261500000000002</v>
      </c>
      <c r="Z26" s="74" t="e">
        <f>VLOOKUP(A26,Enforcements!$C$3:$J$39,8,0)</f>
        <v>#N/A</v>
      </c>
      <c r="AA26" s="74" t="e">
        <f>VLOOKUP(A26,Enforcements!$C$3:$J$39,3,0)</f>
        <v>#N/A</v>
      </c>
    </row>
    <row r="27" spans="1:27" s="2" customFormat="1" x14ac:dyDescent="0.25">
      <c r="A27" s="60" t="s">
        <v>237</v>
      </c>
      <c r="B27" s="60">
        <v>4023</v>
      </c>
      <c r="C27" s="60" t="s">
        <v>62</v>
      </c>
      <c r="D27" s="60" t="s">
        <v>116</v>
      </c>
      <c r="E27" s="30">
        <v>42523.305891203701</v>
      </c>
      <c r="F27" s="30">
        <v>42523.310312499998</v>
      </c>
      <c r="G27" s="38">
        <v>6</v>
      </c>
      <c r="H27" s="30" t="s">
        <v>127</v>
      </c>
      <c r="I27" s="30">
        <v>42523.344131944446</v>
      </c>
      <c r="J27" s="60">
        <v>2</v>
      </c>
      <c r="K27" s="60" t="str">
        <f t="shared" si="0"/>
        <v>4023/4024</v>
      </c>
      <c r="L27" s="60" t="str">
        <f>VLOOKUP(A27,'Trips&amp;Operators'!$C$1:$E$9999,3,FALSE)</f>
        <v>STRICKLAND</v>
      </c>
      <c r="M27" s="12">
        <f t="shared" si="1"/>
        <v>3.3819444448454306E-2</v>
      </c>
      <c r="N27" s="13">
        <f t="shared" si="2"/>
        <v>48.7000000057742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07:19:29-0600',mode:absolute,to:'2016-06-02 08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23.2973</v>
      </c>
      <c r="X27" s="73">
        <v>1.38E-2</v>
      </c>
      <c r="Y27" s="73">
        <f t="shared" si="8"/>
        <v>23.2835</v>
      </c>
      <c r="Z27" s="74">
        <f>VLOOKUP(A27,Enforcements!$C$3:$J$39,8,0)</f>
        <v>30562</v>
      </c>
      <c r="AA27" s="74" t="str">
        <f>VLOOKUP(A27,Enforcements!$C$3:$J$39,3,0)</f>
        <v>PERMANENT SPEED RESTRICTION</v>
      </c>
    </row>
    <row r="28" spans="1:27" s="2" customFormat="1" x14ac:dyDescent="0.25">
      <c r="A28" s="60" t="s">
        <v>238</v>
      </c>
      <c r="B28" s="60">
        <v>4011</v>
      </c>
      <c r="C28" s="60" t="s">
        <v>62</v>
      </c>
      <c r="D28" s="60" t="s">
        <v>92</v>
      </c>
      <c r="E28" s="30">
        <v>42523.275625000002</v>
      </c>
      <c r="F28" s="30">
        <v>42523.27684027778</v>
      </c>
      <c r="G28" s="38">
        <v>1</v>
      </c>
      <c r="H28" s="30" t="s">
        <v>239</v>
      </c>
      <c r="I28" s="30">
        <v>42523.306238425925</v>
      </c>
      <c r="J28" s="60">
        <v>0</v>
      </c>
      <c r="K28" s="60" t="str">
        <f t="shared" si="0"/>
        <v>4011/4012</v>
      </c>
      <c r="L28" s="60" t="str">
        <f>VLOOKUP(A28,'Trips&amp;Operators'!$C$1:$E$9999,3,FALSE)</f>
        <v>GEBRETEKLE</v>
      </c>
      <c r="M28" s="12">
        <f t="shared" si="1"/>
        <v>2.9398148144537117E-2</v>
      </c>
      <c r="N28" s="13">
        <f t="shared" si="2"/>
        <v>42.333333328133449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06:35:54-0600',mode:absolute,to:'2016-06-02 07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4.3999999999999997E-2</v>
      </c>
      <c r="X28" s="73">
        <f t="shared" si="7"/>
        <v>23.3308</v>
      </c>
      <c r="Y28" s="73">
        <f t="shared" si="8"/>
        <v>23.286799999999999</v>
      </c>
      <c r="Z28" s="74" t="e">
        <f>VLOOKUP(A28,Enforcements!$C$3:$J$39,8,0)</f>
        <v>#N/A</v>
      </c>
      <c r="AA28" s="74" t="e">
        <f>VLOOKUP(A28,Enforcements!$C$3:$J$39,3,0)</f>
        <v>#N/A</v>
      </c>
    </row>
    <row r="29" spans="1:27" s="2" customFormat="1" x14ac:dyDescent="0.25">
      <c r="A29" s="60" t="s">
        <v>240</v>
      </c>
      <c r="B29" s="60">
        <v>4012</v>
      </c>
      <c r="C29" s="60" t="s">
        <v>62</v>
      </c>
      <c r="D29" s="60" t="s">
        <v>69</v>
      </c>
      <c r="E29" s="30">
        <v>42523.316087962965</v>
      </c>
      <c r="F29" s="30">
        <v>42523.31689814815</v>
      </c>
      <c r="G29" s="38">
        <v>1</v>
      </c>
      <c r="H29" s="30" t="s">
        <v>230</v>
      </c>
      <c r="I29" s="30">
        <v>42523.349976851852</v>
      </c>
      <c r="J29" s="60">
        <v>0</v>
      </c>
      <c r="K29" s="60" t="str">
        <f t="shared" si="0"/>
        <v>4011/4012</v>
      </c>
      <c r="L29" s="60" t="str">
        <f>VLOOKUP(A29,'Trips&amp;Operators'!$C$1:$E$9999,3,FALSE)</f>
        <v>GEBRETEKLE</v>
      </c>
      <c r="M29" s="12">
        <f t="shared" si="1"/>
        <v>3.3078703701903578E-2</v>
      </c>
      <c r="N29" s="13">
        <f t="shared" si="2"/>
        <v>47.633333330741152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07:34:10-0600',mode:absolute,to:'2016-06-02 08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23.299399999999999</v>
      </c>
      <c r="X29" s="73">
        <f t="shared" si="7"/>
        <v>1.32E-2</v>
      </c>
      <c r="Y29" s="73">
        <f t="shared" si="8"/>
        <v>23.286199999999997</v>
      </c>
      <c r="Z29" s="74" t="e">
        <f>VLOOKUP(A29,Enforcements!$C$3:$J$39,8,0)</f>
        <v>#N/A</v>
      </c>
      <c r="AA29" s="74" t="e">
        <f>VLOOKUP(A29,Enforcements!$C$3:$J$39,3,0)</f>
        <v>#N/A</v>
      </c>
    </row>
    <row r="30" spans="1:27" s="2" customFormat="1" x14ac:dyDescent="0.25">
      <c r="A30" s="60" t="s">
        <v>241</v>
      </c>
      <c r="B30" s="60">
        <v>4029</v>
      </c>
      <c r="C30" s="60" t="s">
        <v>62</v>
      </c>
      <c r="D30" s="60" t="s">
        <v>242</v>
      </c>
      <c r="E30" s="30">
        <v>42523.289444444446</v>
      </c>
      <c r="F30" s="30">
        <v>42523.290266203701</v>
      </c>
      <c r="G30" s="38">
        <v>1</v>
      </c>
      <c r="H30" s="30" t="s">
        <v>243</v>
      </c>
      <c r="I30" s="30">
        <v>42523.315625000003</v>
      </c>
      <c r="J30" s="60">
        <v>1</v>
      </c>
      <c r="K30" s="60" t="str">
        <f t="shared" si="0"/>
        <v>4029/4030</v>
      </c>
      <c r="L30" s="60" t="str">
        <f>VLOOKUP(A30,'Trips&amp;Operators'!$C$1:$E$9999,3,FALSE)</f>
        <v>COOLAHAN</v>
      </c>
      <c r="M30" s="12">
        <f t="shared" si="1"/>
        <v>2.5358796301588882E-2</v>
      </c>
      <c r="N30" s="13"/>
      <c r="O30" s="13"/>
      <c r="P30" s="13">
        <f t="shared" si="2"/>
        <v>36.51666667428799</v>
      </c>
      <c r="Q30" s="61" t="s">
        <v>430</v>
      </c>
      <c r="R30" s="61" t="s">
        <v>429</v>
      </c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06:55:48-0600',mode:absolute,to:'2016-06-02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0" s="73" t="str">
        <f t="shared" si="4"/>
        <v>Y</v>
      </c>
      <c r="V30" s="73">
        <f t="shared" si="5"/>
        <v>1</v>
      </c>
      <c r="W30" s="73">
        <f t="shared" si="6"/>
        <v>4.0599999999999997E-2</v>
      </c>
      <c r="X30" s="73">
        <f t="shared" si="7"/>
        <v>19.542899999999999</v>
      </c>
      <c r="Y30" s="73">
        <f t="shared" si="8"/>
        <v>19.502299999999998</v>
      </c>
      <c r="Z30" s="74">
        <f>VLOOKUP(A30,Enforcements!$C$3:$J$39,8,0)</f>
        <v>198242</v>
      </c>
      <c r="AA30" s="74" t="str">
        <f>VLOOKUP(A30,Enforcements!$C$3:$J$39,3,0)</f>
        <v>SIGNAL</v>
      </c>
    </row>
    <row r="31" spans="1:27" s="2" customFormat="1" x14ac:dyDescent="0.25">
      <c r="A31" s="60" t="s">
        <v>244</v>
      </c>
      <c r="B31" s="60">
        <v>4030</v>
      </c>
      <c r="C31" s="60" t="s">
        <v>62</v>
      </c>
      <c r="D31" s="60" t="s">
        <v>182</v>
      </c>
      <c r="E31" s="30">
        <v>42523.329074074078</v>
      </c>
      <c r="F31" s="30">
        <v>42523.329895833333</v>
      </c>
      <c r="G31" s="38">
        <v>1</v>
      </c>
      <c r="H31" s="30" t="s">
        <v>245</v>
      </c>
      <c r="I31" s="30">
        <v>42523.360497685186</v>
      </c>
      <c r="J31" s="60">
        <v>1</v>
      </c>
      <c r="K31" s="60" t="str">
        <f t="shared" ref="K31" si="17">IF(ISEVEN(B31),(B31-1)&amp;"/"&amp;B31,B31&amp;"/"&amp;(B31+1))</f>
        <v>4029/4030</v>
      </c>
      <c r="L31" s="60" t="str">
        <f>VLOOKUP(A31,'Trips&amp;Operators'!$C$1:$E$9999,3,FALSE)</f>
        <v>COOLAHAN</v>
      </c>
      <c r="M31" s="12">
        <f t="shared" ref="M31" si="18">I31-F31</f>
        <v>3.0601851853134576E-2</v>
      </c>
      <c r="N31" s="13">
        <f t="shared" si="2"/>
        <v>44.06666666851379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07:52:52-0600',mode:absolute,to:'2016-06-02 08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1" s="73" t="str">
        <f t="shared" si="4"/>
        <v>N</v>
      </c>
      <c r="V31" s="73">
        <f t="shared" si="5"/>
        <v>1</v>
      </c>
      <c r="W31" s="73">
        <f t="shared" ref="W31:W33" si="19">RIGHT(D31,LEN(D31)-4)/10000</f>
        <v>23.2959</v>
      </c>
      <c r="X31" s="73">
        <f t="shared" ref="X31:X33" si="20">RIGHT(H31,LEN(H31)-4)/10000</f>
        <v>3.9100000000000003E-2</v>
      </c>
      <c r="Y31" s="73">
        <f t="shared" ref="Y31:Y33" si="21">ABS(X31-W31)</f>
        <v>23.256799999999998</v>
      </c>
      <c r="Z31" s="74">
        <f>VLOOKUP(A31,Enforcements!$C$3:$J$39,8,0)</f>
        <v>1</v>
      </c>
      <c r="AA31" s="74" t="str">
        <f>VLOOKUP(A31,Enforcements!$C$3:$J$39,3,0)</f>
        <v>TRACK WARRANT AUTHORITY</v>
      </c>
    </row>
    <row r="32" spans="1:27" s="2" customFormat="1" ht="14.25" customHeight="1" x14ac:dyDescent="0.25">
      <c r="A32" s="60" t="s">
        <v>246</v>
      </c>
      <c r="B32" s="60">
        <v>4042</v>
      </c>
      <c r="C32" s="60" t="s">
        <v>62</v>
      </c>
      <c r="D32" s="60" t="s">
        <v>149</v>
      </c>
      <c r="E32" s="30">
        <v>42523.2969212963</v>
      </c>
      <c r="F32" s="30">
        <v>42523.298449074071</v>
      </c>
      <c r="G32" s="38">
        <v>2</v>
      </c>
      <c r="H32" s="30" t="s">
        <v>88</v>
      </c>
      <c r="I32" s="30">
        <v>42523.327928240738</v>
      </c>
      <c r="J32" s="60">
        <v>0</v>
      </c>
      <c r="K32" s="60" t="str">
        <f t="shared" si="0"/>
        <v>4041/4042</v>
      </c>
      <c r="L32" s="60" t="str">
        <f>VLOOKUP(A32,'Trips&amp;Operators'!$C$1:$E$9999,3,FALSE)</f>
        <v>NELSON</v>
      </c>
      <c r="M32" s="12">
        <f t="shared" si="1"/>
        <v>2.9479166667442769E-2</v>
      </c>
      <c r="N32" s="13">
        <f t="shared" si="2"/>
        <v>42.450000001117587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07:06:34-0600',mode:absolute,to:'2016-06-02 07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3" t="str">
        <f t="shared" si="4"/>
        <v>N</v>
      </c>
      <c r="V32" s="73">
        <f t="shared" si="5"/>
        <v>1</v>
      </c>
      <c r="W32" s="73">
        <f t="shared" si="19"/>
        <v>4.6699999999999998E-2</v>
      </c>
      <c r="X32" s="73">
        <f t="shared" si="20"/>
        <v>23.331399999999999</v>
      </c>
      <c r="Y32" s="73">
        <f t="shared" si="21"/>
        <v>23.284699999999997</v>
      </c>
      <c r="Z32" s="74" t="e">
        <f>VLOOKUP(A32,Enforcements!$C$3:$J$39,8,0)</f>
        <v>#N/A</v>
      </c>
      <c r="AA32" s="74" t="e">
        <f>VLOOKUP(A32,Enforcements!$C$3:$J$39,3,0)</f>
        <v>#N/A</v>
      </c>
    </row>
    <row r="33" spans="1:27" s="2" customFormat="1" x14ac:dyDescent="0.25">
      <c r="A33" s="60" t="s">
        <v>247</v>
      </c>
      <c r="B33" s="60">
        <v>4041</v>
      </c>
      <c r="C33" s="60" t="s">
        <v>62</v>
      </c>
      <c r="D33" s="60" t="s">
        <v>166</v>
      </c>
      <c r="E33" s="30">
        <v>42523.332326388889</v>
      </c>
      <c r="F33" s="30">
        <v>42523.333564814813</v>
      </c>
      <c r="G33" s="38">
        <v>1</v>
      </c>
      <c r="H33" s="30" t="s">
        <v>64</v>
      </c>
      <c r="I33" s="30">
        <v>42523.369988425926</v>
      </c>
      <c r="J33" s="60">
        <v>0</v>
      </c>
      <c r="K33" s="60" t="str">
        <f t="shared" si="0"/>
        <v>4041/4042</v>
      </c>
      <c r="L33" s="60" t="str">
        <f>VLOOKUP(A33,'Trips&amp;Operators'!$C$1:$E$9999,3,FALSE)</f>
        <v>NELSON</v>
      </c>
      <c r="M33" s="12">
        <f t="shared" si="1"/>
        <v>3.6423611112695653E-2</v>
      </c>
      <c r="N33" s="13">
        <f t="shared" si="2"/>
        <v>52.45000000228174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07:57:33-0600',mode:absolute,to:'2016-06-02 08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3" t="str">
        <f t="shared" si="4"/>
        <v>N</v>
      </c>
      <c r="V33" s="73">
        <f t="shared" si="5"/>
        <v>1</v>
      </c>
      <c r="W33" s="73">
        <f t="shared" si="19"/>
        <v>23.3004</v>
      </c>
      <c r="X33" s="73">
        <f t="shared" si="20"/>
        <v>1.4500000000000001E-2</v>
      </c>
      <c r="Y33" s="73">
        <f t="shared" si="21"/>
        <v>23.285899999999998</v>
      </c>
      <c r="Z33" s="74" t="e">
        <f>VLOOKUP(A33,Enforcements!$C$3:$J$39,8,0)</f>
        <v>#N/A</v>
      </c>
      <c r="AA33" s="74" t="e">
        <f>VLOOKUP(A33,Enforcements!$C$3:$J$39,3,0)</f>
        <v>#N/A</v>
      </c>
    </row>
    <row r="34" spans="1:27" s="2" customFormat="1" x14ac:dyDescent="0.25">
      <c r="A34" s="60" t="s">
        <v>248</v>
      </c>
      <c r="B34" s="60">
        <v>4014</v>
      </c>
      <c r="C34" s="60" t="s">
        <v>62</v>
      </c>
      <c r="D34" s="60" t="s">
        <v>141</v>
      </c>
      <c r="E34" s="30">
        <v>42523.309027777781</v>
      </c>
      <c r="F34" s="30">
        <v>42523.310277777775</v>
      </c>
      <c r="G34" s="38">
        <v>1</v>
      </c>
      <c r="H34" s="30" t="s">
        <v>249</v>
      </c>
      <c r="I34" s="30">
        <v>42523.340868055559</v>
      </c>
      <c r="J34" s="60">
        <v>1</v>
      </c>
      <c r="K34" s="60" t="str">
        <f t="shared" si="0"/>
        <v>4013/4014</v>
      </c>
      <c r="L34" s="60" t="str">
        <f>VLOOKUP(A34,'Trips&amp;Operators'!$C$1:$E$9999,3,FALSE)</f>
        <v>STARKS</v>
      </c>
      <c r="M34" s="12">
        <f t="shared" si="1"/>
        <v>3.0590277783630881E-2</v>
      </c>
      <c r="N34" s="13">
        <f t="shared" si="2"/>
        <v>44.050000008428469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07:24:00-0600',mode:absolute,to:'2016-06-02 08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4" s="73" t="str">
        <f t="shared" si="4"/>
        <v>N</v>
      </c>
      <c r="V34" s="73">
        <f t="shared" si="5"/>
        <v>1</v>
      </c>
      <c r="W34" s="73">
        <f t="shared" si="6"/>
        <v>4.7699999999999999E-2</v>
      </c>
      <c r="X34" s="73">
        <f t="shared" si="7"/>
        <v>23.340299999999999</v>
      </c>
      <c r="Y34" s="73">
        <f t="shared" si="8"/>
        <v>23.2926</v>
      </c>
      <c r="Z34" s="74">
        <f>VLOOKUP(A34,Enforcements!$C$3:$J$39,8,0)</f>
        <v>233491</v>
      </c>
      <c r="AA34" s="74" t="str">
        <f>VLOOKUP(A34,Enforcements!$C$3:$J$39,3,0)</f>
        <v>TRACK WARRANT AUTHORITY</v>
      </c>
    </row>
    <row r="35" spans="1:27" s="2" customFormat="1" x14ac:dyDescent="0.25">
      <c r="A35" s="60" t="s">
        <v>250</v>
      </c>
      <c r="B35" s="60">
        <v>4013</v>
      </c>
      <c r="C35" s="60" t="s">
        <v>62</v>
      </c>
      <c r="D35" s="60" t="s">
        <v>251</v>
      </c>
      <c r="E35" s="30">
        <v>42523.347592592596</v>
      </c>
      <c r="F35" s="30">
        <v>42523.349166666667</v>
      </c>
      <c r="G35" s="38">
        <v>2</v>
      </c>
      <c r="H35" s="30" t="s">
        <v>98</v>
      </c>
      <c r="I35" s="30">
        <v>42523.382731481484</v>
      </c>
      <c r="J35" s="60">
        <v>1</v>
      </c>
      <c r="K35" s="60" t="str">
        <f t="shared" ref="K35:K65" si="22">IF(ISEVEN(B35),(B35-1)&amp;"/"&amp;B35,B35&amp;"/"&amp;(B35+1))</f>
        <v>4013/4014</v>
      </c>
      <c r="L35" s="60" t="str">
        <f>VLOOKUP(A35,'Trips&amp;Operators'!$C$1:$E$9999,3,FALSE)</f>
        <v>STARKS</v>
      </c>
      <c r="M35" s="12">
        <f t="shared" ref="M35:M65" si="23">I35-F35</f>
        <v>3.3564814817509614E-2</v>
      </c>
      <c r="N35" s="13">
        <f t="shared" si="2"/>
        <v>48.333333337213844</v>
      </c>
      <c r="O35" s="13"/>
      <c r="P35" s="13"/>
      <c r="Q35" s="61"/>
      <c r="R35" s="61"/>
      <c r="T3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08:19:32-0600',mode:absolute,to:'2016-06-02 09:12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5" s="73" t="str">
        <f t="shared" si="4"/>
        <v>N</v>
      </c>
      <c r="V35" s="73">
        <f t="shared" si="5"/>
        <v>1</v>
      </c>
      <c r="W35" s="73">
        <f t="shared" ref="W35:W65" si="24">RIGHT(D35,LEN(D35)-4)/10000</f>
        <v>23.308</v>
      </c>
      <c r="X35" s="73">
        <f t="shared" ref="X35:X51" si="25">RIGHT(H35,LEN(H35)-4)/10000</f>
        <v>1.3899999999999999E-2</v>
      </c>
      <c r="Y35" s="73">
        <f t="shared" ref="Y35:Y65" si="26">ABS(X35-W35)</f>
        <v>23.2941</v>
      </c>
      <c r="Z35" s="74">
        <f>VLOOKUP(A35,Enforcements!$C$3:$J$39,8,0)</f>
        <v>1</v>
      </c>
      <c r="AA35" s="74" t="str">
        <f>VLOOKUP(A35,Enforcements!$C$3:$J$39,3,0)</f>
        <v>TRACK WARRANT AUTHORITY</v>
      </c>
    </row>
    <row r="36" spans="1:27" s="2" customFormat="1" x14ac:dyDescent="0.25">
      <c r="A36" s="60" t="s">
        <v>252</v>
      </c>
      <c r="B36" s="60">
        <v>4027</v>
      </c>
      <c r="C36" s="60" t="s">
        <v>62</v>
      </c>
      <c r="D36" s="60" t="s">
        <v>144</v>
      </c>
      <c r="E36" s="30">
        <v>42523.320231481484</v>
      </c>
      <c r="F36" s="30">
        <v>42523.321342592593</v>
      </c>
      <c r="G36" s="38">
        <v>1</v>
      </c>
      <c r="H36" s="30" t="s">
        <v>172</v>
      </c>
      <c r="I36" s="30">
        <v>42523.35</v>
      </c>
      <c r="J36" s="60">
        <v>1</v>
      </c>
      <c r="K36" s="60" t="str">
        <f t="shared" si="22"/>
        <v>4027/4028</v>
      </c>
      <c r="L36" s="60" t="str">
        <f>VLOOKUP(A36,'Trips&amp;Operators'!$C$1:$E$9999,3,FALSE)</f>
        <v>BEAM</v>
      </c>
      <c r="M36" s="12">
        <f t="shared" si="23"/>
        <v>2.8657407405262347E-2</v>
      </c>
      <c r="N36" s="13">
        <f t="shared" si="2"/>
        <v>41.26666666357778</v>
      </c>
      <c r="O36" s="13"/>
      <c r="P36" s="13"/>
      <c r="Q36" s="61"/>
      <c r="R36" s="61"/>
      <c r="T3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https://search-rtdc-monitor-bjffxe2xuh6vdkpspy63sjmuny.us-east-1.es.amazonaws.com/_plugin/kibana/#/discover/Steve-Slow-Train-Analysis-(2080s-and-2083s)?_g=(refreshInterval:(display:Off,section:0,value:0),time:(from:'2016-06-02 07:40:08-0600',mode:absolute,to:'2016-06-02 08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6" s="73" t="str">
        <f t="shared" si="4"/>
        <v>N</v>
      </c>
      <c r="V36" s="73">
        <f t="shared" si="5"/>
        <v>1</v>
      </c>
      <c r="W36" s="73">
        <f t="shared" si="24"/>
        <v>4.3299999999999998E-2</v>
      </c>
      <c r="X36" s="73">
        <f t="shared" si="25"/>
        <v>23.333200000000001</v>
      </c>
      <c r="Y36" s="73">
        <f t="shared" si="26"/>
        <v>23.289900000000003</v>
      </c>
      <c r="Z36" s="74">
        <f>VLOOKUP(A36,Enforcements!$C$3:$J$39,8,0)</f>
        <v>233491</v>
      </c>
      <c r="AA36" s="74" t="str">
        <f>VLOOKUP(A36,Enforcements!$C$3:$J$39,3,0)</f>
        <v>TRACK WARRANT AUTHORITY</v>
      </c>
    </row>
    <row r="37" spans="1:27" s="2" customFormat="1" x14ac:dyDescent="0.25">
      <c r="A37" s="60" t="s">
        <v>253</v>
      </c>
      <c r="B37" s="60">
        <v>4028</v>
      </c>
      <c r="C37" s="60" t="s">
        <v>62</v>
      </c>
      <c r="D37" s="60" t="s">
        <v>254</v>
      </c>
      <c r="E37" s="30">
        <v>42523.357141203705</v>
      </c>
      <c r="F37" s="30">
        <v>42523.35800925926</v>
      </c>
      <c r="G37" s="38">
        <v>1</v>
      </c>
      <c r="H37" s="30" t="s">
        <v>64</v>
      </c>
      <c r="I37" s="30">
        <v>42523.388414351852</v>
      </c>
      <c r="J37" s="60">
        <v>0</v>
      </c>
      <c r="K37" s="60" t="str">
        <f t="shared" si="22"/>
        <v>4027/4028</v>
      </c>
      <c r="L37" s="60" t="str">
        <f>VLOOKUP(A37,'Trips&amp;Operators'!$C$1:$E$9999,3,FALSE)</f>
        <v>BEAM</v>
      </c>
      <c r="M37" s="12">
        <f t="shared" si="23"/>
        <v>3.0405092591536231E-2</v>
      </c>
      <c r="N37" s="13">
        <f t="shared" si="2"/>
        <v>43.783333331812173</v>
      </c>
      <c r="O37" s="13"/>
      <c r="P37" s="13"/>
      <c r="Q37" s="61"/>
      <c r="R37" s="61"/>
      <c r="T37" s="73" t="str">
        <f t="shared" ref="T37:T65" si="27"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https://search-rtdc-monitor-bjffxe2xuh6vdkpspy63sjmuny.us-east-1.es.amazonaws.com/_plugin/kibana/#/discover/Steve-Slow-Train-Analysis-(2080s-and-2083s)?_g=(refreshInterval:(display:Off,section:0,value:0),time:(from:'2016-06-02 08:33:17-0600',mode:absolute,to:'2016-06-02 09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7" s="73" t="str">
        <f t="shared" si="4"/>
        <v>N</v>
      </c>
      <c r="V37" s="73">
        <f t="shared" si="5"/>
        <v>1</v>
      </c>
      <c r="W37" s="73">
        <f t="shared" si="24"/>
        <v>23.302700000000002</v>
      </c>
      <c r="X37" s="73">
        <f t="shared" si="25"/>
        <v>1.4500000000000001E-2</v>
      </c>
      <c r="Y37" s="73">
        <f t="shared" si="26"/>
        <v>23.2882</v>
      </c>
      <c r="Z37" s="74" t="e">
        <f>VLOOKUP(A37,Enforcements!$C$3:$J$39,8,0)</f>
        <v>#N/A</v>
      </c>
      <c r="AA37" s="74" t="e">
        <f>VLOOKUP(A37,Enforcements!$C$3:$J$39,3,0)</f>
        <v>#N/A</v>
      </c>
    </row>
    <row r="38" spans="1:27" s="2" customFormat="1" x14ac:dyDescent="0.25">
      <c r="A38" s="60" t="s">
        <v>255</v>
      </c>
      <c r="B38" s="60">
        <v>4025</v>
      </c>
      <c r="C38" s="60" t="s">
        <v>62</v>
      </c>
      <c r="D38" s="60" t="s">
        <v>70</v>
      </c>
      <c r="E38" s="30">
        <v>42523.331203703703</v>
      </c>
      <c r="F38" s="30">
        <v>42523.332175925927</v>
      </c>
      <c r="G38" s="38">
        <v>1</v>
      </c>
      <c r="H38" s="30" t="s">
        <v>87</v>
      </c>
      <c r="I38" s="30">
        <v>42523.361562500002</v>
      </c>
      <c r="J38" s="60">
        <v>0</v>
      </c>
      <c r="K38" s="60" t="str">
        <f t="shared" si="22"/>
        <v>4025/4026</v>
      </c>
      <c r="L38" s="60" t="str">
        <f>VLOOKUP(A38,'Trips&amp;Operators'!$C$1:$E$9999,3,FALSE)</f>
        <v>SANTIZO</v>
      </c>
      <c r="M38" s="12">
        <f t="shared" si="23"/>
        <v>2.9386574075033423E-2</v>
      </c>
      <c r="N38" s="13">
        <f t="shared" si="2"/>
        <v>42.316666668048128</v>
      </c>
      <c r="O38" s="13"/>
      <c r="P38" s="13"/>
      <c r="Q38" s="61"/>
      <c r="R38" s="61"/>
      <c r="T3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07:55:56-0600',mode:absolute,to:'2016-06-02 08:41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8" s="73" t="str">
        <f t="shared" si="4"/>
        <v>N</v>
      </c>
      <c r="V38" s="73">
        <f t="shared" si="5"/>
        <v>1</v>
      </c>
      <c r="W38" s="73">
        <f t="shared" si="24"/>
        <v>4.6399999999999997E-2</v>
      </c>
      <c r="X38" s="73">
        <f t="shared" si="25"/>
        <v>23.3293</v>
      </c>
      <c r="Y38" s="73">
        <f t="shared" si="26"/>
        <v>23.282900000000001</v>
      </c>
      <c r="Z38" s="74" t="e">
        <f>VLOOKUP(A38,Enforcements!$C$3:$J$39,8,0)</f>
        <v>#N/A</v>
      </c>
      <c r="AA38" s="74" t="e">
        <f>VLOOKUP(A38,Enforcements!$C$3:$J$39,3,0)</f>
        <v>#N/A</v>
      </c>
    </row>
    <row r="39" spans="1:27" s="2" customFormat="1" x14ac:dyDescent="0.25">
      <c r="A39" s="60" t="s">
        <v>256</v>
      </c>
      <c r="B39" s="60">
        <v>4026</v>
      </c>
      <c r="C39" s="60" t="s">
        <v>62</v>
      </c>
      <c r="D39" s="60" t="s">
        <v>257</v>
      </c>
      <c r="E39" s="30">
        <v>42523.36787037037</v>
      </c>
      <c r="F39" s="30">
        <v>42523.368680555555</v>
      </c>
      <c r="G39" s="38">
        <v>1</v>
      </c>
      <c r="H39" s="30" t="s">
        <v>78</v>
      </c>
      <c r="I39" s="30">
        <v>42523.399826388886</v>
      </c>
      <c r="J39" s="60">
        <v>1</v>
      </c>
      <c r="K39" s="60" t="str">
        <f t="shared" si="22"/>
        <v>4025/4026</v>
      </c>
      <c r="L39" s="60" t="str">
        <f>VLOOKUP(A39,'Trips&amp;Operators'!$C$1:$E$9999,3,FALSE)</f>
        <v>SANTIZO</v>
      </c>
      <c r="M39" s="12">
        <f t="shared" si="23"/>
        <v>3.1145833330811001E-2</v>
      </c>
      <c r="N39" s="13">
        <f t="shared" si="2"/>
        <v>44.849999996367842</v>
      </c>
      <c r="O39" s="13"/>
      <c r="P39" s="13"/>
      <c r="Q39" s="61"/>
      <c r="R39" s="61"/>
      <c r="T3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08:48:44-0600',mode:absolute,to:'2016-06-02 09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9" s="73" t="str">
        <f t="shared" si="4"/>
        <v>N</v>
      </c>
      <c r="V39" s="73">
        <f t="shared" si="5"/>
        <v>1</v>
      </c>
      <c r="W39" s="73">
        <f t="shared" si="24"/>
        <v>23.2988</v>
      </c>
      <c r="X39" s="73">
        <f t="shared" si="25"/>
        <v>1.5800000000000002E-2</v>
      </c>
      <c r="Y39" s="73">
        <f t="shared" si="26"/>
        <v>23.283000000000001</v>
      </c>
      <c r="Z39" s="74">
        <f>VLOOKUP(A39,Enforcements!$C$3:$J$39,8,0)</f>
        <v>182920</v>
      </c>
      <c r="AA39" s="74" t="str">
        <f>VLOOKUP(A39,Enforcements!$C$3:$J$39,3,0)</f>
        <v>SIGNAL</v>
      </c>
    </row>
    <row r="40" spans="1:27" s="2" customFormat="1" x14ac:dyDescent="0.25">
      <c r="A40" s="60" t="s">
        <v>258</v>
      </c>
      <c r="B40" s="60">
        <v>4024</v>
      </c>
      <c r="C40" s="60" t="s">
        <v>62</v>
      </c>
      <c r="D40" s="60" t="s">
        <v>259</v>
      </c>
      <c r="E40" s="30">
        <v>42523.341909722221</v>
      </c>
      <c r="F40" s="30">
        <v>42523.342962962961</v>
      </c>
      <c r="G40" s="38">
        <v>1</v>
      </c>
      <c r="H40" s="30" t="s">
        <v>260</v>
      </c>
      <c r="I40" s="30">
        <v>42523.368831018517</v>
      </c>
      <c r="J40" s="60">
        <v>0</v>
      </c>
      <c r="K40" s="60" t="str">
        <f t="shared" si="22"/>
        <v>4023/4024</v>
      </c>
      <c r="L40" s="60" t="str">
        <f>VLOOKUP(A40,'Trips&amp;Operators'!$C$1:$E$9999,3,FALSE)</f>
        <v>STRICKLAND</v>
      </c>
      <c r="M40" s="12">
        <f t="shared" si="23"/>
        <v>2.5868055556202307E-2</v>
      </c>
      <c r="N40" s="13">
        <f t="shared" si="2"/>
        <v>37.250000000931323</v>
      </c>
      <c r="O40" s="13"/>
      <c r="P40" s="13"/>
      <c r="Q40" s="61"/>
      <c r="R40" s="61"/>
      <c r="T4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08:11:21-0600',mode:absolute,to:'2016-06-02 08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0" s="73" t="str">
        <f t="shared" si="4"/>
        <v>N</v>
      </c>
      <c r="V40" s="73">
        <f t="shared" si="5"/>
        <v>1</v>
      </c>
      <c r="W40" s="73">
        <f t="shared" si="24"/>
        <v>4.3099999999999999E-2</v>
      </c>
      <c r="X40" s="73">
        <f t="shared" si="25"/>
        <v>23.331700000000001</v>
      </c>
      <c r="Y40" s="73">
        <f t="shared" si="26"/>
        <v>23.288600000000002</v>
      </c>
      <c r="Z40" s="74" t="e">
        <f>VLOOKUP(A40,Enforcements!$C$3:$J$39,8,0)</f>
        <v>#N/A</v>
      </c>
      <c r="AA40" s="74" t="e">
        <f>VLOOKUP(A40,Enforcements!$C$3:$J$39,3,0)</f>
        <v>#N/A</v>
      </c>
    </row>
    <row r="41" spans="1:27" s="2" customFormat="1" x14ac:dyDescent="0.25">
      <c r="A41" s="60" t="s">
        <v>261</v>
      </c>
      <c r="B41" s="60">
        <v>4023</v>
      </c>
      <c r="C41" s="60" t="s">
        <v>62</v>
      </c>
      <c r="D41" s="60" t="s">
        <v>168</v>
      </c>
      <c r="E41" s="30">
        <v>42523.378784722219</v>
      </c>
      <c r="F41" s="30">
        <v>42523.381377314814</v>
      </c>
      <c r="G41" s="38">
        <v>3</v>
      </c>
      <c r="H41" s="30" t="s">
        <v>91</v>
      </c>
      <c r="I41" s="30">
        <v>42523.409479166665</v>
      </c>
      <c r="J41" s="60">
        <v>0</v>
      </c>
      <c r="K41" s="60" t="str">
        <f t="shared" si="22"/>
        <v>4023/4024</v>
      </c>
      <c r="L41" s="60" t="str">
        <f>VLOOKUP(A41,'Trips&amp;Operators'!$C$1:$E$9999,3,FALSE)</f>
        <v>YANAI</v>
      </c>
      <c r="M41" s="12">
        <f t="shared" si="23"/>
        <v>2.810185185080627E-2</v>
      </c>
      <c r="N41" s="13">
        <f t="shared" si="2"/>
        <v>40.466666665161029</v>
      </c>
      <c r="O41" s="13"/>
      <c r="P41" s="13"/>
      <c r="Q41" s="61"/>
      <c r="R41" s="61"/>
      <c r="T4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09:04:27-0600',mode:absolute,to:'2016-06-02 09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1" s="73" t="str">
        <f t="shared" si="4"/>
        <v>N</v>
      </c>
      <c r="V41" s="73">
        <f t="shared" si="5"/>
        <v>1</v>
      </c>
      <c r="W41" s="73">
        <f t="shared" si="24"/>
        <v>23.3</v>
      </c>
      <c r="X41" s="73">
        <f t="shared" si="25"/>
        <v>1.43E-2</v>
      </c>
      <c r="Y41" s="73">
        <f t="shared" si="26"/>
        <v>23.285700000000002</v>
      </c>
      <c r="Z41" s="74" t="e">
        <f>VLOOKUP(A41,Enforcements!$C$3:$J$39,8,0)</f>
        <v>#N/A</v>
      </c>
      <c r="AA41" s="74" t="e">
        <f>VLOOKUP(A41,Enforcements!$C$3:$J$39,3,0)</f>
        <v>#N/A</v>
      </c>
    </row>
    <row r="42" spans="1:27" s="2" customFormat="1" x14ac:dyDescent="0.25">
      <c r="A42" s="60" t="s">
        <v>262</v>
      </c>
      <c r="B42" s="60">
        <v>4011</v>
      </c>
      <c r="C42" s="60" t="s">
        <v>62</v>
      </c>
      <c r="D42" s="60" t="s">
        <v>125</v>
      </c>
      <c r="E42" s="30">
        <v>42523.351643518516</v>
      </c>
      <c r="F42" s="30">
        <v>42523.352708333332</v>
      </c>
      <c r="G42" s="38">
        <v>1</v>
      </c>
      <c r="H42" s="30" t="s">
        <v>87</v>
      </c>
      <c r="I42" s="30">
        <v>42523.386840277781</v>
      </c>
      <c r="J42" s="60">
        <v>0</v>
      </c>
      <c r="K42" s="60" t="str">
        <f t="shared" si="22"/>
        <v>4011/4012</v>
      </c>
      <c r="L42" s="60" t="str">
        <f>VLOOKUP(A42,'Trips&amp;Operators'!$C$1:$E$9999,3,FALSE)</f>
        <v>GEBRETEKLE</v>
      </c>
      <c r="M42" s="12">
        <f t="shared" si="23"/>
        <v>3.4131944448745344E-2</v>
      </c>
      <c r="N42" s="13">
        <f t="shared" si="2"/>
        <v>49.150000006193295</v>
      </c>
      <c r="O42" s="13"/>
      <c r="P42" s="13"/>
      <c r="Q42" s="61"/>
      <c r="R42" s="61"/>
      <c r="T4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08:25:22-0600',mode:absolute,to:'2016-06-02 09:18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2" s="73" t="str">
        <f t="shared" si="4"/>
        <v>N</v>
      </c>
      <c r="V42" s="73">
        <f t="shared" si="5"/>
        <v>1</v>
      </c>
      <c r="W42" s="73">
        <f t="shared" si="24"/>
        <v>4.7300000000000002E-2</v>
      </c>
      <c r="X42" s="73">
        <f t="shared" si="25"/>
        <v>23.3293</v>
      </c>
      <c r="Y42" s="73">
        <f t="shared" si="26"/>
        <v>23.282</v>
      </c>
      <c r="Z42" s="74" t="e">
        <f>VLOOKUP(A42,Enforcements!$C$3:$J$39,8,0)</f>
        <v>#N/A</v>
      </c>
      <c r="AA42" s="74" t="e">
        <f>VLOOKUP(A42,Enforcements!$C$3:$J$39,3,0)</f>
        <v>#N/A</v>
      </c>
    </row>
    <row r="43" spans="1:27" s="2" customFormat="1" x14ac:dyDescent="0.25">
      <c r="A43" s="60" t="s">
        <v>263</v>
      </c>
      <c r="B43" s="60">
        <v>4012</v>
      </c>
      <c r="C43" s="60" t="s">
        <v>62</v>
      </c>
      <c r="D43" s="60" t="s">
        <v>139</v>
      </c>
      <c r="E43" s="30">
        <v>42523.391030092593</v>
      </c>
      <c r="F43" s="30">
        <v>42523.392094907409</v>
      </c>
      <c r="G43" s="38">
        <v>1</v>
      </c>
      <c r="H43" s="30" t="s">
        <v>264</v>
      </c>
      <c r="I43" s="30">
        <v>42523.421932870369</v>
      </c>
      <c r="J43" s="60">
        <v>0</v>
      </c>
      <c r="K43" s="60" t="str">
        <f t="shared" si="22"/>
        <v>4011/4012</v>
      </c>
      <c r="L43" s="60" t="str">
        <f>VLOOKUP(A43,'Trips&amp;Operators'!$C$1:$E$9999,3,FALSE)</f>
        <v>GEBRETEKLE</v>
      </c>
      <c r="M43" s="12">
        <f t="shared" si="23"/>
        <v>2.9837962960300501E-2</v>
      </c>
      <c r="N43" s="13">
        <f t="shared" si="2"/>
        <v>42.966666662832722</v>
      </c>
      <c r="O43" s="13"/>
      <c r="P43" s="13"/>
      <c r="Q43" s="61"/>
      <c r="R43" s="61"/>
      <c r="T4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09:22:05-0600',mode:absolute,to:'2016-06-02 10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3" s="73" t="str">
        <f t="shared" si="4"/>
        <v>N</v>
      </c>
      <c r="V43" s="73">
        <f t="shared" si="5"/>
        <v>1</v>
      </c>
      <c r="W43" s="73">
        <f t="shared" si="24"/>
        <v>23.297799999999999</v>
      </c>
      <c r="X43" s="73">
        <f t="shared" si="25"/>
        <v>1.6299999999999999E-2</v>
      </c>
      <c r="Y43" s="73">
        <f t="shared" si="26"/>
        <v>23.281499999999998</v>
      </c>
      <c r="Z43" s="74" t="e">
        <f>VLOOKUP(A43,Enforcements!$C$3:$J$39,8,0)</f>
        <v>#N/A</v>
      </c>
      <c r="AA43" s="74" t="e">
        <f>VLOOKUP(A43,Enforcements!$C$3:$J$39,3,0)</f>
        <v>#N/A</v>
      </c>
    </row>
    <row r="44" spans="1:27" s="2" customFormat="1" x14ac:dyDescent="0.25">
      <c r="A44" s="60" t="s">
        <v>265</v>
      </c>
      <c r="B44" s="60">
        <v>4029</v>
      </c>
      <c r="C44" s="60" t="s">
        <v>62</v>
      </c>
      <c r="D44" s="60" t="s">
        <v>266</v>
      </c>
      <c r="E44" s="30">
        <v>42523.36215277778</v>
      </c>
      <c r="F44" s="30">
        <v>42523.363599537035</v>
      </c>
      <c r="G44" s="38">
        <v>2</v>
      </c>
      <c r="H44" s="30" t="s">
        <v>266</v>
      </c>
      <c r="I44" s="30">
        <v>42523.363599537035</v>
      </c>
      <c r="J44" s="60">
        <v>0</v>
      </c>
      <c r="K44" s="60" t="str">
        <f t="shared" si="22"/>
        <v>4029/4030</v>
      </c>
      <c r="L44" s="60" t="str">
        <f>VLOOKUP(A44,'Trips&amp;Operators'!$C$1:$E$9999,3,FALSE)</f>
        <v>COOLAHAN</v>
      </c>
      <c r="M44" s="12">
        <f t="shared" si="23"/>
        <v>0</v>
      </c>
      <c r="N44" s="13"/>
      <c r="O44" s="13"/>
      <c r="P44" s="13">
        <v>1</v>
      </c>
      <c r="Q44" s="61"/>
      <c r="R44" s="61" t="s">
        <v>158</v>
      </c>
      <c r="T4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08:40:30-0600',mode:absolute,to:'2016-06-02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4" s="73" t="str">
        <f t="shared" si="4"/>
        <v>Y</v>
      </c>
      <c r="V44" s="73">
        <f t="shared" si="5"/>
        <v>1</v>
      </c>
      <c r="W44" s="73">
        <f t="shared" si="24"/>
        <v>5.3699999999999998E-2</v>
      </c>
      <c r="X44" s="73">
        <f t="shared" si="25"/>
        <v>5.3699999999999998E-2</v>
      </c>
      <c r="Y44" s="73">
        <f t="shared" si="26"/>
        <v>0</v>
      </c>
      <c r="Z44" s="74" t="e">
        <f>VLOOKUP(A44,Enforcements!$C$3:$J$39,8,0)</f>
        <v>#N/A</v>
      </c>
      <c r="AA44" s="74" t="e">
        <f>VLOOKUP(A44,Enforcements!$C$3:$J$39,3,0)</f>
        <v>#N/A</v>
      </c>
    </row>
    <row r="45" spans="1:27" s="2" customFormat="1" x14ac:dyDescent="0.25">
      <c r="A45" s="60" t="s">
        <v>267</v>
      </c>
      <c r="B45" s="60">
        <v>4030</v>
      </c>
      <c r="C45" s="60" t="s">
        <v>62</v>
      </c>
      <c r="D45" s="60" t="s">
        <v>170</v>
      </c>
      <c r="E45" s="30">
        <v>42523.3981712963</v>
      </c>
      <c r="F45" s="30">
        <v>42523.402418981481</v>
      </c>
      <c r="G45" s="38">
        <v>6</v>
      </c>
      <c r="H45" s="30" t="s">
        <v>268</v>
      </c>
      <c r="I45" s="30">
        <v>42523.430451388886</v>
      </c>
      <c r="J45" s="60">
        <v>0</v>
      </c>
      <c r="K45" s="60" t="str">
        <f t="shared" si="22"/>
        <v>4029/4030</v>
      </c>
      <c r="L45" s="60" t="str">
        <f>VLOOKUP(A45,'Trips&amp;Operators'!$C$1:$E$9999,3,FALSE)</f>
        <v>COOLAHAN</v>
      </c>
      <c r="M45" s="12">
        <f t="shared" si="23"/>
        <v>2.8032407404680271E-2</v>
      </c>
      <c r="N45" s="13">
        <f t="shared" si="2"/>
        <v>40.36666666273959</v>
      </c>
      <c r="O45" s="13"/>
      <c r="P45" s="13"/>
      <c r="Q45" s="61"/>
      <c r="R45" s="61"/>
      <c r="T4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09:32:22-0600',mode:absolute,to:'2016-06-02 10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5" s="73" t="str">
        <f t="shared" si="4"/>
        <v>Y</v>
      </c>
      <c r="V45" s="73">
        <f t="shared" si="5"/>
        <v>1</v>
      </c>
      <c r="W45" s="73">
        <f t="shared" si="24"/>
        <v>23.296399999999998</v>
      </c>
      <c r="X45" s="73">
        <f t="shared" si="25"/>
        <v>0.53</v>
      </c>
      <c r="Y45" s="73">
        <f t="shared" si="26"/>
        <v>22.766399999999997</v>
      </c>
      <c r="Z45" s="74" t="e">
        <f>VLOOKUP(A45,Enforcements!$C$3:$J$39,8,0)</f>
        <v>#N/A</v>
      </c>
      <c r="AA45" s="74" t="e">
        <f>VLOOKUP(A45,Enforcements!$C$3:$J$39,3,0)</f>
        <v>#N/A</v>
      </c>
    </row>
    <row r="46" spans="1:27" s="2" customFormat="1" x14ac:dyDescent="0.25">
      <c r="A46" s="60" t="s">
        <v>269</v>
      </c>
      <c r="B46" s="60">
        <v>4042</v>
      </c>
      <c r="C46" s="60" t="s">
        <v>62</v>
      </c>
      <c r="D46" s="60" t="s">
        <v>146</v>
      </c>
      <c r="E46" s="30">
        <v>42523.37195601852</v>
      </c>
      <c r="F46" s="30">
        <v>42523.373206018521</v>
      </c>
      <c r="G46" s="38">
        <v>1</v>
      </c>
      <c r="H46" s="30" t="s">
        <v>148</v>
      </c>
      <c r="I46" s="30">
        <v>42523.400937500002</v>
      </c>
      <c r="J46" s="60">
        <v>0</v>
      </c>
      <c r="K46" s="60" t="str">
        <f t="shared" si="22"/>
        <v>4041/4042</v>
      </c>
      <c r="L46" s="60" t="str">
        <f>VLOOKUP(A46,'Trips&amp;Operators'!$C$1:$E$9999,3,FALSE)</f>
        <v>MALAVE</v>
      </c>
      <c r="M46" s="12">
        <f t="shared" si="23"/>
        <v>2.7731481481168885E-2</v>
      </c>
      <c r="N46" s="13">
        <f t="shared" si="2"/>
        <v>39.933333332883194</v>
      </c>
      <c r="O46" s="13"/>
      <c r="P46" s="13"/>
      <c r="Q46" s="61"/>
      <c r="R46" s="61"/>
      <c r="T4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08:54:37-0600',mode:absolute,to:'2016-06-02 09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3" t="str">
        <f t="shared" si="4"/>
        <v>N</v>
      </c>
      <c r="V46" s="73">
        <f t="shared" si="5"/>
        <v>1</v>
      </c>
      <c r="W46" s="73">
        <f t="shared" si="24"/>
        <v>4.4900000000000002E-2</v>
      </c>
      <c r="X46" s="73">
        <f t="shared" si="25"/>
        <v>23.3291</v>
      </c>
      <c r="Y46" s="73">
        <f t="shared" si="26"/>
        <v>23.284200000000002</v>
      </c>
      <c r="Z46" s="74" t="e">
        <f>VLOOKUP(A46,Enforcements!$C$3:$J$39,8,0)</f>
        <v>#N/A</v>
      </c>
      <c r="AA46" s="74" t="e">
        <f>VLOOKUP(A46,Enforcements!$C$3:$J$39,3,0)</f>
        <v>#N/A</v>
      </c>
    </row>
    <row r="47" spans="1:27" s="2" customFormat="1" x14ac:dyDescent="0.25">
      <c r="A47" s="60" t="s">
        <v>270</v>
      </c>
      <c r="B47" s="60">
        <v>4041</v>
      </c>
      <c r="C47" s="60" t="s">
        <v>62</v>
      </c>
      <c r="D47" s="60" t="s">
        <v>180</v>
      </c>
      <c r="E47" s="30">
        <v>42523.411886574075</v>
      </c>
      <c r="F47" s="30">
        <v>42523.412951388891</v>
      </c>
      <c r="G47" s="38">
        <v>1</v>
      </c>
      <c r="H47" s="30" t="s">
        <v>104</v>
      </c>
      <c r="I47" s="30">
        <v>42523.442777777775</v>
      </c>
      <c r="J47" s="60">
        <v>2</v>
      </c>
      <c r="K47" s="60" t="str">
        <f t="shared" si="22"/>
        <v>4041/4042</v>
      </c>
      <c r="L47" s="60" t="str">
        <f>VLOOKUP(A47,'Trips&amp;Operators'!$C$1:$E$9999,3,FALSE)</f>
        <v>MALAVE</v>
      </c>
      <c r="M47" s="12">
        <f t="shared" si="23"/>
        <v>2.9826388883520849E-2</v>
      </c>
      <c r="N47" s="13">
        <f t="shared" si="2"/>
        <v>42.949999992270023</v>
      </c>
      <c r="O47" s="13"/>
      <c r="P47" s="13"/>
      <c r="Q47" s="61"/>
      <c r="R47" s="61"/>
      <c r="T4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09:52:07-0600',mode:absolute,to:'2016-06-02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3" t="str">
        <f t="shared" si="4"/>
        <v>N</v>
      </c>
      <c r="V47" s="73">
        <f t="shared" si="5"/>
        <v>1</v>
      </c>
      <c r="W47" s="73">
        <f t="shared" si="24"/>
        <v>23.296099999999999</v>
      </c>
      <c r="X47" s="73">
        <f t="shared" si="25"/>
        <v>1.5599999999999999E-2</v>
      </c>
      <c r="Y47" s="73">
        <f t="shared" si="26"/>
        <v>23.2805</v>
      </c>
      <c r="Z47" s="74">
        <f>VLOOKUP(A47,Enforcements!$C$3:$J$39,8,0)</f>
        <v>224581</v>
      </c>
      <c r="AA47" s="74" t="str">
        <f>VLOOKUP(A47,Enforcements!$C$3:$J$39,3,0)</f>
        <v>PERMANENT SPEED RESTRICTION</v>
      </c>
    </row>
    <row r="48" spans="1:27" s="2" customFormat="1" x14ac:dyDescent="0.25">
      <c r="A48" s="60" t="s">
        <v>271</v>
      </c>
      <c r="B48" s="60">
        <v>4014</v>
      </c>
      <c r="C48" s="60" t="s">
        <v>62</v>
      </c>
      <c r="D48" s="60" t="s">
        <v>272</v>
      </c>
      <c r="E48" s="30">
        <v>42523.384872685187</v>
      </c>
      <c r="F48" s="30">
        <v>42523.385659722226</v>
      </c>
      <c r="G48" s="38">
        <v>1</v>
      </c>
      <c r="H48" s="30" t="s">
        <v>172</v>
      </c>
      <c r="I48" s="30">
        <v>42523.413495370369</v>
      </c>
      <c r="J48" s="60">
        <v>2</v>
      </c>
      <c r="K48" s="60" t="str">
        <f t="shared" si="22"/>
        <v>4013/4014</v>
      </c>
      <c r="L48" s="60" t="str">
        <f>VLOOKUP(A48,'Trips&amp;Operators'!$C$1:$E$9999,3,FALSE)</f>
        <v>STARKS</v>
      </c>
      <c r="M48" s="12">
        <f t="shared" si="23"/>
        <v>2.7835648143081926E-2</v>
      </c>
      <c r="N48" s="13">
        <f t="shared" si="2"/>
        <v>40.083333326037973</v>
      </c>
      <c r="O48" s="13"/>
      <c r="P48" s="13"/>
      <c r="Q48" s="61"/>
      <c r="R48" s="61"/>
      <c r="T4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09:13:13-0600',mode:absolute,to:'2016-06-02 09:56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8" s="73" t="str">
        <f t="shared" si="4"/>
        <v>N</v>
      </c>
      <c r="V48" s="73">
        <f t="shared" si="5"/>
        <v>1</v>
      </c>
      <c r="W48" s="73">
        <f t="shared" si="24"/>
        <v>4.8000000000000001E-2</v>
      </c>
      <c r="X48" s="73">
        <f t="shared" si="25"/>
        <v>23.333200000000001</v>
      </c>
      <c r="Y48" s="73">
        <f t="shared" si="26"/>
        <v>23.285200000000003</v>
      </c>
      <c r="Z48" s="74">
        <f>VLOOKUP(A48,Enforcements!$C$3:$J$39,8,0)</f>
        <v>230436</v>
      </c>
      <c r="AA48" s="74" t="str">
        <f>VLOOKUP(A48,Enforcements!$C$3:$J$39,3,0)</f>
        <v>PERMANENT SPEED RESTRICTION</v>
      </c>
    </row>
    <row r="49" spans="1:27" s="2" customFormat="1" x14ac:dyDescent="0.25">
      <c r="A49" s="60" t="s">
        <v>273</v>
      </c>
      <c r="B49" s="60">
        <v>4013</v>
      </c>
      <c r="C49" s="60" t="s">
        <v>62</v>
      </c>
      <c r="D49" s="60" t="s">
        <v>274</v>
      </c>
      <c r="E49" s="30">
        <v>42523.421712962961</v>
      </c>
      <c r="F49" s="30">
        <v>42523.422789351855</v>
      </c>
      <c r="G49" s="38">
        <v>1</v>
      </c>
      <c r="H49" s="30" t="s">
        <v>68</v>
      </c>
      <c r="I49" s="30">
        <v>42523.452719907407</v>
      </c>
      <c r="J49" s="60">
        <v>1</v>
      </c>
      <c r="K49" s="60" t="str">
        <f t="shared" si="22"/>
        <v>4013/4014</v>
      </c>
      <c r="L49" s="60" t="str">
        <f>VLOOKUP(A49,'Trips&amp;Operators'!$C$1:$E$9999,3,FALSE)</f>
        <v>STARKS</v>
      </c>
      <c r="M49" s="12">
        <f t="shared" si="23"/>
        <v>2.9930555552709848E-2</v>
      </c>
      <c r="N49" s="13">
        <f t="shared" si="2"/>
        <v>43.099999995902181</v>
      </c>
      <c r="O49" s="13"/>
      <c r="P49" s="13"/>
      <c r="Q49" s="61"/>
      <c r="R49" s="61"/>
      <c r="T4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10:06:16-0600',mode:absolute,to:'2016-06-02 10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9" s="73" t="str">
        <f t="shared" si="4"/>
        <v>N</v>
      </c>
      <c r="V49" s="73">
        <f t="shared" si="5"/>
        <v>1</v>
      </c>
      <c r="W49" s="73">
        <f t="shared" si="24"/>
        <v>23.301300000000001</v>
      </c>
      <c r="X49" s="73">
        <f t="shared" si="25"/>
        <v>1.52E-2</v>
      </c>
      <c r="Y49" s="73">
        <f t="shared" si="26"/>
        <v>23.286100000000001</v>
      </c>
      <c r="Z49" s="74">
        <f>VLOOKUP(A49,Enforcements!$C$3:$J$39,8,0)</f>
        <v>232107</v>
      </c>
      <c r="AA49" s="74" t="str">
        <f>VLOOKUP(A49,Enforcements!$C$3:$J$39,3,0)</f>
        <v>PERMANENT SPEED RESTRICTION</v>
      </c>
    </row>
    <row r="50" spans="1:27" s="2" customFormat="1" x14ac:dyDescent="0.25">
      <c r="A50" s="60" t="s">
        <v>275</v>
      </c>
      <c r="B50" s="60">
        <v>4027</v>
      </c>
      <c r="C50" s="60" t="s">
        <v>62</v>
      </c>
      <c r="D50" s="60" t="s">
        <v>167</v>
      </c>
      <c r="E50" s="30">
        <v>42523.390405092592</v>
      </c>
      <c r="F50" s="30">
        <v>42523.391423611109</v>
      </c>
      <c r="G50" s="38">
        <v>1</v>
      </c>
      <c r="H50" s="30" t="s">
        <v>115</v>
      </c>
      <c r="I50" s="30">
        <v>42523.422812500001</v>
      </c>
      <c r="J50" s="60">
        <v>0</v>
      </c>
      <c r="K50" s="60" t="str">
        <f t="shared" si="22"/>
        <v>4027/4028</v>
      </c>
      <c r="L50" s="60" t="str">
        <f>VLOOKUP(A50,'Trips&amp;Operators'!$C$1:$E$9999,3,FALSE)</f>
        <v>BEAM</v>
      </c>
      <c r="M50" s="12">
        <f t="shared" si="23"/>
        <v>3.1388888892251998E-2</v>
      </c>
      <c r="N50" s="13">
        <f t="shared" si="2"/>
        <v>45.200000004842877</v>
      </c>
      <c r="O50" s="13"/>
      <c r="P50" s="13"/>
      <c r="Q50" s="61"/>
      <c r="R50" s="61"/>
      <c r="T5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09:21:11-0600',mode:absolute,to:'2016-06-02 10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0" s="73" t="str">
        <f t="shared" si="4"/>
        <v>N</v>
      </c>
      <c r="V50" s="73">
        <f t="shared" si="5"/>
        <v>1</v>
      </c>
      <c r="W50" s="73">
        <f t="shared" si="24"/>
        <v>4.6899999999999997E-2</v>
      </c>
      <c r="X50" s="73">
        <f t="shared" si="25"/>
        <v>23.330100000000002</v>
      </c>
      <c r="Y50" s="73">
        <f t="shared" si="26"/>
        <v>23.283200000000001</v>
      </c>
      <c r="Z50" s="74" t="e">
        <f>VLOOKUP(A50,Enforcements!$C$3:$J$39,8,0)</f>
        <v>#N/A</v>
      </c>
      <c r="AA50" s="74" t="e">
        <f>VLOOKUP(A50,Enforcements!$C$3:$J$39,3,0)</f>
        <v>#N/A</v>
      </c>
    </row>
    <row r="51" spans="1:27" s="2" customFormat="1" x14ac:dyDescent="0.25">
      <c r="A51" s="60" t="s">
        <v>276</v>
      </c>
      <c r="B51" s="60">
        <v>4028</v>
      </c>
      <c r="C51" s="60" t="s">
        <v>62</v>
      </c>
      <c r="D51" s="60" t="s">
        <v>139</v>
      </c>
      <c r="E51" s="30">
        <v>42523.4294212963</v>
      </c>
      <c r="F51" s="30">
        <v>42523.430196759262</v>
      </c>
      <c r="G51" s="38">
        <v>1</v>
      </c>
      <c r="H51" s="30" t="s">
        <v>104</v>
      </c>
      <c r="I51" s="30">
        <v>42523.462696759256</v>
      </c>
      <c r="J51" s="60">
        <v>0</v>
      </c>
      <c r="K51" s="60" t="str">
        <f t="shared" si="22"/>
        <v>4027/4028</v>
      </c>
      <c r="L51" s="60" t="str">
        <f>VLOOKUP(A51,'Trips&amp;Operators'!$C$1:$E$9999,3,FALSE)</f>
        <v>BEAM</v>
      </c>
      <c r="M51" s="12">
        <f t="shared" si="23"/>
        <v>3.2499999993888196E-2</v>
      </c>
      <c r="N51" s="13">
        <f t="shared" si="2"/>
        <v>46.799999991199002</v>
      </c>
      <c r="O51" s="13"/>
      <c r="P51" s="13"/>
      <c r="Q51" s="61"/>
      <c r="R51" s="61"/>
      <c r="T5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10:17:22-0600',mode:absolute,to:'2016-06-02 11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1" s="73" t="str">
        <f t="shared" si="4"/>
        <v>N</v>
      </c>
      <c r="V51" s="73">
        <f t="shared" si="5"/>
        <v>1</v>
      </c>
      <c r="W51" s="73">
        <f t="shared" si="24"/>
        <v>23.297799999999999</v>
      </c>
      <c r="X51" s="73">
        <f t="shared" si="25"/>
        <v>1.5599999999999999E-2</v>
      </c>
      <c r="Y51" s="73">
        <f t="shared" si="26"/>
        <v>23.2822</v>
      </c>
      <c r="Z51" s="74" t="e">
        <f>VLOOKUP(A51,Enforcements!$C$3:$J$39,8,0)</f>
        <v>#N/A</v>
      </c>
      <c r="AA51" s="74" t="e">
        <f>VLOOKUP(A51,Enforcements!$C$3:$J$39,3,0)</f>
        <v>#N/A</v>
      </c>
    </row>
    <row r="52" spans="1:27" s="2" customFormat="1" x14ac:dyDescent="0.25">
      <c r="A52" s="60" t="s">
        <v>277</v>
      </c>
      <c r="B52" s="60">
        <v>4025</v>
      </c>
      <c r="C52" s="60" t="s">
        <v>62</v>
      </c>
      <c r="D52" s="60" t="s">
        <v>70</v>
      </c>
      <c r="E52" s="30">
        <v>42523.402789351851</v>
      </c>
      <c r="F52" s="30">
        <v>42523.403726851851</v>
      </c>
      <c r="G52" s="38">
        <v>1</v>
      </c>
      <c r="H52" s="30" t="s">
        <v>80</v>
      </c>
      <c r="I52" s="30">
        <v>42523.431701388887</v>
      </c>
      <c r="J52" s="60">
        <v>0</v>
      </c>
      <c r="K52" s="60" t="str">
        <f t="shared" si="22"/>
        <v>4025/4026</v>
      </c>
      <c r="L52" s="60" t="str">
        <f>VLOOKUP(A52,'Trips&amp;Operators'!$C$1:$E$9999,3,FALSE)</f>
        <v>SANTIZO</v>
      </c>
      <c r="M52" s="12">
        <f t="shared" si="23"/>
        <v>2.7974537035333924E-2</v>
      </c>
      <c r="N52" s="13">
        <f t="shared" si="2"/>
        <v>40.283333330880851</v>
      </c>
      <c r="O52" s="13"/>
      <c r="P52" s="13"/>
      <c r="Q52" s="61"/>
      <c r="R52" s="61"/>
      <c r="T5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09:39:01-0600',mode:absolute,to:'2016-06-02 10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2" s="73" t="str">
        <f t="shared" si="4"/>
        <v>N</v>
      </c>
      <c r="V52" s="73">
        <f t="shared" si="5"/>
        <v>1</v>
      </c>
      <c r="W52" s="73">
        <f t="shared" si="24"/>
        <v>4.6399999999999997E-2</v>
      </c>
      <c r="X52" s="73">
        <v>23.3324</v>
      </c>
      <c r="Y52" s="73">
        <f t="shared" si="26"/>
        <v>23.286000000000001</v>
      </c>
      <c r="Z52" s="74" t="e">
        <f>VLOOKUP(A52,Enforcements!$C$3:$J$39,8,0)</f>
        <v>#N/A</v>
      </c>
      <c r="AA52" s="74" t="e">
        <f>VLOOKUP(A52,Enforcements!$C$3:$J$39,3,0)</f>
        <v>#N/A</v>
      </c>
    </row>
    <row r="53" spans="1:27" s="2" customFormat="1" x14ac:dyDescent="0.25">
      <c r="A53" s="60" t="s">
        <v>278</v>
      </c>
      <c r="B53" s="60">
        <v>4026</v>
      </c>
      <c r="C53" s="60" t="s">
        <v>62</v>
      </c>
      <c r="D53" s="60" t="s">
        <v>106</v>
      </c>
      <c r="E53" s="30">
        <v>42523.437627314815</v>
      </c>
      <c r="F53" s="30">
        <v>42523.438703703701</v>
      </c>
      <c r="G53" s="38">
        <v>1</v>
      </c>
      <c r="H53" s="30" t="s">
        <v>68</v>
      </c>
      <c r="I53" s="30">
        <v>42523.472118055557</v>
      </c>
      <c r="J53" s="60">
        <v>0</v>
      </c>
      <c r="K53" s="60" t="str">
        <f t="shared" si="22"/>
        <v>4025/4026</v>
      </c>
      <c r="L53" s="60" t="str">
        <f>VLOOKUP(A53,'Trips&amp;Operators'!$C$1:$E$9999,3,FALSE)</f>
        <v>SANTIZO</v>
      </c>
      <c r="M53" s="12">
        <f t="shared" si="23"/>
        <v>3.3414351855753921E-2</v>
      </c>
      <c r="N53" s="13">
        <f t="shared" si="2"/>
        <v>48.116666672285646</v>
      </c>
      <c r="O53" s="13"/>
      <c r="P53" s="13"/>
      <c r="Q53" s="61"/>
      <c r="R53" s="61"/>
      <c r="T5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10:29:11-0600',mode:absolute,to:'2016-06-02 11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3" s="73" t="str">
        <f t="shared" si="4"/>
        <v>N</v>
      </c>
      <c r="V53" s="73">
        <f t="shared" si="5"/>
        <v>1</v>
      </c>
      <c r="W53" s="73">
        <f t="shared" si="24"/>
        <v>23.298300000000001</v>
      </c>
      <c r="X53" s="73">
        <f t="shared" ref="X53:X68" si="28">RIGHT(H53,LEN(H53)-4)/10000</f>
        <v>1.52E-2</v>
      </c>
      <c r="Y53" s="73">
        <f t="shared" si="26"/>
        <v>23.283100000000001</v>
      </c>
      <c r="Z53" s="74" t="e">
        <f>VLOOKUP(A53,Enforcements!$C$3:$J$39,8,0)</f>
        <v>#N/A</v>
      </c>
      <c r="AA53" s="74" t="e">
        <f>VLOOKUP(A53,Enforcements!$C$3:$J$39,3,0)</f>
        <v>#N/A</v>
      </c>
    </row>
    <row r="54" spans="1:27" s="2" customFormat="1" x14ac:dyDescent="0.25">
      <c r="A54" s="60" t="s">
        <v>279</v>
      </c>
      <c r="B54" s="60">
        <v>4024</v>
      </c>
      <c r="C54" s="60" t="s">
        <v>62</v>
      </c>
      <c r="D54" s="60" t="s">
        <v>93</v>
      </c>
      <c r="E54" s="30">
        <v>42523.413668981484</v>
      </c>
      <c r="F54" s="30">
        <v>42523.414733796293</v>
      </c>
      <c r="G54" s="38">
        <v>1</v>
      </c>
      <c r="H54" s="30" t="s">
        <v>143</v>
      </c>
      <c r="I54" s="30">
        <v>42523.442708333336</v>
      </c>
      <c r="J54" s="60">
        <v>0</v>
      </c>
      <c r="K54" s="60" t="str">
        <f t="shared" si="22"/>
        <v>4023/4024</v>
      </c>
      <c r="L54" s="60" t="str">
        <f>VLOOKUP(A54,'Trips&amp;Operators'!$C$1:$E$9999,3,FALSE)</f>
        <v>YANAI</v>
      </c>
      <c r="M54" s="12">
        <f t="shared" si="23"/>
        <v>2.7974537042609882E-2</v>
      </c>
      <c r="N54" s="13">
        <f t="shared" si="2"/>
        <v>40.28333334135823</v>
      </c>
      <c r="O54" s="13"/>
      <c r="P54" s="13"/>
      <c r="Q54" s="61"/>
      <c r="R54" s="61"/>
      <c r="T5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09:54:41-0600',mode:absolute,to:'2016-06-02 10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4" s="73" t="str">
        <f t="shared" si="4"/>
        <v>N</v>
      </c>
      <c r="V54" s="73">
        <f t="shared" si="5"/>
        <v>1</v>
      </c>
      <c r="W54" s="73">
        <f t="shared" si="24"/>
        <v>4.6199999999999998E-2</v>
      </c>
      <c r="X54" s="73">
        <v>23.2807</v>
      </c>
      <c r="Y54" s="73">
        <f t="shared" si="26"/>
        <v>23.234500000000001</v>
      </c>
      <c r="Z54" s="74" t="e">
        <f>VLOOKUP(A54,Enforcements!$C$3:$J$39,8,0)</f>
        <v>#N/A</v>
      </c>
      <c r="AA54" s="74" t="e">
        <f>VLOOKUP(A54,Enforcements!$C$3:$J$39,3,0)</f>
        <v>#N/A</v>
      </c>
    </row>
    <row r="55" spans="1:27" s="2" customFormat="1" x14ac:dyDescent="0.25">
      <c r="A55" s="60" t="s">
        <v>280</v>
      </c>
      <c r="B55" s="60">
        <v>4023</v>
      </c>
      <c r="C55" s="60" t="s">
        <v>62</v>
      </c>
      <c r="D55" s="60" t="s">
        <v>165</v>
      </c>
      <c r="E55" s="30">
        <v>42523.447002314817</v>
      </c>
      <c r="F55" s="30">
        <v>42523.447789351849</v>
      </c>
      <c r="G55" s="38">
        <v>1</v>
      </c>
      <c r="H55" s="30" t="s">
        <v>105</v>
      </c>
      <c r="I55" s="30">
        <v>42523.482789351852</v>
      </c>
      <c r="J55" s="60">
        <v>0</v>
      </c>
      <c r="K55" s="60" t="str">
        <f t="shared" si="22"/>
        <v>4023/4024</v>
      </c>
      <c r="L55" s="60" t="str">
        <f>VLOOKUP(A55,'Trips&amp;Operators'!$C$1:$E$9999,3,FALSE)</f>
        <v>YANAI</v>
      </c>
      <c r="M55" s="12">
        <f t="shared" si="23"/>
        <v>3.500000000349246E-2</v>
      </c>
      <c r="N55" s="13">
        <f t="shared" si="2"/>
        <v>50.400000005029142</v>
      </c>
      <c r="O55" s="13"/>
      <c r="P55" s="13"/>
      <c r="Q55" s="61"/>
      <c r="R55" s="61"/>
      <c r="T5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10:42:41-0600',mode:absolute,to:'2016-06-02 11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3" t="str">
        <f t="shared" si="4"/>
        <v>N</v>
      </c>
      <c r="V55" s="73">
        <f t="shared" si="5"/>
        <v>1</v>
      </c>
      <c r="W55" s="73">
        <f t="shared" si="24"/>
        <v>23.299199999999999</v>
      </c>
      <c r="X55" s="73">
        <f t="shared" si="28"/>
        <v>1.49E-2</v>
      </c>
      <c r="Y55" s="73">
        <f t="shared" si="26"/>
        <v>23.284299999999998</v>
      </c>
      <c r="Z55" s="74" t="e">
        <f>VLOOKUP(A55,Enforcements!$C$3:$J$39,8,0)</f>
        <v>#N/A</v>
      </c>
      <c r="AA55" s="74" t="e">
        <f>VLOOKUP(A55,Enforcements!$C$3:$J$39,3,0)</f>
        <v>#N/A</v>
      </c>
    </row>
    <row r="56" spans="1:27" s="2" customFormat="1" x14ac:dyDescent="0.25">
      <c r="A56" s="60" t="s">
        <v>281</v>
      </c>
      <c r="B56" s="60">
        <v>4011</v>
      </c>
      <c r="C56" s="60" t="s">
        <v>62</v>
      </c>
      <c r="D56" s="60" t="s">
        <v>65</v>
      </c>
      <c r="E56" s="30">
        <v>42523.424375000002</v>
      </c>
      <c r="F56" s="30">
        <v>42523.425671296296</v>
      </c>
      <c r="G56" s="38">
        <v>1</v>
      </c>
      <c r="H56" s="30" t="s">
        <v>282</v>
      </c>
      <c r="I56" s="30">
        <v>42523.451909722222</v>
      </c>
      <c r="J56" s="60">
        <v>0</v>
      </c>
      <c r="K56" s="60" t="str">
        <f t="shared" si="22"/>
        <v>4011/4012</v>
      </c>
      <c r="L56" s="60" t="str">
        <f>VLOOKUP(A56,'Trips&amp;Operators'!$C$1:$E$9999,3,FALSE)</f>
        <v>ROCHA</v>
      </c>
      <c r="M56" s="12">
        <f t="shared" si="23"/>
        <v>2.6238425925839692E-2</v>
      </c>
      <c r="N56" s="13">
        <f t="shared" si="2"/>
        <v>37.783333333209157</v>
      </c>
      <c r="O56" s="13"/>
      <c r="P56" s="13"/>
      <c r="Q56" s="61"/>
      <c r="R56" s="61"/>
      <c r="T5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10:10:06-0600',mode:absolute,to:'2016-06-02 10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6" s="73" t="str">
        <f t="shared" si="4"/>
        <v>N</v>
      </c>
      <c r="V56" s="73">
        <f t="shared" si="5"/>
        <v>1</v>
      </c>
      <c r="W56" s="73">
        <f t="shared" si="24"/>
        <v>4.4699999999999997E-2</v>
      </c>
      <c r="X56" s="73">
        <f t="shared" si="28"/>
        <v>23.330400000000001</v>
      </c>
      <c r="Y56" s="73">
        <f t="shared" si="26"/>
        <v>23.285700000000002</v>
      </c>
      <c r="Z56" s="74" t="e">
        <f>VLOOKUP(A56,Enforcements!$C$3:$J$39,8,0)</f>
        <v>#N/A</v>
      </c>
      <c r="AA56" s="74" t="e">
        <f>VLOOKUP(A56,Enforcements!$C$3:$J$39,3,0)</f>
        <v>#N/A</v>
      </c>
    </row>
    <row r="57" spans="1:27" s="2" customFormat="1" x14ac:dyDescent="0.25">
      <c r="A57" s="60" t="s">
        <v>283</v>
      </c>
      <c r="B57" s="60">
        <v>4012</v>
      </c>
      <c r="C57" s="60" t="s">
        <v>62</v>
      </c>
      <c r="D57" s="60" t="s">
        <v>138</v>
      </c>
      <c r="E57" s="30">
        <v>42523.462754629632</v>
      </c>
      <c r="F57" s="30">
        <v>42523.463796296295</v>
      </c>
      <c r="G57" s="38">
        <v>1</v>
      </c>
      <c r="H57" s="30" t="s">
        <v>98</v>
      </c>
      <c r="I57" s="30">
        <v>42523.493148148147</v>
      </c>
      <c r="J57" s="60">
        <v>0</v>
      </c>
      <c r="K57" s="60" t="str">
        <f t="shared" si="22"/>
        <v>4011/4012</v>
      </c>
      <c r="L57" s="60" t="str">
        <f>VLOOKUP(A57,'Trips&amp;Operators'!$C$1:$E$9999,3,FALSE)</f>
        <v>ROCHA</v>
      </c>
      <c r="M57" s="12">
        <f t="shared" si="23"/>
        <v>2.9351851851970423E-2</v>
      </c>
      <c r="N57" s="13">
        <f t="shared" si="2"/>
        <v>42.266666666837409</v>
      </c>
      <c r="O57" s="13"/>
      <c r="P57" s="13"/>
      <c r="Q57" s="61"/>
      <c r="R57" s="61"/>
      <c r="T5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11:05:22-0600',mode:absolute,to:'2016-06-02 11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7" s="73" t="str">
        <f t="shared" si="4"/>
        <v>N</v>
      </c>
      <c r="V57" s="73">
        <f t="shared" si="5"/>
        <v>1</v>
      </c>
      <c r="W57" s="73">
        <f t="shared" si="24"/>
        <v>23.298100000000002</v>
      </c>
      <c r="X57" s="73">
        <f t="shared" si="28"/>
        <v>1.3899999999999999E-2</v>
      </c>
      <c r="Y57" s="73">
        <f t="shared" si="26"/>
        <v>23.284200000000002</v>
      </c>
      <c r="Z57" s="74" t="e">
        <f>VLOOKUP(A57,Enforcements!$C$3:$J$39,8,0)</f>
        <v>#N/A</v>
      </c>
      <c r="AA57" s="74" t="e">
        <f>VLOOKUP(A57,Enforcements!$C$3:$J$39,3,0)</f>
        <v>#N/A</v>
      </c>
    </row>
    <row r="58" spans="1:27" s="2" customFormat="1" x14ac:dyDescent="0.25">
      <c r="A58" s="60" t="s">
        <v>284</v>
      </c>
      <c r="B58" s="60">
        <v>4031</v>
      </c>
      <c r="C58" s="60" t="s">
        <v>62</v>
      </c>
      <c r="D58" s="60" t="s">
        <v>126</v>
      </c>
      <c r="E58" s="30">
        <v>42523.431956018518</v>
      </c>
      <c r="F58" s="30">
        <v>42523.433379629627</v>
      </c>
      <c r="G58" s="38">
        <v>2</v>
      </c>
      <c r="H58" s="30" t="s">
        <v>148</v>
      </c>
      <c r="I58" s="30">
        <v>42523.46398148148</v>
      </c>
      <c r="J58" s="60">
        <v>0</v>
      </c>
      <c r="K58" s="60" t="str">
        <f t="shared" si="22"/>
        <v>4031/4032</v>
      </c>
      <c r="L58" s="60" t="str">
        <f>VLOOKUP(A58,'Trips&amp;Operators'!$C$1:$E$9999,3,FALSE)</f>
        <v>GEBRETEKLE</v>
      </c>
      <c r="M58" s="12">
        <f t="shared" si="23"/>
        <v>3.0601851853134576E-2</v>
      </c>
      <c r="N58" s="13">
        <f t="shared" si="2"/>
        <v>44.06666666851379</v>
      </c>
      <c r="O58" s="13"/>
      <c r="P58" s="13"/>
      <c r="Q58" s="61"/>
      <c r="R58" s="61"/>
      <c r="T5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10:21:01-0600',mode:absolute,to:'2016-06-02 11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8" s="73" t="str">
        <f t="shared" si="4"/>
        <v>N</v>
      </c>
      <c r="V58" s="73">
        <f t="shared" si="5"/>
        <v>1</v>
      </c>
      <c r="W58" s="73">
        <f t="shared" si="24"/>
        <v>4.53E-2</v>
      </c>
      <c r="X58" s="73">
        <f t="shared" si="28"/>
        <v>23.3291</v>
      </c>
      <c r="Y58" s="73">
        <f t="shared" si="26"/>
        <v>23.283799999999999</v>
      </c>
      <c r="Z58" s="74" t="e">
        <f>VLOOKUP(A58,Enforcements!$C$3:$J$39,8,0)</f>
        <v>#N/A</v>
      </c>
      <c r="AA58" s="74" t="e">
        <f>VLOOKUP(A58,Enforcements!$C$3:$J$39,3,0)</f>
        <v>#N/A</v>
      </c>
    </row>
    <row r="59" spans="1:27" s="2" customFormat="1" x14ac:dyDescent="0.25">
      <c r="A59" s="60" t="s">
        <v>285</v>
      </c>
      <c r="B59" s="60">
        <v>4032</v>
      </c>
      <c r="C59" s="60" t="s">
        <v>62</v>
      </c>
      <c r="D59" s="60" t="s">
        <v>160</v>
      </c>
      <c r="E59" s="30">
        <v>42523.471574074072</v>
      </c>
      <c r="F59" s="30">
        <v>42523.472511574073</v>
      </c>
      <c r="G59" s="38">
        <v>1</v>
      </c>
      <c r="H59" s="30" t="s">
        <v>286</v>
      </c>
      <c r="I59" s="30">
        <v>42523.508842592593</v>
      </c>
      <c r="J59" s="60">
        <v>1</v>
      </c>
      <c r="K59" s="60" t="str">
        <f t="shared" si="22"/>
        <v>4031/4032</v>
      </c>
      <c r="L59" s="60" t="str">
        <f>VLOOKUP(A59,'Trips&amp;Operators'!$C$1:$E$9999,3,FALSE)</f>
        <v>GEBRETEKLE</v>
      </c>
      <c r="M59" s="12">
        <f t="shared" si="23"/>
        <v>3.6331018520286307E-2</v>
      </c>
      <c r="N59" s="13">
        <f t="shared" si="2"/>
        <v>52.316666669212282</v>
      </c>
      <c r="O59" s="13"/>
      <c r="P59" s="13"/>
      <c r="Q59" s="61"/>
      <c r="R59" s="61"/>
      <c r="T5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11:18:04-0600',mode:absolute,to:'2016-06-02 12:13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9" s="73" t="str">
        <f t="shared" si="4"/>
        <v>N</v>
      </c>
      <c r="V59" s="73">
        <f t="shared" si="5"/>
        <v>1</v>
      </c>
      <c r="W59" s="73">
        <f t="shared" si="24"/>
        <v>23.296299999999999</v>
      </c>
      <c r="X59" s="73">
        <f t="shared" si="28"/>
        <v>2.2100000000000002E-2</v>
      </c>
      <c r="Y59" s="73">
        <f t="shared" si="26"/>
        <v>23.2742</v>
      </c>
      <c r="Z59" s="74">
        <f>VLOOKUP(A59,Enforcements!$C$3:$J$39,8,0)</f>
        <v>1</v>
      </c>
      <c r="AA59" s="74" t="str">
        <f>VLOOKUP(A59,Enforcements!$C$3:$J$39,3,0)</f>
        <v>TRACK WARRANT AUTHORITY</v>
      </c>
    </row>
    <row r="60" spans="1:27" s="2" customFormat="1" x14ac:dyDescent="0.25">
      <c r="A60" s="60" t="s">
        <v>287</v>
      </c>
      <c r="B60" s="60">
        <v>4042</v>
      </c>
      <c r="C60" s="60" t="s">
        <v>62</v>
      </c>
      <c r="D60" s="60" t="s">
        <v>93</v>
      </c>
      <c r="E60" s="30">
        <v>42523.446215277778</v>
      </c>
      <c r="F60" s="30">
        <v>42523.448240740741</v>
      </c>
      <c r="G60" s="38">
        <v>2</v>
      </c>
      <c r="H60" s="30" t="s">
        <v>107</v>
      </c>
      <c r="I60" s="30">
        <v>42523.475856481484</v>
      </c>
      <c r="J60" s="60">
        <v>0</v>
      </c>
      <c r="K60" s="60" t="str">
        <f t="shared" si="22"/>
        <v>4041/4042</v>
      </c>
      <c r="L60" s="60" t="str">
        <f>VLOOKUP(A60,'Trips&amp;Operators'!$C$1:$E$9999,3,FALSE)</f>
        <v>STEWART</v>
      </c>
      <c r="M60" s="12">
        <f t="shared" si="23"/>
        <v>2.7615740742476191E-2</v>
      </c>
      <c r="N60" s="13">
        <f t="shared" si="2"/>
        <v>39.766666669165716</v>
      </c>
      <c r="O60" s="13"/>
      <c r="P60" s="13"/>
      <c r="Q60" s="61"/>
      <c r="R60" s="61"/>
      <c r="T6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10:41:33-0600',mode:absolute,to:'2016-06-02 11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3" t="str">
        <f t="shared" si="4"/>
        <v>N</v>
      </c>
      <c r="V60" s="73">
        <f t="shared" si="5"/>
        <v>1</v>
      </c>
      <c r="W60" s="73">
        <f t="shared" si="24"/>
        <v>4.6199999999999998E-2</v>
      </c>
      <c r="X60" s="73">
        <f t="shared" si="28"/>
        <v>23.329699999999999</v>
      </c>
      <c r="Y60" s="73">
        <f t="shared" si="26"/>
        <v>23.2835</v>
      </c>
      <c r="Z60" s="74" t="e">
        <f>VLOOKUP(A60,Enforcements!$C$3:$J$39,8,0)</f>
        <v>#N/A</v>
      </c>
      <c r="AA60" s="74" t="e">
        <f>VLOOKUP(A60,Enforcements!$C$3:$J$39,3,0)</f>
        <v>#N/A</v>
      </c>
    </row>
    <row r="61" spans="1:27" s="2" customFormat="1" x14ac:dyDescent="0.25">
      <c r="A61" s="60" t="s">
        <v>288</v>
      </c>
      <c r="B61" s="60">
        <v>4041</v>
      </c>
      <c r="C61" s="60" t="s">
        <v>62</v>
      </c>
      <c r="D61" s="60" t="s">
        <v>289</v>
      </c>
      <c r="E61" s="30">
        <v>42523.485462962963</v>
      </c>
      <c r="F61" s="30">
        <v>42523.487002314818</v>
      </c>
      <c r="G61" s="38">
        <v>2</v>
      </c>
      <c r="H61" s="30" t="s">
        <v>75</v>
      </c>
      <c r="I61" s="30">
        <v>42523.517870370371</v>
      </c>
      <c r="J61" s="60">
        <v>0</v>
      </c>
      <c r="K61" s="60" t="str">
        <f t="shared" si="22"/>
        <v>4041/4042</v>
      </c>
      <c r="L61" s="60" t="str">
        <f>VLOOKUP(A61,'Trips&amp;Operators'!$C$1:$E$9999,3,FALSE)</f>
        <v>STEWART</v>
      </c>
      <c r="M61" s="12">
        <f t="shared" si="23"/>
        <v>3.0868055553582963E-2</v>
      </c>
      <c r="N61" s="13">
        <f t="shared" si="2"/>
        <v>44.449999997159466</v>
      </c>
      <c r="O61" s="13"/>
      <c r="P61" s="13"/>
      <c r="Q61" s="61"/>
      <c r="R61" s="61"/>
      <c r="T6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11:38:04-0600',mode:absolute,to:'2016-06-02 12:26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3" t="str">
        <f t="shared" si="4"/>
        <v>N</v>
      </c>
      <c r="V61" s="73">
        <f t="shared" si="5"/>
        <v>1</v>
      </c>
      <c r="W61" s="73">
        <f t="shared" si="24"/>
        <v>23.2987</v>
      </c>
      <c r="X61" s="73">
        <f t="shared" si="28"/>
        <v>1.4999999999999999E-2</v>
      </c>
      <c r="Y61" s="73">
        <f t="shared" si="26"/>
        <v>23.2837</v>
      </c>
      <c r="Z61" s="74" t="e">
        <f>VLOOKUP(A61,Enforcements!$C$3:$J$39,8,0)</f>
        <v>#N/A</v>
      </c>
      <c r="AA61" s="74" t="e">
        <f>VLOOKUP(A61,Enforcements!$C$3:$J$39,3,0)</f>
        <v>#N/A</v>
      </c>
    </row>
    <row r="62" spans="1:27" s="2" customFormat="1" x14ac:dyDescent="0.25">
      <c r="A62" s="60" t="s">
        <v>290</v>
      </c>
      <c r="B62" s="60">
        <v>4014</v>
      </c>
      <c r="C62" s="60" t="s">
        <v>62</v>
      </c>
      <c r="D62" s="60" t="s">
        <v>113</v>
      </c>
      <c r="E62" s="30">
        <v>42523.456678240742</v>
      </c>
      <c r="F62" s="30">
        <v>42523.457615740743</v>
      </c>
      <c r="G62" s="38">
        <v>1</v>
      </c>
      <c r="H62" s="30" t="s">
        <v>128</v>
      </c>
      <c r="I62" s="30">
        <v>42523.483784722222</v>
      </c>
      <c r="J62" s="60">
        <v>1</v>
      </c>
      <c r="K62" s="60" t="str">
        <f t="shared" si="22"/>
        <v>4013/4014</v>
      </c>
      <c r="L62" s="60" t="str">
        <f>VLOOKUP(A62,'Trips&amp;Operators'!$C$1:$E$9999,3,FALSE)</f>
        <v>MALAVE</v>
      </c>
      <c r="M62" s="12">
        <f t="shared" si="23"/>
        <v>2.6168981479713693E-2</v>
      </c>
      <c r="N62" s="13">
        <f t="shared" si="2"/>
        <v>37.683333330787718</v>
      </c>
      <c r="O62" s="13"/>
      <c r="P62" s="13"/>
      <c r="Q62" s="61"/>
      <c r="R62" s="61"/>
      <c r="T6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10:56:37-0600',mode:absolute,to:'2016-06-02 11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73" t="str">
        <f t="shared" si="4"/>
        <v>N</v>
      </c>
      <c r="V62" s="73">
        <f t="shared" si="5"/>
        <v>1</v>
      </c>
      <c r="W62" s="73">
        <f t="shared" si="24"/>
        <v>4.4200000000000003E-2</v>
      </c>
      <c r="X62" s="73">
        <f t="shared" si="28"/>
        <v>23.3278</v>
      </c>
      <c r="Y62" s="73">
        <f t="shared" si="26"/>
        <v>23.2836</v>
      </c>
      <c r="Z62" s="74">
        <f>VLOOKUP(A62,Enforcements!$C$3:$J$39,8,0)</f>
        <v>233491</v>
      </c>
      <c r="AA62" s="74" t="str">
        <f>VLOOKUP(A62,Enforcements!$C$3:$J$39,3,0)</f>
        <v>TRACK WARRANT AUTHORITY</v>
      </c>
    </row>
    <row r="63" spans="1:27" s="2" customFormat="1" x14ac:dyDescent="0.25">
      <c r="A63" s="60" t="s">
        <v>291</v>
      </c>
      <c r="B63" s="60">
        <v>4013</v>
      </c>
      <c r="C63" s="60" t="s">
        <v>62</v>
      </c>
      <c r="D63" s="60" t="s">
        <v>180</v>
      </c>
      <c r="E63" s="30">
        <v>42523.495474537034</v>
      </c>
      <c r="F63" s="30">
        <v>42523.497442129628</v>
      </c>
      <c r="G63" s="38">
        <v>2</v>
      </c>
      <c r="H63" s="30" t="s">
        <v>292</v>
      </c>
      <c r="I63" s="30">
        <v>42523.527384259258</v>
      </c>
      <c r="J63" s="60">
        <v>0</v>
      </c>
      <c r="K63" s="60" t="str">
        <f t="shared" si="22"/>
        <v>4013/4014</v>
      </c>
      <c r="L63" s="60" t="str">
        <f>VLOOKUP(A63,'Trips&amp;Operators'!$C$1:$E$9999,3,FALSE)</f>
        <v>MALAVE</v>
      </c>
      <c r="M63" s="12">
        <f t="shared" si="23"/>
        <v>2.99421296294895E-2</v>
      </c>
      <c r="N63" s="13">
        <f t="shared" si="2"/>
        <v>43.11666666646488</v>
      </c>
      <c r="O63" s="13"/>
      <c r="P63" s="13"/>
      <c r="Q63" s="61"/>
      <c r="R63" s="61"/>
      <c r="T6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11:52:29-0600',mode:absolute,to:'2016-06-02 12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73" t="str">
        <f t="shared" si="4"/>
        <v>N</v>
      </c>
      <c r="V63" s="73">
        <f t="shared" si="5"/>
        <v>1</v>
      </c>
      <c r="W63" s="73">
        <f t="shared" si="24"/>
        <v>23.296099999999999</v>
      </c>
      <c r="X63" s="73">
        <f t="shared" si="28"/>
        <v>1.6500000000000001E-2</v>
      </c>
      <c r="Y63" s="73">
        <f t="shared" si="26"/>
        <v>23.279599999999999</v>
      </c>
      <c r="Z63" s="74" t="e">
        <f>VLOOKUP(A63,Enforcements!$C$3:$J$39,8,0)</f>
        <v>#N/A</v>
      </c>
      <c r="AA63" s="74" t="e">
        <f>VLOOKUP(A63,Enforcements!$C$3:$J$39,3,0)</f>
        <v>#N/A</v>
      </c>
    </row>
    <row r="64" spans="1:27" s="2" customFormat="1" x14ac:dyDescent="0.25">
      <c r="A64" s="60" t="s">
        <v>293</v>
      </c>
      <c r="B64" s="60">
        <v>4027</v>
      </c>
      <c r="C64" s="60" t="s">
        <v>62</v>
      </c>
      <c r="D64" s="60" t="s">
        <v>70</v>
      </c>
      <c r="E64" s="30">
        <v>42523.465833333335</v>
      </c>
      <c r="F64" s="30">
        <v>42523.466979166667</v>
      </c>
      <c r="G64" s="38">
        <v>1</v>
      </c>
      <c r="H64" s="30" t="s">
        <v>294</v>
      </c>
      <c r="I64" s="30">
        <v>42523.495868055557</v>
      </c>
      <c r="J64" s="60">
        <v>0</v>
      </c>
      <c r="K64" s="60" t="str">
        <f t="shared" si="22"/>
        <v>4027/4028</v>
      </c>
      <c r="L64" s="60" t="str">
        <f>VLOOKUP(A64,'Trips&amp;Operators'!$C$1:$E$9999,3,FALSE)</f>
        <v>SPECTOR</v>
      </c>
      <c r="M64" s="12">
        <f t="shared" si="23"/>
        <v>2.8888888889923692E-2</v>
      </c>
      <c r="N64" s="13">
        <f t="shared" si="2"/>
        <v>41.600000001490116</v>
      </c>
      <c r="O64" s="13"/>
      <c r="P64" s="13"/>
      <c r="Q64" s="61"/>
      <c r="R64" s="61"/>
      <c r="T6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11:09:48-0600',mode:absolute,to:'2016-06-02 11:55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4" s="73" t="str">
        <f t="shared" si="4"/>
        <v>N</v>
      </c>
      <c r="V64" s="73">
        <f t="shared" si="5"/>
        <v>1</v>
      </c>
      <c r="W64" s="73">
        <f t="shared" si="24"/>
        <v>4.6399999999999997E-2</v>
      </c>
      <c r="X64" s="73">
        <f t="shared" si="28"/>
        <v>23.3338</v>
      </c>
      <c r="Y64" s="73">
        <f t="shared" si="26"/>
        <v>23.287400000000002</v>
      </c>
      <c r="Z64" s="74" t="e">
        <f>VLOOKUP(A64,Enforcements!$C$3:$J$39,8,0)</f>
        <v>#N/A</v>
      </c>
      <c r="AA64" s="74" t="e">
        <f>VLOOKUP(A64,Enforcements!$C$3:$J$39,3,0)</f>
        <v>#N/A</v>
      </c>
    </row>
    <row r="65" spans="1:27" s="2" customFormat="1" x14ac:dyDescent="0.25">
      <c r="A65" s="60" t="s">
        <v>295</v>
      </c>
      <c r="B65" s="60">
        <v>4028</v>
      </c>
      <c r="C65" s="60" t="s">
        <v>62</v>
      </c>
      <c r="D65" s="60" t="s">
        <v>296</v>
      </c>
      <c r="E65" s="30">
        <v>42523.503831018519</v>
      </c>
      <c r="F65" s="30">
        <v>42523.505162037036</v>
      </c>
      <c r="G65" s="38">
        <v>1</v>
      </c>
      <c r="H65" s="30" t="s">
        <v>91</v>
      </c>
      <c r="I65" s="30">
        <v>42523.541041666664</v>
      </c>
      <c r="J65" s="60">
        <v>0</v>
      </c>
      <c r="K65" s="60" t="str">
        <f t="shared" si="22"/>
        <v>4027/4028</v>
      </c>
      <c r="L65" s="60" t="str">
        <f>VLOOKUP(A65,'Trips&amp;Operators'!$C$1:$E$9999,3,FALSE)</f>
        <v>SPECTOR</v>
      </c>
      <c r="M65" s="12">
        <f t="shared" si="23"/>
        <v>3.587962962774327E-2</v>
      </c>
      <c r="N65" s="13">
        <f t="shared" si="2"/>
        <v>51.666666663950309</v>
      </c>
      <c r="O65" s="13"/>
      <c r="P65" s="13"/>
      <c r="Q65" s="61"/>
      <c r="R65" s="61"/>
      <c r="T6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https://search-rtdc-monitor-bjffxe2xuh6vdkpspy63sjmuny.us-east-1.es.amazonaws.com/_plugin/kibana/#/discover/Steve-Slow-Train-Analysis-(2080s-and-2083s)?_g=(refreshInterval:(display:Off,section:0,value:0),time:(from:'2016-06-02 12:04:31-0600',mode:absolute,to:'2016-06-02 13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5" s="73" t="str">
        <f t="shared" si="4"/>
        <v>N</v>
      </c>
      <c r="V65" s="73">
        <f t="shared" si="5"/>
        <v>1</v>
      </c>
      <c r="W65" s="73">
        <f t="shared" si="24"/>
        <v>23.300999999999998</v>
      </c>
      <c r="X65" s="73">
        <f t="shared" si="28"/>
        <v>1.43E-2</v>
      </c>
      <c r="Y65" s="73">
        <f t="shared" si="26"/>
        <v>23.2867</v>
      </c>
      <c r="Z65" s="74" t="e">
        <f>VLOOKUP(A65,Enforcements!$C$3:$J$39,8,0)</f>
        <v>#N/A</v>
      </c>
      <c r="AA65" s="74" t="e">
        <f>VLOOKUP(A65,Enforcements!$C$3:$J$39,3,0)</f>
        <v>#N/A</v>
      </c>
    </row>
    <row r="66" spans="1:27" s="2" customFormat="1" x14ac:dyDescent="0.25">
      <c r="A66" s="60" t="s">
        <v>297</v>
      </c>
      <c r="B66" s="60">
        <v>4025</v>
      </c>
      <c r="C66" s="60" t="s">
        <v>62</v>
      </c>
      <c r="D66" s="60" t="s">
        <v>149</v>
      </c>
      <c r="E66" s="30">
        <v>42523.475578703707</v>
      </c>
      <c r="F66" s="30">
        <v>42523.478009259263</v>
      </c>
      <c r="G66" s="38">
        <v>3</v>
      </c>
      <c r="H66" s="30" t="s">
        <v>298</v>
      </c>
      <c r="I66" s="30">
        <v>42523.507696759261</v>
      </c>
      <c r="J66" s="60">
        <v>0</v>
      </c>
      <c r="K66" s="60" t="str">
        <f t="shared" ref="K66:K96" si="29">IF(ISEVEN(B66),(B66-1)&amp;"/"&amp;B66,B66&amp;"/"&amp;(B66+1))</f>
        <v>4025/4026</v>
      </c>
      <c r="L66" s="60" t="str">
        <f>VLOOKUP(A66,'Trips&amp;Operators'!$C$1:$E$9999,3,FALSE)</f>
        <v>LOZA</v>
      </c>
      <c r="M66" s="12">
        <f t="shared" ref="M66:M96" si="30">I66-F66</f>
        <v>2.9687499998544808E-2</v>
      </c>
      <c r="N66" s="13">
        <f t="shared" si="2"/>
        <v>42.749999997904524</v>
      </c>
      <c r="O66" s="13"/>
      <c r="P66" s="13"/>
      <c r="Q66" s="61"/>
      <c r="R66" s="61"/>
      <c r="T66" s="73" t="str">
        <f t="shared" ref="T66:T96" si="31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https://search-rtdc-monitor-bjffxe2xuh6vdkpspy63sjmuny.us-east-1.es.amazonaws.com/_plugin/kibana/#/discover/Steve-Slow-Train-Analysis-(2080s-and-2083s)?_g=(refreshInterval:(display:Off,section:0,value:0),time:(from:'2016-06-02 11:23:50-0600',mode:absolute,to:'2016-06-02 12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6" s="73" t="str">
        <f t="shared" si="4"/>
        <v>N</v>
      </c>
      <c r="V66" s="73">
        <f t="shared" si="5"/>
        <v>1</v>
      </c>
      <c r="W66" s="73">
        <f t="shared" ref="W66:W96" si="32">RIGHT(D66,LEN(D66)-4)/10000</f>
        <v>4.6699999999999998E-2</v>
      </c>
      <c r="X66" s="73">
        <f t="shared" si="28"/>
        <v>23.337199999999999</v>
      </c>
      <c r="Y66" s="73">
        <f t="shared" ref="Y66:Y96" si="33">ABS(X66-W66)</f>
        <v>23.290499999999998</v>
      </c>
      <c r="Z66" s="74" t="e">
        <f>VLOOKUP(A66,Enforcements!$C$3:$J$39,8,0)</f>
        <v>#N/A</v>
      </c>
      <c r="AA66" s="74" t="e">
        <f>VLOOKUP(A66,Enforcements!$C$3:$J$39,3,0)</f>
        <v>#N/A</v>
      </c>
    </row>
    <row r="67" spans="1:27" s="2" customFormat="1" x14ac:dyDescent="0.25">
      <c r="A67" s="60" t="s">
        <v>299</v>
      </c>
      <c r="B67" s="60">
        <v>4026</v>
      </c>
      <c r="C67" s="60" t="s">
        <v>62</v>
      </c>
      <c r="D67" s="60" t="s">
        <v>161</v>
      </c>
      <c r="E67" s="30">
        <v>42523.5158912037</v>
      </c>
      <c r="F67" s="30">
        <v>42523.517407407409</v>
      </c>
      <c r="G67" s="38">
        <v>2</v>
      </c>
      <c r="H67" s="30" t="s">
        <v>175</v>
      </c>
      <c r="I67" s="30">
        <v>42523.553576388891</v>
      </c>
      <c r="J67" s="60">
        <v>0</v>
      </c>
      <c r="K67" s="60" t="str">
        <f>IF(ISEVEN(B67),(B67-1)&amp;"/"&amp;B67,B67&amp;"/"&amp;(B67+1))</f>
        <v>4025/4026</v>
      </c>
      <c r="L67" s="60" t="str">
        <f>VLOOKUP(A67,'Trips&amp;Operators'!$C$1:$E$9999,3,FALSE)</f>
        <v>LOZA</v>
      </c>
      <c r="M67" s="12">
        <f>I67-F67</f>
        <v>3.6168981481750961E-2</v>
      </c>
      <c r="N67" s="13">
        <f t="shared" ref="N67:P128" si="34">24*60*SUM($M67:$M67)</f>
        <v>52.083333333721384</v>
      </c>
      <c r="O67" s="13"/>
      <c r="P67" s="13"/>
      <c r="Q67" s="61"/>
      <c r="R67" s="61"/>
      <c r="T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https://search-rtdc-monitor-bjffxe2xuh6vdkpspy63sjmuny.us-east-1.es.amazonaws.com/_plugin/kibana/#/discover/Steve-Slow-Train-Analysis-(2080s-and-2083s)?_g=(refreshInterval:(display:Off,section:0,value:0),time:(from:'2016-06-02 12:21:53-0600',mode:absolute,to:'2016-06-02 13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7" s="73" t="str">
        <f t="shared" si="4"/>
        <v>N</v>
      </c>
      <c r="V67" s="73">
        <f t="shared" si="5"/>
        <v>1</v>
      </c>
      <c r="W67" s="73">
        <f>RIGHT(D67,LEN(D67)-4)/10000</f>
        <v>23.3049</v>
      </c>
      <c r="X67" s="73">
        <f>RIGHT(H67,LEN(H67)-4)/10000</f>
        <v>1.1900000000000001E-2</v>
      </c>
      <c r="Y67" s="73">
        <f>ABS(X67-W67)</f>
        <v>23.292999999999999</v>
      </c>
      <c r="Z67" s="74" t="e">
        <f>VLOOKUP(A67,Enforcements!$C$3:$J$39,8,0)</f>
        <v>#N/A</v>
      </c>
      <c r="AA67" s="74" t="e">
        <f>VLOOKUP(A67,Enforcements!$C$3:$J$39,3,0)</f>
        <v>#N/A</v>
      </c>
    </row>
    <row r="68" spans="1:27" s="2" customFormat="1" x14ac:dyDescent="0.25">
      <c r="A68" s="60" t="s">
        <v>300</v>
      </c>
      <c r="B68" s="60">
        <v>4024</v>
      </c>
      <c r="C68" s="60" t="s">
        <v>62</v>
      </c>
      <c r="D68" s="60" t="s">
        <v>272</v>
      </c>
      <c r="E68" s="30">
        <v>42523.48642361111</v>
      </c>
      <c r="F68" s="30">
        <v>42523.489594907405</v>
      </c>
      <c r="G68" s="38">
        <v>4</v>
      </c>
      <c r="H68" s="30" t="s">
        <v>301</v>
      </c>
      <c r="I68" s="30">
        <v>42523.516504629632</v>
      </c>
      <c r="J68" s="60">
        <v>0</v>
      </c>
      <c r="K68" s="60" t="str">
        <f t="shared" si="29"/>
        <v>4023/4024</v>
      </c>
      <c r="L68" s="60" t="str">
        <f>VLOOKUP(A68,'Trips&amp;Operators'!$C$1:$E$9999,3,FALSE)</f>
        <v>MAYBERRY</v>
      </c>
      <c r="M68" s="12">
        <f t="shared" si="30"/>
        <v>2.6909722226264421E-2</v>
      </c>
      <c r="N68" s="13">
        <f t="shared" si="34"/>
        <v>38.750000005820766</v>
      </c>
      <c r="O68" s="13"/>
      <c r="P68" s="13"/>
      <c r="Q68" s="61"/>
      <c r="R68" s="61"/>
      <c r="T6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11:39:27-0600',mode:absolute,to:'2016-06-02 12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3" t="str">
        <f t="shared" ref="U68:U97" si="35">IF(Y68&lt;23,"Y","N")</f>
        <v>N</v>
      </c>
      <c r="V68" s="73">
        <f t="shared" ref="V68:V127" si="36">VALUE(LEFT(A68,3))-VALUE(LEFT(A67,3))</f>
        <v>1</v>
      </c>
      <c r="W68" s="73">
        <f t="shared" si="32"/>
        <v>4.8000000000000001E-2</v>
      </c>
      <c r="X68" s="73">
        <f t="shared" si="28"/>
        <v>23.328099999999999</v>
      </c>
      <c r="Y68" s="73">
        <f t="shared" si="33"/>
        <v>23.280100000000001</v>
      </c>
      <c r="Z68" s="74" t="e">
        <f>VLOOKUP(A68,Enforcements!$C$3:$J$39,8,0)</f>
        <v>#N/A</v>
      </c>
      <c r="AA68" s="74" t="e">
        <f>VLOOKUP(A68,Enforcements!$C$3:$J$39,3,0)</f>
        <v>#N/A</v>
      </c>
    </row>
    <row r="69" spans="1:27" s="2" customFormat="1" x14ac:dyDescent="0.25">
      <c r="A69" s="60" t="s">
        <v>302</v>
      </c>
      <c r="B69" s="60">
        <v>4023</v>
      </c>
      <c r="C69" s="60" t="s">
        <v>62</v>
      </c>
      <c r="D69" s="60" t="s">
        <v>138</v>
      </c>
      <c r="E69" s="30">
        <v>42523.519166666665</v>
      </c>
      <c r="F69" s="30">
        <v>42523.520069444443</v>
      </c>
      <c r="G69" s="38">
        <v>1</v>
      </c>
      <c r="H69" s="30" t="s">
        <v>159</v>
      </c>
      <c r="I69" s="30">
        <v>42523.559861111113</v>
      </c>
      <c r="J69" s="60">
        <v>3</v>
      </c>
      <c r="K69" s="60" t="str">
        <f t="shared" si="29"/>
        <v>4023/4024</v>
      </c>
      <c r="L69" s="60" t="str">
        <f>VLOOKUP(A69,'Trips&amp;Operators'!$C$1:$E$9999,3,FALSE)</f>
        <v>MAYBERRY</v>
      </c>
      <c r="M69" s="12">
        <f t="shared" si="30"/>
        <v>3.9791666669771075E-2</v>
      </c>
      <c r="N69" s="13">
        <f t="shared" si="34"/>
        <v>57.300000004470348</v>
      </c>
      <c r="O69" s="13"/>
      <c r="P69" s="13"/>
      <c r="Q69" s="61"/>
      <c r="R69" s="61"/>
      <c r="T6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12:26:36-0600',mode:absolute,to:'2016-06-02 13:27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9" s="73" t="str">
        <f t="shared" si="35"/>
        <v>N</v>
      </c>
      <c r="V69" s="73">
        <f t="shared" si="36"/>
        <v>1</v>
      </c>
      <c r="W69" s="73">
        <f t="shared" si="32"/>
        <v>23.298100000000002</v>
      </c>
      <c r="X69" s="73">
        <v>1.6299999999999999E-2</v>
      </c>
      <c r="Y69" s="73">
        <f t="shared" si="33"/>
        <v>23.2818</v>
      </c>
      <c r="Z69" s="74">
        <f>VLOOKUP(A69,Enforcements!$C$3:$J$39,8,0)</f>
        <v>53277</v>
      </c>
      <c r="AA69" s="74" t="str">
        <f>VLOOKUP(A69,Enforcements!$C$3:$J$39,3,0)</f>
        <v>GRADE CROSSING</v>
      </c>
    </row>
    <row r="70" spans="1:27" s="2" customFormat="1" x14ac:dyDescent="0.25">
      <c r="A70" s="60" t="s">
        <v>303</v>
      </c>
      <c r="B70" s="60">
        <v>4011</v>
      </c>
      <c r="C70" s="60" t="s">
        <v>62</v>
      </c>
      <c r="D70" s="60" t="s">
        <v>67</v>
      </c>
      <c r="E70" s="30">
        <v>42523.49422453704</v>
      </c>
      <c r="F70" s="30">
        <v>42523.495150462964</v>
      </c>
      <c r="G70" s="38">
        <v>1</v>
      </c>
      <c r="H70" s="30" t="s">
        <v>232</v>
      </c>
      <c r="I70" s="30">
        <v>42523.496527777781</v>
      </c>
      <c r="J70" s="60">
        <v>0</v>
      </c>
      <c r="K70" s="60" t="str">
        <f t="shared" si="29"/>
        <v>4011/4012</v>
      </c>
      <c r="L70" s="60" t="str">
        <f>VLOOKUP(A70,'Trips&amp;Operators'!$C$1:$E$9999,3,FALSE)</f>
        <v>ROCHA</v>
      </c>
      <c r="M70" s="12">
        <f t="shared" si="30"/>
        <v>1.377314816636499E-3</v>
      </c>
      <c r="N70" s="13"/>
      <c r="O70" s="13"/>
      <c r="P70" s="13">
        <f t="shared" si="34"/>
        <v>1.9833333359565586</v>
      </c>
      <c r="Q70" s="61"/>
      <c r="R70" s="61" t="s">
        <v>158</v>
      </c>
      <c r="T7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11:50:41-0600',mode:absolute,to:'2016-06-02 11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0" s="73" t="str">
        <f t="shared" si="35"/>
        <v>N</v>
      </c>
      <c r="V70" s="73">
        <f t="shared" si="36"/>
        <v>1</v>
      </c>
      <c r="W70" s="73">
        <f t="shared" si="32"/>
        <v>4.5100000000000001E-2</v>
      </c>
      <c r="X70" s="73">
        <f>RIGHT(H70,LEN(H70)-4)/10000</f>
        <v>23.331</v>
      </c>
      <c r="Y70" s="73">
        <f t="shared" si="33"/>
        <v>23.285899999999998</v>
      </c>
      <c r="Z70" s="74" t="e">
        <f>VLOOKUP(A70,Enforcements!$C$3:$J$39,8,0)</f>
        <v>#N/A</v>
      </c>
      <c r="AA70" s="74" t="e">
        <f>VLOOKUP(A70,Enforcements!$C$3:$J$39,3,0)</f>
        <v>#N/A</v>
      </c>
    </row>
    <row r="71" spans="1:27" s="2" customFormat="1" x14ac:dyDescent="0.25">
      <c r="A71" s="60" t="s">
        <v>304</v>
      </c>
      <c r="B71" s="60">
        <v>4012</v>
      </c>
      <c r="C71" s="60" t="s">
        <v>62</v>
      </c>
      <c r="D71" s="60" t="s">
        <v>89</v>
      </c>
      <c r="E71" s="30">
        <v>42523.531307870369</v>
      </c>
      <c r="F71" s="30">
        <v>42523.532696759263</v>
      </c>
      <c r="G71" s="38">
        <v>1</v>
      </c>
      <c r="H71" s="30" t="s">
        <v>305</v>
      </c>
      <c r="I71" s="30">
        <v>42523.564976851849</v>
      </c>
      <c r="J71" s="60">
        <v>0</v>
      </c>
      <c r="K71" s="60" t="str">
        <f t="shared" si="29"/>
        <v>4011/4012</v>
      </c>
      <c r="L71" s="60" t="str">
        <f>VLOOKUP(A71,'Trips&amp;Operators'!$C$1:$E$9999,3,FALSE)</f>
        <v>ROCHA</v>
      </c>
      <c r="M71" s="12">
        <f t="shared" si="30"/>
        <v>3.2280092586006504E-2</v>
      </c>
      <c r="N71" s="13">
        <f t="shared" si="34"/>
        <v>46.483333323849365</v>
      </c>
      <c r="O71" s="13"/>
      <c r="P71" s="13"/>
      <c r="Q71" s="61"/>
      <c r="R71" s="61"/>
      <c r="T7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12:44:05-0600',mode:absolute,to:'2016-06-02 13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1" s="73" t="str">
        <f t="shared" si="35"/>
        <v>N</v>
      </c>
      <c r="V71" s="73">
        <f t="shared" si="36"/>
        <v>1</v>
      </c>
      <c r="W71" s="73">
        <f t="shared" si="32"/>
        <v>23.297699999999999</v>
      </c>
      <c r="X71" s="73">
        <f>RIGHT(H71,LEN(H71)-4)/10000</f>
        <v>0.16750000000000001</v>
      </c>
      <c r="Y71" s="73">
        <f t="shared" si="33"/>
        <v>23.130199999999999</v>
      </c>
      <c r="Z71" s="74" t="e">
        <f>VLOOKUP(A71,Enforcements!$C$3:$J$39,8,0)</f>
        <v>#N/A</v>
      </c>
      <c r="AA71" s="74" t="e">
        <f>VLOOKUP(A71,Enforcements!$C$3:$J$39,3,0)</f>
        <v>#N/A</v>
      </c>
    </row>
    <row r="72" spans="1:27" s="2" customFormat="1" x14ac:dyDescent="0.25">
      <c r="A72" s="60" t="s">
        <v>306</v>
      </c>
      <c r="B72" s="60">
        <v>4031</v>
      </c>
      <c r="C72" s="60" t="s">
        <v>62</v>
      </c>
      <c r="D72" s="60" t="s">
        <v>307</v>
      </c>
      <c r="E72" s="30">
        <v>42523.514537037037</v>
      </c>
      <c r="F72" s="30">
        <v>42523.515729166669</v>
      </c>
      <c r="G72" s="38">
        <v>1</v>
      </c>
      <c r="H72" s="30" t="s">
        <v>107</v>
      </c>
      <c r="I72" s="30">
        <v>42523.545358796298</v>
      </c>
      <c r="J72" s="60">
        <v>0</v>
      </c>
      <c r="K72" s="60" t="str">
        <f t="shared" si="29"/>
        <v>4031/4032</v>
      </c>
      <c r="L72" s="60" t="str">
        <f>VLOOKUP(A72,'Trips&amp;Operators'!$C$1:$E$9999,3,FALSE)</f>
        <v>YOUNG</v>
      </c>
      <c r="M72" s="12">
        <f t="shared" si="30"/>
        <v>2.9629629629198462E-2</v>
      </c>
      <c r="N72" s="13">
        <f t="shared" si="34"/>
        <v>42.666666666045785</v>
      </c>
      <c r="O72" s="13"/>
      <c r="P72" s="13"/>
      <c r="Q72" s="61"/>
      <c r="R72" s="61"/>
      <c r="T7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12:19:56-0600',mode:absolute,to:'2016-06-02 13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3" t="str">
        <f t="shared" si="35"/>
        <v>N</v>
      </c>
      <c r="V72" s="73">
        <f t="shared" si="36"/>
        <v>1</v>
      </c>
      <c r="W72" s="73">
        <f t="shared" si="32"/>
        <v>5.4899999999999997E-2</v>
      </c>
      <c r="X72" s="73">
        <v>23.329799999999999</v>
      </c>
      <c r="Y72" s="73">
        <f t="shared" si="33"/>
        <v>23.274899999999999</v>
      </c>
      <c r="Z72" s="74" t="e">
        <f>VLOOKUP(A72,Enforcements!$C$3:$J$39,8,0)</f>
        <v>#N/A</v>
      </c>
      <c r="AA72" s="74" t="e">
        <f>VLOOKUP(A72,Enforcements!$C$3:$J$39,3,0)</f>
        <v>#N/A</v>
      </c>
    </row>
    <row r="73" spans="1:27" s="2" customFormat="1" x14ac:dyDescent="0.25">
      <c r="A73" s="60" t="s">
        <v>308</v>
      </c>
      <c r="B73" s="60">
        <v>4032</v>
      </c>
      <c r="C73" s="60" t="s">
        <v>62</v>
      </c>
      <c r="D73" s="60" t="s">
        <v>138</v>
      </c>
      <c r="E73" s="30">
        <v>42523.549386574072</v>
      </c>
      <c r="F73" s="30">
        <v>42523.550219907411</v>
      </c>
      <c r="G73" s="38">
        <v>1</v>
      </c>
      <c r="H73" s="30" t="s">
        <v>105</v>
      </c>
      <c r="I73" s="30">
        <v>42523.58421296296</v>
      </c>
      <c r="J73" s="60">
        <v>0</v>
      </c>
      <c r="K73" s="60" t="str">
        <f t="shared" si="29"/>
        <v>4031/4032</v>
      </c>
      <c r="L73" s="60" t="str">
        <f>VLOOKUP(A73,'Trips&amp;Operators'!$C$1:$E$9999,3,FALSE)</f>
        <v>YOUNG</v>
      </c>
      <c r="M73" s="12">
        <f t="shared" si="30"/>
        <v>3.3993055549217388E-2</v>
      </c>
      <c r="N73" s="13">
        <f t="shared" si="34"/>
        <v>48.949999990873039</v>
      </c>
      <c r="O73" s="13"/>
      <c r="P73" s="13"/>
      <c r="Q73" s="61"/>
      <c r="R73" s="61"/>
      <c r="T7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13:10:07-0600',mode:absolute,to:'2016-06-02 14:02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3" t="str">
        <f t="shared" si="35"/>
        <v>N</v>
      </c>
      <c r="V73" s="73">
        <f t="shared" si="36"/>
        <v>1</v>
      </c>
      <c r="W73" s="73">
        <f t="shared" si="32"/>
        <v>23.298100000000002</v>
      </c>
      <c r="X73" s="73">
        <f t="shared" ref="X73:X90" si="37">RIGHT(H73,LEN(H73)-4)/10000</f>
        <v>1.49E-2</v>
      </c>
      <c r="Y73" s="73">
        <f t="shared" si="33"/>
        <v>23.283200000000001</v>
      </c>
      <c r="Z73" s="74" t="e">
        <f>VLOOKUP(A73,Enforcements!$C$3:$J$39,8,0)</f>
        <v>#N/A</v>
      </c>
      <c r="AA73" s="74" t="e">
        <f>VLOOKUP(A73,Enforcements!$C$3:$J$39,3,0)</f>
        <v>#N/A</v>
      </c>
    </row>
    <row r="74" spans="1:27" s="2" customFormat="1" x14ac:dyDescent="0.25">
      <c r="A74" s="60" t="s">
        <v>309</v>
      </c>
      <c r="B74" s="60">
        <v>4042</v>
      </c>
      <c r="C74" s="60" t="s">
        <v>62</v>
      </c>
      <c r="D74" s="60" t="s">
        <v>90</v>
      </c>
      <c r="E74" s="30">
        <v>42523.520289351851</v>
      </c>
      <c r="F74" s="30">
        <v>42523.522337962961</v>
      </c>
      <c r="G74" s="38">
        <v>2</v>
      </c>
      <c r="H74" s="30" t="s">
        <v>236</v>
      </c>
      <c r="I74" s="30">
        <v>42523.552499999998</v>
      </c>
      <c r="J74" s="60">
        <v>0</v>
      </c>
      <c r="K74" s="60" t="str">
        <f t="shared" si="29"/>
        <v>4041/4042</v>
      </c>
      <c r="L74" s="60" t="str">
        <f>VLOOKUP(A74,'Trips&amp;Operators'!$C$1:$E$9999,3,FALSE)</f>
        <v>STEWART</v>
      </c>
      <c r="M74" s="12">
        <f t="shared" si="30"/>
        <v>3.0162037037371192E-2</v>
      </c>
      <c r="N74" s="13">
        <f t="shared" si="34"/>
        <v>43.433333333814517</v>
      </c>
      <c r="O74" s="13"/>
      <c r="P74" s="13"/>
      <c r="Q74" s="61"/>
      <c r="R74" s="61"/>
      <c r="T7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12:28:13-0600',mode:absolute,to:'2016-06-02 13:16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3" t="str">
        <f t="shared" si="35"/>
        <v>N</v>
      </c>
      <c r="V74" s="73">
        <f t="shared" si="36"/>
        <v>1</v>
      </c>
      <c r="W74" s="73">
        <f t="shared" si="32"/>
        <v>4.6600000000000003E-2</v>
      </c>
      <c r="X74" s="73">
        <f t="shared" si="37"/>
        <v>23.328800000000001</v>
      </c>
      <c r="Y74" s="73">
        <f t="shared" si="33"/>
        <v>23.2822</v>
      </c>
      <c r="Z74" s="74" t="e">
        <f>VLOOKUP(A74,Enforcements!$C$3:$J$39,8,0)</f>
        <v>#N/A</v>
      </c>
      <c r="AA74" s="74" t="e">
        <f>VLOOKUP(A74,Enforcements!$C$3:$J$39,3,0)</f>
        <v>#N/A</v>
      </c>
    </row>
    <row r="75" spans="1:27" s="2" customFormat="1" x14ac:dyDescent="0.25">
      <c r="A75" s="60" t="s">
        <v>310</v>
      </c>
      <c r="B75" s="60">
        <v>4041</v>
      </c>
      <c r="C75" s="60" t="s">
        <v>62</v>
      </c>
      <c r="D75" s="60" t="s">
        <v>311</v>
      </c>
      <c r="E75" s="30">
        <v>42523.55709490741</v>
      </c>
      <c r="F75" s="30">
        <v>42523.558125000003</v>
      </c>
      <c r="G75" s="38">
        <v>1</v>
      </c>
      <c r="H75" s="30" t="s">
        <v>292</v>
      </c>
      <c r="I75" s="30">
        <v>42523.559513888889</v>
      </c>
      <c r="J75" s="60">
        <v>1</v>
      </c>
      <c r="K75" s="60" t="str">
        <f t="shared" si="29"/>
        <v>4041/4042</v>
      </c>
      <c r="L75" s="60" t="str">
        <f>VLOOKUP(A75,'Trips&amp;Operators'!$C$1:$E$9999,3,FALSE)</f>
        <v>STEWART</v>
      </c>
      <c r="M75" s="12">
        <f t="shared" si="30"/>
        <v>1.3888888861401938E-3</v>
      </c>
      <c r="N75" s="13"/>
      <c r="O75" s="13"/>
      <c r="P75" s="13">
        <f t="shared" si="34"/>
        <v>1.9999999960418791</v>
      </c>
      <c r="Q75" s="61"/>
      <c r="R75" s="61" t="s">
        <v>158</v>
      </c>
      <c r="T7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13:21:13-0600',mode:absolute,to:'2016-06-02 13:26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3" t="str">
        <f t="shared" si="35"/>
        <v>N</v>
      </c>
      <c r="V75" s="73">
        <f t="shared" si="36"/>
        <v>1</v>
      </c>
      <c r="W75" s="73">
        <f t="shared" si="32"/>
        <v>23.296900000000001</v>
      </c>
      <c r="X75" s="73">
        <f t="shared" si="37"/>
        <v>1.6500000000000001E-2</v>
      </c>
      <c r="Y75" s="73">
        <f t="shared" si="33"/>
        <v>23.2804</v>
      </c>
      <c r="Z75" s="74" t="e">
        <f>VLOOKUP(A75,Enforcements!$C$3:$J$39,8,0)</f>
        <v>#N/A</v>
      </c>
      <c r="AA75" s="74" t="e">
        <f>VLOOKUP(A75,Enforcements!$C$3:$J$39,3,0)</f>
        <v>#N/A</v>
      </c>
    </row>
    <row r="76" spans="1:27" s="2" customFormat="1" x14ac:dyDescent="0.25">
      <c r="A76" s="60" t="s">
        <v>312</v>
      </c>
      <c r="B76" s="60">
        <v>4014</v>
      </c>
      <c r="C76" s="60" t="s">
        <v>62</v>
      </c>
      <c r="D76" s="60" t="s">
        <v>149</v>
      </c>
      <c r="E76" s="30">
        <v>42523.529918981483</v>
      </c>
      <c r="F76" s="30">
        <v>42523.534884259258</v>
      </c>
      <c r="G76" s="38">
        <v>7</v>
      </c>
      <c r="H76" s="30" t="s">
        <v>301</v>
      </c>
      <c r="I76" s="30">
        <v>42523.565081018518</v>
      </c>
      <c r="J76" s="60">
        <v>0</v>
      </c>
      <c r="K76" s="60" t="str">
        <f t="shared" si="29"/>
        <v>4013/4014</v>
      </c>
      <c r="L76" s="60" t="str">
        <f>VLOOKUP(A76,'Trips&amp;Operators'!$C$1:$E$9999,3,FALSE)</f>
        <v>BARTLETT</v>
      </c>
      <c r="M76" s="12">
        <f t="shared" si="30"/>
        <v>3.0196759260434192E-2</v>
      </c>
      <c r="N76" s="13">
        <f t="shared" si="34"/>
        <v>43.483333335025236</v>
      </c>
      <c r="O76" s="13"/>
      <c r="P76" s="13"/>
      <c r="Q76" s="61"/>
      <c r="R76" s="61"/>
      <c r="T7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12:42:05-0600',mode:absolute,to:'2016-06-02 13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35"/>
        <v>N</v>
      </c>
      <c r="V76" s="73">
        <f t="shared" si="36"/>
        <v>1</v>
      </c>
      <c r="W76" s="73">
        <f t="shared" si="32"/>
        <v>4.6699999999999998E-2</v>
      </c>
      <c r="X76" s="73">
        <f t="shared" si="37"/>
        <v>23.328099999999999</v>
      </c>
      <c r="Y76" s="73">
        <f t="shared" si="33"/>
        <v>23.281399999999998</v>
      </c>
      <c r="Z76" s="74" t="e">
        <f>VLOOKUP(A76,Enforcements!$C$3:$J$39,8,0)</f>
        <v>#N/A</v>
      </c>
      <c r="AA76" s="74" t="e">
        <f>VLOOKUP(A76,Enforcements!$C$3:$J$39,3,0)</f>
        <v>#N/A</v>
      </c>
    </row>
    <row r="77" spans="1:27" s="2" customFormat="1" x14ac:dyDescent="0.25">
      <c r="A77" s="60" t="s">
        <v>313</v>
      </c>
      <c r="B77" s="60">
        <v>4013</v>
      </c>
      <c r="C77" s="60" t="s">
        <v>62</v>
      </c>
      <c r="D77" s="60" t="s">
        <v>314</v>
      </c>
      <c r="E77" s="30">
        <v>42523.567789351851</v>
      </c>
      <c r="F77" s="30">
        <v>42523.569733796299</v>
      </c>
      <c r="G77" s="38">
        <v>2</v>
      </c>
      <c r="H77" s="30" t="s">
        <v>164</v>
      </c>
      <c r="I77" s="30">
        <v>42523.600243055553</v>
      </c>
      <c r="J77" s="60">
        <v>0</v>
      </c>
      <c r="K77" s="60" t="str">
        <f t="shared" si="29"/>
        <v>4013/4014</v>
      </c>
      <c r="L77" s="60" t="str">
        <f>VLOOKUP(A77,'Trips&amp;Operators'!$C$1:$E$9999,3,FALSE)</f>
        <v>BARTLETT</v>
      </c>
      <c r="M77" s="12">
        <f t="shared" si="30"/>
        <v>3.0509259253449272E-2</v>
      </c>
      <c r="N77" s="13">
        <f t="shared" si="34"/>
        <v>43.933333324966952</v>
      </c>
      <c r="O77" s="13"/>
      <c r="P77" s="13"/>
      <c r="Q77" s="61"/>
      <c r="R77" s="61"/>
      <c r="T7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13:36:37-0600',mode:absolute,to:'2016-06-02 14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35"/>
        <v>N</v>
      </c>
      <c r="V77" s="73">
        <f t="shared" si="36"/>
        <v>1</v>
      </c>
      <c r="W77" s="73">
        <f t="shared" si="32"/>
        <v>23.296800000000001</v>
      </c>
      <c r="X77" s="73">
        <f t="shared" si="37"/>
        <v>1.7000000000000001E-2</v>
      </c>
      <c r="Y77" s="73">
        <f t="shared" si="33"/>
        <v>23.279800000000002</v>
      </c>
      <c r="Z77" s="74" t="e">
        <f>VLOOKUP(A77,Enforcements!$C$3:$J$39,8,0)</f>
        <v>#N/A</v>
      </c>
      <c r="AA77" s="74" t="e">
        <f>VLOOKUP(A77,Enforcements!$C$3:$J$39,3,0)</f>
        <v>#N/A</v>
      </c>
    </row>
    <row r="78" spans="1:27" s="2" customFormat="1" x14ac:dyDescent="0.25">
      <c r="A78" s="60" t="s">
        <v>315</v>
      </c>
      <c r="B78" s="60">
        <v>4027</v>
      </c>
      <c r="C78" s="60" t="s">
        <v>62</v>
      </c>
      <c r="D78" s="60" t="s">
        <v>146</v>
      </c>
      <c r="E78" s="30">
        <v>42523.543171296296</v>
      </c>
      <c r="F78" s="30">
        <v>42523.544085648151</v>
      </c>
      <c r="G78" s="38">
        <v>1</v>
      </c>
      <c r="H78" s="30" t="s">
        <v>100</v>
      </c>
      <c r="I78" s="30">
        <v>42523.572523148148</v>
      </c>
      <c r="J78" s="60">
        <v>0</v>
      </c>
      <c r="K78" s="60" t="str">
        <f t="shared" si="29"/>
        <v>4027/4028</v>
      </c>
      <c r="L78" s="60" t="str">
        <f>VLOOKUP(A78,'Trips&amp;Operators'!$C$1:$E$9999,3,FALSE)</f>
        <v>SPECTOR</v>
      </c>
      <c r="M78" s="12">
        <f t="shared" si="30"/>
        <v>2.8437499997380655E-2</v>
      </c>
      <c r="N78" s="13">
        <f t="shared" si="34"/>
        <v>40.949999996228144</v>
      </c>
      <c r="O78" s="13"/>
      <c r="P78" s="13"/>
      <c r="Q78" s="61"/>
      <c r="R78" s="61"/>
      <c r="T7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13:01:10-0600',mode:absolute,to:'2016-06-02 13:45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8" s="73" t="str">
        <f t="shared" si="35"/>
        <v>N</v>
      </c>
      <c r="V78" s="73">
        <f t="shared" si="36"/>
        <v>1</v>
      </c>
      <c r="W78" s="73">
        <f t="shared" si="32"/>
        <v>4.4900000000000002E-2</v>
      </c>
      <c r="X78" s="73">
        <f t="shared" si="37"/>
        <v>23.331199999999999</v>
      </c>
      <c r="Y78" s="73">
        <f t="shared" si="33"/>
        <v>23.286300000000001</v>
      </c>
      <c r="Z78" s="74" t="e">
        <f>VLOOKUP(A78,Enforcements!$C$3:$J$39,8,0)</f>
        <v>#N/A</v>
      </c>
      <c r="AA78" s="74" t="e">
        <f>VLOOKUP(A78,Enforcements!$C$3:$J$39,3,0)</f>
        <v>#N/A</v>
      </c>
    </row>
    <row r="79" spans="1:27" s="2" customFormat="1" x14ac:dyDescent="0.25">
      <c r="A79" s="60" t="s">
        <v>316</v>
      </c>
      <c r="B79" s="60">
        <v>4028</v>
      </c>
      <c r="C79" s="60" t="s">
        <v>62</v>
      </c>
      <c r="D79" s="60" t="s">
        <v>174</v>
      </c>
      <c r="E79" s="30">
        <v>42523.575104166666</v>
      </c>
      <c r="F79" s="30">
        <v>42523.575972222221</v>
      </c>
      <c r="G79" s="38">
        <v>1</v>
      </c>
      <c r="H79" s="30" t="s">
        <v>132</v>
      </c>
      <c r="I79" s="30">
        <v>42523.609756944446</v>
      </c>
      <c r="J79" s="60">
        <v>0</v>
      </c>
      <c r="K79" s="60" t="str">
        <f t="shared" si="29"/>
        <v>4027/4028</v>
      </c>
      <c r="L79" s="60" t="str">
        <f>VLOOKUP(A79,'Trips&amp;Operators'!$C$1:$E$9999,3,FALSE)</f>
        <v>SPECTOR</v>
      </c>
      <c r="M79" s="12">
        <f t="shared" si="30"/>
        <v>3.3784722225391306E-2</v>
      </c>
      <c r="N79" s="13">
        <f t="shared" si="34"/>
        <v>48.650000004563481</v>
      </c>
      <c r="O79" s="13"/>
      <c r="P79" s="13"/>
      <c r="Q79" s="61"/>
      <c r="R79" s="61"/>
      <c r="T7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13:47:09-0600',mode:absolute,to:'2016-06-02 14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9" s="73" t="str">
        <f t="shared" si="35"/>
        <v>N</v>
      </c>
      <c r="V79" s="73">
        <f t="shared" si="36"/>
        <v>1</v>
      </c>
      <c r="W79" s="73">
        <f t="shared" si="32"/>
        <v>23.3003</v>
      </c>
      <c r="X79" s="73">
        <f t="shared" si="37"/>
        <v>1.29E-2</v>
      </c>
      <c r="Y79" s="73">
        <f t="shared" si="33"/>
        <v>23.287400000000002</v>
      </c>
      <c r="Z79" s="74" t="e">
        <f>VLOOKUP(A79,Enforcements!$C$3:$J$39,8,0)</f>
        <v>#N/A</v>
      </c>
      <c r="AA79" s="74" t="e">
        <f>VLOOKUP(A79,Enforcements!$C$3:$J$39,3,0)</f>
        <v>#N/A</v>
      </c>
    </row>
    <row r="80" spans="1:27" s="2" customFormat="1" x14ac:dyDescent="0.25">
      <c r="A80" s="60" t="s">
        <v>317</v>
      </c>
      <c r="B80" s="60">
        <v>4025</v>
      </c>
      <c r="C80" s="60" t="s">
        <v>62</v>
      </c>
      <c r="D80" s="60" t="s">
        <v>259</v>
      </c>
      <c r="E80" s="30">
        <v>42523.556215277778</v>
      </c>
      <c r="F80" s="30">
        <v>42523.557349537034</v>
      </c>
      <c r="G80" s="38">
        <v>1</v>
      </c>
      <c r="H80" s="30" t="s">
        <v>88</v>
      </c>
      <c r="I80" s="30">
        <v>42523.585416666669</v>
      </c>
      <c r="J80" s="60">
        <v>0</v>
      </c>
      <c r="K80" s="60" t="str">
        <f t="shared" si="29"/>
        <v>4025/4026</v>
      </c>
      <c r="L80" s="60" t="str">
        <f>VLOOKUP(A80,'Trips&amp;Operators'!$C$1:$E$9999,3,FALSE)</f>
        <v>LOZA</v>
      </c>
      <c r="M80" s="12">
        <f t="shared" si="30"/>
        <v>2.8067129635019228E-2</v>
      </c>
      <c r="N80" s="13">
        <f t="shared" si="34"/>
        <v>40.416666674427688</v>
      </c>
      <c r="O80" s="13"/>
      <c r="P80" s="13"/>
      <c r="Q80" s="61"/>
      <c r="R80" s="61"/>
      <c r="T8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13:19:57-0600',mode:absolute,to:'2016-06-02 14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0" s="73" t="str">
        <f t="shared" si="35"/>
        <v>N</v>
      </c>
      <c r="V80" s="73">
        <f t="shared" si="36"/>
        <v>1</v>
      </c>
      <c r="W80" s="73">
        <f t="shared" si="32"/>
        <v>4.3099999999999999E-2</v>
      </c>
      <c r="X80" s="73">
        <f t="shared" si="37"/>
        <v>23.331399999999999</v>
      </c>
      <c r="Y80" s="73">
        <f t="shared" si="33"/>
        <v>23.2883</v>
      </c>
      <c r="Z80" s="74" t="e">
        <f>VLOOKUP(A80,Enforcements!$C$3:$J$39,8,0)</f>
        <v>#N/A</v>
      </c>
      <c r="AA80" s="74" t="e">
        <f>VLOOKUP(A80,Enforcements!$C$3:$J$39,3,0)</f>
        <v>#N/A</v>
      </c>
    </row>
    <row r="81" spans="1:27" s="2" customFormat="1" x14ac:dyDescent="0.25">
      <c r="A81" s="60" t="s">
        <v>318</v>
      </c>
      <c r="B81" s="60">
        <v>4026</v>
      </c>
      <c r="C81" s="60" t="s">
        <v>62</v>
      </c>
      <c r="D81" s="60" t="s">
        <v>319</v>
      </c>
      <c r="E81" s="30">
        <v>42523.58934027778</v>
      </c>
      <c r="F81" s="30">
        <v>42523.590162037035</v>
      </c>
      <c r="G81" s="38">
        <v>1</v>
      </c>
      <c r="H81" s="30" t="s">
        <v>98</v>
      </c>
      <c r="I81" s="30">
        <v>42523.620393518519</v>
      </c>
      <c r="J81" s="60">
        <v>0</v>
      </c>
      <c r="K81" s="60" t="str">
        <f t="shared" si="29"/>
        <v>4025/4026</v>
      </c>
      <c r="L81" s="60" t="str">
        <f>VLOOKUP(A81,'Trips&amp;Operators'!$C$1:$E$9999,3,FALSE)</f>
        <v>LOZA</v>
      </c>
      <c r="M81" s="12">
        <f t="shared" si="30"/>
        <v>3.0231481483497191E-2</v>
      </c>
      <c r="N81" s="13">
        <f t="shared" si="34"/>
        <v>43.533333336235955</v>
      </c>
      <c r="O81" s="13"/>
      <c r="P81" s="13"/>
      <c r="Q81" s="61"/>
      <c r="R81" s="61"/>
      <c r="T8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14:07:39-0600',mode:absolute,to:'2016-06-02 14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3" t="str">
        <f t="shared" si="35"/>
        <v>N</v>
      </c>
      <c r="V81" s="73">
        <f t="shared" si="36"/>
        <v>1</v>
      </c>
      <c r="W81" s="73">
        <f t="shared" si="32"/>
        <v>23.300599999999999</v>
      </c>
      <c r="X81" s="73">
        <f t="shared" si="37"/>
        <v>1.3899999999999999E-2</v>
      </c>
      <c r="Y81" s="73">
        <f t="shared" si="33"/>
        <v>23.2867</v>
      </c>
      <c r="Z81" s="74" t="e">
        <f>VLOOKUP(A81,Enforcements!$C$3:$J$39,8,0)</f>
        <v>#N/A</v>
      </c>
      <c r="AA81" s="74" t="e">
        <f>VLOOKUP(A81,Enforcements!$C$3:$J$39,3,0)</f>
        <v>#N/A</v>
      </c>
    </row>
    <row r="82" spans="1:27" s="2" customFormat="1" x14ac:dyDescent="0.25">
      <c r="A82" s="60" t="s">
        <v>320</v>
      </c>
      <c r="B82" s="60">
        <v>4024</v>
      </c>
      <c r="C82" s="60" t="s">
        <v>62</v>
      </c>
      <c r="D82" s="60" t="s">
        <v>321</v>
      </c>
      <c r="E82" s="30">
        <v>42523.561018518521</v>
      </c>
      <c r="F82" s="30">
        <v>42523.561886574076</v>
      </c>
      <c r="G82" s="38">
        <v>1</v>
      </c>
      <c r="H82" s="30" t="s">
        <v>87</v>
      </c>
      <c r="I82" s="30">
        <v>42523.594293981485</v>
      </c>
      <c r="J82" s="60">
        <v>0</v>
      </c>
      <c r="K82" s="60" t="str">
        <f t="shared" si="29"/>
        <v>4023/4024</v>
      </c>
      <c r="L82" s="60" t="str">
        <f>VLOOKUP(A82,'Trips&amp;Operators'!$C$1:$E$9999,3,FALSE)</f>
        <v>MAYBERRY</v>
      </c>
      <c r="M82" s="12">
        <f t="shared" si="30"/>
        <v>3.2407407408754807E-2</v>
      </c>
      <c r="N82" s="13">
        <f t="shared" si="34"/>
        <v>46.666666668606922</v>
      </c>
      <c r="O82" s="13"/>
      <c r="P82" s="13"/>
      <c r="Q82" s="61"/>
      <c r="R82" s="61"/>
      <c r="T8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13:26:52-0600',mode:absolute,to:'2016-06-02 14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3" t="str">
        <f t="shared" si="35"/>
        <v>N</v>
      </c>
      <c r="V82" s="73">
        <f t="shared" si="36"/>
        <v>1</v>
      </c>
      <c r="W82" s="73">
        <f t="shared" si="32"/>
        <v>6.4199999999999993E-2</v>
      </c>
      <c r="X82" s="73">
        <f t="shared" si="37"/>
        <v>23.3293</v>
      </c>
      <c r="Y82" s="73">
        <f t="shared" si="33"/>
        <v>23.2651</v>
      </c>
      <c r="Z82" s="74" t="e">
        <f>VLOOKUP(A82,Enforcements!$C$3:$J$39,8,0)</f>
        <v>#N/A</v>
      </c>
      <c r="AA82" s="74" t="e">
        <f>VLOOKUP(A82,Enforcements!$C$3:$J$39,3,0)</f>
        <v>#N/A</v>
      </c>
    </row>
    <row r="83" spans="1:27" s="2" customFormat="1" x14ac:dyDescent="0.25">
      <c r="A83" s="60" t="s">
        <v>322</v>
      </c>
      <c r="B83" s="60">
        <v>4023</v>
      </c>
      <c r="C83" s="60" t="s">
        <v>62</v>
      </c>
      <c r="D83" s="60" t="s">
        <v>311</v>
      </c>
      <c r="E83" s="30">
        <v>42523.596967592595</v>
      </c>
      <c r="F83" s="30">
        <v>42523.597905092596</v>
      </c>
      <c r="G83" s="38">
        <v>1</v>
      </c>
      <c r="H83" s="30" t="s">
        <v>104</v>
      </c>
      <c r="I83" s="30">
        <v>42523.628599537034</v>
      </c>
      <c r="J83" s="60">
        <v>0</v>
      </c>
      <c r="K83" s="60" t="str">
        <f t="shared" si="29"/>
        <v>4023/4024</v>
      </c>
      <c r="L83" s="60" t="str">
        <f>VLOOKUP(A83,'Trips&amp;Operators'!$C$1:$E$9999,3,FALSE)</f>
        <v>MAYBERRY</v>
      </c>
      <c r="M83" s="12">
        <f t="shared" si="30"/>
        <v>3.0694444438267965E-2</v>
      </c>
      <c r="N83" s="13">
        <f t="shared" si="34"/>
        <v>44.199999991105869</v>
      </c>
      <c r="O83" s="13"/>
      <c r="P83" s="13"/>
      <c r="Q83" s="61"/>
      <c r="R83" s="61"/>
      <c r="T8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14:18:38-0600',mode:absolute,to:'2016-06-02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3" t="str">
        <f t="shared" si="35"/>
        <v>N</v>
      </c>
      <c r="V83" s="73">
        <f t="shared" si="36"/>
        <v>1</v>
      </c>
      <c r="W83" s="73">
        <f t="shared" si="32"/>
        <v>23.296900000000001</v>
      </c>
      <c r="X83" s="73">
        <f t="shared" si="37"/>
        <v>1.5599999999999999E-2</v>
      </c>
      <c r="Y83" s="73">
        <f t="shared" si="33"/>
        <v>23.281300000000002</v>
      </c>
      <c r="Z83" s="74" t="e">
        <f>VLOOKUP(A83,Enforcements!$C$3:$J$39,8,0)</f>
        <v>#N/A</v>
      </c>
      <c r="AA83" s="74" t="e">
        <f>VLOOKUP(A83,Enforcements!$C$3:$J$39,3,0)</f>
        <v>#N/A</v>
      </c>
    </row>
    <row r="84" spans="1:27" s="2" customFormat="1" x14ac:dyDescent="0.25">
      <c r="A84" s="60" t="s">
        <v>323</v>
      </c>
      <c r="B84" s="60">
        <v>4007</v>
      </c>
      <c r="C84" s="60" t="s">
        <v>62</v>
      </c>
      <c r="D84" s="60" t="s">
        <v>324</v>
      </c>
      <c r="E84" s="30">
        <v>42523.571134259262</v>
      </c>
      <c r="F84" s="30">
        <v>42523.572210648148</v>
      </c>
      <c r="G84" s="38">
        <v>1</v>
      </c>
      <c r="H84" s="30" t="s">
        <v>107</v>
      </c>
      <c r="I84" s="30">
        <v>42523.598703703705</v>
      </c>
      <c r="J84" s="60">
        <v>0</v>
      </c>
      <c r="K84" s="60" t="str">
        <f t="shared" si="29"/>
        <v>4007/4008</v>
      </c>
      <c r="L84" s="60" t="str">
        <f>VLOOKUP(A84,'Trips&amp;Operators'!$C$1:$E$9999,3,FALSE)</f>
        <v>ROCHA</v>
      </c>
      <c r="M84" s="12">
        <f t="shared" si="30"/>
        <v>2.6493055556784384E-2</v>
      </c>
      <c r="N84" s="13">
        <f t="shared" si="34"/>
        <v>38.150000001769513</v>
      </c>
      <c r="O84" s="13"/>
      <c r="P84" s="13"/>
      <c r="Q84" s="61"/>
      <c r="R84" s="61"/>
      <c r="T8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13:41:26-0600',mode:absolute,to:'2016-06-02 14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4" s="73" t="str">
        <f t="shared" si="35"/>
        <v>N</v>
      </c>
      <c r="V84" s="73">
        <f t="shared" si="36"/>
        <v>1</v>
      </c>
      <c r="W84" s="73">
        <f t="shared" si="32"/>
        <v>3.1300000000000001E-2</v>
      </c>
      <c r="X84" s="73">
        <f t="shared" si="37"/>
        <v>23.329699999999999</v>
      </c>
      <c r="Y84" s="73">
        <f t="shared" si="33"/>
        <v>23.298399999999997</v>
      </c>
      <c r="Z84" s="74" t="e">
        <f>VLOOKUP(A84,Enforcements!$C$3:$J$39,8,0)</f>
        <v>#N/A</v>
      </c>
      <c r="AA84" s="74" t="e">
        <f>VLOOKUP(A84,Enforcements!$C$3:$J$39,3,0)</f>
        <v>#N/A</v>
      </c>
    </row>
    <row r="85" spans="1:27" s="2" customFormat="1" x14ac:dyDescent="0.25">
      <c r="A85" s="60" t="s">
        <v>325</v>
      </c>
      <c r="B85" s="60">
        <v>4008</v>
      </c>
      <c r="C85" s="60" t="s">
        <v>62</v>
      </c>
      <c r="D85" s="60" t="s">
        <v>326</v>
      </c>
      <c r="E85" s="30">
        <v>42523.60974537037</v>
      </c>
      <c r="F85" s="30">
        <v>42523.611458333333</v>
      </c>
      <c r="G85" s="38">
        <v>2</v>
      </c>
      <c r="H85" s="30" t="s">
        <v>77</v>
      </c>
      <c r="I85" s="30">
        <v>42523.638287037036</v>
      </c>
      <c r="J85" s="60">
        <v>0</v>
      </c>
      <c r="K85" s="60" t="str">
        <f t="shared" si="29"/>
        <v>4007/4008</v>
      </c>
      <c r="L85" s="60" t="str">
        <f>VLOOKUP(A85,'Trips&amp;Operators'!$C$1:$E$9999,3,FALSE)</f>
        <v>ROCHA</v>
      </c>
      <c r="M85" s="12">
        <f t="shared" si="30"/>
        <v>2.6828703703358769E-2</v>
      </c>
      <c r="N85" s="13">
        <f t="shared" si="34"/>
        <v>38.633333332836628</v>
      </c>
      <c r="O85" s="13"/>
      <c r="P85" s="13"/>
      <c r="Q85" s="61"/>
      <c r="R85" s="61"/>
      <c r="T8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14:37:02-0600',mode:absolute,to:'2016-06-02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5" s="73" t="str">
        <f t="shared" si="35"/>
        <v>N</v>
      </c>
      <c r="V85" s="73">
        <f t="shared" si="36"/>
        <v>1</v>
      </c>
      <c r="W85" s="73">
        <f t="shared" si="32"/>
        <v>23.297899999999998</v>
      </c>
      <c r="X85" s="73">
        <f t="shared" si="37"/>
        <v>1.47E-2</v>
      </c>
      <c r="Y85" s="73">
        <f t="shared" si="33"/>
        <v>23.283199999999997</v>
      </c>
      <c r="Z85" s="74" t="e">
        <f>VLOOKUP(A85,Enforcements!$C$3:$J$39,8,0)</f>
        <v>#N/A</v>
      </c>
      <c r="AA85" s="74" t="e">
        <f>VLOOKUP(A85,Enforcements!$C$3:$J$39,3,0)</f>
        <v>#N/A</v>
      </c>
    </row>
    <row r="86" spans="1:27" s="2" customFormat="1" x14ac:dyDescent="0.25">
      <c r="A86" s="60" t="s">
        <v>327</v>
      </c>
      <c r="B86" s="60">
        <v>4031</v>
      </c>
      <c r="C86" s="60" t="s">
        <v>62</v>
      </c>
      <c r="D86" s="60" t="s">
        <v>66</v>
      </c>
      <c r="E86" s="30">
        <v>42523.585694444446</v>
      </c>
      <c r="F86" s="30">
        <v>42523.586678240739</v>
      </c>
      <c r="G86" s="38">
        <v>1</v>
      </c>
      <c r="H86" s="30" t="s">
        <v>181</v>
      </c>
      <c r="I86" s="30">
        <v>42523.6171875</v>
      </c>
      <c r="J86" s="60">
        <v>0</v>
      </c>
      <c r="K86" s="60" t="str">
        <f t="shared" si="29"/>
        <v>4031/4032</v>
      </c>
      <c r="L86" s="60" t="str">
        <f>VLOOKUP(A86,'Trips&amp;Operators'!$C$1:$E$9999,3,FALSE)</f>
        <v>YOUNG</v>
      </c>
      <c r="M86" s="12">
        <f t="shared" si="30"/>
        <v>3.050925926072523E-2</v>
      </c>
      <c r="N86" s="13">
        <f t="shared" si="34"/>
        <v>43.933333335444331</v>
      </c>
      <c r="O86" s="13"/>
      <c r="P86" s="13"/>
      <c r="Q86" s="61"/>
      <c r="R86" s="61"/>
      <c r="T8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14:02:24-0600',mode:absolute,to:'2016-06-02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3" t="str">
        <f t="shared" si="35"/>
        <v>N</v>
      </c>
      <c r="V86" s="73">
        <f t="shared" si="36"/>
        <v>1</v>
      </c>
      <c r="W86" s="73">
        <f t="shared" si="32"/>
        <v>4.5499999999999999E-2</v>
      </c>
      <c r="X86" s="73">
        <f t="shared" si="37"/>
        <v>23.328199999999999</v>
      </c>
      <c r="Y86" s="73">
        <f t="shared" si="33"/>
        <v>23.282699999999998</v>
      </c>
      <c r="Z86" s="74" t="e">
        <f>VLOOKUP(A86,Enforcements!$C$3:$J$39,8,0)</f>
        <v>#N/A</v>
      </c>
      <c r="AA86" s="74" t="e">
        <f>VLOOKUP(A86,Enforcements!$C$3:$J$39,3,0)</f>
        <v>#N/A</v>
      </c>
    </row>
    <row r="87" spans="1:27" s="2" customFormat="1" x14ac:dyDescent="0.25">
      <c r="A87" s="60" t="s">
        <v>328</v>
      </c>
      <c r="B87" s="60">
        <v>4032</v>
      </c>
      <c r="C87" s="60" t="s">
        <v>62</v>
      </c>
      <c r="D87" s="60" t="s">
        <v>257</v>
      </c>
      <c r="E87" s="30">
        <v>42523.620752314811</v>
      </c>
      <c r="F87" s="30">
        <v>42523.621608796297</v>
      </c>
      <c r="G87" s="38">
        <v>1</v>
      </c>
      <c r="H87" s="30" t="s">
        <v>114</v>
      </c>
      <c r="I87" s="30">
        <v>42523.653217592589</v>
      </c>
      <c r="J87" s="60">
        <v>0</v>
      </c>
      <c r="K87" s="60" t="str">
        <f t="shared" si="29"/>
        <v>4031/4032</v>
      </c>
      <c r="L87" s="60" t="str">
        <f>VLOOKUP(A87,'Trips&amp;Operators'!$C$1:$E$9999,3,FALSE)</f>
        <v>YOUNG</v>
      </c>
      <c r="M87" s="12">
        <f t="shared" si="30"/>
        <v>3.1608796292857733E-2</v>
      </c>
      <c r="N87" s="13">
        <f t="shared" si="34"/>
        <v>45.516666661715135</v>
      </c>
      <c r="O87" s="13"/>
      <c r="P87" s="13"/>
      <c r="Q87" s="61"/>
      <c r="R87" s="61"/>
      <c r="T8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14:52:53-0600',mode:absolute,to:'2016-06-02 15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3" t="str">
        <f t="shared" si="35"/>
        <v>N</v>
      </c>
      <c r="V87" s="73">
        <f t="shared" si="36"/>
        <v>1</v>
      </c>
      <c r="W87" s="73">
        <f t="shared" si="32"/>
        <v>23.2988</v>
      </c>
      <c r="X87" s="73">
        <f t="shared" si="37"/>
        <v>1.38E-2</v>
      </c>
      <c r="Y87" s="73">
        <f t="shared" si="33"/>
        <v>23.285</v>
      </c>
      <c r="Z87" s="74" t="e">
        <f>VLOOKUP(A87,Enforcements!$C$3:$J$39,8,0)</f>
        <v>#N/A</v>
      </c>
      <c r="AA87" s="74" t="e">
        <f>VLOOKUP(A87,Enforcements!$C$3:$J$39,3,0)</f>
        <v>#N/A</v>
      </c>
    </row>
    <row r="88" spans="1:27" s="2" customFormat="1" x14ac:dyDescent="0.25">
      <c r="A88" s="60" t="s">
        <v>329</v>
      </c>
      <c r="B88" s="60">
        <v>4011</v>
      </c>
      <c r="C88" s="60" t="s">
        <v>62</v>
      </c>
      <c r="D88" s="60" t="s">
        <v>330</v>
      </c>
      <c r="E88" s="30">
        <v>42523.598599537036</v>
      </c>
      <c r="F88" s="30">
        <v>42523.599849537037</v>
      </c>
      <c r="G88" s="38">
        <v>1</v>
      </c>
      <c r="H88" s="30" t="s">
        <v>232</v>
      </c>
      <c r="I88" s="30">
        <v>42523.627800925926</v>
      </c>
      <c r="J88" s="60">
        <v>0</v>
      </c>
      <c r="K88" s="60" t="str">
        <f t="shared" si="29"/>
        <v>4011/4012</v>
      </c>
      <c r="L88" s="60" t="str">
        <f>VLOOKUP(A88,'Trips&amp;Operators'!$C$1:$E$9999,3,FALSE)</f>
        <v>STEWART</v>
      </c>
      <c r="M88" s="12">
        <f t="shared" si="30"/>
        <v>2.7951388889050577E-2</v>
      </c>
      <c r="N88" s="13">
        <f t="shared" si="34"/>
        <v>40.250000000232831</v>
      </c>
      <c r="O88" s="13"/>
      <c r="P88" s="13"/>
      <c r="Q88" s="61"/>
      <c r="R88" s="61"/>
      <c r="T8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14:20:59-0600',mode:absolute,to:'2016-06-02 15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8" s="73" t="str">
        <f t="shared" si="35"/>
        <v>N</v>
      </c>
      <c r="V88" s="73">
        <f t="shared" si="36"/>
        <v>1</v>
      </c>
      <c r="W88" s="73">
        <f t="shared" si="32"/>
        <v>3.2000000000000001E-2</v>
      </c>
      <c r="X88" s="73">
        <f t="shared" si="37"/>
        <v>23.331</v>
      </c>
      <c r="Y88" s="73">
        <f t="shared" si="33"/>
        <v>23.298999999999999</v>
      </c>
      <c r="Z88" s="74" t="e">
        <f>VLOOKUP(A88,Enforcements!$C$3:$J$39,8,0)</f>
        <v>#N/A</v>
      </c>
      <c r="AA88" s="74" t="e">
        <f>VLOOKUP(A88,Enforcements!$C$3:$J$39,3,0)</f>
        <v>#N/A</v>
      </c>
    </row>
    <row r="89" spans="1:27" s="2" customFormat="1" x14ac:dyDescent="0.25">
      <c r="A89" s="60" t="s">
        <v>331</v>
      </c>
      <c r="B89" s="60">
        <v>4012</v>
      </c>
      <c r="C89" s="60" t="s">
        <v>62</v>
      </c>
      <c r="D89" s="60" t="s">
        <v>332</v>
      </c>
      <c r="E89" s="30">
        <v>42523.629733796297</v>
      </c>
      <c r="F89" s="30">
        <v>42523.631377314814</v>
      </c>
      <c r="G89" s="38">
        <v>2</v>
      </c>
      <c r="H89" s="30" t="s">
        <v>132</v>
      </c>
      <c r="I89" s="30">
        <v>42523.661458333336</v>
      </c>
      <c r="J89" s="60">
        <v>0</v>
      </c>
      <c r="K89" s="60" t="str">
        <f t="shared" si="29"/>
        <v>4011/4012</v>
      </c>
      <c r="L89" s="60" t="str">
        <f>VLOOKUP(A89,'Trips&amp;Operators'!$C$1:$E$9999,3,FALSE)</f>
        <v>STEWART</v>
      </c>
      <c r="M89" s="12">
        <f t="shared" si="30"/>
        <v>3.0081018521741498E-2</v>
      </c>
      <c r="N89" s="13">
        <f t="shared" si="34"/>
        <v>43.316666671307757</v>
      </c>
      <c r="O89" s="13"/>
      <c r="P89" s="13"/>
      <c r="Q89" s="61"/>
      <c r="R89" s="61"/>
      <c r="T8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15:05:49-0600',mode:absolute,to:'2016-06-02 15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9" s="73" t="str">
        <f t="shared" si="35"/>
        <v>N</v>
      </c>
      <c r="V89" s="73">
        <f t="shared" si="36"/>
        <v>1</v>
      </c>
      <c r="W89" s="73">
        <f t="shared" si="32"/>
        <v>23.2989</v>
      </c>
      <c r="X89" s="73">
        <f t="shared" si="37"/>
        <v>1.29E-2</v>
      </c>
      <c r="Y89" s="73">
        <f t="shared" si="33"/>
        <v>23.286000000000001</v>
      </c>
      <c r="Z89" s="74" t="e">
        <f>VLOOKUP(A89,Enforcements!$C$3:$J$39,8,0)</f>
        <v>#N/A</v>
      </c>
      <c r="AA89" s="74" t="e">
        <f>VLOOKUP(A89,Enforcements!$C$3:$J$39,3,0)</f>
        <v>#N/A</v>
      </c>
    </row>
    <row r="90" spans="1:27" s="2" customFormat="1" x14ac:dyDescent="0.25">
      <c r="A90" s="60" t="s">
        <v>333</v>
      </c>
      <c r="B90" s="60">
        <v>4014</v>
      </c>
      <c r="C90" s="60" t="s">
        <v>62</v>
      </c>
      <c r="D90" s="60" t="s">
        <v>149</v>
      </c>
      <c r="E90" s="30">
        <v>42523.601655092592</v>
      </c>
      <c r="F90" s="30">
        <v>42523.604305555556</v>
      </c>
      <c r="G90" s="38">
        <v>3</v>
      </c>
      <c r="H90" s="30" t="s">
        <v>334</v>
      </c>
      <c r="I90" s="30">
        <v>42523.637013888889</v>
      </c>
      <c r="J90" s="60">
        <v>1</v>
      </c>
      <c r="K90" s="60" t="str">
        <f t="shared" si="29"/>
        <v>4013/4014</v>
      </c>
      <c r="L90" s="60" t="str">
        <f>VLOOKUP(A90,'Trips&amp;Operators'!$C$1:$E$9999,3,FALSE)</f>
        <v>BARTLETT</v>
      </c>
      <c r="M90" s="12">
        <f t="shared" si="30"/>
        <v>3.2708333332266193E-2</v>
      </c>
      <c r="N90" s="13">
        <f t="shared" si="34"/>
        <v>47.099999998463318</v>
      </c>
      <c r="O90" s="13"/>
      <c r="P90" s="13"/>
      <c r="Q90" s="61"/>
      <c r="R90" s="61"/>
      <c r="T9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14:25:23-0600',mode:absolute,to:'2016-06-02 15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35"/>
        <v>N</v>
      </c>
      <c r="V90" s="73">
        <f t="shared" si="36"/>
        <v>1</v>
      </c>
      <c r="W90" s="73">
        <f t="shared" si="32"/>
        <v>4.6699999999999998E-2</v>
      </c>
      <c r="X90" s="73">
        <f t="shared" si="37"/>
        <v>23.325099999999999</v>
      </c>
      <c r="Y90" s="73">
        <f t="shared" si="33"/>
        <v>23.278399999999998</v>
      </c>
      <c r="Z90" s="74">
        <f>VLOOKUP(A90,Enforcements!$C$3:$J$39,8,0)</f>
        <v>4677</v>
      </c>
      <c r="AA90" s="74" t="str">
        <f>VLOOKUP(A90,Enforcements!$C$3:$J$39,3,0)</f>
        <v>PERMANENT SPEED RESTRICTION</v>
      </c>
    </row>
    <row r="91" spans="1:27" s="2" customFormat="1" x14ac:dyDescent="0.25">
      <c r="A91" s="60" t="s">
        <v>335</v>
      </c>
      <c r="B91" s="60">
        <v>4013</v>
      </c>
      <c r="C91" s="60" t="s">
        <v>62</v>
      </c>
      <c r="D91" s="60" t="s">
        <v>182</v>
      </c>
      <c r="E91" s="30">
        <v>42523.640150462961</v>
      </c>
      <c r="F91" s="30">
        <v>42523.641030092593</v>
      </c>
      <c r="G91" s="38">
        <v>1</v>
      </c>
      <c r="H91" s="30" t="s">
        <v>117</v>
      </c>
      <c r="I91" s="30">
        <v>42523.673576388886</v>
      </c>
      <c r="J91" s="60">
        <v>0</v>
      </c>
      <c r="K91" s="60" t="str">
        <f t="shared" si="29"/>
        <v>4013/4014</v>
      </c>
      <c r="L91" s="60" t="str">
        <f>VLOOKUP(A91,'Trips&amp;Operators'!$C$1:$E$9999,3,FALSE)</f>
        <v>BARTLETT</v>
      </c>
      <c r="M91" s="12">
        <f t="shared" si="30"/>
        <v>3.2546296293730848E-2</v>
      </c>
      <c r="N91" s="13">
        <f t="shared" si="34"/>
        <v>46.86666666297242</v>
      </c>
      <c r="O91" s="13"/>
      <c r="P91" s="13"/>
      <c r="Q91" s="61"/>
      <c r="R91" s="61"/>
      <c r="T9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15:20:49-0600',mode:absolute,to:'2016-06-02 16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35"/>
        <v>N</v>
      </c>
      <c r="V91" s="73">
        <f t="shared" si="36"/>
        <v>1</v>
      </c>
      <c r="W91" s="73">
        <f t="shared" si="32"/>
        <v>23.2959</v>
      </c>
      <c r="X91" s="73">
        <v>1.6899999999999998E-2</v>
      </c>
      <c r="Y91" s="73">
        <f t="shared" si="33"/>
        <v>23.279</v>
      </c>
      <c r="Z91" s="74" t="e">
        <f>VLOOKUP(A91,Enforcements!$C$3:$J$39,8,0)</f>
        <v>#N/A</v>
      </c>
      <c r="AA91" s="74" t="e">
        <f>VLOOKUP(A91,Enforcements!$C$3:$J$39,3,0)</f>
        <v>#N/A</v>
      </c>
    </row>
    <row r="92" spans="1:27" s="2" customFormat="1" x14ac:dyDescent="0.25">
      <c r="A92" s="60" t="s">
        <v>336</v>
      </c>
      <c r="B92" s="60">
        <v>4027</v>
      </c>
      <c r="C92" s="60" t="s">
        <v>62</v>
      </c>
      <c r="D92" s="60" t="s">
        <v>110</v>
      </c>
      <c r="E92" s="30">
        <v>42523.610509259262</v>
      </c>
      <c r="F92" s="30">
        <v>42523.614201388889</v>
      </c>
      <c r="G92" s="38">
        <v>5</v>
      </c>
      <c r="H92" s="30" t="s">
        <v>282</v>
      </c>
      <c r="I92" s="30">
        <v>42523.639189814814</v>
      </c>
      <c r="J92" s="60">
        <v>0</v>
      </c>
      <c r="K92" s="60" t="str">
        <f t="shared" si="29"/>
        <v>4027/4028</v>
      </c>
      <c r="L92" s="60" t="str">
        <f>VLOOKUP(A92,'Trips&amp;Operators'!$C$1:$E$9999,3,FALSE)</f>
        <v>BUTLER</v>
      </c>
      <c r="M92" s="12">
        <f t="shared" si="30"/>
        <v>2.4988425924675539E-2</v>
      </c>
      <c r="N92" s="13">
        <f t="shared" si="34"/>
        <v>35.983333331532776</v>
      </c>
      <c r="O92" s="13"/>
      <c r="P92" s="13"/>
      <c r="Q92" s="61"/>
      <c r="R92" s="61"/>
      <c r="T9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14:38:08-0600',mode:absolute,to:'2016-06-02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2" s="73" t="str">
        <f t="shared" si="35"/>
        <v>N</v>
      </c>
      <c r="V92" s="73">
        <f t="shared" si="36"/>
        <v>1</v>
      </c>
      <c r="W92" s="73">
        <f t="shared" si="32"/>
        <v>4.7100000000000003E-2</v>
      </c>
      <c r="X92" s="73">
        <f t="shared" ref="X92:X143" si="38">RIGHT(H92,LEN(H92)-4)/10000</f>
        <v>23.330400000000001</v>
      </c>
      <c r="Y92" s="73">
        <f t="shared" si="33"/>
        <v>23.283300000000001</v>
      </c>
      <c r="Z92" s="74" t="e">
        <f>VLOOKUP(A92,Enforcements!$C$3:$J$39,8,0)</f>
        <v>#N/A</v>
      </c>
      <c r="AA92" s="74" t="e">
        <f>VLOOKUP(A92,Enforcements!$C$3:$J$39,3,0)</f>
        <v>#N/A</v>
      </c>
    </row>
    <row r="93" spans="1:27" s="2" customFormat="1" x14ac:dyDescent="0.25">
      <c r="A93" s="60" t="s">
        <v>337</v>
      </c>
      <c r="B93" s="60">
        <v>4028</v>
      </c>
      <c r="C93" s="60" t="s">
        <v>62</v>
      </c>
      <c r="D93" s="60" t="s">
        <v>69</v>
      </c>
      <c r="E93" s="30">
        <v>42523.642129629632</v>
      </c>
      <c r="F93" s="30">
        <v>42523.643495370372</v>
      </c>
      <c r="G93" s="38">
        <v>1</v>
      </c>
      <c r="H93" s="30" t="s">
        <v>104</v>
      </c>
      <c r="I93" s="30">
        <v>42523.6799537037</v>
      </c>
      <c r="J93" s="60">
        <v>0</v>
      </c>
      <c r="K93" s="60" t="str">
        <f t="shared" si="29"/>
        <v>4027/4028</v>
      </c>
      <c r="L93" s="60" t="str">
        <f>VLOOKUP(A93,'Trips&amp;Operators'!$C$1:$E$9999,3,FALSE)</f>
        <v>BUTLER</v>
      </c>
      <c r="M93" s="12">
        <f t="shared" si="30"/>
        <v>3.6458333328482695E-2</v>
      </c>
      <c r="N93" s="13">
        <f t="shared" si="34"/>
        <v>52.499999993015081</v>
      </c>
      <c r="O93" s="13"/>
      <c r="P93" s="13"/>
      <c r="Q93" s="61"/>
      <c r="R93" s="61"/>
      <c r="T9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15:23:40-0600',mode:absolute,to:'2016-06-02 16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3" s="73" t="str">
        <f t="shared" si="35"/>
        <v>N</v>
      </c>
      <c r="V93" s="73">
        <f t="shared" si="36"/>
        <v>1</v>
      </c>
      <c r="W93" s="73">
        <f t="shared" si="32"/>
        <v>23.299399999999999</v>
      </c>
      <c r="X93" s="73">
        <f t="shared" si="38"/>
        <v>1.5599999999999999E-2</v>
      </c>
      <c r="Y93" s="73">
        <f t="shared" si="33"/>
        <v>23.283799999999999</v>
      </c>
      <c r="Z93" s="74" t="e">
        <f>VLOOKUP(A93,Enforcements!$C$3:$J$39,8,0)</f>
        <v>#N/A</v>
      </c>
      <c r="AA93" s="74" t="e">
        <f>VLOOKUP(A93,Enforcements!$C$3:$J$39,3,0)</f>
        <v>#N/A</v>
      </c>
    </row>
    <row r="94" spans="1:27" s="2" customFormat="1" x14ac:dyDescent="0.25">
      <c r="A94" s="60" t="s">
        <v>338</v>
      </c>
      <c r="B94" s="60">
        <v>4025</v>
      </c>
      <c r="C94" s="60" t="s">
        <v>62</v>
      </c>
      <c r="D94" s="60" t="s">
        <v>112</v>
      </c>
      <c r="E94" s="30">
        <v>42523.623726851853</v>
      </c>
      <c r="F94" s="30">
        <v>42523.624618055554</v>
      </c>
      <c r="G94" s="38">
        <v>1</v>
      </c>
      <c r="H94" s="30" t="s">
        <v>87</v>
      </c>
      <c r="I94" s="30">
        <v>42523.652384259258</v>
      </c>
      <c r="J94" s="60">
        <v>0</v>
      </c>
      <c r="K94" s="60" t="str">
        <f t="shared" si="29"/>
        <v>4025/4026</v>
      </c>
      <c r="L94" s="60" t="str">
        <f>VLOOKUP(A94,'Trips&amp;Operators'!$C$1:$E$9999,3,FALSE)</f>
        <v>REBOLETTI</v>
      </c>
      <c r="M94" s="12">
        <f t="shared" si="30"/>
        <v>2.7766203704231884E-2</v>
      </c>
      <c r="N94" s="13">
        <f t="shared" si="34"/>
        <v>39.983333334093913</v>
      </c>
      <c r="O94" s="13"/>
      <c r="P94" s="13"/>
      <c r="Q94" s="61"/>
      <c r="R94" s="61"/>
      <c r="T9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14:57:10-0600',mode:absolute,to:'2016-06-02 15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4" s="73" t="str">
        <f t="shared" si="35"/>
        <v>N</v>
      </c>
      <c r="V94" s="73">
        <f t="shared" si="36"/>
        <v>1</v>
      </c>
      <c r="W94" s="73">
        <f t="shared" si="32"/>
        <v>4.4400000000000002E-2</v>
      </c>
      <c r="X94" s="73">
        <f t="shared" si="38"/>
        <v>23.3293</v>
      </c>
      <c r="Y94" s="73">
        <f t="shared" si="33"/>
        <v>23.2849</v>
      </c>
      <c r="Z94" s="74" t="e">
        <f>VLOOKUP(A94,Enforcements!$C$3:$J$39,8,0)</f>
        <v>#N/A</v>
      </c>
      <c r="AA94" s="74" t="e">
        <f>VLOOKUP(A94,Enforcements!$C$3:$J$39,3,0)</f>
        <v>#N/A</v>
      </c>
    </row>
    <row r="95" spans="1:27" s="2" customFormat="1" x14ac:dyDescent="0.25">
      <c r="A95" s="60" t="s">
        <v>339</v>
      </c>
      <c r="B95" s="60">
        <v>4026</v>
      </c>
      <c r="C95" s="60" t="s">
        <v>62</v>
      </c>
      <c r="D95" s="60" t="s">
        <v>178</v>
      </c>
      <c r="E95" s="30">
        <v>42523.658668981479</v>
      </c>
      <c r="F95" s="30">
        <v>42523.659861111111</v>
      </c>
      <c r="G95" s="38">
        <v>1</v>
      </c>
      <c r="H95" s="30" t="s">
        <v>101</v>
      </c>
      <c r="I95" s="30">
        <v>42523.692037037035</v>
      </c>
      <c r="J95" s="60">
        <v>0</v>
      </c>
      <c r="K95" s="60" t="str">
        <f t="shared" si="29"/>
        <v>4025/4026</v>
      </c>
      <c r="L95" s="60" t="str">
        <f>VLOOKUP(A95,'Trips&amp;Operators'!$C$1:$E$9999,3,FALSE)</f>
        <v>REBOLETTI</v>
      </c>
      <c r="M95" s="12">
        <f t="shared" si="30"/>
        <v>3.2175925924093463E-2</v>
      </c>
      <c r="N95" s="13">
        <f t="shared" si="34"/>
        <v>46.333333330694586</v>
      </c>
      <c r="O95" s="13"/>
      <c r="P95" s="13"/>
      <c r="Q95" s="61"/>
      <c r="R95" s="61"/>
      <c r="T9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15:47:29-0600',mode:absolute,to:'2016-06-02 16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5" s="73" t="str">
        <f t="shared" si="35"/>
        <v>N</v>
      </c>
      <c r="V95" s="73">
        <f t="shared" si="36"/>
        <v>1</v>
      </c>
      <c r="W95" s="73">
        <f t="shared" si="32"/>
        <v>23.296700000000001</v>
      </c>
      <c r="X95" s="73">
        <f t="shared" si="38"/>
        <v>1.41E-2</v>
      </c>
      <c r="Y95" s="73">
        <f t="shared" si="33"/>
        <v>23.282600000000002</v>
      </c>
      <c r="Z95" s="74" t="e">
        <f>VLOOKUP(A95,Enforcements!$C$3:$J$39,8,0)</f>
        <v>#N/A</v>
      </c>
      <c r="AA95" s="74" t="e">
        <f>VLOOKUP(A95,Enforcements!$C$3:$J$39,3,0)</f>
        <v>#N/A</v>
      </c>
    </row>
    <row r="96" spans="1:27" s="2" customFormat="1" x14ac:dyDescent="0.25">
      <c r="A96" s="60" t="s">
        <v>340</v>
      </c>
      <c r="B96" s="60">
        <v>4024</v>
      </c>
      <c r="C96" s="60" t="s">
        <v>62</v>
      </c>
      <c r="D96" s="60" t="s">
        <v>93</v>
      </c>
      <c r="E96" s="30">
        <v>42523.629872685182</v>
      </c>
      <c r="F96" s="30">
        <v>42523.630983796298</v>
      </c>
      <c r="G96" s="38">
        <v>1</v>
      </c>
      <c r="H96" s="30" t="s">
        <v>87</v>
      </c>
      <c r="I96" s="30">
        <v>42523.66300925926</v>
      </c>
      <c r="J96" s="60">
        <v>3</v>
      </c>
      <c r="K96" s="60" t="str">
        <f t="shared" si="29"/>
        <v>4023/4024</v>
      </c>
      <c r="L96" s="60" t="str">
        <f>VLOOKUP(A96,'Trips&amp;Operators'!$C$1:$E$9999,3,FALSE)</f>
        <v>MAYBERRY</v>
      </c>
      <c r="M96" s="12">
        <f t="shared" si="30"/>
        <v>3.202546296233777E-2</v>
      </c>
      <c r="N96" s="13">
        <f t="shared" si="34"/>
        <v>46.116666665766388</v>
      </c>
      <c r="O96" s="13"/>
      <c r="P96" s="13"/>
      <c r="Q96" s="61"/>
      <c r="R96" s="61"/>
      <c r="T9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15:06:01-0600',mode:absolute,to:'2016-06-02 15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3" t="str">
        <f t="shared" si="35"/>
        <v>N</v>
      </c>
      <c r="V96" s="73">
        <f t="shared" si="36"/>
        <v>1</v>
      </c>
      <c r="W96" s="73">
        <f t="shared" si="32"/>
        <v>4.6199999999999998E-2</v>
      </c>
      <c r="X96" s="73">
        <f t="shared" si="38"/>
        <v>23.3293</v>
      </c>
      <c r="Y96" s="73">
        <f t="shared" si="33"/>
        <v>23.283100000000001</v>
      </c>
      <c r="Z96" s="74">
        <f>VLOOKUP(A96,Enforcements!$C$3:$J$39,8,0)</f>
        <v>0</v>
      </c>
      <c r="AA96" s="74" t="str">
        <f>VLOOKUP(A96,Enforcements!$C$3:$J$39,3,0)</f>
        <v>PERMANENT SPEED RESTRICTION</v>
      </c>
    </row>
    <row r="97" spans="1:27" s="2" customFormat="1" x14ac:dyDescent="0.25">
      <c r="A97" s="60" t="s">
        <v>341</v>
      </c>
      <c r="B97" s="60">
        <v>4023</v>
      </c>
      <c r="C97" s="60" t="s">
        <v>62</v>
      </c>
      <c r="D97" s="60" t="s">
        <v>326</v>
      </c>
      <c r="E97" s="30">
        <v>42523.66883101852</v>
      </c>
      <c r="F97" s="30">
        <v>42523.669618055559</v>
      </c>
      <c r="G97" s="38">
        <v>1</v>
      </c>
      <c r="H97" s="30" t="s">
        <v>83</v>
      </c>
      <c r="I97" s="30">
        <v>42523.704212962963</v>
      </c>
      <c r="J97" s="60">
        <v>0</v>
      </c>
      <c r="K97" s="60" t="str">
        <f t="shared" ref="K97:K148" si="39">IF(ISEVEN(B97),(B97-1)&amp;"/"&amp;B97,B97&amp;"/"&amp;(B97+1))</f>
        <v>4023/4024</v>
      </c>
      <c r="L97" s="60" t="str">
        <f>VLOOKUP(A97,'Trips&amp;Operators'!$C$1:$E$9999,3,FALSE)</f>
        <v>MAYBERRY</v>
      </c>
      <c r="M97" s="12">
        <f t="shared" ref="M97:M148" si="40">I97-F97</f>
        <v>3.4594907403516117E-2</v>
      </c>
      <c r="N97" s="13">
        <f t="shared" si="34"/>
        <v>49.816666661063209</v>
      </c>
      <c r="O97" s="13"/>
      <c r="P97" s="13"/>
      <c r="Q97" s="61"/>
      <c r="R97" s="61"/>
      <c r="T97" s="73" t="str">
        <f t="shared" ref="T97:T148" si="41"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https://search-rtdc-monitor-bjffxe2xuh6vdkpspy63sjmuny.us-east-1.es.amazonaws.com/_plugin/kibana/#/discover/Steve-Slow-Train-Analysis-(2080s-and-2083s)?_g=(refreshInterval:(display:Off,section:0,value:0),time:(from:'2016-06-02 16:02:07-0600',mode:absolute,to:'2016-06-02 16:55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3" t="str">
        <f t="shared" si="35"/>
        <v>N</v>
      </c>
      <c r="V97" s="73">
        <f t="shared" si="36"/>
        <v>1</v>
      </c>
      <c r="W97" s="73">
        <f t="shared" ref="W97:W148" si="42">RIGHT(D97,LEN(D97)-4)/10000</f>
        <v>23.297899999999998</v>
      </c>
      <c r="X97" s="73">
        <f t="shared" si="38"/>
        <v>1.6E-2</v>
      </c>
      <c r="Y97" s="73">
        <f t="shared" ref="Y97:Y148" si="43">ABS(X97-W97)</f>
        <v>23.2819</v>
      </c>
      <c r="Z97" s="74" t="e">
        <f>VLOOKUP(A97,Enforcements!$C$3:$J$39,8,0)</f>
        <v>#N/A</v>
      </c>
      <c r="AA97" s="74" t="e">
        <f>VLOOKUP(A97,Enforcements!$C$3:$J$39,3,0)</f>
        <v>#N/A</v>
      </c>
    </row>
    <row r="98" spans="1:27" s="2" customFormat="1" x14ac:dyDescent="0.25">
      <c r="A98" s="60" t="s">
        <v>342</v>
      </c>
      <c r="B98" s="60">
        <v>4007</v>
      </c>
      <c r="C98" s="60" t="s">
        <v>62</v>
      </c>
      <c r="D98" s="60" t="s">
        <v>95</v>
      </c>
      <c r="E98" s="30">
        <v>42523.644178240742</v>
      </c>
      <c r="F98" s="30">
        <v>42523.645243055558</v>
      </c>
      <c r="G98" s="38">
        <v>1</v>
      </c>
      <c r="H98" s="30" t="s">
        <v>148</v>
      </c>
      <c r="I98" s="30">
        <v>42523.670335648145</v>
      </c>
      <c r="J98" s="60">
        <v>0</v>
      </c>
      <c r="K98" s="60" t="str">
        <f t="shared" si="39"/>
        <v>4007/4008</v>
      </c>
      <c r="L98" s="60" t="str">
        <f>VLOOKUP(A98,'Trips&amp;Operators'!$C$1:$E$9999,3,FALSE)</f>
        <v>ROCHA</v>
      </c>
      <c r="M98" s="12">
        <f t="shared" si="40"/>
        <v>2.509259258658858E-2</v>
      </c>
      <c r="N98" s="13">
        <f t="shared" si="34"/>
        <v>36.133333324687555</v>
      </c>
      <c r="O98" s="13"/>
      <c r="P98" s="13"/>
      <c r="Q98" s="61"/>
      <c r="R98" s="61"/>
      <c r="T9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15:26:37-0600',mode:absolute,to:'2016-06-02 16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8" s="73" t="str">
        <f t="shared" ref="U98:U148" si="44">IF(Y98&lt;23,"Y","N")</f>
        <v>N</v>
      </c>
      <c r="V98" s="73">
        <f t="shared" si="36"/>
        <v>1</v>
      </c>
      <c r="W98" s="73">
        <f t="shared" si="42"/>
        <v>4.5699999999999998E-2</v>
      </c>
      <c r="X98" s="73">
        <f t="shared" si="38"/>
        <v>23.3291</v>
      </c>
      <c r="Y98" s="73">
        <f t="shared" si="43"/>
        <v>23.2834</v>
      </c>
      <c r="Z98" s="74" t="e">
        <f>VLOOKUP(A98,Enforcements!$C$3:$J$39,8,0)</f>
        <v>#N/A</v>
      </c>
      <c r="AA98" s="74" t="e">
        <f>VLOOKUP(A98,Enforcements!$C$3:$J$39,3,0)</f>
        <v>#N/A</v>
      </c>
    </row>
    <row r="99" spans="1:27" s="2" customFormat="1" x14ac:dyDescent="0.25">
      <c r="A99" s="60" t="s">
        <v>343</v>
      </c>
      <c r="B99" s="60">
        <v>4008</v>
      </c>
      <c r="C99" s="60" t="s">
        <v>62</v>
      </c>
      <c r="D99" s="60" t="s">
        <v>180</v>
      </c>
      <c r="E99" s="30">
        <v>42523.676342592589</v>
      </c>
      <c r="F99" s="30">
        <v>42523.677268518521</v>
      </c>
      <c r="G99" s="38">
        <v>1</v>
      </c>
      <c r="H99" s="30" t="s">
        <v>77</v>
      </c>
      <c r="I99" s="30">
        <v>42523.713368055556</v>
      </c>
      <c r="J99" s="60">
        <v>1</v>
      </c>
      <c r="K99" s="60" t="str">
        <f t="shared" ref="K99" si="45">IF(ISEVEN(B99),(B99-1)&amp;"/"&amp;B99,B99&amp;"/"&amp;(B99+1))</f>
        <v>4007/4008</v>
      </c>
      <c r="L99" s="60" t="str">
        <f>VLOOKUP(A99,'Trips&amp;Operators'!$C$1:$E$9999,3,FALSE)</f>
        <v>ROCHA</v>
      </c>
      <c r="M99" s="12">
        <f t="shared" ref="M99" si="46">I99-F99</f>
        <v>3.6099537035624962E-2</v>
      </c>
      <c r="N99" s="13">
        <f t="shared" si="34"/>
        <v>51.983333331299946</v>
      </c>
      <c r="O99" s="13"/>
      <c r="P99" s="13"/>
      <c r="Q99" s="61"/>
      <c r="R99" s="61"/>
      <c r="T9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16:12:56-0600',mode:absolute,to:'2016-06-02 17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9" s="73" t="str">
        <f t="shared" ref="U99" si="47">IF(Y99&lt;23,"Y","N")</f>
        <v>N</v>
      </c>
      <c r="V99" s="73">
        <f t="shared" si="36"/>
        <v>1</v>
      </c>
      <c r="W99" s="73">
        <v>23.298300000000001</v>
      </c>
      <c r="X99" s="73">
        <v>1.4500000000000001E-2</v>
      </c>
      <c r="Y99" s="73">
        <f t="shared" ref="Y99" si="48">ABS(X99-W99)</f>
        <v>23.283799999999999</v>
      </c>
      <c r="Z99" s="74">
        <f>VLOOKUP(A99,Enforcements!$C$3:$J$39,8,0)</f>
        <v>1</v>
      </c>
      <c r="AA99" s="74" t="str">
        <f>VLOOKUP(A99,Enforcements!$C$3:$J$39,3,0)</f>
        <v>TRACK WARRANT AUTHORITY</v>
      </c>
    </row>
    <row r="100" spans="1:27" s="2" customFormat="1" x14ac:dyDescent="0.25">
      <c r="A100" s="60" t="s">
        <v>344</v>
      </c>
      <c r="B100" s="60">
        <v>4031</v>
      </c>
      <c r="C100" s="60" t="s">
        <v>62</v>
      </c>
      <c r="D100" s="60" t="s">
        <v>126</v>
      </c>
      <c r="E100" s="30">
        <v>42523.654745370368</v>
      </c>
      <c r="F100" s="30">
        <v>42523.655740740738</v>
      </c>
      <c r="G100" s="38">
        <v>1</v>
      </c>
      <c r="H100" s="30" t="s">
        <v>222</v>
      </c>
      <c r="I100" s="30">
        <v>42523.684548611112</v>
      </c>
      <c r="J100" s="60">
        <v>0</v>
      </c>
      <c r="K100" s="60" t="str">
        <f t="shared" si="39"/>
        <v>4031/4032</v>
      </c>
      <c r="L100" s="60" t="str">
        <f>VLOOKUP(A100,'Trips&amp;Operators'!$C$1:$E$9999,3,FALSE)</f>
        <v>YOUNG</v>
      </c>
      <c r="M100" s="12">
        <f t="shared" si="40"/>
        <v>2.8807870374293998E-2</v>
      </c>
      <c r="N100" s="13">
        <f t="shared" si="34"/>
        <v>41.483333338983357</v>
      </c>
      <c r="O100" s="13"/>
      <c r="P100" s="13"/>
      <c r="Q100" s="61"/>
      <c r="R100" s="61"/>
      <c r="T10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15:41:50-0600',mode:absolute,to:'2016-06-02 16:26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3" t="str">
        <f t="shared" si="44"/>
        <v>N</v>
      </c>
      <c r="V100" s="73">
        <f t="shared" si="36"/>
        <v>1</v>
      </c>
      <c r="W100" s="73">
        <f t="shared" si="42"/>
        <v>4.53E-2</v>
      </c>
      <c r="X100" s="73">
        <f t="shared" si="38"/>
        <v>23.331499999999998</v>
      </c>
      <c r="Y100" s="73">
        <f t="shared" si="43"/>
        <v>23.286199999999997</v>
      </c>
      <c r="Z100" s="74" t="e">
        <f>VLOOKUP(A100,Enforcements!$C$3:$J$39,8,0)</f>
        <v>#N/A</v>
      </c>
      <c r="AA100" s="74" t="e">
        <f>VLOOKUP(A100,Enforcements!$C$3:$J$39,3,0)</f>
        <v>#N/A</v>
      </c>
    </row>
    <row r="101" spans="1:27" s="2" customFormat="1" x14ac:dyDescent="0.25">
      <c r="A101" s="60" t="s">
        <v>345</v>
      </c>
      <c r="B101" s="60">
        <v>4032</v>
      </c>
      <c r="C101" s="60" t="s">
        <v>62</v>
      </c>
      <c r="D101" s="60" t="s">
        <v>106</v>
      </c>
      <c r="E101" s="30">
        <v>42523.691145833334</v>
      </c>
      <c r="F101" s="30">
        <v>42523.691944444443</v>
      </c>
      <c r="G101" s="38">
        <v>1</v>
      </c>
      <c r="H101" s="30" t="s">
        <v>114</v>
      </c>
      <c r="I101" s="30">
        <v>42523.730671296296</v>
      </c>
      <c r="J101" s="60">
        <v>1</v>
      </c>
      <c r="K101" s="60" t="str">
        <f t="shared" si="39"/>
        <v>4031/4032</v>
      </c>
      <c r="L101" s="60" t="str">
        <f>VLOOKUP(A101,'Trips&amp;Operators'!$C$1:$E$9999,3,FALSE)</f>
        <v>YOUNG</v>
      </c>
      <c r="M101" s="12">
        <f t="shared" si="40"/>
        <v>3.8726851853425615E-2</v>
      </c>
      <c r="N101" s="13">
        <f t="shared" si="34"/>
        <v>55.766666668932885</v>
      </c>
      <c r="O101" s="13"/>
      <c r="P101" s="13"/>
      <c r="Q101" s="61"/>
      <c r="R101" s="61"/>
      <c r="T10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16:34:15-0600',mode:absolute,to:'2016-06-02 17:33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3" t="str">
        <f t="shared" si="44"/>
        <v>N</v>
      </c>
      <c r="V101" s="73">
        <f t="shared" si="36"/>
        <v>1</v>
      </c>
      <c r="W101" s="73">
        <f t="shared" si="42"/>
        <v>23.298300000000001</v>
      </c>
      <c r="X101" s="73">
        <f t="shared" si="38"/>
        <v>1.38E-2</v>
      </c>
      <c r="Y101" s="73">
        <f t="shared" si="43"/>
        <v>23.284500000000001</v>
      </c>
      <c r="Z101" s="74">
        <f>VLOOKUP(A101,Enforcements!$C$3:$J$39,8,0)</f>
        <v>109135</v>
      </c>
      <c r="AA101" s="74" t="str">
        <f>VLOOKUP(A101,Enforcements!$C$3:$J$39,3,0)</f>
        <v>GRADE CROSSING</v>
      </c>
    </row>
    <row r="102" spans="1:27" s="2" customFormat="1" x14ac:dyDescent="0.25">
      <c r="A102" s="60" t="s">
        <v>346</v>
      </c>
      <c r="B102" s="60">
        <v>4011</v>
      </c>
      <c r="C102" s="60" t="s">
        <v>62</v>
      </c>
      <c r="D102" s="60" t="s">
        <v>93</v>
      </c>
      <c r="E102" s="30">
        <v>42523.663101851853</v>
      </c>
      <c r="F102" s="30">
        <v>42523.664236111108</v>
      </c>
      <c r="G102" s="38">
        <v>1</v>
      </c>
      <c r="H102" s="30" t="s">
        <v>100</v>
      </c>
      <c r="I102" s="30">
        <v>42523.694340277776</v>
      </c>
      <c r="J102" s="60">
        <v>1</v>
      </c>
      <c r="K102" s="60" t="str">
        <f t="shared" si="39"/>
        <v>4011/4012</v>
      </c>
      <c r="L102" s="60" t="str">
        <f>VLOOKUP(A102,'Trips&amp;Operators'!$C$1:$E$9999,3,FALSE)</f>
        <v>STEWART</v>
      </c>
      <c r="M102" s="12">
        <f t="shared" si="40"/>
        <v>3.0104166668024845E-2</v>
      </c>
      <c r="N102" s="13">
        <f t="shared" si="34"/>
        <v>43.350000001955777</v>
      </c>
      <c r="O102" s="13"/>
      <c r="P102" s="13"/>
      <c r="Q102" s="61"/>
      <c r="R102" s="61"/>
      <c r="T10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15:53:52-0600',mode:absolute,to:'2016-06-02 16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2" s="73" t="str">
        <f t="shared" si="44"/>
        <v>N</v>
      </c>
      <c r="V102" s="73">
        <f t="shared" si="36"/>
        <v>1</v>
      </c>
      <c r="W102" s="73">
        <f t="shared" si="42"/>
        <v>4.6199999999999998E-2</v>
      </c>
      <c r="X102" s="73">
        <f t="shared" si="38"/>
        <v>23.331199999999999</v>
      </c>
      <c r="Y102" s="73">
        <f t="shared" si="43"/>
        <v>23.285</v>
      </c>
      <c r="Z102" s="74">
        <f>VLOOKUP(A102,Enforcements!$C$3:$J$39,8,0)</f>
        <v>53155</v>
      </c>
      <c r="AA102" s="74" t="str">
        <f>VLOOKUP(A102,Enforcements!$C$3:$J$39,3,0)</f>
        <v>GRADE CROSSING</v>
      </c>
    </row>
    <row r="103" spans="1:27" s="2" customFormat="1" x14ac:dyDescent="0.25">
      <c r="A103" s="60" t="s">
        <v>347</v>
      </c>
      <c r="B103" s="60">
        <v>4012</v>
      </c>
      <c r="C103" s="60" t="s">
        <v>62</v>
      </c>
      <c r="D103" s="60" t="s">
        <v>89</v>
      </c>
      <c r="E103" s="30">
        <v>42523.702349537038</v>
      </c>
      <c r="F103" s="30">
        <v>42523.703460648147</v>
      </c>
      <c r="G103" s="38">
        <v>1</v>
      </c>
      <c r="H103" s="30" t="s">
        <v>348</v>
      </c>
      <c r="I103" s="30">
        <v>42523.720601851855</v>
      </c>
      <c r="J103" s="60">
        <v>0</v>
      </c>
      <c r="K103" s="60" t="str">
        <f t="shared" si="39"/>
        <v>4011/4012</v>
      </c>
      <c r="L103" s="60" t="str">
        <f>VLOOKUP(A103,'Trips&amp;Operators'!$C$1:$E$9999,3,FALSE)</f>
        <v>STEWART</v>
      </c>
      <c r="M103" s="12">
        <f t="shared" si="40"/>
        <v>1.7141203708888497E-2</v>
      </c>
      <c r="N103" s="13"/>
      <c r="O103" s="13"/>
      <c r="P103" s="13"/>
      <c r="Q103" s="61"/>
      <c r="R103" s="61"/>
      <c r="T10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16:50:23-0600',mode:absolute,to:'2016-06-02 17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3" s="73" t="str">
        <f t="shared" si="44"/>
        <v>Y</v>
      </c>
      <c r="V103" s="73">
        <f t="shared" si="36"/>
        <v>1</v>
      </c>
      <c r="W103" s="73">
        <f t="shared" si="42"/>
        <v>23.297699999999999</v>
      </c>
      <c r="X103" s="73">
        <f t="shared" si="38"/>
        <v>11.120900000000001</v>
      </c>
      <c r="Y103" s="73">
        <f t="shared" si="43"/>
        <v>12.176799999999998</v>
      </c>
      <c r="Z103" s="74" t="e">
        <f>VLOOKUP(A103,Enforcements!$C$3:$J$39,8,0)</f>
        <v>#N/A</v>
      </c>
      <c r="AA103" s="74" t="e">
        <f>VLOOKUP(A103,Enforcements!$C$3:$J$39,3,0)</f>
        <v>#N/A</v>
      </c>
    </row>
    <row r="104" spans="1:27" s="2" customFormat="1" x14ac:dyDescent="0.25">
      <c r="A104" s="60" t="s">
        <v>347</v>
      </c>
      <c r="B104" s="60">
        <v>4012</v>
      </c>
      <c r="C104" s="60" t="s">
        <v>62</v>
      </c>
      <c r="D104" s="60" t="s">
        <v>349</v>
      </c>
      <c r="E104" s="30">
        <v>42523.724768518521</v>
      </c>
      <c r="F104" s="30">
        <v>42523.725601851853</v>
      </c>
      <c r="G104" s="38">
        <v>1</v>
      </c>
      <c r="H104" s="30" t="s">
        <v>350</v>
      </c>
      <c r="I104" s="30">
        <v>42523.731365740743</v>
      </c>
      <c r="J104" s="60">
        <v>0</v>
      </c>
      <c r="K104" s="60" t="str">
        <f t="shared" si="39"/>
        <v>4011/4012</v>
      </c>
      <c r="L104" s="60" t="str">
        <f>VLOOKUP(A104,'Trips&amp;Operators'!$C$1:$E$9999,3,FALSE)</f>
        <v>STEWART</v>
      </c>
      <c r="M104" s="12">
        <f t="shared" si="40"/>
        <v>5.7638888902147301E-3</v>
      </c>
      <c r="N104" s="13"/>
      <c r="O104" s="13"/>
      <c r="P104" s="13">
        <f>24*60*SUM($M103:$M104)</f>
        <v>32.983333342708647</v>
      </c>
      <c r="Q104" s="61"/>
      <c r="R104" s="61" t="s">
        <v>436</v>
      </c>
      <c r="T10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17:22:40-0600',mode:absolute,to:'2016-06-02 17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4" s="73" t="str">
        <f t="shared" si="44"/>
        <v>Y</v>
      </c>
      <c r="V104" s="73">
        <f t="shared" si="36"/>
        <v>0</v>
      </c>
      <c r="W104" s="73">
        <f t="shared" si="42"/>
        <v>8.6353000000000009</v>
      </c>
      <c r="X104" s="73">
        <f t="shared" si="38"/>
        <v>5.4298000000000002</v>
      </c>
      <c r="Y104" s="73">
        <f t="shared" si="43"/>
        <v>3.2055000000000007</v>
      </c>
      <c r="Z104" s="74" t="e">
        <f>VLOOKUP(A104,Enforcements!$C$3:$J$39,8,0)</f>
        <v>#N/A</v>
      </c>
      <c r="AA104" s="74" t="e">
        <f>VLOOKUP(A104,Enforcements!$C$3:$J$39,3,0)</f>
        <v>#N/A</v>
      </c>
    </row>
    <row r="105" spans="1:27" s="2" customFormat="1" x14ac:dyDescent="0.25">
      <c r="A105" s="60" t="s">
        <v>351</v>
      </c>
      <c r="B105" s="60">
        <v>4014</v>
      </c>
      <c r="C105" s="60" t="s">
        <v>62</v>
      </c>
      <c r="D105" s="60" t="s">
        <v>110</v>
      </c>
      <c r="E105" s="30">
        <v>42523.675763888888</v>
      </c>
      <c r="F105" s="30">
        <v>42523.676655092589</v>
      </c>
      <c r="G105" s="38">
        <v>1</v>
      </c>
      <c r="H105" s="30" t="s">
        <v>352</v>
      </c>
      <c r="I105" s="30">
        <v>42523.703715277778</v>
      </c>
      <c r="J105" s="60">
        <v>0</v>
      </c>
      <c r="K105" s="60" t="str">
        <f t="shared" si="39"/>
        <v>4013/4014</v>
      </c>
      <c r="L105" s="60" t="str">
        <f>VLOOKUP(A105,'Trips&amp;Operators'!$C$1:$E$9999,3,FALSE)</f>
        <v>BARTLETT</v>
      </c>
      <c r="M105" s="12">
        <f t="shared" si="40"/>
        <v>2.7060185188020114E-2</v>
      </c>
      <c r="N105" s="13">
        <f t="shared" si="34"/>
        <v>38.966666670748964</v>
      </c>
      <c r="O105" s="13"/>
      <c r="P105" s="13"/>
      <c r="Q105" s="61"/>
      <c r="R105" s="61"/>
      <c r="T10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16:12:06-0600',mode:absolute,to:'2016-06-02 16:54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5" s="73" t="str">
        <f t="shared" si="44"/>
        <v>N</v>
      </c>
      <c r="V105" s="73">
        <f t="shared" si="36"/>
        <v>1</v>
      </c>
      <c r="W105" s="73">
        <f t="shared" si="42"/>
        <v>4.7100000000000003E-2</v>
      </c>
      <c r="X105" s="73">
        <f t="shared" si="38"/>
        <v>23.3264</v>
      </c>
      <c r="Y105" s="73">
        <f t="shared" si="43"/>
        <v>23.279299999999999</v>
      </c>
      <c r="Z105" s="74" t="e">
        <f>VLOOKUP(A105,Enforcements!$C$3:$J$39,8,0)</f>
        <v>#N/A</v>
      </c>
      <c r="AA105" s="74" t="e">
        <f>VLOOKUP(A105,Enforcements!$C$3:$J$39,3,0)</f>
        <v>#N/A</v>
      </c>
    </row>
    <row r="106" spans="1:27" s="2" customFormat="1" x14ac:dyDescent="0.25">
      <c r="A106" s="60" t="s">
        <v>353</v>
      </c>
      <c r="B106" s="60">
        <v>4013</v>
      </c>
      <c r="C106" s="60" t="s">
        <v>62</v>
      </c>
      <c r="D106" s="60" t="s">
        <v>354</v>
      </c>
      <c r="E106" s="30">
        <v>42523.709699074076</v>
      </c>
      <c r="F106" s="30">
        <v>42523.710868055554</v>
      </c>
      <c r="G106" s="38">
        <v>1</v>
      </c>
      <c r="H106" s="30" t="s">
        <v>117</v>
      </c>
      <c r="I106" s="30">
        <v>42523.747141203705</v>
      </c>
      <c r="J106" s="60">
        <v>0</v>
      </c>
      <c r="K106" s="60" t="str">
        <f t="shared" si="39"/>
        <v>4013/4014</v>
      </c>
      <c r="L106" s="60" t="str">
        <f>VLOOKUP(A106,'Trips&amp;Operators'!$C$1:$E$9999,3,FALSE)</f>
        <v>BARTLETT</v>
      </c>
      <c r="M106" s="12">
        <f t="shared" si="40"/>
        <v>3.627314815093996E-2</v>
      </c>
      <c r="N106" s="13">
        <f t="shared" si="34"/>
        <v>52.233333337353542</v>
      </c>
      <c r="O106" s="13"/>
      <c r="P106" s="13"/>
      <c r="Q106" s="61"/>
      <c r="R106" s="61"/>
      <c r="T10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17:00:58-0600',mode:absolute,to:'2016-06-02 17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6" s="73" t="str">
        <f t="shared" si="44"/>
        <v>N</v>
      </c>
      <c r="V106" s="73">
        <f t="shared" si="36"/>
        <v>1</v>
      </c>
      <c r="W106" s="73">
        <f t="shared" si="42"/>
        <v>23.294499999999999</v>
      </c>
      <c r="X106" s="73">
        <f t="shared" si="38"/>
        <v>1.6899999999999998E-2</v>
      </c>
      <c r="Y106" s="73">
        <f t="shared" si="43"/>
        <v>23.2776</v>
      </c>
      <c r="Z106" s="74" t="e">
        <f>VLOOKUP(A106,Enforcements!$C$3:$J$39,8,0)</f>
        <v>#N/A</v>
      </c>
      <c r="AA106" s="74" t="e">
        <f>VLOOKUP(A106,Enforcements!$C$3:$J$39,3,0)</f>
        <v>#N/A</v>
      </c>
    </row>
    <row r="107" spans="1:27" s="2" customFormat="1" x14ac:dyDescent="0.25">
      <c r="A107" s="60" t="s">
        <v>355</v>
      </c>
      <c r="B107" s="60">
        <v>4027</v>
      </c>
      <c r="C107" s="60" t="s">
        <v>62</v>
      </c>
      <c r="D107" s="60" t="s">
        <v>84</v>
      </c>
      <c r="E107" s="30">
        <v>42523.681469907409</v>
      </c>
      <c r="F107" s="30">
        <v>42523.682453703703</v>
      </c>
      <c r="G107" s="38">
        <v>1</v>
      </c>
      <c r="H107" s="30" t="s">
        <v>236</v>
      </c>
      <c r="I107" s="30">
        <v>42523.711400462962</v>
      </c>
      <c r="J107" s="60">
        <v>1</v>
      </c>
      <c r="K107" s="60" t="str">
        <f t="shared" si="39"/>
        <v>4027/4028</v>
      </c>
      <c r="L107" s="60" t="str">
        <f>VLOOKUP(A107,'Trips&amp;Operators'!$C$1:$E$9999,3,FALSE)</f>
        <v>BUTLER</v>
      </c>
      <c r="M107" s="12">
        <f t="shared" si="40"/>
        <v>2.8946759259270038E-2</v>
      </c>
      <c r="N107" s="13">
        <f t="shared" si="34"/>
        <v>41.683333333348855</v>
      </c>
      <c r="O107" s="13"/>
      <c r="P107" s="13"/>
      <c r="Q107" s="61"/>
      <c r="R107" s="61"/>
      <c r="T10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16:20:19-0600',mode:absolute,to:'2016-06-02 17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7" s="73" t="str">
        <f t="shared" si="44"/>
        <v>N</v>
      </c>
      <c r="V107" s="73">
        <f t="shared" si="36"/>
        <v>1</v>
      </c>
      <c r="W107" s="73">
        <f t="shared" si="42"/>
        <v>4.5999999999999999E-2</v>
      </c>
      <c r="X107" s="73">
        <f t="shared" si="38"/>
        <v>23.328800000000001</v>
      </c>
      <c r="Y107" s="73">
        <f t="shared" si="43"/>
        <v>23.282800000000002</v>
      </c>
      <c r="Z107" s="74">
        <f>VLOOKUP(A107,Enforcements!$C$3:$J$39,8,0)</f>
        <v>233491</v>
      </c>
      <c r="AA107" s="74" t="str">
        <f>VLOOKUP(A107,Enforcements!$C$3:$J$39,3,0)</f>
        <v>TRACK WARRANT AUTHORITY</v>
      </c>
    </row>
    <row r="108" spans="1:27" s="2" customFormat="1" x14ac:dyDescent="0.25">
      <c r="A108" s="60" t="s">
        <v>356</v>
      </c>
      <c r="B108" s="60">
        <v>4028</v>
      </c>
      <c r="C108" s="60" t="s">
        <v>62</v>
      </c>
      <c r="D108" s="60" t="s">
        <v>357</v>
      </c>
      <c r="E108" s="30">
        <v>42523.714155092595</v>
      </c>
      <c r="F108" s="30">
        <v>42523.715127314812</v>
      </c>
      <c r="G108" s="38">
        <v>1</v>
      </c>
      <c r="H108" s="30" t="s">
        <v>105</v>
      </c>
      <c r="I108" s="30">
        <v>42523.753622685188</v>
      </c>
      <c r="J108" s="60">
        <v>0</v>
      </c>
      <c r="K108" s="60" t="str">
        <f t="shared" si="39"/>
        <v>4027/4028</v>
      </c>
      <c r="L108" s="60" t="str">
        <f>VLOOKUP(A108,'Trips&amp;Operators'!$C$1:$E$9999,3,FALSE)</f>
        <v>BUTLER</v>
      </c>
      <c r="M108" s="12">
        <f t="shared" si="40"/>
        <v>3.8495370376040228E-2</v>
      </c>
      <c r="N108" s="13">
        <f t="shared" si="34"/>
        <v>55.433333341497928</v>
      </c>
      <c r="O108" s="13"/>
      <c r="P108" s="13"/>
      <c r="Q108" s="61"/>
      <c r="R108" s="61"/>
      <c r="T10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17:07:23-0600',mode:absolute,to:'2016-06-02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8" s="73" t="str">
        <f t="shared" si="44"/>
        <v>N</v>
      </c>
      <c r="V108" s="73">
        <f t="shared" si="36"/>
        <v>1</v>
      </c>
      <c r="W108" s="73">
        <f t="shared" si="42"/>
        <v>23.298400000000001</v>
      </c>
      <c r="X108" s="73">
        <f t="shared" si="38"/>
        <v>1.49E-2</v>
      </c>
      <c r="Y108" s="73">
        <f t="shared" si="43"/>
        <v>23.2835</v>
      </c>
      <c r="Z108" s="74" t="e">
        <f>VLOOKUP(A108,Enforcements!$C$3:$J$39,8,0)</f>
        <v>#N/A</v>
      </c>
      <c r="AA108" s="74" t="e">
        <f>VLOOKUP(A108,Enforcements!$C$3:$J$39,3,0)</f>
        <v>#N/A</v>
      </c>
    </row>
    <row r="109" spans="1:27" s="2" customFormat="1" x14ac:dyDescent="0.25">
      <c r="A109" s="60" t="s">
        <v>358</v>
      </c>
      <c r="B109" s="60">
        <v>4025</v>
      </c>
      <c r="C109" s="60" t="s">
        <v>62</v>
      </c>
      <c r="D109" s="60" t="s">
        <v>79</v>
      </c>
      <c r="E109" s="30">
        <v>42523.694039351853</v>
      </c>
      <c r="F109" s="30">
        <v>42523.695127314815</v>
      </c>
      <c r="G109" s="38">
        <v>1</v>
      </c>
      <c r="H109" s="30" t="s">
        <v>80</v>
      </c>
      <c r="I109" s="30">
        <v>42523.730567129627</v>
      </c>
      <c r="J109" s="60">
        <v>1</v>
      </c>
      <c r="K109" s="60" t="str">
        <f t="shared" si="39"/>
        <v>4025/4026</v>
      </c>
      <c r="L109" s="60" t="str">
        <f>VLOOKUP(A109,'Trips&amp;Operators'!$C$1:$E$9999,3,FALSE)</f>
        <v>REBOLETTI</v>
      </c>
      <c r="M109" s="12">
        <f t="shared" si="40"/>
        <v>3.5439814811979886E-2</v>
      </c>
      <c r="N109" s="13">
        <f t="shared" si="34"/>
        <v>51.033333329251036</v>
      </c>
      <c r="O109" s="13"/>
      <c r="P109" s="13"/>
      <c r="Q109" s="61"/>
      <c r="R109" s="61"/>
      <c r="T10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16:38:25-0600',mode:absolute,to:'2016-06-02 17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9" s="73" t="str">
        <f t="shared" si="44"/>
        <v>N</v>
      </c>
      <c r="V109" s="73">
        <f t="shared" si="36"/>
        <v>1</v>
      </c>
      <c r="W109" s="73">
        <f t="shared" si="42"/>
        <v>4.58E-2</v>
      </c>
      <c r="X109" s="73">
        <f t="shared" si="38"/>
        <v>23.3306</v>
      </c>
      <c r="Y109" s="73">
        <f t="shared" si="43"/>
        <v>23.284800000000001</v>
      </c>
      <c r="Z109" s="74">
        <f>VLOOKUP(A109,Enforcements!$C$3:$J$39,8,0)</f>
        <v>233491</v>
      </c>
      <c r="AA109" s="74" t="str">
        <f>VLOOKUP(A109,Enforcements!$C$3:$J$39,3,0)</f>
        <v>TRACK WARRANT AUTHORITY</v>
      </c>
    </row>
    <row r="110" spans="1:27" s="2" customFormat="1" x14ac:dyDescent="0.25">
      <c r="A110" s="60" t="s">
        <v>359</v>
      </c>
      <c r="B110" s="60">
        <v>4026</v>
      </c>
      <c r="C110" s="60" t="s">
        <v>62</v>
      </c>
      <c r="D110" s="60" t="s">
        <v>332</v>
      </c>
      <c r="E110" s="30">
        <v>42523.732164351852</v>
      </c>
      <c r="F110" s="30">
        <v>42523.733344907407</v>
      </c>
      <c r="G110" s="38">
        <v>1</v>
      </c>
      <c r="H110" s="30" t="s">
        <v>83</v>
      </c>
      <c r="I110" s="30">
        <v>42523.766805555555</v>
      </c>
      <c r="J110" s="60">
        <v>0</v>
      </c>
      <c r="K110" s="60" t="str">
        <f t="shared" si="39"/>
        <v>4025/4026</v>
      </c>
      <c r="L110" s="60" t="str">
        <f>VLOOKUP(A110,'Trips&amp;Operators'!$C$1:$E$9999,3,FALSE)</f>
        <v>REBOLETTI</v>
      </c>
      <c r="M110" s="12">
        <f t="shared" si="40"/>
        <v>3.3460648148320615E-2</v>
      </c>
      <c r="N110" s="13">
        <f t="shared" si="34"/>
        <v>48.183333333581686</v>
      </c>
      <c r="O110" s="13"/>
      <c r="P110" s="13"/>
      <c r="Q110" s="61"/>
      <c r="R110" s="61"/>
      <c r="T11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17:33:19-0600',mode:absolute,to:'2016-06-02 18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0" s="73" t="str">
        <f t="shared" si="44"/>
        <v>N</v>
      </c>
      <c r="V110" s="73">
        <f t="shared" si="36"/>
        <v>1</v>
      </c>
      <c r="W110" s="73">
        <f t="shared" si="42"/>
        <v>23.2989</v>
      </c>
      <c r="X110" s="73">
        <f t="shared" si="38"/>
        <v>1.6E-2</v>
      </c>
      <c r="Y110" s="73">
        <f t="shared" si="43"/>
        <v>23.282900000000001</v>
      </c>
      <c r="Z110" s="74" t="e">
        <f>VLOOKUP(A110,Enforcements!$C$3:$J$39,8,0)</f>
        <v>#N/A</v>
      </c>
      <c r="AA110" s="74" t="e">
        <f>VLOOKUP(A110,Enforcements!$C$3:$J$39,3,0)</f>
        <v>#N/A</v>
      </c>
    </row>
    <row r="111" spans="1:27" s="2" customFormat="1" x14ac:dyDescent="0.25">
      <c r="A111" s="60" t="s">
        <v>360</v>
      </c>
      <c r="B111" s="60">
        <v>4024</v>
      </c>
      <c r="C111" s="60" t="s">
        <v>62</v>
      </c>
      <c r="D111" s="60" t="s">
        <v>79</v>
      </c>
      <c r="E111" s="30">
        <v>42523.705949074072</v>
      </c>
      <c r="F111" s="30">
        <v>42523.706979166665</v>
      </c>
      <c r="G111" s="38">
        <v>1</v>
      </c>
      <c r="H111" s="30" t="s">
        <v>148</v>
      </c>
      <c r="I111" s="30">
        <v>42523.739837962959</v>
      </c>
      <c r="J111" s="60">
        <v>0</v>
      </c>
      <c r="K111" s="60" t="str">
        <f t="shared" si="39"/>
        <v>4023/4024</v>
      </c>
      <c r="L111" s="60" t="str">
        <f>VLOOKUP(A111,'Trips&amp;Operators'!$C$1:$E$9999,3,FALSE)</f>
        <v>MAYBERRY</v>
      </c>
      <c r="M111" s="12">
        <f t="shared" si="40"/>
        <v>3.2858796294021886E-2</v>
      </c>
      <c r="N111" s="13">
        <f t="shared" si="34"/>
        <v>47.316666663391516</v>
      </c>
      <c r="O111" s="13"/>
      <c r="P111" s="13"/>
      <c r="Q111" s="61"/>
      <c r="R111" s="61"/>
      <c r="T11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16:55:34-0600',mode:absolute,to:'2016-06-02 17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1" s="73" t="str">
        <f t="shared" si="44"/>
        <v>N</v>
      </c>
      <c r="V111" s="73">
        <f t="shared" si="36"/>
        <v>1</v>
      </c>
      <c r="W111" s="73">
        <f t="shared" si="42"/>
        <v>4.58E-2</v>
      </c>
      <c r="X111" s="73">
        <f t="shared" si="38"/>
        <v>23.3291</v>
      </c>
      <c r="Y111" s="73">
        <f t="shared" si="43"/>
        <v>23.283300000000001</v>
      </c>
      <c r="Z111" s="74" t="e">
        <f>VLOOKUP(A111,Enforcements!$C$3:$J$39,8,0)</f>
        <v>#N/A</v>
      </c>
      <c r="AA111" s="74" t="e">
        <f>VLOOKUP(A111,Enforcements!$C$3:$J$39,3,0)</f>
        <v>#N/A</v>
      </c>
    </row>
    <row r="112" spans="1:27" s="2" customFormat="1" x14ac:dyDescent="0.25">
      <c r="A112" s="60" t="s">
        <v>361</v>
      </c>
      <c r="B112" s="60">
        <v>4023</v>
      </c>
      <c r="C112" s="60" t="s">
        <v>62</v>
      </c>
      <c r="D112" s="60" t="s">
        <v>111</v>
      </c>
      <c r="E112" s="30">
        <v>42523.742488425924</v>
      </c>
      <c r="F112" s="30">
        <v>42523.743414351855</v>
      </c>
      <c r="G112" s="38">
        <v>1</v>
      </c>
      <c r="H112" s="30" t="s">
        <v>77</v>
      </c>
      <c r="I112" s="30">
        <v>42523.776319444441</v>
      </c>
      <c r="J112" s="60">
        <v>0</v>
      </c>
      <c r="K112" s="60" t="str">
        <f t="shared" si="39"/>
        <v>4023/4024</v>
      </c>
      <c r="L112" s="60" t="str">
        <f>VLOOKUP(A112,'Trips&amp;Operators'!$C$1:$E$9999,3,FALSE)</f>
        <v>MAYBERRY</v>
      </c>
      <c r="M112" s="12">
        <f t="shared" si="40"/>
        <v>3.290509258658858E-2</v>
      </c>
      <c r="N112" s="13">
        <f t="shared" si="34"/>
        <v>47.383333324687555</v>
      </c>
      <c r="O112" s="13"/>
      <c r="P112" s="13"/>
      <c r="Q112" s="61"/>
      <c r="R112" s="61"/>
      <c r="T11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17:48:11-0600',mode:absolute,to:'2016-06-02 18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2" s="73" t="str">
        <f t="shared" si="44"/>
        <v>N</v>
      </c>
      <c r="V112" s="73">
        <f t="shared" si="36"/>
        <v>1</v>
      </c>
      <c r="W112" s="73">
        <f t="shared" si="42"/>
        <v>23.2971</v>
      </c>
      <c r="X112" s="73">
        <f t="shared" si="38"/>
        <v>1.47E-2</v>
      </c>
      <c r="Y112" s="73">
        <f t="shared" si="43"/>
        <v>23.282399999999999</v>
      </c>
      <c r="Z112" s="74" t="e">
        <f>VLOOKUP(A112,Enforcements!$C$3:$J$39,8,0)</f>
        <v>#N/A</v>
      </c>
      <c r="AA112" s="74" t="e">
        <f>VLOOKUP(A112,Enforcements!$C$3:$J$39,3,0)</f>
        <v>#N/A</v>
      </c>
    </row>
    <row r="113" spans="1:27" s="2" customFormat="1" x14ac:dyDescent="0.25">
      <c r="A113" s="60" t="s">
        <v>362</v>
      </c>
      <c r="B113" s="60">
        <v>4007</v>
      </c>
      <c r="C113" s="60" t="s">
        <v>62</v>
      </c>
      <c r="D113" s="60" t="s">
        <v>84</v>
      </c>
      <c r="E113" s="30">
        <v>42523.718865740739</v>
      </c>
      <c r="F113" s="30">
        <v>42523.721226851849</v>
      </c>
      <c r="G113" s="38">
        <v>3</v>
      </c>
      <c r="H113" s="30" t="s">
        <v>239</v>
      </c>
      <c r="I113" s="30">
        <v>42523.75203703704</v>
      </c>
      <c r="J113" s="60">
        <v>0</v>
      </c>
      <c r="K113" s="60" t="str">
        <f t="shared" si="39"/>
        <v>4007/4008</v>
      </c>
      <c r="L113" s="60" t="str">
        <f>VLOOKUP(A113,'Trips&amp;Operators'!$C$1:$E$9999,3,FALSE)</f>
        <v>BRUDER</v>
      </c>
      <c r="M113" s="12">
        <f t="shared" si="40"/>
        <v>3.0810185191512574E-2</v>
      </c>
      <c r="N113" s="13">
        <f t="shared" si="34"/>
        <v>44.366666675778106</v>
      </c>
      <c r="O113" s="13"/>
      <c r="P113" s="13"/>
      <c r="Q113" s="61"/>
      <c r="R113" s="61"/>
      <c r="T11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17:14:10-0600',mode:absolute,to:'2016-06-02 18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3" s="73" t="str">
        <f t="shared" si="44"/>
        <v>N</v>
      </c>
      <c r="V113" s="73">
        <f t="shared" si="36"/>
        <v>1</v>
      </c>
      <c r="W113" s="73">
        <f t="shared" si="42"/>
        <v>4.5999999999999999E-2</v>
      </c>
      <c r="X113" s="73">
        <f t="shared" si="38"/>
        <v>23.3308</v>
      </c>
      <c r="Y113" s="73">
        <f t="shared" si="43"/>
        <v>23.284800000000001</v>
      </c>
      <c r="Z113" s="74" t="e">
        <f>VLOOKUP(A113,Enforcements!$C$3:$J$39,8,0)</f>
        <v>#N/A</v>
      </c>
      <c r="AA113" s="74" t="e">
        <f>VLOOKUP(A113,Enforcements!$C$3:$J$39,3,0)</f>
        <v>#N/A</v>
      </c>
    </row>
    <row r="114" spans="1:27" s="2" customFormat="1" x14ac:dyDescent="0.25">
      <c r="A114" s="60" t="s">
        <v>363</v>
      </c>
      <c r="B114" s="60">
        <v>4008</v>
      </c>
      <c r="C114" s="60" t="s">
        <v>62</v>
      </c>
      <c r="D114" s="60" t="s">
        <v>151</v>
      </c>
      <c r="E114" s="30">
        <v>42523.75445601852</v>
      </c>
      <c r="F114" s="30">
        <v>42523.755671296298</v>
      </c>
      <c r="G114" s="38">
        <v>1</v>
      </c>
      <c r="H114" s="30" t="s">
        <v>105</v>
      </c>
      <c r="I114" s="30">
        <v>42523.786226851851</v>
      </c>
      <c r="J114" s="60">
        <v>0</v>
      </c>
      <c r="K114" s="60" t="str">
        <f t="shared" si="39"/>
        <v>4007/4008</v>
      </c>
      <c r="L114" s="60" t="str">
        <f>VLOOKUP(A114,'Trips&amp;Operators'!$C$1:$E$9999,3,FALSE)</f>
        <v>BRUDER</v>
      </c>
      <c r="M114" s="12">
        <f t="shared" si="40"/>
        <v>3.0555555553291924E-2</v>
      </c>
      <c r="N114" s="13">
        <f t="shared" si="34"/>
        <v>43.999999996740371</v>
      </c>
      <c r="O114" s="13"/>
      <c r="P114" s="13"/>
      <c r="Q114" s="61"/>
      <c r="R114" s="61"/>
      <c r="T11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18:05:25-0600',mode:absolute,to:'2016-06-02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4" s="73" t="str">
        <f t="shared" si="44"/>
        <v>N</v>
      </c>
      <c r="V114" s="73">
        <f t="shared" si="36"/>
        <v>1</v>
      </c>
      <c r="W114" s="73">
        <f t="shared" si="42"/>
        <v>23.297599999999999</v>
      </c>
      <c r="X114" s="73">
        <f t="shared" si="38"/>
        <v>1.49E-2</v>
      </c>
      <c r="Y114" s="73">
        <f t="shared" si="43"/>
        <v>23.282699999999998</v>
      </c>
      <c r="Z114" s="74" t="e">
        <f>VLOOKUP(A114,Enforcements!$C$3:$J$39,8,0)</f>
        <v>#N/A</v>
      </c>
      <c r="AA114" s="74" t="e">
        <f>VLOOKUP(A114,Enforcements!$C$3:$J$39,3,0)</f>
        <v>#N/A</v>
      </c>
    </row>
    <row r="115" spans="1:27" s="2" customFormat="1" x14ac:dyDescent="0.25">
      <c r="A115" s="60" t="s">
        <v>364</v>
      </c>
      <c r="B115" s="60">
        <v>4031</v>
      </c>
      <c r="C115" s="60" t="s">
        <v>62</v>
      </c>
      <c r="D115" s="60" t="s">
        <v>149</v>
      </c>
      <c r="E115" s="30">
        <v>42523.732499999998</v>
      </c>
      <c r="F115" s="30">
        <v>42523.734282407408</v>
      </c>
      <c r="G115" s="38">
        <v>2</v>
      </c>
      <c r="H115" s="30" t="s">
        <v>365</v>
      </c>
      <c r="I115" s="30">
        <v>42523.748993055553</v>
      </c>
      <c r="J115" s="60">
        <v>0</v>
      </c>
      <c r="K115" s="60" t="str">
        <f t="shared" si="39"/>
        <v>4031/4032</v>
      </c>
      <c r="L115" s="60" t="str">
        <f>VLOOKUP(A115,'Trips&amp;Operators'!$C$1:$E$9999,3,FALSE)</f>
        <v>YOUNG</v>
      </c>
      <c r="M115" s="12">
        <f t="shared" si="40"/>
        <v>1.4710648145410232E-2</v>
      </c>
      <c r="N115" s="13"/>
      <c r="O115" s="13"/>
      <c r="P115" s="13">
        <f t="shared" si="34"/>
        <v>21.183333329390734</v>
      </c>
      <c r="Q115" s="61"/>
      <c r="R115" s="61" t="s">
        <v>158</v>
      </c>
      <c r="T11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17:33:48-0600',mode:absolute,to:'2016-06-02 17:59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5" s="73" t="str">
        <f t="shared" si="44"/>
        <v>Y</v>
      </c>
      <c r="V115" s="73">
        <f t="shared" si="36"/>
        <v>1</v>
      </c>
      <c r="W115" s="73">
        <f t="shared" si="42"/>
        <v>4.6699999999999998E-2</v>
      </c>
      <c r="X115" s="73">
        <f t="shared" si="38"/>
        <v>8.6374999999999993</v>
      </c>
      <c r="Y115" s="73">
        <f t="shared" si="43"/>
        <v>8.5907999999999998</v>
      </c>
      <c r="Z115" s="74" t="e">
        <f>VLOOKUP(A115,Enforcements!$C$3:$J$39,8,0)</f>
        <v>#N/A</v>
      </c>
      <c r="AA115" s="74" t="e">
        <f>VLOOKUP(A115,Enforcements!$C$3:$J$39,3,0)</f>
        <v>#N/A</v>
      </c>
    </row>
    <row r="116" spans="1:27" s="2" customFormat="1" x14ac:dyDescent="0.25">
      <c r="A116" s="60" t="s">
        <v>366</v>
      </c>
      <c r="B116" s="60">
        <v>4032</v>
      </c>
      <c r="C116" s="60" t="s">
        <v>62</v>
      </c>
      <c r="D116" s="60" t="s">
        <v>311</v>
      </c>
      <c r="E116" s="30">
        <v>42523.767905092594</v>
      </c>
      <c r="F116" s="30">
        <v>42523.768784722219</v>
      </c>
      <c r="G116" s="38">
        <v>1</v>
      </c>
      <c r="H116" s="30" t="s">
        <v>75</v>
      </c>
      <c r="I116" s="30">
        <v>42523.800925925927</v>
      </c>
      <c r="J116" s="60">
        <v>0</v>
      </c>
      <c r="K116" s="60" t="str">
        <f t="shared" si="39"/>
        <v>4031/4032</v>
      </c>
      <c r="L116" s="60" t="str">
        <f>VLOOKUP(A116,'Trips&amp;Operators'!$C$1:$E$9999,3,FALSE)</f>
        <v>YOUNG</v>
      </c>
      <c r="M116" s="12">
        <f t="shared" si="40"/>
        <v>3.2141203708306421E-2</v>
      </c>
      <c r="N116" s="13">
        <f t="shared" si="34"/>
        <v>46.283333339961246</v>
      </c>
      <c r="O116" s="13"/>
      <c r="P116" s="13"/>
      <c r="Q116" s="61"/>
      <c r="R116" s="61"/>
      <c r="T11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18:24:47-0600',mode:absolute,to:'2016-06-02 19:14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6" s="73" t="str">
        <f t="shared" si="44"/>
        <v>N</v>
      </c>
      <c r="V116" s="73">
        <f t="shared" si="36"/>
        <v>1</v>
      </c>
      <c r="W116" s="73">
        <f t="shared" si="42"/>
        <v>23.296900000000001</v>
      </c>
      <c r="X116" s="73">
        <f t="shared" si="38"/>
        <v>1.4999999999999999E-2</v>
      </c>
      <c r="Y116" s="73">
        <f t="shared" si="43"/>
        <v>23.2819</v>
      </c>
      <c r="Z116" s="74" t="e">
        <f>VLOOKUP(A116,Enforcements!$C$3:$J$39,8,0)</f>
        <v>#N/A</v>
      </c>
      <c r="AA116" s="74" t="e">
        <f>VLOOKUP(A116,Enforcements!$C$3:$J$39,3,0)</f>
        <v>#N/A</v>
      </c>
    </row>
    <row r="117" spans="1:27" s="2" customFormat="1" x14ac:dyDescent="0.25">
      <c r="A117" s="60" t="s">
        <v>367</v>
      </c>
      <c r="B117" s="60">
        <v>4011</v>
      </c>
      <c r="C117" s="60" t="s">
        <v>62</v>
      </c>
      <c r="D117" s="60" t="s">
        <v>79</v>
      </c>
      <c r="E117" s="30">
        <v>42523.74496527778</v>
      </c>
      <c r="F117" s="30">
        <v>42523.745972222219</v>
      </c>
      <c r="G117" s="38">
        <v>1</v>
      </c>
      <c r="H117" s="30" t="s">
        <v>163</v>
      </c>
      <c r="I117" s="30">
        <v>42523.774085648147</v>
      </c>
      <c r="J117" s="60">
        <v>0</v>
      </c>
      <c r="K117" s="60" t="str">
        <f t="shared" si="39"/>
        <v>4011/4012</v>
      </c>
      <c r="L117" s="60" t="str">
        <f>VLOOKUP(A117,'Trips&amp;Operators'!$C$1:$E$9999,3,FALSE)</f>
        <v>LEVERE</v>
      </c>
      <c r="M117" s="12">
        <f t="shared" si="40"/>
        <v>2.8113425927585922E-2</v>
      </c>
      <c r="N117" s="13">
        <f t="shared" si="34"/>
        <v>40.483333335723728</v>
      </c>
      <c r="O117" s="13"/>
      <c r="P117" s="13"/>
      <c r="Q117" s="61"/>
      <c r="R117" s="61"/>
      <c r="T11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17:51:45-0600',mode:absolute,to:'2016-06-02 18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7" s="73" t="str">
        <f t="shared" si="44"/>
        <v>N</v>
      </c>
      <c r="V117" s="73">
        <f t="shared" si="36"/>
        <v>1</v>
      </c>
      <c r="W117" s="73">
        <f t="shared" si="42"/>
        <v>4.58E-2</v>
      </c>
      <c r="X117" s="73">
        <f t="shared" si="38"/>
        <v>23.328600000000002</v>
      </c>
      <c r="Y117" s="73">
        <f t="shared" si="43"/>
        <v>23.282800000000002</v>
      </c>
      <c r="Z117" s="74" t="e">
        <f>VLOOKUP(A117,Enforcements!$C$3:$J$39,8,0)</f>
        <v>#N/A</v>
      </c>
      <c r="AA117" s="74" t="e">
        <f>VLOOKUP(A117,Enforcements!$C$3:$J$39,3,0)</f>
        <v>#N/A</v>
      </c>
    </row>
    <row r="118" spans="1:27" s="2" customFormat="1" x14ac:dyDescent="0.25">
      <c r="A118" s="60" t="s">
        <v>368</v>
      </c>
      <c r="B118" s="60">
        <v>4012</v>
      </c>
      <c r="C118" s="60" t="s">
        <v>62</v>
      </c>
      <c r="D118" s="60" t="s">
        <v>176</v>
      </c>
      <c r="E118" s="30">
        <v>42523.777303240742</v>
      </c>
      <c r="F118" s="30">
        <v>42523.778437499997</v>
      </c>
      <c r="G118" s="38">
        <v>1</v>
      </c>
      <c r="H118" s="30" t="s">
        <v>105</v>
      </c>
      <c r="I118" s="30">
        <v>42523.807800925926</v>
      </c>
      <c r="J118" s="60">
        <v>0</v>
      </c>
      <c r="K118" s="60" t="str">
        <f t="shared" si="39"/>
        <v>4011/4012</v>
      </c>
      <c r="L118" s="60" t="str">
        <f>VLOOKUP(A118,'Trips&amp;Operators'!$C$1:$E$9999,3,FALSE)</f>
        <v>LEVERE</v>
      </c>
      <c r="M118" s="12">
        <f t="shared" si="40"/>
        <v>2.9363425928750075E-2</v>
      </c>
      <c r="N118" s="13">
        <f t="shared" si="34"/>
        <v>42.283333337400109</v>
      </c>
      <c r="O118" s="13"/>
      <c r="P118" s="13"/>
      <c r="Q118" s="61"/>
      <c r="R118" s="61"/>
      <c r="T11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18:38:19-0600',mode:absolute,to:'2016-06-02 19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8" s="73" t="str">
        <f t="shared" si="44"/>
        <v>N</v>
      </c>
      <c r="V118" s="73">
        <f t="shared" si="36"/>
        <v>1</v>
      </c>
      <c r="W118" s="73">
        <f t="shared" si="42"/>
        <v>23.2957</v>
      </c>
      <c r="X118" s="73">
        <f t="shared" si="38"/>
        <v>1.49E-2</v>
      </c>
      <c r="Y118" s="73">
        <f t="shared" si="43"/>
        <v>23.280799999999999</v>
      </c>
      <c r="Z118" s="74" t="e">
        <f>VLOOKUP(A118,Enforcements!$C$3:$J$39,8,0)</f>
        <v>#N/A</v>
      </c>
      <c r="AA118" s="74" t="e">
        <f>VLOOKUP(A118,Enforcements!$C$3:$J$39,3,0)</f>
        <v>#N/A</v>
      </c>
    </row>
    <row r="119" spans="1:27" s="2" customFormat="1" ht="15.75" customHeight="1" x14ac:dyDescent="0.25">
      <c r="A119" s="60" t="s">
        <v>369</v>
      </c>
      <c r="B119" s="60">
        <v>4014</v>
      </c>
      <c r="C119" s="60" t="s">
        <v>62</v>
      </c>
      <c r="D119" s="60" t="s">
        <v>370</v>
      </c>
      <c r="E119" s="30">
        <v>42523.756574074076</v>
      </c>
      <c r="F119" s="30">
        <v>42523.757418981484</v>
      </c>
      <c r="G119" s="38">
        <v>1</v>
      </c>
      <c r="H119" s="30" t="s">
        <v>150</v>
      </c>
      <c r="I119" s="30">
        <v>42523.784490740742</v>
      </c>
      <c r="J119" s="60">
        <v>0</v>
      </c>
      <c r="K119" s="60" t="str">
        <f t="shared" si="39"/>
        <v>4013/4014</v>
      </c>
      <c r="L119" s="60" t="str">
        <f>VLOOKUP(A119,'Trips&amp;Operators'!$C$1:$E$9999,3,FALSE)</f>
        <v>GOLIGHTLY</v>
      </c>
      <c r="M119" s="12">
        <f t="shared" si="40"/>
        <v>2.7071759257523809E-2</v>
      </c>
      <c r="N119" s="13">
        <f t="shared" si="34"/>
        <v>38.983333330834284</v>
      </c>
      <c r="O119" s="13"/>
      <c r="P119" s="13"/>
      <c r="Q119" s="61"/>
      <c r="R119" s="61"/>
      <c r="T11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18:08:28-0600',mode:absolute,to:'2016-06-02 18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3" t="str">
        <f t="shared" si="44"/>
        <v>N</v>
      </c>
      <c r="V119" s="73">
        <f t="shared" si="36"/>
        <v>1</v>
      </c>
      <c r="W119" s="73">
        <f t="shared" si="42"/>
        <v>4.7800000000000002E-2</v>
      </c>
      <c r="X119" s="73">
        <f t="shared" si="38"/>
        <v>23.328499999999998</v>
      </c>
      <c r="Y119" s="73">
        <f t="shared" si="43"/>
        <v>23.2807</v>
      </c>
      <c r="Z119" s="74" t="e">
        <f>VLOOKUP(A119,Enforcements!$C$3:$J$39,8,0)</f>
        <v>#N/A</v>
      </c>
      <c r="AA119" s="74" t="e">
        <f>VLOOKUP(A119,Enforcements!$C$3:$J$39,3,0)</f>
        <v>#N/A</v>
      </c>
    </row>
    <row r="120" spans="1:27" s="2" customFormat="1" x14ac:dyDescent="0.25">
      <c r="A120" s="60" t="s">
        <v>371</v>
      </c>
      <c r="B120" s="60">
        <v>4013</v>
      </c>
      <c r="C120" s="60" t="s">
        <v>62</v>
      </c>
      <c r="D120" s="60" t="s">
        <v>314</v>
      </c>
      <c r="E120" s="30">
        <v>42523.787210648145</v>
      </c>
      <c r="F120" s="30">
        <v>42523.788298611114</v>
      </c>
      <c r="G120" s="38">
        <v>1</v>
      </c>
      <c r="H120" s="30" t="s">
        <v>179</v>
      </c>
      <c r="I120" s="30">
        <v>42523.816770833335</v>
      </c>
      <c r="J120" s="60">
        <v>0</v>
      </c>
      <c r="K120" s="60" t="str">
        <f t="shared" si="39"/>
        <v>4013/4014</v>
      </c>
      <c r="L120" s="60" t="str">
        <f>VLOOKUP(A120,'Trips&amp;Operators'!$C$1:$E$9999,3,FALSE)</f>
        <v>GOLIGHTLY</v>
      </c>
      <c r="M120" s="12">
        <f t="shared" si="40"/>
        <v>2.8472222220443655E-2</v>
      </c>
      <c r="N120" s="13">
        <f t="shared" si="34"/>
        <v>40.999999997438863</v>
      </c>
      <c r="O120" s="13"/>
      <c r="P120" s="13"/>
      <c r="Q120" s="61"/>
      <c r="R120" s="61"/>
      <c r="T12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18:52:35-0600',mode:absolute,to:'2016-06-02 19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3" t="str">
        <f t="shared" si="44"/>
        <v>N</v>
      </c>
      <c r="V120" s="73">
        <f t="shared" si="36"/>
        <v>1</v>
      </c>
      <c r="W120" s="73">
        <f t="shared" si="42"/>
        <v>23.296800000000001</v>
      </c>
      <c r="X120" s="73">
        <f t="shared" si="38"/>
        <v>1.67E-2</v>
      </c>
      <c r="Y120" s="73">
        <f t="shared" si="43"/>
        <v>23.280100000000001</v>
      </c>
      <c r="Z120" s="74" t="e">
        <f>VLOOKUP(A120,Enforcements!$C$3:$J$39,8,0)</f>
        <v>#N/A</v>
      </c>
      <c r="AA120" s="74" t="e">
        <f>VLOOKUP(A120,Enforcements!$C$3:$J$39,3,0)</f>
        <v>#N/A</v>
      </c>
    </row>
    <row r="121" spans="1:27" s="2" customFormat="1" x14ac:dyDescent="0.25">
      <c r="A121" s="60" t="s">
        <v>372</v>
      </c>
      <c r="B121" s="60">
        <v>4027</v>
      </c>
      <c r="C121" s="60" t="s">
        <v>62</v>
      </c>
      <c r="D121" s="60" t="s">
        <v>126</v>
      </c>
      <c r="E121" s="30">
        <v>42523.757719907408</v>
      </c>
      <c r="F121" s="30">
        <v>42523.758958333332</v>
      </c>
      <c r="G121" s="38">
        <v>1</v>
      </c>
      <c r="H121" s="30" t="s">
        <v>181</v>
      </c>
      <c r="I121" s="30">
        <v>42523.787893518522</v>
      </c>
      <c r="J121" s="60">
        <v>0</v>
      </c>
      <c r="K121" s="60" t="str">
        <f t="shared" si="39"/>
        <v>4027/4028</v>
      </c>
      <c r="L121" s="60" t="str">
        <f>VLOOKUP(A121,'Trips&amp;Operators'!$C$1:$E$9999,3,FALSE)</f>
        <v>ADANE</v>
      </c>
      <c r="M121" s="12">
        <f t="shared" si="40"/>
        <v>2.8935185189766344E-2</v>
      </c>
      <c r="N121" s="13">
        <f t="shared" si="34"/>
        <v>41.666666673263535</v>
      </c>
      <c r="O121" s="13"/>
      <c r="P121" s="13"/>
      <c r="Q121" s="61"/>
      <c r="R121" s="61"/>
      <c r="T121" s="73" t="str">
        <f t="shared" ref="T121:T142" si="49"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https://search-rtdc-monitor-bjffxe2xuh6vdkpspy63sjmuny.us-east-1.es.amazonaws.com/_plugin/kibana/#/discover/Steve-Slow-Train-Analysis-(2080s-and-2083s)?_g=(refreshInterval:(display:Off,section:0,value:0),time:(from:'2016-06-02 18:10:07-0600',mode:absolute,to:'2016-06-02 18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1" s="73" t="str">
        <f t="shared" ref="U121:U146" si="50">IF(Y121&lt;23,"Y","N")</f>
        <v>N</v>
      </c>
      <c r="V121" s="73">
        <f t="shared" si="36"/>
        <v>1</v>
      </c>
      <c r="W121" s="73">
        <f t="shared" ref="W121:W142" si="51">RIGHT(D121,LEN(D121)-4)/10000</f>
        <v>4.53E-2</v>
      </c>
      <c r="X121" s="73">
        <f t="shared" ref="X121:X142" si="52">RIGHT(H121,LEN(H121)-4)/10000</f>
        <v>23.328199999999999</v>
      </c>
      <c r="Y121" s="73">
        <f t="shared" ref="Y121:Y142" si="53">ABS(X121-W121)</f>
        <v>23.282899999999998</v>
      </c>
      <c r="Z121" s="74" t="e">
        <f>VLOOKUP(A121,Enforcements!$C$3:$J$39,8,0)</f>
        <v>#N/A</v>
      </c>
      <c r="AA121" s="74" t="e">
        <f>VLOOKUP(A121,Enforcements!$C$3:$J$39,3,0)</f>
        <v>#N/A</v>
      </c>
    </row>
    <row r="122" spans="1:27" s="2" customFormat="1" x14ac:dyDescent="0.25">
      <c r="A122" s="60" t="s">
        <v>373</v>
      </c>
      <c r="B122" s="60">
        <v>4028</v>
      </c>
      <c r="C122" s="60" t="s">
        <v>62</v>
      </c>
      <c r="D122" s="60" t="s">
        <v>311</v>
      </c>
      <c r="E122" s="30">
        <v>42523.797662037039</v>
      </c>
      <c r="F122" s="30">
        <v>42523.799247685187</v>
      </c>
      <c r="G122" s="38">
        <v>2</v>
      </c>
      <c r="H122" s="30" t="s">
        <v>64</v>
      </c>
      <c r="I122" s="30">
        <v>42523.826435185183</v>
      </c>
      <c r="J122" s="60">
        <v>1</v>
      </c>
      <c r="K122" s="60" t="str">
        <f t="shared" ref="K122:K140" si="54">IF(ISEVEN(B122),(B122-1)&amp;"/"&amp;B122,B122&amp;"/"&amp;(B122+1))</f>
        <v>4027/4028</v>
      </c>
      <c r="L122" s="60" t="str">
        <f>VLOOKUP(A122,'Trips&amp;Operators'!$C$1:$E$9999,3,FALSE)</f>
        <v>ADANE</v>
      </c>
      <c r="M122" s="12">
        <f t="shared" ref="M122:M140" si="55">I122-F122</f>
        <v>2.7187499996216502E-2</v>
      </c>
      <c r="N122" s="13">
        <f t="shared" si="34"/>
        <v>39.149999994551763</v>
      </c>
      <c r="O122" s="13"/>
      <c r="P122" s="13"/>
      <c r="Q122" s="61"/>
      <c r="R122" s="61"/>
      <c r="T122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19:07:38-0600',mode:absolute,to:'2016-06-02 19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2" s="73" t="str">
        <f t="shared" si="50"/>
        <v>N</v>
      </c>
      <c r="V122" s="73">
        <f t="shared" si="36"/>
        <v>1</v>
      </c>
      <c r="W122" s="73">
        <f t="shared" si="51"/>
        <v>23.296900000000001</v>
      </c>
      <c r="X122" s="73">
        <f t="shared" si="52"/>
        <v>1.4500000000000001E-2</v>
      </c>
      <c r="Y122" s="73">
        <f t="shared" si="53"/>
        <v>23.282399999999999</v>
      </c>
      <c r="Z122" s="74">
        <f>VLOOKUP(A122,Enforcements!$C$3:$J$39,8,0)</f>
        <v>1</v>
      </c>
      <c r="AA122" s="74" t="str">
        <f>VLOOKUP(A122,Enforcements!$C$3:$J$39,3,0)</f>
        <v>TRACK WARRANT AUTHORITY</v>
      </c>
    </row>
    <row r="123" spans="1:27" s="2" customFormat="1" x14ac:dyDescent="0.25">
      <c r="A123" s="60" t="s">
        <v>374</v>
      </c>
      <c r="B123" s="60">
        <v>4025</v>
      </c>
      <c r="C123" s="60" t="s">
        <v>62</v>
      </c>
      <c r="D123" s="60" t="s">
        <v>370</v>
      </c>
      <c r="E123" s="30">
        <v>42523.77070601852</v>
      </c>
      <c r="F123" s="30">
        <v>42523.771747685183</v>
      </c>
      <c r="G123" s="38">
        <v>1</v>
      </c>
      <c r="H123" s="30" t="s">
        <v>375</v>
      </c>
      <c r="I123" s="30">
        <v>42523.797951388886</v>
      </c>
      <c r="J123" s="60">
        <v>0</v>
      </c>
      <c r="K123" s="60" t="str">
        <f t="shared" si="54"/>
        <v>4025/4026</v>
      </c>
      <c r="L123" s="60" t="str">
        <f>VLOOKUP(A123,'Trips&amp;Operators'!$C$1:$E$9999,3,FALSE)</f>
        <v>GRASTON</v>
      </c>
      <c r="M123" s="12">
        <f t="shared" si="55"/>
        <v>2.6203703702776693E-2</v>
      </c>
      <c r="N123" s="13">
        <f t="shared" si="34"/>
        <v>37.733333331998438</v>
      </c>
      <c r="O123" s="13"/>
      <c r="P123" s="13"/>
      <c r="Q123" s="61"/>
      <c r="R123" s="61"/>
      <c r="T123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18:28:49-0600',mode:absolute,to:'2016-06-02 19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3" s="73" t="str">
        <f t="shared" si="50"/>
        <v>N</v>
      </c>
      <c r="V123" s="73">
        <f t="shared" si="36"/>
        <v>1</v>
      </c>
      <c r="W123" s="73">
        <f t="shared" si="51"/>
        <v>4.7800000000000002E-2</v>
      </c>
      <c r="X123" s="73">
        <f t="shared" si="52"/>
        <v>23.330200000000001</v>
      </c>
      <c r="Y123" s="73">
        <f t="shared" si="53"/>
        <v>23.282400000000003</v>
      </c>
      <c r="Z123" s="74" t="e">
        <f>VLOOKUP(A123,Enforcements!$C$3:$J$39,8,0)</f>
        <v>#N/A</v>
      </c>
      <c r="AA123" s="74" t="e">
        <f>VLOOKUP(A123,Enforcements!$C$3:$J$39,3,0)</f>
        <v>#N/A</v>
      </c>
    </row>
    <row r="124" spans="1:27" s="2" customFormat="1" x14ac:dyDescent="0.25">
      <c r="A124" s="60" t="s">
        <v>376</v>
      </c>
      <c r="B124" s="60">
        <v>4026</v>
      </c>
      <c r="C124" s="60" t="s">
        <v>62</v>
      </c>
      <c r="D124" s="60" t="s">
        <v>103</v>
      </c>
      <c r="E124" s="30">
        <v>42523.807245370372</v>
      </c>
      <c r="F124" s="30">
        <v>42523.808194444442</v>
      </c>
      <c r="G124" s="38">
        <v>1</v>
      </c>
      <c r="H124" s="30" t="s">
        <v>292</v>
      </c>
      <c r="I124" s="30">
        <v>42523.836261574077</v>
      </c>
      <c r="J124" s="60">
        <v>0</v>
      </c>
      <c r="K124" s="60" t="str">
        <f t="shared" si="54"/>
        <v>4025/4026</v>
      </c>
      <c r="L124" s="60" t="str">
        <f>VLOOKUP(A124,'Trips&amp;Operators'!$C$1:$E$9999,3,FALSE)</f>
        <v>GRASTON</v>
      </c>
      <c r="M124" s="12">
        <f t="shared" si="55"/>
        <v>2.8067129635019228E-2</v>
      </c>
      <c r="N124" s="13">
        <f t="shared" si="34"/>
        <v>40.416666674427688</v>
      </c>
      <c r="O124" s="13"/>
      <c r="P124" s="13"/>
      <c r="Q124" s="61"/>
      <c r="R124" s="61"/>
      <c r="T124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19:21:26-0600',mode:absolute,to:'2016-06-02 20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4" s="73" t="str">
        <f t="shared" si="50"/>
        <v>N</v>
      </c>
      <c r="V124" s="73">
        <f t="shared" si="36"/>
        <v>1</v>
      </c>
      <c r="W124" s="73">
        <f t="shared" si="51"/>
        <v>23.298500000000001</v>
      </c>
      <c r="X124" s="73">
        <f t="shared" si="52"/>
        <v>1.6500000000000001E-2</v>
      </c>
      <c r="Y124" s="73">
        <f t="shared" si="53"/>
        <v>23.282</v>
      </c>
      <c r="Z124" s="74" t="e">
        <f>VLOOKUP(A124,Enforcements!$C$3:$J$39,8,0)</f>
        <v>#N/A</v>
      </c>
      <c r="AA124" s="74" t="e">
        <f>VLOOKUP(A124,Enforcements!$C$3:$J$39,3,0)</f>
        <v>#N/A</v>
      </c>
    </row>
    <row r="125" spans="1:27" s="2" customFormat="1" x14ac:dyDescent="0.25">
      <c r="A125" s="60" t="s">
        <v>377</v>
      </c>
      <c r="B125" s="60">
        <v>4007</v>
      </c>
      <c r="C125" s="60" t="s">
        <v>62</v>
      </c>
      <c r="D125" s="60" t="s">
        <v>131</v>
      </c>
      <c r="E125" s="30">
        <v>42523.788310185184</v>
      </c>
      <c r="F125" s="30">
        <v>42523.789687500001</v>
      </c>
      <c r="G125" s="38">
        <v>1</v>
      </c>
      <c r="H125" s="30" t="s">
        <v>80</v>
      </c>
      <c r="I125" s="30">
        <v>42523.818969907406</v>
      </c>
      <c r="J125" s="60">
        <v>1</v>
      </c>
      <c r="K125" s="60" t="str">
        <f t="shared" si="54"/>
        <v>4007/4008</v>
      </c>
      <c r="L125" s="60" t="str">
        <f>VLOOKUP(A125,'Trips&amp;Operators'!$C$1:$E$9999,3,FALSE)</f>
        <v>BRUDER</v>
      </c>
      <c r="M125" s="12">
        <f t="shared" si="55"/>
        <v>2.9282407405844424E-2</v>
      </c>
      <c r="N125" s="13">
        <f t="shared" si="34"/>
        <v>42.16666666441597</v>
      </c>
      <c r="O125" s="13"/>
      <c r="P125" s="13"/>
      <c r="Q125" s="61"/>
      <c r="R125" s="61"/>
      <c r="T125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18:54:10-0600',mode:absolute,to:'2016-06-02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50"/>
        <v>N</v>
      </c>
      <c r="V125" s="73">
        <f t="shared" si="36"/>
        <v>1</v>
      </c>
      <c r="W125" s="73">
        <f t="shared" si="51"/>
        <v>4.4600000000000001E-2</v>
      </c>
      <c r="X125" s="73">
        <f t="shared" si="52"/>
        <v>23.3306</v>
      </c>
      <c r="Y125" s="73">
        <f t="shared" si="53"/>
        <v>23.286000000000001</v>
      </c>
      <c r="Z125" s="74">
        <f>VLOOKUP(A125,Enforcements!$C$3:$J$39,8,0)</f>
        <v>232107</v>
      </c>
      <c r="AA125" s="74" t="str">
        <f>VLOOKUP(A125,Enforcements!$C$3:$J$39,3,0)</f>
        <v>PERMANENT SPEED RESTRICTION</v>
      </c>
    </row>
    <row r="126" spans="1:27" s="2" customFormat="1" x14ac:dyDescent="0.25">
      <c r="A126" s="60" t="s">
        <v>409</v>
      </c>
      <c r="B126" s="60">
        <v>4008</v>
      </c>
      <c r="C126" s="60"/>
      <c r="D126" s="60"/>
      <c r="E126" s="30"/>
      <c r="F126" s="30">
        <v>42523.825914351852</v>
      </c>
      <c r="G126" s="38"/>
      <c r="H126" s="30"/>
      <c r="I126" s="30">
        <v>42523.859942129631</v>
      </c>
      <c r="J126" s="60">
        <v>1</v>
      </c>
      <c r="K126" s="60" t="str">
        <f t="shared" si="54"/>
        <v>4007/4008</v>
      </c>
      <c r="L126" s="60" t="str">
        <f>VLOOKUP(A126,'Trips&amp;Operators'!$C$1:$E$9999,3,FALSE)</f>
        <v>BRUDER</v>
      </c>
      <c r="M126" s="12">
        <f t="shared" ref="M126:M127" si="56">I126-F126</f>
        <v>3.4027777779556345E-2</v>
      </c>
      <c r="N126" s="13">
        <f t="shared" si="34"/>
        <v>49.000000002561137</v>
      </c>
      <c r="O126" s="13"/>
      <c r="P126" s="13"/>
      <c r="Q126" s="61"/>
      <c r="R126" s="61"/>
      <c r="T126" s="73" t="e">
        <f t="shared" si="49"/>
        <v>#VALUE!</v>
      </c>
      <c r="U126" s="73" t="str">
        <f t="shared" si="50"/>
        <v>Y</v>
      </c>
      <c r="V126" s="73">
        <f t="shared" si="36"/>
        <v>1</v>
      </c>
      <c r="W126" s="73">
        <v>23.297899999999998</v>
      </c>
      <c r="X126" s="73">
        <v>0.34289999999999998</v>
      </c>
      <c r="Y126" s="73">
        <f t="shared" si="53"/>
        <v>22.954999999999998</v>
      </c>
      <c r="Z126" s="74"/>
      <c r="AA126" s="74"/>
    </row>
    <row r="127" spans="1:27" s="2" customFormat="1" x14ac:dyDescent="0.25">
      <c r="A127" s="60" t="s">
        <v>378</v>
      </c>
      <c r="B127" s="60">
        <v>4011</v>
      </c>
      <c r="C127" s="60" t="s">
        <v>62</v>
      </c>
      <c r="D127" s="60" t="s">
        <v>70</v>
      </c>
      <c r="E127" s="30">
        <v>42523.81045138889</v>
      </c>
      <c r="F127" s="30">
        <v>42523.811574074076</v>
      </c>
      <c r="G127" s="38">
        <v>1</v>
      </c>
      <c r="H127" s="30" t="s">
        <v>379</v>
      </c>
      <c r="I127" s="30">
        <v>42523.839502314811</v>
      </c>
      <c r="J127" s="60">
        <v>0</v>
      </c>
      <c r="K127" s="60" t="str">
        <f t="shared" si="54"/>
        <v>4011/4012</v>
      </c>
      <c r="L127" s="60" t="str">
        <f>VLOOKUP(A127,'Trips&amp;Operators'!$C$1:$E$9999,3,FALSE)</f>
        <v>LEVERE</v>
      </c>
      <c r="M127" s="12">
        <f t="shared" si="56"/>
        <v>2.7928240735491272E-2</v>
      </c>
      <c r="N127" s="13">
        <f t="shared" si="34"/>
        <v>40.216666659107432</v>
      </c>
      <c r="O127" s="13"/>
      <c r="P127" s="13"/>
      <c r="Q127" s="61"/>
      <c r="R127" s="61"/>
      <c r="T127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19:26:03-0600',mode:absolute,to:'2016-06-02 20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7" s="73" t="str">
        <f t="shared" si="50"/>
        <v>N</v>
      </c>
      <c r="V127" s="73">
        <f t="shared" si="36"/>
        <v>1</v>
      </c>
      <c r="W127" s="73">
        <f t="shared" si="51"/>
        <v>4.6399999999999997E-2</v>
      </c>
      <c r="X127" s="73">
        <f t="shared" si="52"/>
        <v>23.328700000000001</v>
      </c>
      <c r="Y127" s="73">
        <f t="shared" si="53"/>
        <v>23.282300000000003</v>
      </c>
      <c r="Z127" s="74" t="e">
        <f>VLOOKUP(A127,Enforcements!$C$3:$J$39,8,0)</f>
        <v>#N/A</v>
      </c>
      <c r="AA127" s="74" t="e">
        <f>VLOOKUP(A127,Enforcements!$C$3:$J$39,3,0)</f>
        <v>#N/A</v>
      </c>
    </row>
    <row r="128" spans="1:27" s="2" customFormat="1" x14ac:dyDescent="0.25">
      <c r="A128" s="60" t="s">
        <v>380</v>
      </c>
      <c r="B128" s="60">
        <v>4012</v>
      </c>
      <c r="C128" s="60" t="s">
        <v>62</v>
      </c>
      <c r="D128" s="60" t="s">
        <v>140</v>
      </c>
      <c r="E128" s="30">
        <v>42523.844259259262</v>
      </c>
      <c r="F128" s="30">
        <v>42523.845219907409</v>
      </c>
      <c r="G128" s="38">
        <v>1</v>
      </c>
      <c r="H128" s="30" t="s">
        <v>129</v>
      </c>
      <c r="I128" s="30">
        <v>42523.880208333336</v>
      </c>
      <c r="J128" s="60">
        <v>0</v>
      </c>
      <c r="K128" s="60" t="str">
        <f t="shared" si="54"/>
        <v>4011/4012</v>
      </c>
      <c r="L128" s="60" t="str">
        <f>VLOOKUP(A128,'Trips&amp;Operators'!$C$1:$E$9999,3,FALSE)</f>
        <v>LEVERE</v>
      </c>
      <c r="M128" s="12">
        <f t="shared" si="55"/>
        <v>3.4988425926712807E-2</v>
      </c>
      <c r="N128" s="13">
        <f t="shared" si="34"/>
        <v>50.383333334466442</v>
      </c>
      <c r="O128" s="13"/>
      <c r="P128" s="13"/>
      <c r="Q128" s="61"/>
      <c r="R128" s="61"/>
      <c r="T128" s="73" t="str">
        <f t="shared" ref="T128:T134" si="57"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https://search-rtdc-monitor-bjffxe2xuh6vdkpspy63sjmuny.us-east-1.es.amazonaws.com/_plugin/kibana/#/discover/Steve-Slow-Train-Analysis-(2080s-and-2083s)?_g=(refreshInterval:(display:Off,section:0,value:0),time:(from:'2016-06-02 20:14:44-0600',mode:absolute,to:'2016-06-02 21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8" s="73" t="str">
        <f t="shared" ref="U128:U134" si="58">IF(Y128&lt;23,"Y","N")</f>
        <v>N</v>
      </c>
      <c r="V128" s="73">
        <f t="shared" ref="V128:V134" si="59">VALUE(LEFT(A128,3))-VALUE(LEFT(A127,3))</f>
        <v>1</v>
      </c>
      <c r="W128" s="73">
        <f t="shared" ref="W128:W134" si="60">RIGHT(D128,LEN(D128)-4)/10000</f>
        <v>23.2974</v>
      </c>
      <c r="X128" s="73">
        <f t="shared" ref="X128:X134" si="61">RIGHT(H128,LEN(H128)-4)/10000</f>
        <v>1.61E-2</v>
      </c>
      <c r="Y128" s="73">
        <f t="shared" ref="Y128:Y134" si="62">ABS(X128-W128)</f>
        <v>23.281299999999998</v>
      </c>
      <c r="Z128" s="74" t="e">
        <f>VLOOKUP(A128,Enforcements!$C$3:$J$39,8,0)</f>
        <v>#N/A</v>
      </c>
      <c r="AA128" s="74" t="e">
        <f>VLOOKUP(A128,Enforcements!$C$3:$J$39,3,0)</f>
        <v>#N/A</v>
      </c>
    </row>
    <row r="129" spans="1:27" s="2" customFormat="1" ht="14.25" customHeight="1" x14ac:dyDescent="0.25">
      <c r="A129" s="60" t="s">
        <v>381</v>
      </c>
      <c r="B129" s="60">
        <v>4027</v>
      </c>
      <c r="C129" s="60" t="s">
        <v>62</v>
      </c>
      <c r="D129" s="60" t="s">
        <v>66</v>
      </c>
      <c r="E129" s="30">
        <v>42523.831006944441</v>
      </c>
      <c r="F129" s="30">
        <v>42523.83153935185</v>
      </c>
      <c r="G129" s="38">
        <v>15</v>
      </c>
      <c r="H129" s="30" t="s">
        <v>131</v>
      </c>
      <c r="I129" s="30">
        <v>42523.868807870371</v>
      </c>
      <c r="J129" s="60">
        <v>0</v>
      </c>
      <c r="K129" s="60" t="str">
        <f t="shared" si="54"/>
        <v>4027/4028</v>
      </c>
      <c r="L129" s="60" t="str">
        <f>VLOOKUP(A129,'Trips&amp;Operators'!$C$1:$E$9999,3,FALSE)</f>
        <v>ADANE</v>
      </c>
      <c r="M129" s="12">
        <f t="shared" si="55"/>
        <v>3.7268518521159422E-2</v>
      </c>
      <c r="N129" s="13"/>
      <c r="O129" s="13"/>
      <c r="P129" s="13">
        <f t="shared" ref="N129:P131" si="63">24*60*SUM($M129:$M129)</f>
        <v>53.666666670469567</v>
      </c>
      <c r="Q129" s="61"/>
      <c r="R129" s="61" t="s">
        <v>158</v>
      </c>
      <c r="T129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https://search-rtdc-monitor-bjffxe2xuh6vdkpspy63sjmuny.us-east-1.es.amazonaws.com/_plugin/kibana/#/discover/Steve-Slow-Train-Analysis-(2080s-and-2083s)?_g=(refreshInterval:(display:Off,section:0,value:0),time:(from:'2016-06-02 19:55:39-0600',mode:absolute,to:'2016-06-02 20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9" s="73" t="str">
        <f t="shared" si="58"/>
        <v>N</v>
      </c>
      <c r="V129" s="73">
        <f t="shared" si="59"/>
        <v>1</v>
      </c>
      <c r="W129" s="73">
        <f t="shared" si="60"/>
        <v>4.5499999999999999E-2</v>
      </c>
      <c r="X129" s="73">
        <v>23.331</v>
      </c>
      <c r="Y129" s="73">
        <f t="shared" si="62"/>
        <v>23.285499999999999</v>
      </c>
      <c r="Z129" s="74">
        <f>VLOOKUP(A129,Enforcements!$C$3:$J$39,8,0)</f>
        <v>0</v>
      </c>
      <c r="AA129" s="74" t="str">
        <f>VLOOKUP(A129,Enforcements!$C$3:$J$39,3,0)</f>
        <v>PERMANENT SPEED RESTRICTION</v>
      </c>
    </row>
    <row r="130" spans="1:27" s="2" customFormat="1" ht="14.25" customHeight="1" x14ac:dyDescent="0.25">
      <c r="A130" s="60" t="s">
        <v>426</v>
      </c>
      <c r="B130" s="60">
        <v>4028</v>
      </c>
      <c r="C130" s="60"/>
      <c r="D130" s="60"/>
      <c r="E130" s="30"/>
      <c r="F130" s="30">
        <v>42523.874826388892</v>
      </c>
      <c r="G130" s="38"/>
      <c r="H130" s="30"/>
      <c r="I130" s="30">
        <v>42523.876527777778</v>
      </c>
      <c r="J130" s="60">
        <v>0</v>
      </c>
      <c r="K130" s="60" t="str">
        <f t="shared" ref="K130" si="64">IF(ISEVEN(B130),(B130-1)&amp;"/"&amp;B130,B130&amp;"/"&amp;(B130+1))</f>
        <v>4027/4028</v>
      </c>
      <c r="L130" s="60" t="str">
        <f>VLOOKUP(A130,'Trips&amp;Operators'!$C$1:$E$9999,3,FALSE)</f>
        <v>ADANE</v>
      </c>
      <c r="M130" s="12">
        <f t="shared" ref="M130" si="65">I130-F130</f>
        <v>1.7013888864312321E-3</v>
      </c>
      <c r="N130" s="13"/>
      <c r="O130" s="13"/>
      <c r="P130" s="13">
        <f t="shared" si="63"/>
        <v>2.4499999964609742</v>
      </c>
      <c r="Q130" s="61"/>
      <c r="R130" s="61" t="s">
        <v>158</v>
      </c>
      <c r="T130" s="73" t="e">
        <f t="shared" si="57"/>
        <v>#VALUE!</v>
      </c>
      <c r="U130" s="73" t="e">
        <f t="shared" si="58"/>
        <v>#VALUE!</v>
      </c>
      <c r="V130" s="73">
        <f t="shared" si="59"/>
        <v>1</v>
      </c>
      <c r="W130" s="73" t="e">
        <f t="shared" si="60"/>
        <v>#VALUE!</v>
      </c>
      <c r="X130" s="73" t="e">
        <f t="shared" si="61"/>
        <v>#VALUE!</v>
      </c>
      <c r="Y130" s="73" t="e">
        <f t="shared" si="62"/>
        <v>#VALUE!</v>
      </c>
      <c r="Z130" s="74" t="e">
        <f>VLOOKUP(A130,Enforcements!$C$3:$J$39,8,0)</f>
        <v>#N/A</v>
      </c>
      <c r="AA130" s="74" t="e">
        <f>VLOOKUP(A130,Enforcements!$C$3:$J$39,3,0)</f>
        <v>#N/A</v>
      </c>
    </row>
    <row r="131" spans="1:27" s="2" customFormat="1" x14ac:dyDescent="0.25">
      <c r="A131" s="60" t="s">
        <v>382</v>
      </c>
      <c r="B131" s="60">
        <v>4025</v>
      </c>
      <c r="C131" s="60" t="s">
        <v>62</v>
      </c>
      <c r="D131" s="60" t="s">
        <v>70</v>
      </c>
      <c r="E131" s="30">
        <v>42523.849270833336</v>
      </c>
      <c r="F131" s="30">
        <v>42523.850208333337</v>
      </c>
      <c r="G131" s="38">
        <v>1</v>
      </c>
      <c r="H131" s="30" t="s">
        <v>383</v>
      </c>
      <c r="I131" s="30">
        <v>42523.880127314813</v>
      </c>
      <c r="J131" s="60">
        <v>0</v>
      </c>
      <c r="K131" s="60" t="str">
        <f t="shared" si="54"/>
        <v>4025/4026</v>
      </c>
      <c r="L131" s="60" t="str">
        <f>VLOOKUP(A131,'Trips&amp;Operators'!$C$1:$E$9999,3,FALSE)</f>
        <v>GRASTON</v>
      </c>
      <c r="M131" s="12">
        <f t="shared" si="55"/>
        <v>2.9918981475930195E-2</v>
      </c>
      <c r="N131" s="13">
        <f t="shared" si="63"/>
        <v>43.083333325339481</v>
      </c>
      <c r="O131" s="13"/>
      <c r="P131" s="13"/>
      <c r="Q131" s="61"/>
      <c r="R131" s="61"/>
      <c r="T131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https://search-rtdc-monitor-bjffxe2xuh6vdkpspy63sjmuny.us-east-1.es.amazonaws.com/_plugin/kibana/#/discover/Steve-Slow-Train-Analysis-(2080s-and-2083s)?_g=(refreshInterval:(display:Off,section:0,value:0),time:(from:'2016-06-02 20:21:57-0600',mode:absolute,to:'2016-06-02 21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1" s="73" t="str">
        <f t="shared" si="58"/>
        <v>N</v>
      </c>
      <c r="V131" s="73">
        <f t="shared" si="59"/>
        <v>1</v>
      </c>
      <c r="W131" s="73">
        <f t="shared" si="60"/>
        <v>4.6399999999999997E-2</v>
      </c>
      <c r="X131" s="73">
        <f t="shared" si="61"/>
        <v>23.327200000000001</v>
      </c>
      <c r="Y131" s="73">
        <f t="shared" si="62"/>
        <v>23.280800000000003</v>
      </c>
      <c r="Z131" s="74" t="e">
        <f>VLOOKUP(A131,Enforcements!$C$3:$J$39,8,0)</f>
        <v>#N/A</v>
      </c>
      <c r="AA131" s="74" t="e">
        <f>VLOOKUP(A131,Enforcements!$C$3:$J$39,3,0)</f>
        <v>#N/A</v>
      </c>
    </row>
    <row r="132" spans="1:27" s="2" customFormat="1" x14ac:dyDescent="0.25">
      <c r="A132" s="60" t="s">
        <v>384</v>
      </c>
      <c r="B132" s="60">
        <v>4026</v>
      </c>
      <c r="C132" s="60" t="s">
        <v>62</v>
      </c>
      <c r="D132" s="60" t="s">
        <v>130</v>
      </c>
      <c r="E132" s="30">
        <v>42523.890231481484</v>
      </c>
      <c r="F132" s="30">
        <v>42523.891134259262</v>
      </c>
      <c r="G132" s="38">
        <v>1</v>
      </c>
      <c r="H132" s="30" t="s">
        <v>224</v>
      </c>
      <c r="I132" s="30">
        <v>42523.920763888891</v>
      </c>
      <c r="J132" s="60">
        <v>0</v>
      </c>
      <c r="K132" s="60" t="str">
        <f>IF(ISEVEN(B132),(B132-1)&amp;"/"&amp;B132,B132&amp;"/"&amp;(B132+1))</f>
        <v>4025/4026</v>
      </c>
      <c r="L132" s="60" t="str">
        <f>VLOOKUP(A132,'Trips&amp;Operators'!$C$1:$E$9999,3,FALSE)</f>
        <v>GRASTON</v>
      </c>
      <c r="M132" s="12">
        <f>I132-F132</f>
        <v>2.9629629629198462E-2</v>
      </c>
      <c r="N132" s="13">
        <f t="shared" ref="N132:N148" si="66">24*60*SUM($M132:$M132)</f>
        <v>42.666666666045785</v>
      </c>
      <c r="O132" s="13"/>
      <c r="P132" s="13"/>
      <c r="Q132" s="61"/>
      <c r="R132" s="61"/>
      <c r="T132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https://search-rtdc-monitor-bjffxe2xuh6vdkpspy63sjmuny.us-east-1.es.amazonaws.com/_plugin/kibana/#/discover/Steve-Slow-Train-Analysis-(2080s-and-2083s)?_g=(refreshInterval:(display:Off,section:0,value:0),time:(from:'2016-06-02 21:20:56-0600',mode:absolute,to:'2016-06-02 22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2" s="73" t="str">
        <f t="shared" si="58"/>
        <v>N</v>
      </c>
      <c r="V132" s="73">
        <f t="shared" si="59"/>
        <v>1</v>
      </c>
      <c r="W132" s="73">
        <f t="shared" si="60"/>
        <v>23.297999999999998</v>
      </c>
      <c r="X132" s="73">
        <f t="shared" si="61"/>
        <v>1.54E-2</v>
      </c>
      <c r="Y132" s="73">
        <f t="shared" si="62"/>
        <v>23.282599999999999</v>
      </c>
      <c r="Z132" s="74" t="e">
        <f>VLOOKUP(A132,Enforcements!$C$3:$J$39,8,0)</f>
        <v>#N/A</v>
      </c>
      <c r="AA132" s="74" t="e">
        <f>VLOOKUP(A132,Enforcements!$C$3:$J$39,3,0)</f>
        <v>#N/A</v>
      </c>
    </row>
    <row r="133" spans="1:27" s="2" customFormat="1" x14ac:dyDescent="0.25">
      <c r="A133" s="60" t="s">
        <v>385</v>
      </c>
      <c r="B133" s="60">
        <v>4044</v>
      </c>
      <c r="C133" s="60" t="s">
        <v>62</v>
      </c>
      <c r="D133" s="60" t="s">
        <v>66</v>
      </c>
      <c r="E133" s="30">
        <v>42523.869513888887</v>
      </c>
      <c r="F133" s="30">
        <v>42523.871122685188</v>
      </c>
      <c r="G133" s="38">
        <v>2</v>
      </c>
      <c r="H133" s="30" t="s">
        <v>294</v>
      </c>
      <c r="I133" s="30">
        <v>42523.902743055558</v>
      </c>
      <c r="J133" s="60">
        <v>0</v>
      </c>
      <c r="K133" s="60" t="str">
        <f t="shared" si="54"/>
        <v>4043/4044</v>
      </c>
      <c r="L133" s="60" t="str">
        <f>VLOOKUP(A133,'Trips&amp;Operators'!$C$1:$E$9999,3,FALSE)</f>
        <v>BRUDER</v>
      </c>
      <c r="M133" s="12">
        <f t="shared" si="55"/>
        <v>3.1620370369637385E-2</v>
      </c>
      <c r="N133" s="13">
        <f t="shared" si="66"/>
        <v>45.533333332277834</v>
      </c>
      <c r="O133" s="13"/>
      <c r="P133" s="13"/>
      <c r="Q133" s="61"/>
      <c r="R133" s="61"/>
      <c r="T133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https://search-rtdc-monitor-bjffxe2xuh6vdkpspy63sjmuny.us-east-1.es.amazonaws.com/_plugin/kibana/#/discover/Steve-Slow-Train-Analysis-(2080s-and-2083s)?_g=(refreshInterval:(display:Off,section:0,value:0),time:(from:'2016-06-02 20:51:06-0600',mode:absolute,to:'2016-06-02 21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3" t="str">
        <f t="shared" si="58"/>
        <v>N</v>
      </c>
      <c r="V133" s="73">
        <f t="shared" si="59"/>
        <v>1</v>
      </c>
      <c r="W133" s="73">
        <f t="shared" si="60"/>
        <v>4.5499999999999999E-2</v>
      </c>
      <c r="X133" s="73">
        <f t="shared" si="61"/>
        <v>23.3338</v>
      </c>
      <c r="Y133" s="73">
        <f t="shared" si="62"/>
        <v>23.2883</v>
      </c>
      <c r="Z133" s="74" t="e">
        <f>VLOOKUP(A133,Enforcements!$C$3:$J$39,8,0)</f>
        <v>#N/A</v>
      </c>
      <c r="AA133" s="74" t="e">
        <f>VLOOKUP(A133,Enforcements!$C$3:$J$39,3,0)</f>
        <v>#N/A</v>
      </c>
    </row>
    <row r="134" spans="1:27" s="2" customFormat="1" x14ac:dyDescent="0.25">
      <c r="A134" s="60" t="s">
        <v>386</v>
      </c>
      <c r="B134" s="60">
        <v>4043</v>
      </c>
      <c r="C134" s="60" t="s">
        <v>62</v>
      </c>
      <c r="D134" s="60" t="s">
        <v>127</v>
      </c>
      <c r="E134" s="30">
        <v>42523.906655092593</v>
      </c>
      <c r="F134" s="30">
        <v>42523.910717592589</v>
      </c>
      <c r="G134" s="38">
        <v>5</v>
      </c>
      <c r="H134" s="30" t="s">
        <v>75</v>
      </c>
      <c r="I134" s="30">
        <v>42523.944861111115</v>
      </c>
      <c r="J134" s="60">
        <v>0</v>
      </c>
      <c r="K134" s="60" t="str">
        <f t="shared" si="54"/>
        <v>4043/4044</v>
      </c>
      <c r="L134" s="60" t="str">
        <f>VLOOKUP(A134,'Trips&amp;Operators'!$C$1:$E$9999,3,FALSE)</f>
        <v>BRUDER</v>
      </c>
      <c r="M134" s="12">
        <f t="shared" si="55"/>
        <v>3.4143518525524996E-2</v>
      </c>
      <c r="N134" s="13">
        <f t="shared" si="66"/>
        <v>49.166666676755995</v>
      </c>
      <c r="O134" s="13"/>
      <c r="P134" s="13"/>
      <c r="Q134" s="61"/>
      <c r="R134" s="61"/>
      <c r="T134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https://search-rtdc-monitor-bjffxe2xuh6vdkpspy63sjmuny.us-east-1.es.amazonaws.com/_plugin/kibana/#/discover/Steve-Slow-Train-Analysis-(2080s-and-2083s)?_g=(refreshInterval:(display:Off,section:0,value:0),time:(from:'2016-06-02 21:44:35-0600',mode:absolute,to:'2016-06-02 22:41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3" t="str">
        <f t="shared" si="58"/>
        <v>N</v>
      </c>
      <c r="V134" s="73">
        <f t="shared" si="59"/>
        <v>1</v>
      </c>
      <c r="W134" s="73">
        <f t="shared" si="60"/>
        <v>23.299800000000001</v>
      </c>
      <c r="X134" s="73">
        <f t="shared" si="61"/>
        <v>1.4999999999999999E-2</v>
      </c>
      <c r="Y134" s="73">
        <f t="shared" si="62"/>
        <v>23.284800000000001</v>
      </c>
      <c r="Z134" s="74" t="e">
        <f>VLOOKUP(A134,Enforcements!$C$3:$J$39,8,0)</f>
        <v>#N/A</v>
      </c>
      <c r="AA134" s="74" t="e">
        <f>VLOOKUP(A134,Enforcements!$C$3:$J$39,3,0)</f>
        <v>#N/A</v>
      </c>
    </row>
    <row r="135" spans="1:27" s="2" customFormat="1" x14ac:dyDescent="0.25">
      <c r="A135" s="60" t="s">
        <v>387</v>
      </c>
      <c r="B135" s="60">
        <v>4011</v>
      </c>
      <c r="C135" s="60" t="s">
        <v>62</v>
      </c>
      <c r="D135" s="60" t="s">
        <v>70</v>
      </c>
      <c r="E135" s="30">
        <v>42523.888958333337</v>
      </c>
      <c r="F135" s="30">
        <v>42523.889803240738</v>
      </c>
      <c r="G135" s="38">
        <v>1</v>
      </c>
      <c r="H135" s="30" t="s">
        <v>99</v>
      </c>
      <c r="I135" s="30">
        <v>42523.923703703702</v>
      </c>
      <c r="J135" s="60">
        <v>0</v>
      </c>
      <c r="K135" s="60" t="str">
        <f t="shared" si="54"/>
        <v>4011/4012</v>
      </c>
      <c r="L135" s="60" t="str">
        <f>VLOOKUP(A135,'Trips&amp;Operators'!$C$1:$E$9999,3,FALSE)</f>
        <v>LEVERE</v>
      </c>
      <c r="M135" s="12">
        <f t="shared" si="55"/>
        <v>3.3900462964083999E-2</v>
      </c>
      <c r="N135" s="13">
        <f t="shared" si="66"/>
        <v>48.816666668280959</v>
      </c>
      <c r="O135" s="13"/>
      <c r="P135" s="13"/>
      <c r="Q135" s="61"/>
      <c r="R135" s="61"/>
      <c r="T135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21:19:06-0600',mode:absolute,to:'2016-06-02 22:11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5" s="73" t="str">
        <f t="shared" si="50"/>
        <v>N</v>
      </c>
      <c r="V135" s="73">
        <f t="shared" ref="V135:V136" si="67">VALUE(LEFT(A135,3))-VALUE(LEFT(A134,3))</f>
        <v>1</v>
      </c>
      <c r="W135" s="73">
        <f t="shared" si="51"/>
        <v>4.6399999999999997E-2</v>
      </c>
      <c r="X135" s="73">
        <f t="shared" si="52"/>
        <v>23.327999999999999</v>
      </c>
      <c r="Y135" s="73">
        <f t="shared" si="53"/>
        <v>23.281600000000001</v>
      </c>
      <c r="Z135" s="74" t="e">
        <f>VLOOKUP(A135,Enforcements!$C$3:$J$39,8,0)</f>
        <v>#N/A</v>
      </c>
      <c r="AA135" s="74" t="e">
        <f>VLOOKUP(A135,Enforcements!$C$3:$J$39,3,0)</f>
        <v>#N/A</v>
      </c>
    </row>
    <row r="136" spans="1:27" s="2" customFormat="1" x14ac:dyDescent="0.25">
      <c r="A136" s="60" t="s">
        <v>388</v>
      </c>
      <c r="B136" s="60">
        <v>4012</v>
      </c>
      <c r="C136" s="60" t="s">
        <v>62</v>
      </c>
      <c r="D136" s="60" t="s">
        <v>173</v>
      </c>
      <c r="E136" s="30">
        <v>42523.928530092591</v>
      </c>
      <c r="F136" s="30">
        <v>42523.929432870369</v>
      </c>
      <c r="G136" s="38">
        <v>1</v>
      </c>
      <c r="H136" s="30" t="s">
        <v>129</v>
      </c>
      <c r="I136" s="30">
        <v>42523.966469907406</v>
      </c>
      <c r="J136" s="60">
        <v>0</v>
      </c>
      <c r="K136" s="60" t="str">
        <f t="shared" si="54"/>
        <v>4011/4012</v>
      </c>
      <c r="L136" s="60" t="str">
        <f>VLOOKUP(A136,'Trips&amp;Operators'!$C$1:$E$9999,3,FALSE)</f>
        <v>LEVERE</v>
      </c>
      <c r="M136" s="12">
        <f t="shared" si="55"/>
        <v>3.7037037036498077E-2</v>
      </c>
      <c r="N136" s="13">
        <f t="shared" si="66"/>
        <v>53.333333332557231</v>
      </c>
      <c r="O136" s="13"/>
      <c r="P136" s="13"/>
      <c r="Q136" s="61"/>
      <c r="R136" s="61"/>
      <c r="T136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22:16:05-0600',mode:absolute,to:'2016-06-02 23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6" s="73" t="str">
        <f t="shared" si="50"/>
        <v>N</v>
      </c>
      <c r="V136" s="73">
        <f t="shared" si="67"/>
        <v>1</v>
      </c>
      <c r="W136" s="73">
        <f t="shared" si="51"/>
        <v>23.297000000000001</v>
      </c>
      <c r="X136" s="73">
        <f t="shared" si="52"/>
        <v>1.61E-2</v>
      </c>
      <c r="Y136" s="73">
        <f t="shared" si="53"/>
        <v>23.280899999999999</v>
      </c>
      <c r="Z136" s="74" t="e">
        <f>VLOOKUP(A136,Enforcements!$C$3:$J$39,8,0)</f>
        <v>#N/A</v>
      </c>
      <c r="AA136" s="74" t="e">
        <f>VLOOKUP(A136,Enforcements!$C$3:$J$39,3,0)</f>
        <v>#N/A</v>
      </c>
    </row>
    <row r="137" spans="1:27" s="2" customFormat="1" x14ac:dyDescent="0.25">
      <c r="A137" s="60" t="s">
        <v>389</v>
      </c>
      <c r="B137" s="60">
        <v>4042</v>
      </c>
      <c r="C137" s="60" t="s">
        <v>62</v>
      </c>
      <c r="D137" s="60" t="s">
        <v>95</v>
      </c>
      <c r="E137" s="30">
        <v>42523.915844907409</v>
      </c>
      <c r="F137" s="30">
        <v>42523.916956018518</v>
      </c>
      <c r="G137" s="38">
        <v>1</v>
      </c>
      <c r="H137" s="30" t="s">
        <v>142</v>
      </c>
      <c r="I137" s="30">
        <v>42523.944560185184</v>
      </c>
      <c r="J137" s="60">
        <v>1</v>
      </c>
      <c r="K137" s="60" t="str">
        <f t="shared" si="54"/>
        <v>4041/4042</v>
      </c>
      <c r="L137" s="60" t="str">
        <f>VLOOKUP(A137,'Trips&amp;Operators'!$C$1:$E$9999,3,FALSE)</f>
        <v>NEWELL</v>
      </c>
      <c r="M137" s="12">
        <f t="shared" si="55"/>
        <v>2.7604166665696539E-2</v>
      </c>
      <c r="N137" s="13">
        <f t="shared" si="66"/>
        <v>39.749999998603016</v>
      </c>
      <c r="O137" s="13"/>
      <c r="P137" s="13"/>
      <c r="Q137" s="61"/>
      <c r="R137" s="61"/>
      <c r="T137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21:57:49-0600',mode:absolute,to:'2016-06-02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7" s="73" t="str">
        <f t="shared" si="50"/>
        <v>N</v>
      </c>
      <c r="V137" s="73">
        <f t="shared" ref="V137:V148" si="68">VALUE(LEFT(A137,3))-VALUE(LEFT(A136,3))</f>
        <v>1</v>
      </c>
      <c r="W137" s="73">
        <f t="shared" si="51"/>
        <v>4.5699999999999998E-2</v>
      </c>
      <c r="X137" s="73">
        <f t="shared" si="52"/>
        <v>23.3323</v>
      </c>
      <c r="Y137" s="73">
        <f t="shared" si="53"/>
        <v>23.2866</v>
      </c>
      <c r="Z137" s="74">
        <f>VLOOKUP(A137,Enforcements!$C$3:$J$39,8,0)</f>
        <v>53155</v>
      </c>
      <c r="AA137" s="74" t="str">
        <f>VLOOKUP(A137,Enforcements!$C$3:$J$39,3,0)</f>
        <v>GRADE CROSSING</v>
      </c>
    </row>
    <row r="138" spans="1:27" s="2" customFormat="1" x14ac:dyDescent="0.25">
      <c r="A138" s="60" t="s">
        <v>390</v>
      </c>
      <c r="B138" s="60">
        <v>4041</v>
      </c>
      <c r="C138" s="60" t="s">
        <v>62</v>
      </c>
      <c r="D138" s="60" t="s">
        <v>169</v>
      </c>
      <c r="E138" s="30">
        <v>42523.94903935185</v>
      </c>
      <c r="F138" s="30">
        <v>42523.950300925928</v>
      </c>
      <c r="G138" s="38">
        <v>1</v>
      </c>
      <c r="H138" s="30" t="s">
        <v>292</v>
      </c>
      <c r="I138" s="30">
        <v>42523.985277777778</v>
      </c>
      <c r="J138" s="60">
        <v>1</v>
      </c>
      <c r="K138" s="60" t="str">
        <f t="shared" si="54"/>
        <v>4041/4042</v>
      </c>
      <c r="L138" s="60" t="str">
        <f>VLOOKUP(A138,'Trips&amp;Operators'!$C$1:$E$9999,3,FALSE)</f>
        <v>NEWELL</v>
      </c>
      <c r="M138" s="12">
        <f t="shared" si="55"/>
        <v>3.4976851849933155E-2</v>
      </c>
      <c r="N138" s="13">
        <f t="shared" si="66"/>
        <v>50.366666663903743</v>
      </c>
      <c r="O138" s="13"/>
      <c r="P138" s="13"/>
      <c r="Q138" s="61"/>
      <c r="R138" s="61"/>
      <c r="T138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22:45:37-0600',mode:absolute,to:'2016-06-02 23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8" s="73" t="str">
        <f t="shared" si="50"/>
        <v>N</v>
      </c>
      <c r="V138" s="73">
        <f t="shared" si="68"/>
        <v>1</v>
      </c>
      <c r="W138" s="73">
        <f t="shared" si="51"/>
        <v>23.299299999999999</v>
      </c>
      <c r="X138" s="73">
        <f t="shared" si="52"/>
        <v>1.6500000000000001E-2</v>
      </c>
      <c r="Y138" s="73">
        <f t="shared" si="53"/>
        <v>23.282799999999998</v>
      </c>
      <c r="Z138" s="74">
        <f>VLOOKUP(A138,Enforcements!$C$3:$J$39,8,0)</f>
        <v>53277</v>
      </c>
      <c r="AA138" s="74" t="str">
        <f>VLOOKUP(A138,Enforcements!$C$3:$J$39,3,0)</f>
        <v>GRADE CROSSING</v>
      </c>
    </row>
    <row r="139" spans="1:27" s="2" customFormat="1" x14ac:dyDescent="0.25">
      <c r="A139" s="60" t="s">
        <v>391</v>
      </c>
      <c r="B139" s="60">
        <v>4025</v>
      </c>
      <c r="C139" s="60" t="s">
        <v>62</v>
      </c>
      <c r="D139" s="60" t="s">
        <v>146</v>
      </c>
      <c r="E139" s="30">
        <v>42523.931550925925</v>
      </c>
      <c r="F139" s="30">
        <v>42523.932384259257</v>
      </c>
      <c r="G139" s="38">
        <v>1</v>
      </c>
      <c r="H139" s="30" t="s">
        <v>392</v>
      </c>
      <c r="I139" s="30">
        <v>42523.963043981479</v>
      </c>
      <c r="J139" s="60">
        <v>0</v>
      </c>
      <c r="K139" s="60" t="str">
        <f t="shared" si="54"/>
        <v>4025/4026</v>
      </c>
      <c r="L139" s="60" t="str">
        <f>VLOOKUP(A139,'Trips&amp;Operators'!$C$1:$E$9999,3,FALSE)</f>
        <v>GRASTON</v>
      </c>
      <c r="M139" s="12">
        <f t="shared" si="55"/>
        <v>3.0659722222480923E-2</v>
      </c>
      <c r="N139" s="13">
        <f t="shared" si="66"/>
        <v>44.150000000372529</v>
      </c>
      <c r="O139" s="13"/>
      <c r="P139" s="13"/>
      <c r="Q139" s="61"/>
      <c r="R139" s="61"/>
      <c r="T139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22:20:26-0600',mode:absolute,to:'2016-06-02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9" s="73" t="str">
        <f t="shared" si="50"/>
        <v>N</v>
      </c>
      <c r="V139" s="73">
        <f t="shared" si="68"/>
        <v>1</v>
      </c>
      <c r="W139" s="73">
        <f t="shared" si="51"/>
        <v>4.4900000000000002E-2</v>
      </c>
      <c r="X139" s="73">
        <f t="shared" si="52"/>
        <v>23.33</v>
      </c>
      <c r="Y139" s="73">
        <f t="shared" si="53"/>
        <v>23.2851</v>
      </c>
      <c r="Z139" s="74" t="e">
        <f>VLOOKUP(A139,Enforcements!$C$3:$J$39,8,0)</f>
        <v>#N/A</v>
      </c>
      <c r="AA139" s="74" t="e">
        <f>VLOOKUP(A139,Enforcements!$C$3:$J$39,3,0)</f>
        <v>#N/A</v>
      </c>
    </row>
    <row r="140" spans="1:27" s="2" customFormat="1" x14ac:dyDescent="0.25">
      <c r="A140" s="60" t="s">
        <v>393</v>
      </c>
      <c r="B140" s="60">
        <v>4026</v>
      </c>
      <c r="C140" s="60" t="s">
        <v>62</v>
      </c>
      <c r="D140" s="60" t="s">
        <v>138</v>
      </c>
      <c r="E140" s="30">
        <v>42523.973715277774</v>
      </c>
      <c r="F140" s="30">
        <v>42523.974629629629</v>
      </c>
      <c r="G140" s="38">
        <v>1</v>
      </c>
      <c r="H140" s="30" t="s">
        <v>91</v>
      </c>
      <c r="I140" s="30">
        <v>42524.005127314813</v>
      </c>
      <c r="J140" s="60">
        <v>1</v>
      </c>
      <c r="K140" s="60" t="str">
        <f t="shared" si="54"/>
        <v>4025/4026</v>
      </c>
      <c r="L140" s="60" t="str">
        <f>VLOOKUP(A140,'Trips&amp;Operators'!$C$1:$E$9999,3,FALSE)</f>
        <v>GRASTON</v>
      </c>
      <c r="M140" s="12">
        <f t="shared" si="55"/>
        <v>3.0497685183945578E-2</v>
      </c>
      <c r="N140" s="13">
        <f t="shared" si="66"/>
        <v>43.916666664881632</v>
      </c>
      <c r="O140" s="13"/>
      <c r="P140" s="13"/>
      <c r="Q140" s="61"/>
      <c r="R140" s="61"/>
      <c r="T140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23:21:09-0600',mode:absolute,to:'2016-06-03 00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0" s="73" t="str">
        <f t="shared" si="50"/>
        <v>N</v>
      </c>
      <c r="V140" s="73">
        <f t="shared" si="68"/>
        <v>1</v>
      </c>
      <c r="W140" s="73">
        <f t="shared" si="51"/>
        <v>23.298100000000002</v>
      </c>
      <c r="X140" s="73">
        <f t="shared" si="52"/>
        <v>1.43E-2</v>
      </c>
      <c r="Y140" s="73">
        <f t="shared" si="53"/>
        <v>23.283800000000003</v>
      </c>
      <c r="Z140" s="74">
        <f>VLOOKUP(A140,Enforcements!$C$3:$J$39,8,0)</f>
        <v>4677</v>
      </c>
      <c r="AA140" s="74" t="str">
        <f>VLOOKUP(A140,Enforcements!$C$3:$J$39,3,0)</f>
        <v>PERMANENT SPEED RESTRICTION</v>
      </c>
    </row>
    <row r="141" spans="1:27" s="2" customFormat="1" x14ac:dyDescent="0.25">
      <c r="A141" s="60" t="s">
        <v>394</v>
      </c>
      <c r="B141" s="60">
        <v>4044</v>
      </c>
      <c r="C141" s="60" t="s">
        <v>62</v>
      </c>
      <c r="D141" s="60" t="s">
        <v>67</v>
      </c>
      <c r="E141" s="30">
        <v>42523.948946759258</v>
      </c>
      <c r="F141" s="30">
        <v>42523.950138888889</v>
      </c>
      <c r="G141" s="38">
        <v>1</v>
      </c>
      <c r="H141" s="30" t="s">
        <v>222</v>
      </c>
      <c r="I141" s="30">
        <v>42523.985081018516</v>
      </c>
      <c r="J141" s="60">
        <v>0</v>
      </c>
      <c r="K141" s="60" t="str">
        <f>IF(ISEVEN(B141),(B141-1)&amp;"/"&amp;B141,B141&amp;"/"&amp;(B141+1))</f>
        <v>4043/4044</v>
      </c>
      <c r="L141" s="60" t="str">
        <f>VLOOKUP(A141,'Trips&amp;Operators'!$C$1:$E$9999,3,FALSE)</f>
        <v>BRUDER</v>
      </c>
      <c r="M141" s="12">
        <f>I141-F141</f>
        <v>3.4942129626870155E-2</v>
      </c>
      <c r="N141" s="13">
        <f t="shared" si="66"/>
        <v>50.316666662693024</v>
      </c>
      <c r="O141" s="13"/>
      <c r="P141" s="13"/>
      <c r="Q141" s="61"/>
      <c r="R141" s="61"/>
      <c r="T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https://search-rtdc-monitor-bjffxe2xuh6vdkpspy63sjmuny.us-east-1.es.amazonaws.com/_plugin/kibana/#/discover/Steve-Slow-Train-Analysis-(2080s-and-2083s)?_g=(refreshInterval:(display:Off,section:0,value:0),time:(from:'2016-06-02 22:45:29-0600',mode:absolute,to:'2016-06-02 23:39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1" s="73" t="str">
        <f t="shared" si="50"/>
        <v>N</v>
      </c>
      <c r="V141" s="73">
        <f t="shared" si="68"/>
        <v>1</v>
      </c>
      <c r="W141" s="73">
        <f>RIGHT(D141,LEN(D141)-4)/10000</f>
        <v>4.5100000000000001E-2</v>
      </c>
      <c r="X141" s="73">
        <f>RIGHT(H141,LEN(H141)-4)/10000</f>
        <v>23.331499999999998</v>
      </c>
      <c r="Y141" s="73">
        <f>ABS(X141-W141)</f>
        <v>23.286399999999997</v>
      </c>
      <c r="Z141" s="74" t="e">
        <f>VLOOKUP(A141,Enforcements!$C$3:$J$39,8,0)</f>
        <v>#N/A</v>
      </c>
      <c r="AA141" s="74" t="e">
        <f>VLOOKUP(A141,Enforcements!$C$3:$J$39,3,0)</f>
        <v>#N/A</v>
      </c>
    </row>
    <row r="142" spans="1:27" s="2" customFormat="1" x14ac:dyDescent="0.25">
      <c r="A142" s="60" t="s">
        <v>395</v>
      </c>
      <c r="B142" s="60">
        <v>4043</v>
      </c>
      <c r="C142" s="60" t="s">
        <v>62</v>
      </c>
      <c r="D142" s="60" t="s">
        <v>127</v>
      </c>
      <c r="E142" s="30">
        <v>42523.988009259258</v>
      </c>
      <c r="F142" s="30">
        <v>42523.989386574074</v>
      </c>
      <c r="G142" s="38">
        <v>1</v>
      </c>
      <c r="H142" s="30" t="s">
        <v>396</v>
      </c>
      <c r="I142" s="30">
        <v>42524.026689814818</v>
      </c>
      <c r="J142" s="60">
        <v>0</v>
      </c>
      <c r="K142" s="60" t="str">
        <f t="shared" si="39"/>
        <v>4043/4044</v>
      </c>
      <c r="L142" s="60" t="str">
        <f>VLOOKUP(A142,'Trips&amp;Operators'!$C$1:$E$9999,3,FALSE)</f>
        <v>BRUDER</v>
      </c>
      <c r="M142" s="12">
        <f t="shared" si="40"/>
        <v>3.7303240744222421E-2</v>
      </c>
      <c r="N142" s="13">
        <f t="shared" si="66"/>
        <v>53.716666671680287</v>
      </c>
      <c r="O142" s="13"/>
      <c r="P142" s="13"/>
      <c r="Q142" s="61"/>
      <c r="R142" s="61"/>
      <c r="T142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https://search-rtdc-monitor-bjffxe2xuh6vdkpspy63sjmuny.us-east-1.es.amazonaws.com/_plugin/kibana/#/discover/Steve-Slow-Train-Analysis-(2080s-and-2083s)?_g=(refreshInterval:(display:Off,section:0,value:0),time:(from:'2016-06-02 23:41:44-0600',mode:absolute,to:'2016-06-03 00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2" s="73" t="str">
        <f t="shared" si="50"/>
        <v>N</v>
      </c>
      <c r="V142" s="73">
        <f t="shared" si="68"/>
        <v>1</v>
      </c>
      <c r="W142" s="73">
        <f t="shared" si="51"/>
        <v>23.299800000000001</v>
      </c>
      <c r="X142" s="73">
        <f t="shared" si="52"/>
        <v>8.9200000000000002E-2</v>
      </c>
      <c r="Y142" s="73">
        <f t="shared" si="53"/>
        <v>23.210599999999999</v>
      </c>
      <c r="Z142" s="74" t="e">
        <f>VLOOKUP(A142,Enforcements!$C$3:$J$39,8,0)</f>
        <v>#N/A</v>
      </c>
      <c r="AA142" s="74" t="e">
        <f>VLOOKUP(A142,Enforcements!$C$3:$J$39,3,0)</f>
        <v>#N/A</v>
      </c>
    </row>
    <row r="143" spans="1:27" s="2" customFormat="1" x14ac:dyDescent="0.25">
      <c r="A143" s="60" t="s">
        <v>397</v>
      </c>
      <c r="B143" s="60">
        <v>4011</v>
      </c>
      <c r="C143" s="60" t="s">
        <v>62</v>
      </c>
      <c r="D143" s="60" t="s">
        <v>398</v>
      </c>
      <c r="E143" s="30">
        <v>42523.972581018519</v>
      </c>
      <c r="F143" s="30">
        <v>42523.973460648151</v>
      </c>
      <c r="G143" s="38">
        <v>1</v>
      </c>
      <c r="H143" s="30" t="s">
        <v>124</v>
      </c>
      <c r="I143" s="30">
        <v>42524.006990740738</v>
      </c>
      <c r="J143" s="60">
        <v>0</v>
      </c>
      <c r="K143" s="60" t="str">
        <f t="shared" si="39"/>
        <v>4011/4012</v>
      </c>
      <c r="L143" s="60" t="str">
        <f>VLOOKUP(A143,'Trips&amp;Operators'!$C$1:$E$9999,3,FALSE)</f>
        <v>LEVERE</v>
      </c>
      <c r="M143" s="12">
        <f t="shared" si="40"/>
        <v>3.3530092587170657E-2</v>
      </c>
      <c r="N143" s="13">
        <f t="shared" si="66"/>
        <v>48.283333325525746</v>
      </c>
      <c r="O143" s="13"/>
      <c r="P143" s="13"/>
      <c r="Q143" s="61"/>
      <c r="R143" s="61"/>
      <c r="T14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23:19:31-0600',mode:absolute,to:'2016-06-03 00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3" s="73" t="str">
        <f t="shared" si="50"/>
        <v>N</v>
      </c>
      <c r="V143" s="73">
        <f t="shared" si="68"/>
        <v>1</v>
      </c>
      <c r="W143" s="73">
        <f t="shared" si="42"/>
        <v>4.8399999999999999E-2</v>
      </c>
      <c r="X143" s="73">
        <f t="shared" si="38"/>
        <v>23.328299999999999</v>
      </c>
      <c r="Y143" s="73">
        <f t="shared" si="43"/>
        <v>23.279899999999998</v>
      </c>
      <c r="Z143" s="74" t="e">
        <f>VLOOKUP(A143,Enforcements!$C$3:$J$39,8,0)</f>
        <v>#N/A</v>
      </c>
      <c r="AA143" s="74" t="e">
        <f>VLOOKUP(A143,Enforcements!$C$3:$J$39,3,0)</f>
        <v>#N/A</v>
      </c>
    </row>
    <row r="144" spans="1:27" s="2" customFormat="1" x14ac:dyDescent="0.25">
      <c r="A144" s="60" t="s">
        <v>399</v>
      </c>
      <c r="B144" s="60">
        <v>4012</v>
      </c>
      <c r="C144" s="60" t="s">
        <v>62</v>
      </c>
      <c r="D144" s="60" t="s">
        <v>171</v>
      </c>
      <c r="E144" s="30">
        <v>42524.012696759259</v>
      </c>
      <c r="F144" s="30">
        <v>42524.013680555552</v>
      </c>
      <c r="G144" s="38">
        <v>1</v>
      </c>
      <c r="H144" s="30" t="s">
        <v>164</v>
      </c>
      <c r="I144" s="30">
        <v>42524.048750000002</v>
      </c>
      <c r="J144" s="60">
        <v>0</v>
      </c>
      <c r="K144" s="60" t="str">
        <f t="shared" si="39"/>
        <v>4011/4012</v>
      </c>
      <c r="L144" s="60" t="str">
        <f>VLOOKUP(A144,'Trips&amp;Operators'!$C$1:$E$9999,3,FALSE)</f>
        <v>LEVERE</v>
      </c>
      <c r="M144" s="12">
        <f t="shared" si="40"/>
        <v>3.5069444449618459E-2</v>
      </c>
      <c r="N144" s="13">
        <f t="shared" si="66"/>
        <v>50.500000007450581</v>
      </c>
      <c r="O144" s="13"/>
      <c r="P144" s="13"/>
      <c r="Q144" s="61"/>
      <c r="R144" s="61"/>
      <c r="T14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https://search-rtdc-monitor-bjffxe2xuh6vdkpspy63sjmuny.us-east-1.es.amazonaws.com/_plugin/kibana/#/discover/Steve-Slow-Train-Analysis-(2080s-and-2083s)?_g=(refreshInterval:(display:Off,section:0,value:0),time:(from:'2016-06-03 00:17:17-0600',mode:absolute,to:'2016-06-03 01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4" s="73" t="str">
        <f t="shared" si="50"/>
        <v>N</v>
      </c>
      <c r="V144" s="73">
        <f t="shared" si="68"/>
        <v>1</v>
      </c>
      <c r="W144" s="73">
        <f t="shared" si="42"/>
        <v>23.296600000000002</v>
      </c>
      <c r="X144" s="73">
        <f t="shared" ref="X144:X148" si="69">RIGHT(H144,LEN(H144)-4)/10000</f>
        <v>1.7000000000000001E-2</v>
      </c>
      <c r="Y144" s="73">
        <f t="shared" si="43"/>
        <v>23.279600000000002</v>
      </c>
      <c r="Z144" s="74" t="e">
        <f>VLOOKUP(A144,Enforcements!$C$3:$J$39,8,0)</f>
        <v>#N/A</v>
      </c>
      <c r="AA144" s="74" t="e">
        <f>VLOOKUP(A144,Enforcements!$C$3:$J$39,3,0)</f>
        <v>#N/A</v>
      </c>
    </row>
    <row r="145" spans="1:27" s="2" customFormat="1" x14ac:dyDescent="0.25">
      <c r="A145" s="60" t="s">
        <v>400</v>
      </c>
      <c r="B145" s="60">
        <v>4042</v>
      </c>
      <c r="C145" s="60" t="s">
        <v>62</v>
      </c>
      <c r="D145" s="60" t="s">
        <v>272</v>
      </c>
      <c r="E145" s="30">
        <v>42523.995497685188</v>
      </c>
      <c r="F145" s="30">
        <v>42523.996481481481</v>
      </c>
      <c r="G145" s="38">
        <v>1</v>
      </c>
      <c r="H145" s="30" t="s">
        <v>177</v>
      </c>
      <c r="I145" s="30">
        <v>42524.028356481482</v>
      </c>
      <c r="J145" s="60">
        <v>0</v>
      </c>
      <c r="K145" s="60" t="str">
        <f t="shared" si="39"/>
        <v>4041/4042</v>
      </c>
      <c r="L145" s="60" t="str">
        <f>VLOOKUP(A145,'Trips&amp;Operators'!$C$1:$E$9999,3,FALSE)</f>
        <v>ADANE</v>
      </c>
      <c r="M145" s="12">
        <f t="shared" si="40"/>
        <v>3.1875000000582077E-2</v>
      </c>
      <c r="N145" s="13">
        <f t="shared" si="66"/>
        <v>45.90000000083819</v>
      </c>
      <c r="O145" s="13"/>
      <c r="P145" s="13"/>
      <c r="Q145" s="61"/>
      <c r="R145" s="61"/>
      <c r="T14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https://search-rtdc-monitor-bjffxe2xuh6vdkpspy63sjmuny.us-east-1.es.amazonaws.com/_plugin/kibana/#/discover/Steve-Slow-Train-Analysis-(2080s-and-2083s)?_g=(refreshInterval:(display:Off,section:0,value:0),time:(from:'2016-06-02 23:52:31-0600',mode:absolute,to:'2016-06-03 00:41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5" s="73" t="str">
        <f t="shared" si="50"/>
        <v>N</v>
      </c>
      <c r="V145" s="73">
        <f t="shared" si="68"/>
        <v>1</v>
      </c>
      <c r="W145" s="73">
        <f t="shared" si="42"/>
        <v>4.8000000000000001E-2</v>
      </c>
      <c r="X145" s="73">
        <f t="shared" si="69"/>
        <v>23.328399999999998</v>
      </c>
      <c r="Y145" s="73">
        <f t="shared" si="43"/>
        <v>23.2804</v>
      </c>
      <c r="Z145" s="74" t="e">
        <f>VLOOKUP(A145,Enforcements!$C$3:$J$39,8,0)</f>
        <v>#N/A</v>
      </c>
      <c r="AA145" s="74" t="e">
        <f>VLOOKUP(A145,Enforcements!$C$3:$J$39,3,0)</f>
        <v>#N/A</v>
      </c>
    </row>
    <row r="146" spans="1:27" s="2" customFormat="1" x14ac:dyDescent="0.25">
      <c r="A146" s="60" t="s">
        <v>401</v>
      </c>
      <c r="B146" s="60">
        <v>4041</v>
      </c>
      <c r="C146" s="60" t="s">
        <v>62</v>
      </c>
      <c r="D146" s="60" t="s">
        <v>147</v>
      </c>
      <c r="E146" s="30">
        <v>42524.037407407406</v>
      </c>
      <c r="F146" s="30">
        <v>42524.038877314815</v>
      </c>
      <c r="G146" s="38">
        <v>2</v>
      </c>
      <c r="H146" s="30" t="s">
        <v>402</v>
      </c>
      <c r="I146" s="30">
        <v>42524.06795138889</v>
      </c>
      <c r="J146" s="60">
        <v>1</v>
      </c>
      <c r="K146" s="60" t="str">
        <f t="shared" si="39"/>
        <v>4041/4042</v>
      </c>
      <c r="L146" s="60" t="str">
        <f>VLOOKUP(A146,'Trips&amp;Operators'!$C$1:$E$9999,3,FALSE)</f>
        <v>ADANE</v>
      </c>
      <c r="M146" s="12">
        <f t="shared" si="40"/>
        <v>2.9074074074742384E-2</v>
      </c>
      <c r="N146" s="13">
        <f t="shared" si="66"/>
        <v>41.866666667629033</v>
      </c>
      <c r="O146" s="13"/>
      <c r="P146" s="13"/>
      <c r="Q146" s="61"/>
      <c r="R146" s="61"/>
      <c r="T14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https://search-rtdc-monitor-bjffxe2xuh6vdkpspy63sjmuny.us-east-1.es.amazonaws.com/_plugin/kibana/#/discover/Steve-Slow-Train-Analysis-(2080s-and-2083s)?_g=(refreshInterval:(display:Off,section:0,value:0),time:(from:'2016-06-03 00:52:52-0600',mode:absolute,to:'2016-06-03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6" s="73" t="str">
        <f t="shared" si="50"/>
        <v>N</v>
      </c>
      <c r="V146" s="73">
        <f t="shared" si="68"/>
        <v>1</v>
      </c>
      <c r="W146" s="73">
        <f t="shared" si="42"/>
        <v>23.2986</v>
      </c>
      <c r="X146" s="73">
        <f t="shared" si="69"/>
        <v>1.8100000000000002E-2</v>
      </c>
      <c r="Y146" s="73">
        <f t="shared" si="43"/>
        <v>23.2805</v>
      </c>
      <c r="Z146" s="74" t="e">
        <f>VLOOKUP(A146,Enforcements!$C$3:$J$39,8,0)</f>
        <v>#N/A</v>
      </c>
      <c r="AA146" s="74" t="e">
        <f>VLOOKUP(A146,Enforcements!$C$3:$J$39,3,0)</f>
        <v>#N/A</v>
      </c>
    </row>
    <row r="147" spans="1:27" s="2" customFormat="1" x14ac:dyDescent="0.25">
      <c r="A147" s="60" t="s">
        <v>403</v>
      </c>
      <c r="B147" s="60">
        <v>4025</v>
      </c>
      <c r="C147" s="60" t="s">
        <v>62</v>
      </c>
      <c r="D147" s="60" t="s">
        <v>141</v>
      </c>
      <c r="E147" s="30">
        <v>42524.015601851854</v>
      </c>
      <c r="F147" s="30">
        <v>42524.016539351855</v>
      </c>
      <c r="G147" s="38">
        <v>1</v>
      </c>
      <c r="H147" s="30" t="s">
        <v>404</v>
      </c>
      <c r="I147" s="30">
        <v>42524.046296296299</v>
      </c>
      <c r="J147" s="60">
        <v>0</v>
      </c>
      <c r="K147" s="60" t="str">
        <f t="shared" si="39"/>
        <v>4025/4026</v>
      </c>
      <c r="L147" s="60" t="str">
        <f>VLOOKUP(A147,'Trips&amp;Operators'!$C$1:$E$9999,3,FALSE)</f>
        <v>GRASTON</v>
      </c>
      <c r="M147" s="12">
        <f t="shared" si="40"/>
        <v>2.9756944444670808E-2</v>
      </c>
      <c r="N147" s="13">
        <f t="shared" si="66"/>
        <v>42.850000000325963</v>
      </c>
      <c r="O147" s="13"/>
      <c r="P147" s="13"/>
      <c r="Q147" s="61"/>
      <c r="R147" s="61"/>
      <c r="T14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https://search-rtdc-monitor-bjffxe2xuh6vdkpspy63sjmuny.us-east-1.es.amazonaws.com/_plugin/kibana/#/discover/Steve-Slow-Train-Analysis-(2080s-and-2083s)?_g=(refreshInterval:(display:Off,section:0,value:0),time:(from:'2016-06-03 00:21:28-0600',mode:absolute,to:'2016-06-03 01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7" s="73" t="str">
        <f t="shared" si="44"/>
        <v>N</v>
      </c>
      <c r="V147" s="73">
        <f t="shared" si="68"/>
        <v>1</v>
      </c>
      <c r="W147" s="73">
        <f t="shared" si="42"/>
        <v>4.7699999999999999E-2</v>
      </c>
      <c r="X147" s="73">
        <f t="shared" si="69"/>
        <v>23.3307</v>
      </c>
      <c r="Y147" s="73">
        <f t="shared" si="43"/>
        <v>23.283000000000001</v>
      </c>
      <c r="Z147" s="74" t="e">
        <f>VLOOKUP(A147,Enforcements!$C$3:$J$39,8,0)</f>
        <v>#N/A</v>
      </c>
      <c r="AA147" s="74" t="e">
        <f>VLOOKUP(A147,Enforcements!$C$3:$J$39,3,0)</f>
        <v>#N/A</v>
      </c>
    </row>
    <row r="148" spans="1:27" s="2" customFormat="1" x14ac:dyDescent="0.25">
      <c r="A148" s="60" t="s">
        <v>405</v>
      </c>
      <c r="B148" s="60">
        <v>4026</v>
      </c>
      <c r="C148" s="60" t="s">
        <v>62</v>
      </c>
      <c r="D148" s="60" t="s">
        <v>406</v>
      </c>
      <c r="E148" s="30">
        <v>42524.057025462964</v>
      </c>
      <c r="F148" s="30">
        <v>42524.058020833334</v>
      </c>
      <c r="G148" s="38">
        <v>1</v>
      </c>
      <c r="H148" s="30" t="s">
        <v>68</v>
      </c>
      <c r="I148" s="30">
        <v>42524.085532407407</v>
      </c>
      <c r="J148" s="60">
        <v>0</v>
      </c>
      <c r="K148" s="60" t="str">
        <f t="shared" si="39"/>
        <v>4025/4026</v>
      </c>
      <c r="L148" s="60" t="str">
        <f>VLOOKUP(A148,'Trips&amp;Operators'!$C$1:$E$9999,3,FALSE)</f>
        <v>GRASTON</v>
      </c>
      <c r="M148" s="12">
        <f t="shared" si="40"/>
        <v>2.7511574073287193E-2</v>
      </c>
      <c r="N148" s="13">
        <f t="shared" si="66"/>
        <v>39.616666665533558</v>
      </c>
      <c r="O148" s="13"/>
      <c r="P148" s="13"/>
      <c r="Q148" s="61"/>
      <c r="R148" s="61"/>
      <c r="T14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https://search-rtdc-monitor-bjffxe2xuh6vdkpspy63sjmuny.us-east-1.es.amazonaws.com/_plugin/kibana/#/discover/Steve-Slow-Train-Analysis-(2080s-and-2083s)?_g=(refreshInterval:(display:Off,section:0,value:0),time:(from:'2016-06-03 01:21:07-0600',mode:absolute,to:'2016-06-03 02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8" s="73" t="str">
        <f t="shared" si="44"/>
        <v>N</v>
      </c>
      <c r="V148" s="73">
        <f t="shared" si="68"/>
        <v>1</v>
      </c>
      <c r="W148" s="73">
        <f t="shared" si="42"/>
        <v>23.297499999999999</v>
      </c>
      <c r="X148" s="73">
        <f t="shared" si="69"/>
        <v>1.52E-2</v>
      </c>
      <c r="Y148" s="73">
        <f t="shared" si="43"/>
        <v>23.282299999999999</v>
      </c>
      <c r="Z148" s="74" t="e">
        <f>VLOOKUP(A148,Enforcements!$C$3:$J$39,8,0)</f>
        <v>#N/A</v>
      </c>
      <c r="AA148" s="74" t="e">
        <f>VLOOKUP(A148,Enforcements!$C$3:$J$39,3,0)</f>
        <v>#N/A</v>
      </c>
    </row>
    <row r="149" spans="1:27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T149" s="68"/>
      <c r="U149" s="68"/>
      <c r="V149" s="68"/>
      <c r="W149" s="68"/>
      <c r="X149" s="68"/>
      <c r="Y149" s="68"/>
      <c r="Z149" s="69"/>
      <c r="AA149" s="69"/>
    </row>
    <row r="150" spans="1:27" s="2" customFormat="1" ht="15.75" thickBot="1" x14ac:dyDescent="0.3">
      <c r="E150" s="31"/>
      <c r="F150" s="31"/>
      <c r="G150" s="39"/>
      <c r="H150" s="31"/>
      <c r="I150" s="85">
        <f>Variables!A2</f>
        <v>42523</v>
      </c>
      <c r="J150" s="86"/>
      <c r="K150" s="75"/>
      <c r="L150" s="75"/>
      <c r="M150" s="87" t="s">
        <v>8</v>
      </c>
      <c r="N150" s="88"/>
      <c r="O150" s="89"/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133</v>
      </c>
      <c r="K153" s="3"/>
      <c r="L153" s="3"/>
      <c r="M153" s="70">
        <f>AVERAGE(N3:N148)</f>
        <v>44.325814535981394</v>
      </c>
      <c r="N153" s="6">
        <f>MIN(N3:N148)</f>
        <v>35.983333331532776</v>
      </c>
      <c r="O153" s="7">
        <f>MAX(N3:N148)</f>
        <v>57.300000004470348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0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COUNT(P3:P148)</f>
        <v>11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133</v>
      </c>
      <c r="K156" s="3"/>
      <c r="L156" s="3"/>
      <c r="M156" s="70">
        <f>AVERAGE(N3:P148)</f>
        <v>42.378587962862284</v>
      </c>
      <c r="N156" s="6">
        <f>MIN(N3:O148)</f>
        <v>35.983333331532776</v>
      </c>
      <c r="O156" s="7">
        <f>MAX(N3:O148)</f>
        <v>57.300000004470348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0.92361111111111116</v>
      </c>
      <c r="K157" s="8"/>
      <c r="L157" s="8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</sheetData>
  <autoFilter ref="A2:AA148">
    <sortState ref="A3:AA169">
      <sortCondition ref="A2:A169"/>
    </sortState>
  </autoFilter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U2 U3:V1048576">
    <cfRule type="cellIs" dxfId="10" priority="27" operator="equal">
      <formula>"Y"</formula>
    </cfRule>
  </conditionalFormatting>
  <conditionalFormatting sqref="V3:V1048576">
    <cfRule type="cellIs" dxfId="9" priority="10" operator="greaterThan">
      <formula>1</formula>
    </cfRule>
  </conditionalFormatting>
  <conditionalFormatting sqref="V2:V1048576">
    <cfRule type="cellIs" dxfId="8" priority="7" operator="equal">
      <formula>0</formula>
    </cfRule>
  </conditionalFormatting>
  <conditionalFormatting sqref="A3:R148">
    <cfRule type="expression" dxfId="7" priority="2">
      <formula>$P3&gt;0</formula>
    </cfRule>
    <cfRule type="expression" dxfId="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zoomScale="85" zoomScaleNormal="85" workbookViewId="0">
      <selection activeCell="N17" sqref="N1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94</v>
      </c>
    </row>
    <row r="3" spans="1:17" s="19" customFormat="1" x14ac:dyDescent="0.25">
      <c r="A3" s="23">
        <v>42523.549537037034</v>
      </c>
      <c r="B3" s="22" t="s">
        <v>190</v>
      </c>
      <c r="C3" s="22" t="s">
        <v>302</v>
      </c>
      <c r="D3" s="22" t="s">
        <v>52</v>
      </c>
      <c r="E3" s="22" t="s">
        <v>108</v>
      </c>
      <c r="F3" s="22">
        <v>0</v>
      </c>
      <c r="G3" s="22">
        <v>35</v>
      </c>
      <c r="H3" s="22">
        <v>53387</v>
      </c>
      <c r="I3" s="22" t="s">
        <v>109</v>
      </c>
      <c r="J3" s="22">
        <v>53277</v>
      </c>
      <c r="K3" s="21" t="s">
        <v>56</v>
      </c>
      <c r="L3" s="21" t="str">
        <f>VLOOKUP(C3,'Trips&amp;Operators'!$C$1:$E$9999,3,FALSE)</f>
        <v>MAYBERRY</v>
      </c>
      <c r="M3" s="20" t="s">
        <v>86</v>
      </c>
      <c r="N3" s="21" t="s">
        <v>431</v>
      </c>
      <c r="P3" s="80" t="str">
        <f>VLOOKUP(C3,'Train Runs'!$A$3:$T$257,20,0)</f>
        <v>https://search-rtdc-monitor-bjffxe2xuh6vdkpspy63sjmuny.us-east-1.es.amazonaws.com/_plugin/kibana/#/discover/Steve-Slow-Train-Analysis-(2080s-and-2083s)?_g=(refreshInterval:(display:Off,section:0,value:0),time:(from:'2016-06-02 12:26:36-0600',mode:absolute,to:'2016-06-02 13:27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" s="19" t="str">
        <f t="shared" ref="Q3:Q39" si="0">MID(B3,13,4)</f>
        <v>4023</v>
      </c>
    </row>
    <row r="4" spans="1:17" s="19" customFormat="1" x14ac:dyDescent="0.25">
      <c r="A4" s="23">
        <v>42523.674768518518</v>
      </c>
      <c r="B4" s="22" t="s">
        <v>412</v>
      </c>
      <c r="C4" s="22" t="s">
        <v>346</v>
      </c>
      <c r="D4" s="22" t="s">
        <v>52</v>
      </c>
      <c r="E4" s="22" t="s">
        <v>108</v>
      </c>
      <c r="F4" s="22">
        <v>0</v>
      </c>
      <c r="G4" s="22">
        <v>433</v>
      </c>
      <c r="H4" s="22">
        <v>50091</v>
      </c>
      <c r="I4" s="22" t="s">
        <v>109</v>
      </c>
      <c r="J4" s="22">
        <v>53155</v>
      </c>
      <c r="K4" s="21" t="s">
        <v>55</v>
      </c>
      <c r="L4" s="21" t="str">
        <f>VLOOKUP(C4,'Trips&amp;Operators'!$C$1:$E$9999,3,FALSE)</f>
        <v>STEWART</v>
      </c>
      <c r="M4" s="20" t="s">
        <v>86</v>
      </c>
      <c r="N4" s="21" t="s">
        <v>431</v>
      </c>
      <c r="P4" s="80" t="str">
        <f>VLOOKUP(C4,'Train Runs'!$A$3:$T$257,20,0)</f>
        <v>https://search-rtdc-monitor-bjffxe2xuh6vdkpspy63sjmuny.us-east-1.es.amazonaws.com/_plugin/kibana/#/discover/Steve-Slow-Train-Analysis-(2080s-and-2083s)?_g=(refreshInterval:(display:Off,section:0,value:0),time:(from:'2016-06-02 15:53:52-0600',mode:absolute,to:'2016-06-02 16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si="0"/>
        <v>4011</v>
      </c>
    </row>
    <row r="5" spans="1:17" s="19" customFormat="1" x14ac:dyDescent="0.25">
      <c r="A5" s="23">
        <v>42523.71199074074</v>
      </c>
      <c r="B5" s="22" t="s">
        <v>85</v>
      </c>
      <c r="C5" s="22" t="s">
        <v>345</v>
      </c>
      <c r="D5" s="22" t="s">
        <v>57</v>
      </c>
      <c r="E5" s="22" t="s">
        <v>108</v>
      </c>
      <c r="F5" s="22">
        <v>150</v>
      </c>
      <c r="G5" s="22">
        <v>200</v>
      </c>
      <c r="H5" s="22">
        <v>108971</v>
      </c>
      <c r="I5" s="22" t="s">
        <v>109</v>
      </c>
      <c r="J5" s="22">
        <v>109135</v>
      </c>
      <c r="K5" s="21" t="s">
        <v>56</v>
      </c>
      <c r="L5" s="21" t="str">
        <f>VLOOKUP(C5,'Trips&amp;Operators'!$C$1:$E$9999,3,FALSE)</f>
        <v>YOUNG</v>
      </c>
      <c r="M5" s="20" t="s">
        <v>71</v>
      </c>
      <c r="N5" s="21"/>
      <c r="P5" s="80" t="str">
        <f>VLOOKUP(C5,'Train Runs'!$A$3:$T$257,20,0)</f>
        <v>https://search-rtdc-monitor-bjffxe2xuh6vdkpspy63sjmuny.us-east-1.es.amazonaws.com/_plugin/kibana/#/discover/Steve-Slow-Train-Analysis-(2080s-and-2083s)?_g=(refreshInterval:(display:Off,section:0,value:0),time:(from:'2016-06-02 16:34:15-0600',mode:absolute,to:'2016-06-02 17:33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" s="19" t="str">
        <f t="shared" si="0"/>
        <v>4032</v>
      </c>
    </row>
    <row r="6" spans="1:17" s="19" customFormat="1" x14ac:dyDescent="0.25">
      <c r="A6" s="23">
        <v>42523.92628472222</v>
      </c>
      <c r="B6" s="22" t="s">
        <v>183</v>
      </c>
      <c r="C6" s="22" t="s">
        <v>389</v>
      </c>
      <c r="D6" s="22" t="s">
        <v>52</v>
      </c>
      <c r="E6" s="22" t="s">
        <v>108</v>
      </c>
      <c r="F6" s="22">
        <v>0</v>
      </c>
      <c r="G6" s="22">
        <v>33</v>
      </c>
      <c r="H6" s="22">
        <v>53084</v>
      </c>
      <c r="I6" s="22" t="s">
        <v>109</v>
      </c>
      <c r="J6" s="22">
        <v>53155</v>
      </c>
      <c r="K6" s="21" t="s">
        <v>55</v>
      </c>
      <c r="L6" s="21" t="str">
        <f>VLOOKUP(C6,'Trips&amp;Operators'!$C$1:$E$9999,3,FALSE)</f>
        <v>NEWELL</v>
      </c>
      <c r="M6" s="20" t="s">
        <v>86</v>
      </c>
      <c r="N6" s="21" t="s">
        <v>431</v>
      </c>
      <c r="P6" s="80" t="str">
        <f>VLOOKUP(C6,'Train Runs'!$A$3:$T$257,20,0)</f>
        <v>https://search-rtdc-monitor-bjffxe2xuh6vdkpspy63sjmuny.us-east-1.es.amazonaws.com/_plugin/kibana/#/discover/Steve-Slow-Train-Analysis-(2080s-and-2083s)?_g=(refreshInterval:(display:Off,section:0,value:0),time:(from:'2016-06-02 21:57:49-0600',mode:absolute,to:'2016-06-02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" s="19" t="str">
        <f t="shared" si="0"/>
        <v>4042</v>
      </c>
    </row>
    <row r="7" spans="1:17" s="19" customFormat="1" x14ac:dyDescent="0.25">
      <c r="A7" s="23">
        <v>42523.973402777781</v>
      </c>
      <c r="B7" s="22" t="s">
        <v>187</v>
      </c>
      <c r="C7" s="22" t="s">
        <v>390</v>
      </c>
      <c r="D7" s="22" t="s">
        <v>52</v>
      </c>
      <c r="E7" s="22" t="s">
        <v>108</v>
      </c>
      <c r="F7" s="22">
        <v>0</v>
      </c>
      <c r="G7" s="22">
        <v>108</v>
      </c>
      <c r="H7" s="22">
        <v>53763</v>
      </c>
      <c r="I7" s="22" t="s">
        <v>109</v>
      </c>
      <c r="J7" s="22">
        <v>53277</v>
      </c>
      <c r="K7" s="21" t="s">
        <v>56</v>
      </c>
      <c r="L7" s="21" t="str">
        <f>VLOOKUP(C7,'Trips&amp;Operators'!$C$1:$E$9999,3,FALSE)</f>
        <v>NEWELL</v>
      </c>
      <c r="M7" s="20" t="s">
        <v>86</v>
      </c>
      <c r="N7" s="21" t="s">
        <v>431</v>
      </c>
      <c r="P7" s="80" t="str">
        <f>VLOOKUP(C7,'Train Runs'!$A$3:$T$257,20,0)</f>
        <v>https://search-rtdc-monitor-bjffxe2xuh6vdkpspy63sjmuny.us-east-1.es.amazonaws.com/_plugin/kibana/#/discover/Steve-Slow-Train-Analysis-(2080s-and-2083s)?_g=(refreshInterval:(display:Off,section:0,value:0),time:(from:'2016-06-02 22:45:37-0600',mode:absolute,to:'2016-06-02 23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" s="19" t="str">
        <f t="shared" si="0"/>
        <v>4041</v>
      </c>
    </row>
    <row r="8" spans="1:17" s="19" customFormat="1" x14ac:dyDescent="0.25">
      <c r="A8" s="23">
        <v>42523.333113425928</v>
      </c>
      <c r="B8" s="22" t="s">
        <v>190</v>
      </c>
      <c r="C8" s="22" t="s">
        <v>237</v>
      </c>
      <c r="D8" s="22" t="s">
        <v>52</v>
      </c>
      <c r="E8" s="22" t="s">
        <v>60</v>
      </c>
      <c r="F8" s="22">
        <v>200</v>
      </c>
      <c r="G8" s="22">
        <v>244</v>
      </c>
      <c r="H8" s="22">
        <v>30644</v>
      </c>
      <c r="I8" s="22" t="s">
        <v>61</v>
      </c>
      <c r="J8" s="22">
        <v>30562</v>
      </c>
      <c r="K8" s="21" t="s">
        <v>56</v>
      </c>
      <c r="L8" s="21" t="str">
        <f>VLOOKUP(C8,'Trips&amp;Operators'!$C$1:$E$9999,3,FALSE)</f>
        <v>STRICKLAND</v>
      </c>
      <c r="M8" s="20" t="s">
        <v>71</v>
      </c>
      <c r="N8" s="21"/>
      <c r="P8" s="80" t="str">
        <f>VLOOKUP(C8,'Train Runs'!$A$3:$T$257,20,0)</f>
        <v>https://search-rtdc-monitor-bjffxe2xuh6vdkpspy63sjmuny.us-east-1.es.amazonaws.com/_plugin/kibana/#/discover/Steve-Slow-Train-Analysis-(2080s-and-2083s)?_g=(refreshInterval:(display:Off,section:0,value:0),time:(from:'2016-06-02 07:19:29-0600',mode:absolute,to:'2016-06-02 08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8" s="19" t="str">
        <f t="shared" si="0"/>
        <v>4023</v>
      </c>
    </row>
    <row r="9" spans="1:17" s="19" customFormat="1" x14ac:dyDescent="0.25">
      <c r="A9" s="23">
        <v>42523.411493055559</v>
      </c>
      <c r="B9" s="22" t="s">
        <v>153</v>
      </c>
      <c r="C9" s="22" t="s">
        <v>271</v>
      </c>
      <c r="D9" s="22" t="s">
        <v>52</v>
      </c>
      <c r="E9" s="22" t="s">
        <v>60</v>
      </c>
      <c r="F9" s="22">
        <v>150</v>
      </c>
      <c r="G9" s="22">
        <v>133</v>
      </c>
      <c r="H9" s="22">
        <v>229980</v>
      </c>
      <c r="I9" s="22" t="s">
        <v>61</v>
      </c>
      <c r="J9" s="22">
        <v>230436</v>
      </c>
      <c r="K9" s="21" t="s">
        <v>55</v>
      </c>
      <c r="L9" s="21" t="str">
        <f>VLOOKUP(C9,'Trips&amp;Operators'!$C$1:$E$9999,3,FALSE)</f>
        <v>STARKS</v>
      </c>
      <c r="M9" s="20" t="s">
        <v>71</v>
      </c>
      <c r="N9" s="21"/>
      <c r="P9" s="80" t="str">
        <f>VLOOKUP(C9,'Train Runs'!$A$3:$T$257,20,0)</f>
        <v>https://search-rtdc-monitor-bjffxe2xuh6vdkpspy63sjmuny.us-east-1.es.amazonaws.com/_plugin/kibana/#/discover/Steve-Slow-Train-Analysis-(2080s-and-2083s)?_g=(refreshInterval:(display:Off,section:0,value:0),time:(from:'2016-06-02 09:13:13-0600',mode:absolute,to:'2016-06-02 09:56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19" t="str">
        <f t="shared" si="0"/>
        <v>4014</v>
      </c>
    </row>
    <row r="10" spans="1:17" s="19" customFormat="1" x14ac:dyDescent="0.25">
      <c r="A10" s="23">
        <v>42523.416250000002</v>
      </c>
      <c r="B10" s="22" t="s">
        <v>187</v>
      </c>
      <c r="C10" s="22" t="s">
        <v>270</v>
      </c>
      <c r="D10" s="22" t="s">
        <v>57</v>
      </c>
      <c r="E10" s="22" t="s">
        <v>60</v>
      </c>
      <c r="F10" s="22">
        <v>550</v>
      </c>
      <c r="G10" s="22">
        <v>600</v>
      </c>
      <c r="H10" s="22">
        <v>222313</v>
      </c>
      <c r="I10" s="22" t="s">
        <v>61</v>
      </c>
      <c r="J10" s="22">
        <v>224581</v>
      </c>
      <c r="K10" s="21" t="s">
        <v>56</v>
      </c>
      <c r="L10" s="21" t="str">
        <f>VLOOKUP(C10,'Trips&amp;Operators'!$C$1:$E$9999,3,FALSE)</f>
        <v>MALAVE</v>
      </c>
      <c r="M10" s="20" t="s">
        <v>71</v>
      </c>
      <c r="N10" s="21"/>
      <c r="P10" s="80" t="str">
        <f>VLOOKUP(C10,'Train Runs'!$A$3:$T$257,20,0)</f>
        <v>https://search-rtdc-monitor-bjffxe2xuh6vdkpspy63sjmuny.us-east-1.es.amazonaws.com/_plugin/kibana/#/discover/Steve-Slow-Train-Analysis-(2080s-and-2083s)?_g=(refreshInterval:(display:Off,section:0,value:0),time:(from:'2016-06-02 09:52:07-0600',mode:absolute,to:'2016-06-02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0" s="19" t="str">
        <f t="shared" si="0"/>
        <v>4041</v>
      </c>
    </row>
    <row r="11" spans="1:17" s="19" customFormat="1" x14ac:dyDescent="0.25">
      <c r="A11" s="23">
        <v>42523.425821759258</v>
      </c>
      <c r="B11" s="22" t="s">
        <v>155</v>
      </c>
      <c r="C11" s="22" t="s">
        <v>273</v>
      </c>
      <c r="D11" s="22" t="s">
        <v>57</v>
      </c>
      <c r="E11" s="22" t="s">
        <v>60</v>
      </c>
      <c r="F11" s="22">
        <v>350</v>
      </c>
      <c r="G11" s="22">
        <v>405</v>
      </c>
      <c r="H11" s="22">
        <v>228779</v>
      </c>
      <c r="I11" s="22" t="s">
        <v>61</v>
      </c>
      <c r="J11" s="22">
        <v>232107</v>
      </c>
      <c r="K11" s="21" t="s">
        <v>56</v>
      </c>
      <c r="L11" s="21" t="str">
        <f>VLOOKUP(C11,'Trips&amp;Operators'!$C$1:$E$9999,3,FALSE)</f>
        <v>STARKS</v>
      </c>
      <c r="M11" s="20" t="s">
        <v>71</v>
      </c>
      <c r="N11" s="21"/>
      <c r="P11" s="80" t="str">
        <f>VLOOKUP(C11,'Train Runs'!$A$3:$T$257,20,0)</f>
        <v>https://search-rtdc-monitor-bjffxe2xuh6vdkpspy63sjmuny.us-east-1.es.amazonaws.com/_plugin/kibana/#/discover/Steve-Slow-Train-Analysis-(2080s-and-2083s)?_g=(refreshInterval:(display:Off,section:0,value:0),time:(from:'2016-06-02 10:06:16-0600',mode:absolute,to:'2016-06-02 10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1" s="19" t="str">
        <f t="shared" si="0"/>
        <v>4013</v>
      </c>
    </row>
    <row r="12" spans="1:17" s="19" customFormat="1" x14ac:dyDescent="0.25">
      <c r="A12" s="23">
        <v>42523.606828703705</v>
      </c>
      <c r="B12" s="22" t="s">
        <v>153</v>
      </c>
      <c r="C12" s="22" t="s">
        <v>333</v>
      </c>
      <c r="D12" s="22" t="s">
        <v>57</v>
      </c>
      <c r="E12" s="22" t="s">
        <v>60</v>
      </c>
      <c r="F12" s="22">
        <v>200</v>
      </c>
      <c r="G12" s="22">
        <v>252</v>
      </c>
      <c r="H12" s="22">
        <v>5272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BARTLETT</v>
      </c>
      <c r="M12" s="20" t="s">
        <v>71</v>
      </c>
      <c r="N12" s="21"/>
      <c r="P12" s="80" t="str">
        <f>VLOOKUP(C12,'Train Runs'!$A$3:$T$257,20,0)</f>
        <v>https://search-rtdc-monitor-bjffxe2xuh6vdkpspy63sjmuny.us-east-1.es.amazonaws.com/_plugin/kibana/#/discover/Steve-Slow-Train-Analysis-(2080s-and-2083s)?_g=(refreshInterval:(display:Off,section:0,value:0),time:(from:'2016-06-02 14:25:23-0600',mode:absolute,to:'2016-06-02 15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2" s="19" t="str">
        <f t="shared" si="0"/>
        <v>4014</v>
      </c>
    </row>
    <row r="13" spans="1:17" s="19" customFormat="1" x14ac:dyDescent="0.25">
      <c r="A13" s="23">
        <v>42523.637083333335</v>
      </c>
      <c r="B13" s="22" t="s">
        <v>189</v>
      </c>
      <c r="C13" s="22" t="s">
        <v>340</v>
      </c>
      <c r="D13" s="22" t="s">
        <v>57</v>
      </c>
      <c r="E13" s="22" t="s">
        <v>60</v>
      </c>
      <c r="F13" s="22">
        <v>150</v>
      </c>
      <c r="G13" s="22">
        <v>201</v>
      </c>
      <c r="H13" s="22">
        <v>2699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MAYBERRY</v>
      </c>
      <c r="M13" s="20" t="s">
        <v>71</v>
      </c>
      <c r="N13" s="21"/>
      <c r="P13" s="80" t="str">
        <f>VLOOKUP(C13,'Train Runs'!$A$3:$T$257,20,0)</f>
        <v>https://search-rtdc-monitor-bjffxe2xuh6vdkpspy63sjmuny.us-east-1.es.amazonaws.com/_plugin/kibana/#/discover/Steve-Slow-Train-Analysis-(2080s-and-2083s)?_g=(refreshInterval:(display:Off,section:0,value:0),time:(from:'2016-06-02 15:06:01-0600',mode:absolute,to:'2016-06-02 15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3" s="19" t="str">
        <f t="shared" si="0"/>
        <v>4024</v>
      </c>
    </row>
    <row r="14" spans="1:17" s="19" customFormat="1" x14ac:dyDescent="0.25">
      <c r="A14" s="23">
        <v>42523.66101851852</v>
      </c>
      <c r="B14" s="22" t="s">
        <v>189</v>
      </c>
      <c r="C14" s="22" t="s">
        <v>340</v>
      </c>
      <c r="D14" s="22" t="s">
        <v>52</v>
      </c>
      <c r="E14" s="22" t="s">
        <v>60</v>
      </c>
      <c r="F14" s="22">
        <v>150</v>
      </c>
      <c r="G14" s="22">
        <v>392</v>
      </c>
      <c r="H14" s="22">
        <v>228537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MAYBERRY</v>
      </c>
      <c r="M14" s="20" t="s">
        <v>71</v>
      </c>
      <c r="N14" s="21"/>
      <c r="P14" s="80" t="str">
        <f>VLOOKUP(C14,'Train Runs'!$A$3:$T$257,20,0)</f>
        <v>https://search-rtdc-monitor-bjffxe2xuh6vdkpspy63sjmuny.us-east-1.es.amazonaws.com/_plugin/kibana/#/discover/Steve-Slow-Train-Analysis-(2080s-and-2083s)?_g=(refreshInterval:(display:Off,section:0,value:0),time:(from:'2016-06-02 15:06:01-0600',mode:absolute,to:'2016-06-02 15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4" s="19" t="str">
        <f t="shared" si="0"/>
        <v>4024</v>
      </c>
    </row>
    <row r="15" spans="1:17" s="19" customFormat="1" x14ac:dyDescent="0.25">
      <c r="A15" s="23">
        <v>42523.817488425928</v>
      </c>
      <c r="B15" s="22" t="s">
        <v>415</v>
      </c>
      <c r="C15" s="22" t="s">
        <v>377</v>
      </c>
      <c r="D15" s="22" t="s">
        <v>52</v>
      </c>
      <c r="E15" s="22" t="s">
        <v>60</v>
      </c>
      <c r="F15" s="22">
        <v>150</v>
      </c>
      <c r="G15" s="22">
        <v>132</v>
      </c>
      <c r="H15" s="22">
        <v>231510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BRUDER</v>
      </c>
      <c r="M15" s="20" t="s">
        <v>71</v>
      </c>
      <c r="N15" s="21"/>
      <c r="P15" s="80" t="str">
        <f>VLOOKUP(C15,'Train Runs'!$A$3:$T$257,20,0)</f>
        <v>https://search-rtdc-monitor-bjffxe2xuh6vdkpspy63sjmuny.us-east-1.es.amazonaws.com/_plugin/kibana/#/discover/Steve-Slow-Train-Analysis-(2080s-and-2083s)?_g=(refreshInterval:(display:Off,section:0,value:0),time:(from:'2016-06-02 18:54:10-0600',mode:absolute,to:'2016-06-02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5" s="19" t="str">
        <f t="shared" si="0"/>
        <v>4007</v>
      </c>
    </row>
    <row r="16" spans="1:17" s="19" customFormat="1" x14ac:dyDescent="0.25">
      <c r="A16" s="23">
        <v>42523.843009259261</v>
      </c>
      <c r="B16" s="22" t="s">
        <v>410</v>
      </c>
      <c r="C16" s="22" t="s">
        <v>381</v>
      </c>
      <c r="D16" s="22" t="s">
        <v>57</v>
      </c>
      <c r="E16" s="22" t="s">
        <v>60</v>
      </c>
      <c r="F16" s="22">
        <v>150</v>
      </c>
      <c r="G16" s="22">
        <v>207</v>
      </c>
      <c r="H16" s="22">
        <v>3762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ADANE</v>
      </c>
      <c r="M16" s="20" t="s">
        <v>71</v>
      </c>
      <c r="N16" s="21"/>
      <c r="P16" s="80" t="str">
        <f>VLOOKUP(C16,'Train Runs'!$A$3:$T$257,20,0)</f>
        <v>https://search-rtdc-monitor-bjffxe2xuh6vdkpspy63sjmuny.us-east-1.es.amazonaws.com/_plugin/kibana/#/discover/Steve-Slow-Train-Analysis-(2080s-and-2083s)?_g=(refreshInterval:(display:Off,section:0,value:0),time:(from:'2016-06-02 19:55:39-0600',mode:absolute,to:'2016-06-02 20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6" s="19" t="str">
        <f t="shared" si="0"/>
        <v>4027</v>
      </c>
    </row>
    <row r="17" spans="1:18" s="19" customFormat="1" x14ac:dyDescent="0.25">
      <c r="A17" s="23">
        <v>42524.002511574072</v>
      </c>
      <c r="B17" s="22" t="s">
        <v>411</v>
      </c>
      <c r="C17" s="22" t="s">
        <v>393</v>
      </c>
      <c r="D17" s="22" t="s">
        <v>52</v>
      </c>
      <c r="E17" s="22" t="s">
        <v>60</v>
      </c>
      <c r="F17" s="22">
        <v>150</v>
      </c>
      <c r="G17" s="22">
        <v>127</v>
      </c>
      <c r="H17" s="22">
        <v>4710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GRASTON</v>
      </c>
      <c r="M17" s="20" t="s">
        <v>71</v>
      </c>
      <c r="N17" s="21"/>
      <c r="P17" s="80" t="str">
        <f>VLOOKUP(C17,'Train Runs'!$A$3:$T$257,20,0)</f>
        <v>https://search-rtdc-monitor-bjffxe2xuh6vdkpspy63sjmuny.us-east-1.es.amazonaws.com/_plugin/kibana/#/discover/Steve-Slow-Train-Analysis-(2080s-and-2083s)?_g=(refreshInterval:(display:Off,section:0,value:0),time:(from:'2016-06-02 23:21:09-0600',mode:absolute,to:'2016-06-03 00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7" s="19" t="str">
        <f t="shared" si="0"/>
        <v>4026</v>
      </c>
    </row>
    <row r="18" spans="1:18" s="19" customFormat="1" x14ac:dyDescent="0.25">
      <c r="A18" s="23">
        <v>42523.24082175926</v>
      </c>
      <c r="B18" s="22" t="s">
        <v>118</v>
      </c>
      <c r="C18" s="22" t="s">
        <v>214</v>
      </c>
      <c r="D18" s="22" t="s">
        <v>52</v>
      </c>
      <c r="E18" s="22" t="s">
        <v>58</v>
      </c>
      <c r="F18" s="22">
        <v>0</v>
      </c>
      <c r="G18" s="22">
        <v>661</v>
      </c>
      <c r="H18" s="22">
        <v>192598</v>
      </c>
      <c r="I18" s="22" t="s">
        <v>59</v>
      </c>
      <c r="J18" s="22">
        <v>198242</v>
      </c>
      <c r="K18" s="21" t="s">
        <v>55</v>
      </c>
      <c r="L18" s="21" t="str">
        <f>VLOOKUP(C18,'Trips&amp;Operators'!$C$1:$E$9999,3,FALSE)</f>
        <v>COOLAHAN</v>
      </c>
      <c r="M18" s="20" t="s">
        <v>86</v>
      </c>
      <c r="N18" s="21" t="s">
        <v>432</v>
      </c>
      <c r="P18" s="80" t="str">
        <f>VLOOKUP(C18,'Train Runs'!$A$3:$T$257,20,0)</f>
        <v>https://search-rtdc-monitor-bjffxe2xuh6vdkpspy63sjmuny.us-east-1.es.amazonaws.com/_plugin/kibana/#/discover/Steve-Slow-Train-Analysis-(2080s-and-2083s)?_g=(refreshInterval:(display:Off,section:0,value:0),time:(from:'2016-06-02 05:05:05-0600',mode:absolute,to:'2016-06-02 05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8" s="19" t="str">
        <f t="shared" si="0"/>
        <v>4029</v>
      </c>
    </row>
    <row r="19" spans="1:18" s="19" customFormat="1" x14ac:dyDescent="0.25">
      <c r="A19" s="23">
        <v>42523.315208333333</v>
      </c>
      <c r="B19" s="22" t="s">
        <v>118</v>
      </c>
      <c r="C19" s="22" t="s">
        <v>241</v>
      </c>
      <c r="D19" s="22" t="s">
        <v>52</v>
      </c>
      <c r="E19" s="22" t="s">
        <v>58</v>
      </c>
      <c r="F19" s="22">
        <v>0</v>
      </c>
      <c r="G19" s="22">
        <v>659</v>
      </c>
      <c r="H19" s="22">
        <v>192532</v>
      </c>
      <c r="I19" s="22" t="s">
        <v>59</v>
      </c>
      <c r="J19" s="22">
        <v>198242</v>
      </c>
      <c r="K19" s="21" t="s">
        <v>55</v>
      </c>
      <c r="L19" s="21" t="str">
        <f>VLOOKUP(C19,'Trips&amp;Operators'!$C$1:$E$9999,3,FALSE)</f>
        <v>COOLAHAN</v>
      </c>
      <c r="M19" s="20" t="s">
        <v>86</v>
      </c>
      <c r="N19" s="21" t="s">
        <v>432</v>
      </c>
      <c r="P19" s="80" t="str">
        <f>VLOOKUP(C19,'Train Runs'!$A$3:$T$257,20,0)</f>
        <v>https://search-rtdc-monitor-bjffxe2xuh6vdkpspy63sjmuny.us-east-1.es.amazonaws.com/_plugin/kibana/#/discover/Steve-Slow-Train-Analysis-(2080s-and-2083s)?_g=(refreshInterval:(display:Off,section:0,value:0),time:(from:'2016-06-02 06:55:48-0600',mode:absolute,to:'2016-06-02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9" s="19" t="str">
        <f t="shared" si="0"/>
        <v>4029</v>
      </c>
    </row>
    <row r="20" spans="1:18" s="19" customFormat="1" x14ac:dyDescent="0.25">
      <c r="A20" s="23">
        <v>42523.377395833333</v>
      </c>
      <c r="B20" s="22" t="s">
        <v>411</v>
      </c>
      <c r="C20" s="22" t="s">
        <v>256</v>
      </c>
      <c r="D20" s="22" t="s">
        <v>52</v>
      </c>
      <c r="E20" s="22" t="s">
        <v>58</v>
      </c>
      <c r="F20" s="22">
        <v>0</v>
      </c>
      <c r="G20" s="22">
        <v>602</v>
      </c>
      <c r="H20" s="22">
        <v>185294</v>
      </c>
      <c r="I20" s="22" t="s">
        <v>59</v>
      </c>
      <c r="J20" s="22">
        <v>182920</v>
      </c>
      <c r="K20" s="21" t="s">
        <v>56</v>
      </c>
      <c r="L20" s="21" t="str">
        <f>VLOOKUP(C20,'Trips&amp;Operators'!$C$1:$E$9999,3,FALSE)</f>
        <v>SANTIZO</v>
      </c>
      <c r="M20" s="20" t="s">
        <v>86</v>
      </c>
      <c r="N20" s="21" t="s">
        <v>429</v>
      </c>
      <c r="P20" s="80" t="str">
        <f>VLOOKUP(C20,'Train Runs'!$A$3:$T$257,20,0)</f>
        <v>https://search-rtdc-monitor-bjffxe2xuh6vdkpspy63sjmuny.us-east-1.es.amazonaws.com/_plugin/kibana/#/discover/Steve-Slow-Train-Analysis-(2080s-and-2083s)?_g=(refreshInterval:(display:Off,section:0,value:0),time:(from:'2016-06-02 08:48:44-0600',mode:absolute,to:'2016-06-02 09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0" s="19" t="str">
        <f t="shared" si="0"/>
        <v>4026</v>
      </c>
    </row>
    <row r="21" spans="1:18" s="19" customFormat="1" x14ac:dyDescent="0.25">
      <c r="A21" s="23">
        <v>42523.537569444445</v>
      </c>
      <c r="B21" s="22" t="s">
        <v>190</v>
      </c>
      <c r="C21" s="22" t="s">
        <v>302</v>
      </c>
      <c r="D21" s="22" t="s">
        <v>52</v>
      </c>
      <c r="E21" s="22" t="s">
        <v>58</v>
      </c>
      <c r="F21" s="22">
        <v>0</v>
      </c>
      <c r="G21" s="22">
        <v>511</v>
      </c>
      <c r="H21" s="22">
        <v>130337</v>
      </c>
      <c r="I21" s="22" t="s">
        <v>59</v>
      </c>
      <c r="J21" s="22">
        <v>127587</v>
      </c>
      <c r="K21" s="21" t="s">
        <v>56</v>
      </c>
      <c r="L21" s="21" t="str">
        <f>VLOOKUP(C21,'Trips&amp;Operators'!$C$1:$E$9999,3,FALSE)</f>
        <v>MAYBERRY</v>
      </c>
      <c r="M21" s="20" t="s">
        <v>71</v>
      </c>
      <c r="N21" s="21" t="s">
        <v>433</v>
      </c>
      <c r="P21" s="80" t="str">
        <f>VLOOKUP(C21,'Train Runs'!$A$3:$T$257,20,0)</f>
        <v>https://search-rtdc-monitor-bjffxe2xuh6vdkpspy63sjmuny.us-east-1.es.amazonaws.com/_plugin/kibana/#/discover/Steve-Slow-Train-Analysis-(2080s-and-2083s)?_g=(refreshInterval:(display:Off,section:0,value:0),time:(from:'2016-06-02 12:26:36-0600',mode:absolute,to:'2016-06-02 13:27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1" s="19" t="str">
        <f t="shared" si="0"/>
        <v>4023</v>
      </c>
    </row>
    <row r="22" spans="1:18" s="19" customFormat="1" x14ac:dyDescent="0.25">
      <c r="A22" s="23">
        <v>42523.636157407411</v>
      </c>
      <c r="B22" s="22" t="s">
        <v>189</v>
      </c>
      <c r="C22" s="22" t="s">
        <v>340</v>
      </c>
      <c r="D22" s="22" t="s">
        <v>52</v>
      </c>
      <c r="E22" s="22" t="s">
        <v>58</v>
      </c>
      <c r="F22" s="22">
        <v>0</v>
      </c>
      <c r="G22" s="22">
        <v>137</v>
      </c>
      <c r="H22" s="22">
        <v>923</v>
      </c>
      <c r="I22" s="22" t="s">
        <v>59</v>
      </c>
      <c r="J22" s="22">
        <v>1692</v>
      </c>
      <c r="K22" s="21" t="s">
        <v>55</v>
      </c>
      <c r="L22" s="21" t="str">
        <f>VLOOKUP(C22,'Trips&amp;Operators'!$C$1:$E$9999,3,FALSE)</f>
        <v>MAYBERRY</v>
      </c>
      <c r="M22" s="20" t="s">
        <v>71</v>
      </c>
      <c r="N22" s="21" t="s">
        <v>433</v>
      </c>
      <c r="P22" s="80" t="str">
        <f>VLOOKUP(C22,'Train Runs'!$A$3:$T$257,20,0)</f>
        <v>https://search-rtdc-monitor-bjffxe2xuh6vdkpspy63sjmuny.us-east-1.es.amazonaws.com/_plugin/kibana/#/discover/Steve-Slow-Train-Analysis-(2080s-and-2083s)?_g=(refreshInterval:(display:Off,section:0,value:0),time:(from:'2016-06-02 15:06:01-0600',mode:absolute,to:'2016-06-02 15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2" s="19" t="str">
        <f t="shared" si="0"/>
        <v>4024</v>
      </c>
    </row>
    <row r="23" spans="1:18" s="19" customFormat="1" x14ac:dyDescent="0.25">
      <c r="A23" s="23">
        <v>42523.224189814813</v>
      </c>
      <c r="B23" s="22" t="s">
        <v>189</v>
      </c>
      <c r="C23" s="22" t="s">
        <v>208</v>
      </c>
      <c r="D23" s="22" t="s">
        <v>52</v>
      </c>
      <c r="E23" s="22" t="s">
        <v>53</v>
      </c>
      <c r="F23" s="22">
        <v>0</v>
      </c>
      <c r="G23" s="22">
        <v>6</v>
      </c>
      <c r="H23" s="22">
        <v>233342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STRICKLAND</v>
      </c>
      <c r="M23" s="20" t="s">
        <v>71</v>
      </c>
      <c r="N23" s="21"/>
      <c r="P23" s="80" t="str">
        <f>VLOOKUP(C23,'Train Runs'!$A$3:$T$257,20,0)</f>
        <v>https://search-rtdc-monitor-bjffxe2xuh6vdkpspy63sjmuny.us-east-1.es.amazonaws.com/_plugin/kibana/#/discover/Steve-Slow-Train-Analysis-(2080s-and-2083s)?_g=(refreshInterval:(display:Off,section:0,value:0),time:(from:'2016-06-02 04:38:08-0600',mode:absolute,to:'2016-06-02 05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3" s="19" t="str">
        <f t="shared" si="0"/>
        <v>4024</v>
      </c>
    </row>
    <row r="24" spans="1:18" s="19" customFormat="1" x14ac:dyDescent="0.25">
      <c r="A24" s="23">
        <v>42523.245196759257</v>
      </c>
      <c r="B24" s="22" t="s">
        <v>118</v>
      </c>
      <c r="C24" s="22" t="s">
        <v>214</v>
      </c>
      <c r="D24" s="22" t="s">
        <v>52</v>
      </c>
      <c r="E24" s="22" t="s">
        <v>53</v>
      </c>
      <c r="F24" s="22">
        <v>0</v>
      </c>
      <c r="G24" s="22">
        <v>27</v>
      </c>
      <c r="H24" s="22">
        <v>233438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COOLAHAN</v>
      </c>
      <c r="M24" s="20" t="s">
        <v>71</v>
      </c>
      <c r="N24" s="21"/>
      <c r="P24" s="80" t="str">
        <f>VLOOKUP(C24,'Train Runs'!$A$3:$T$257,20,0)</f>
        <v>https://search-rtdc-monitor-bjffxe2xuh6vdkpspy63sjmuny.us-east-1.es.amazonaws.com/_plugin/kibana/#/discover/Steve-Slow-Train-Analysis-(2080s-and-2083s)?_g=(refreshInterval:(display:Off,section:0,value:0),time:(from:'2016-06-02 05:05:05-0600',mode:absolute,to:'2016-06-02 05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4" s="19" t="str">
        <f t="shared" si="0"/>
        <v>4029</v>
      </c>
    </row>
    <row r="25" spans="1:18" s="19" customFormat="1" x14ac:dyDescent="0.25">
      <c r="A25" s="23">
        <v>42523.295763888891</v>
      </c>
      <c r="B25" s="22" t="s">
        <v>187</v>
      </c>
      <c r="C25" s="22" t="s">
        <v>220</v>
      </c>
      <c r="D25" s="22" t="s">
        <v>52</v>
      </c>
      <c r="E25" s="22" t="s">
        <v>53</v>
      </c>
      <c r="F25" s="22">
        <v>0</v>
      </c>
      <c r="G25" s="22">
        <v>7</v>
      </c>
      <c r="H25" s="22">
        <v>116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NELSON</v>
      </c>
      <c r="M25" s="20" t="s">
        <v>71</v>
      </c>
      <c r="N25" s="21"/>
      <c r="P25" s="80" t="str">
        <f>VLOOKUP(C25,'Train Runs'!$A$3:$T$257,20,0)</f>
        <v>https://search-rtdc-monitor-bjffxe2xuh6vdkpspy63sjmuny.us-east-1.es.amazonaws.com/_plugin/kibana/#/discover/Steve-Slow-Train-Analysis-(2080s-and-2083s)?_g=(refreshInterval:(display:Off,section:0,value:0),time:(from:'2016-06-02 06:16:36-0600',mode:absolute,to:'2016-06-02 07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5" s="19" t="str">
        <f t="shared" si="0"/>
        <v>4041</v>
      </c>
    </row>
    <row r="26" spans="1:18" s="19" customFormat="1" x14ac:dyDescent="0.25">
      <c r="A26" s="23">
        <v>42523.306574074071</v>
      </c>
      <c r="B26" s="22" t="s">
        <v>155</v>
      </c>
      <c r="C26" s="22" t="s">
        <v>223</v>
      </c>
      <c r="D26" s="22" t="s">
        <v>52</v>
      </c>
      <c r="E26" s="22" t="s">
        <v>53</v>
      </c>
      <c r="F26" s="22">
        <v>0</v>
      </c>
      <c r="G26" s="22">
        <v>55</v>
      </c>
      <c r="H26" s="22">
        <v>172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BEAM</v>
      </c>
      <c r="M26" s="20" t="s">
        <v>71</v>
      </c>
      <c r="N26" s="21"/>
      <c r="P26" s="80" t="str">
        <f>VLOOKUP(C26,'Train Runs'!$A$3:$T$257,20,0)</f>
        <v>https://search-rtdc-monitor-bjffxe2xuh6vdkpspy63sjmuny.us-east-1.es.amazonaws.com/_plugin/kibana/#/discover/Steve-Slow-Train-Analysis-(2080s-and-2083s)?_g=(refreshInterval:(display:Off,section:0,value:0),time:(from:'2016-06-02 06:29:18-0600',mode:absolute,to:'2016-06-02 07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6" s="19" t="str">
        <f t="shared" si="0"/>
        <v>4013</v>
      </c>
    </row>
    <row r="27" spans="1:18" s="19" customFormat="1" x14ac:dyDescent="0.25">
      <c r="A27" s="23">
        <v>42523.340729166666</v>
      </c>
      <c r="B27" s="22" t="s">
        <v>153</v>
      </c>
      <c r="C27" s="22" t="s">
        <v>248</v>
      </c>
      <c r="D27" s="22" t="s">
        <v>52</v>
      </c>
      <c r="E27" s="22" t="s">
        <v>53</v>
      </c>
      <c r="F27" s="22">
        <v>0</v>
      </c>
      <c r="G27" s="22">
        <v>29</v>
      </c>
      <c r="H27" s="22">
        <v>233418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STARKS</v>
      </c>
      <c r="M27" s="20" t="s">
        <v>71</v>
      </c>
      <c r="N27" s="21"/>
      <c r="P27" s="80" t="str">
        <f>VLOOKUP(C27,'Train Runs'!$A$3:$T$257,20,0)</f>
        <v>https://search-rtdc-monitor-bjffxe2xuh6vdkpspy63sjmuny.us-east-1.es.amazonaws.com/_plugin/kibana/#/discover/Steve-Slow-Train-Analysis-(2080s-and-2083s)?_g=(refreshInterval:(display:Off,section:0,value:0),time:(from:'2016-06-02 07:24:00-0600',mode:absolute,to:'2016-06-02 08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7" s="19" t="str">
        <f t="shared" si="0"/>
        <v>4014</v>
      </c>
    </row>
    <row r="28" spans="1:18" s="19" customFormat="1" x14ac:dyDescent="0.25">
      <c r="A28" s="23">
        <v>42523.34988425926</v>
      </c>
      <c r="B28" s="22" t="s">
        <v>410</v>
      </c>
      <c r="C28" s="22" t="s">
        <v>252</v>
      </c>
      <c r="D28" s="22" t="s">
        <v>52</v>
      </c>
      <c r="E28" s="22" t="s">
        <v>53</v>
      </c>
      <c r="F28" s="22">
        <v>0</v>
      </c>
      <c r="G28" s="22">
        <v>8</v>
      </c>
      <c r="H28" s="22">
        <v>233372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BEAM</v>
      </c>
      <c r="M28" s="20" t="s">
        <v>71</v>
      </c>
      <c r="N28" s="21"/>
      <c r="P28" s="80" t="str">
        <f>VLOOKUP(C28,'Train Runs'!$A$3:$T$257,20,0)</f>
        <v>https://search-rtdc-monitor-bjffxe2xuh6vdkpspy63sjmuny.us-east-1.es.amazonaws.com/_plugin/kibana/#/discover/Steve-Slow-Train-Analysis-(2080s-and-2083s)?_g=(refreshInterval:(display:Off,section:0,value:0),time:(from:'2016-06-02 07:40:08-0600',mode:absolute,to:'2016-06-02 08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8" s="19" t="str">
        <f t="shared" si="0"/>
        <v>4027</v>
      </c>
      <c r="R28" s="83"/>
    </row>
    <row r="29" spans="1:18" s="19" customFormat="1" x14ac:dyDescent="0.25">
      <c r="A29" s="23">
        <v>42523.360393518517</v>
      </c>
      <c r="B29" s="22" t="s">
        <v>119</v>
      </c>
      <c r="C29" s="22" t="s">
        <v>244</v>
      </c>
      <c r="D29" s="22" t="s">
        <v>52</v>
      </c>
      <c r="E29" s="22" t="s">
        <v>53</v>
      </c>
      <c r="F29" s="22">
        <v>0</v>
      </c>
      <c r="G29" s="22">
        <v>42</v>
      </c>
      <c r="H29" s="22">
        <v>92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COOLAHAN</v>
      </c>
      <c r="M29" s="20" t="s">
        <v>71</v>
      </c>
      <c r="N29" s="21"/>
      <c r="P29" s="80" t="str">
        <f>VLOOKUP(C29,'Train Runs'!$A$3:$T$257,20,0)</f>
        <v>https://search-rtdc-monitor-bjffxe2xuh6vdkpspy63sjmuny.us-east-1.es.amazonaws.com/_plugin/kibana/#/discover/Steve-Slow-Train-Analysis-(2080s-and-2083s)?_g=(refreshInterval:(display:Off,section:0,value:0),time:(from:'2016-06-02 07:52:52-0600',mode:absolute,to:'2016-06-02 08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9" t="str">
        <f t="shared" si="0"/>
        <v>4030</v>
      </c>
    </row>
    <row r="30" spans="1:18" s="19" customFormat="1" x14ac:dyDescent="0.25">
      <c r="A30" s="23">
        <v>42523.382488425923</v>
      </c>
      <c r="B30" s="22" t="s">
        <v>155</v>
      </c>
      <c r="C30" s="22" t="s">
        <v>250</v>
      </c>
      <c r="D30" s="22" t="s">
        <v>52</v>
      </c>
      <c r="E30" s="22" t="s">
        <v>53</v>
      </c>
      <c r="F30" s="22">
        <v>0</v>
      </c>
      <c r="G30" s="22">
        <v>41</v>
      </c>
      <c r="H30" s="22">
        <v>143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STARKS</v>
      </c>
      <c r="M30" s="20" t="s">
        <v>71</v>
      </c>
      <c r="N30" s="21"/>
      <c r="P30" s="80" t="str">
        <f>VLOOKUP(C30,'Train Runs'!$A$3:$T$257,20,0)</f>
        <v>https://search-rtdc-monitor-bjffxe2xuh6vdkpspy63sjmuny.us-east-1.es.amazonaws.com/_plugin/kibana/#/discover/Steve-Slow-Train-Analysis-(2080s-and-2083s)?_g=(refreshInterval:(display:Off,section:0,value:0),time:(from:'2016-06-02 08:19:32-0600',mode:absolute,to:'2016-06-02 09:12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8" s="19" customFormat="1" x14ac:dyDescent="0.25">
      <c r="A31" s="23">
        <v>42523.413391203707</v>
      </c>
      <c r="B31" s="22" t="s">
        <v>153</v>
      </c>
      <c r="C31" s="22" t="s">
        <v>271</v>
      </c>
      <c r="D31" s="22" t="s">
        <v>52</v>
      </c>
      <c r="E31" s="22" t="s">
        <v>53</v>
      </c>
      <c r="F31" s="22">
        <v>0</v>
      </c>
      <c r="G31" s="22">
        <v>35</v>
      </c>
      <c r="H31" s="22">
        <v>233342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71</v>
      </c>
      <c r="N31" s="21"/>
      <c r="P31" s="80" t="str">
        <f>VLOOKUP(C31,'Train Runs'!$A$3:$T$257,20,0)</f>
        <v>https://search-rtdc-monitor-bjffxe2xuh6vdkpspy63sjmuny.us-east-1.es.amazonaws.com/_plugin/kibana/#/discover/Steve-Slow-Train-Analysis-(2080s-and-2083s)?_g=(refreshInterval:(display:Off,section:0,value:0),time:(from:'2016-06-02 09:13:13-0600',mode:absolute,to:'2016-06-02 09:56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8" s="19" customFormat="1" x14ac:dyDescent="0.25">
      <c r="A32" s="23">
        <v>42523.442650462966</v>
      </c>
      <c r="B32" s="22" t="s">
        <v>187</v>
      </c>
      <c r="C32" s="22" t="s">
        <v>270</v>
      </c>
      <c r="D32" s="22" t="s">
        <v>52</v>
      </c>
      <c r="E32" s="22" t="s">
        <v>53</v>
      </c>
      <c r="F32" s="22">
        <v>0</v>
      </c>
      <c r="G32" s="22">
        <v>7</v>
      </c>
      <c r="H32" s="22">
        <v>123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71</v>
      </c>
      <c r="N32" s="20"/>
      <c r="P32" s="80" t="str">
        <f>VLOOKUP(C32,'Train Runs'!$A$3:$T$257,20,0)</f>
        <v>https://search-rtdc-monitor-bjffxe2xuh6vdkpspy63sjmuny.us-east-1.es.amazonaws.com/_plugin/kibana/#/discover/Steve-Slow-Train-Analysis-(2080s-and-2083s)?_g=(refreshInterval:(display:Off,section:0,value:0),time:(from:'2016-06-02 09:52:07-0600',mode:absolute,to:'2016-06-02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9" t="str">
        <f t="shared" si="0"/>
        <v>4041</v>
      </c>
    </row>
    <row r="33" spans="1:17" s="19" customFormat="1" x14ac:dyDescent="0.25">
      <c r="A33" s="23">
        <v>42523.483668981484</v>
      </c>
      <c r="B33" s="22" t="s">
        <v>153</v>
      </c>
      <c r="C33" s="22" t="s">
        <v>290</v>
      </c>
      <c r="D33" s="22" t="s">
        <v>52</v>
      </c>
      <c r="E33" s="22" t="s">
        <v>53</v>
      </c>
      <c r="F33" s="22">
        <v>0</v>
      </c>
      <c r="G33" s="22">
        <v>3</v>
      </c>
      <c r="H33" s="22">
        <v>233309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71</v>
      </c>
      <c r="N33" s="20"/>
      <c r="P33" s="80" t="str">
        <f>VLOOKUP(C33,'Train Runs'!$A$3:$T$257,20,0)</f>
        <v>https://search-rtdc-monitor-bjffxe2xuh6vdkpspy63sjmuny.us-east-1.es.amazonaws.com/_plugin/kibana/#/discover/Steve-Slow-Train-Analysis-(2080s-and-2083s)?_g=(refreshInterval:(display:Off,section:0,value:0),time:(from:'2016-06-02 10:56:37-0600',mode:absolute,to:'2016-06-02 11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3" s="19" t="str">
        <f t="shared" si="0"/>
        <v>4014</v>
      </c>
    </row>
    <row r="34" spans="1:17" s="19" customFormat="1" x14ac:dyDescent="0.25">
      <c r="A34" s="23">
        <v>42523.508599537039</v>
      </c>
      <c r="B34" s="22" t="s">
        <v>85</v>
      </c>
      <c r="C34" s="22" t="s">
        <v>285</v>
      </c>
      <c r="D34" s="22" t="s">
        <v>52</v>
      </c>
      <c r="E34" s="22" t="s">
        <v>53</v>
      </c>
      <c r="F34" s="22">
        <v>0</v>
      </c>
      <c r="G34" s="22">
        <v>4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GEBRETEKLE</v>
      </c>
      <c r="M34" s="20" t="s">
        <v>71</v>
      </c>
      <c r="N34" s="21"/>
      <c r="P34" s="80" t="str">
        <f>VLOOKUP(C34,'Train Runs'!$A$3:$T$257,20,0)</f>
        <v>https://search-rtdc-monitor-bjffxe2xuh6vdkpspy63sjmuny.us-east-1.es.amazonaws.com/_plugin/kibana/#/discover/Steve-Slow-Train-Analysis-(2080s-and-2083s)?_g=(refreshInterval:(display:Off,section:0,value:0),time:(from:'2016-06-02 11:18:04-0600',mode:absolute,to:'2016-06-02 12:13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9" t="str">
        <f t="shared" si="0"/>
        <v>4032</v>
      </c>
    </row>
    <row r="35" spans="1:17" s="19" customFormat="1" x14ac:dyDescent="0.25">
      <c r="A35" s="23">
        <v>42523.559756944444</v>
      </c>
      <c r="B35" s="22" t="s">
        <v>190</v>
      </c>
      <c r="C35" s="22" t="s">
        <v>302</v>
      </c>
      <c r="D35" s="22" t="s">
        <v>52</v>
      </c>
      <c r="E35" s="22" t="s">
        <v>53</v>
      </c>
      <c r="F35" s="22">
        <v>0</v>
      </c>
      <c r="G35" s="22">
        <v>5</v>
      </c>
      <c r="H35" s="22">
        <v>320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MAYBERRY</v>
      </c>
      <c r="M35" s="20" t="s">
        <v>71</v>
      </c>
      <c r="N35" s="21"/>
      <c r="P35" s="80" t="str">
        <f>VLOOKUP(C35,'Train Runs'!$A$3:$T$257,20,0)</f>
        <v>https://search-rtdc-monitor-bjffxe2xuh6vdkpspy63sjmuny.us-east-1.es.amazonaws.com/_plugin/kibana/#/discover/Steve-Slow-Train-Analysis-(2080s-and-2083s)?_g=(refreshInterval:(display:Off,section:0,value:0),time:(from:'2016-06-02 12:26:36-0600',mode:absolute,to:'2016-06-02 13:27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9" t="str">
        <f t="shared" si="0"/>
        <v>4023</v>
      </c>
    </row>
    <row r="36" spans="1:17" s="19" customFormat="1" x14ac:dyDescent="0.25">
      <c r="A36" s="23">
        <v>42523.711296296293</v>
      </c>
      <c r="B36" s="22" t="s">
        <v>410</v>
      </c>
      <c r="C36" s="22" t="s">
        <v>355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233326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71</v>
      </c>
      <c r="N36" s="21"/>
      <c r="P36" s="80" t="str">
        <f>VLOOKUP(C36,'Train Runs'!$A$3:$T$257,20,0)</f>
        <v>https://search-rtdc-monitor-bjffxe2xuh6vdkpspy63sjmuny.us-east-1.es.amazonaws.com/_plugin/kibana/#/discover/Steve-Slow-Train-Analysis-(2080s-and-2083s)?_g=(refreshInterval:(display:Off,section:0,value:0),time:(from:'2016-06-02 16:20:19-0600',mode:absolute,to:'2016-06-02 17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6" s="19" t="str">
        <f t="shared" si="0"/>
        <v>4027</v>
      </c>
    </row>
    <row r="37" spans="1:17" s="19" customFormat="1" x14ac:dyDescent="0.25">
      <c r="A37" s="23">
        <v>42523.713263888887</v>
      </c>
      <c r="B37" s="22" t="s">
        <v>413</v>
      </c>
      <c r="C37" s="22" t="s">
        <v>343</v>
      </c>
      <c r="D37" s="22" t="s">
        <v>52</v>
      </c>
      <c r="E37" s="22" t="s">
        <v>53</v>
      </c>
      <c r="F37" s="22">
        <v>0</v>
      </c>
      <c r="G37" s="22">
        <v>3</v>
      </c>
      <c r="H37" s="22">
        <v>116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ROCHA</v>
      </c>
      <c r="M37" s="20" t="s">
        <v>71</v>
      </c>
      <c r="N37" s="21"/>
      <c r="P37" s="80" t="str">
        <f>VLOOKUP(C37,'Train Runs'!$A$3:$T$257,20,0)</f>
        <v>https://search-rtdc-monitor-bjffxe2xuh6vdkpspy63sjmuny.us-east-1.es.amazonaws.com/_plugin/kibana/#/discover/Steve-Slow-Train-Analysis-(2080s-and-2083s)?_g=(refreshInterval:(display:Off,section:0,value:0),time:(from:'2016-06-02 16:12:56-0600',mode:absolute,to:'2016-06-02 17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7" s="19" t="str">
        <f t="shared" si="0"/>
        <v>4008</v>
      </c>
    </row>
    <row r="38" spans="1:17" s="19" customFormat="1" x14ac:dyDescent="0.25">
      <c r="A38" s="23">
        <v>42523.730462962965</v>
      </c>
      <c r="B38" s="22" t="s">
        <v>414</v>
      </c>
      <c r="C38" s="22" t="s">
        <v>358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233334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REBOLETTI</v>
      </c>
      <c r="M38" s="20" t="s">
        <v>71</v>
      </c>
      <c r="N38" s="21"/>
      <c r="P38" s="80" t="str">
        <f>VLOOKUP(C38,'Train Runs'!$A$3:$T$257,20,0)</f>
        <v>https://search-rtdc-monitor-bjffxe2xuh6vdkpspy63sjmuny.us-east-1.es.amazonaws.com/_plugin/kibana/#/discover/Steve-Slow-Train-Analysis-(2080s-and-2083s)?_g=(refreshInterval:(display:Off,section:0,value:0),time:(from:'2016-06-02 16:38:25-0600',mode:absolute,to:'2016-06-02 17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8" s="19" t="str">
        <f t="shared" si="0"/>
        <v>4025</v>
      </c>
    </row>
    <row r="39" spans="1:17" s="19" customFormat="1" x14ac:dyDescent="0.25">
      <c r="A39" s="23">
        <v>42523.825983796298</v>
      </c>
      <c r="B39" s="22" t="s">
        <v>416</v>
      </c>
      <c r="C39" s="22" t="s">
        <v>373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112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ADANE</v>
      </c>
      <c r="M39" s="20" t="s">
        <v>71</v>
      </c>
      <c r="N39" s="21"/>
      <c r="P39" s="80" t="str">
        <f>VLOOKUP(C39,'Train Runs'!$A$3:$T$257,20,0)</f>
        <v>https://search-rtdc-monitor-bjffxe2xuh6vdkpspy63sjmuny.us-east-1.es.amazonaws.com/_plugin/kibana/#/discover/Steve-Slow-Train-Analysis-(2080s-and-2083s)?_g=(refreshInterval:(display:Off,section:0,value:0),time:(from:'2016-06-02 19:07:38-0600',mode:absolute,to:'2016-06-02 19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19" t="str">
        <f t="shared" si="0"/>
        <v>4028</v>
      </c>
    </row>
    <row r="40" spans="1:17" s="19" customFormat="1" ht="15.75" thickBot="1" x14ac:dyDescent="0.3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3"/>
      <c r="L40" s="43"/>
      <c r="M40" s="44"/>
      <c r="N40" s="43"/>
      <c r="P40" s="80"/>
    </row>
    <row r="41" spans="1:17" ht="30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18" t="s">
        <v>28</v>
      </c>
      <c r="L41" s="52"/>
      <c r="M41" s="17">
        <f>COUNTIF(M3:M39,"=Y")</f>
        <v>7</v>
      </c>
      <c r="N41" s="77"/>
    </row>
    <row r="42" spans="1:17" ht="15.75" thickBot="1" x14ac:dyDescent="0.3">
      <c r="B42" s="59"/>
      <c r="C42" s="59"/>
      <c r="D42" s="59"/>
      <c r="E42" s="59"/>
      <c r="F42" s="59"/>
      <c r="G42" s="59"/>
      <c r="H42" s="59"/>
      <c r="I42" s="59"/>
      <c r="J42" s="59"/>
      <c r="K42" s="16" t="s">
        <v>27</v>
      </c>
      <c r="L42" s="53"/>
      <c r="M42" s="15">
        <f>COUNTA(M3:M39)-M41</f>
        <v>30</v>
      </c>
    </row>
  </sheetData>
  <autoFilter ref="A2:N39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4" priority="8" operator="equal">
      <formula>"Y"</formula>
    </cfRule>
  </conditionalFormatting>
  <conditionalFormatting sqref="A3:N39">
    <cfRule type="expression" dxfId="3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2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2016-06-02</v>
      </c>
      <c r="B1" s="77"/>
    </row>
    <row r="2" spans="1:2" x14ac:dyDescent="0.25">
      <c r="A2" s="77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2" priority="2">
      <formula>$P2&gt;0</formula>
    </cfRule>
    <cfRule type="expression" dxfId="1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topLeftCell="A22" workbookViewId="0">
      <selection activeCell="K20" sqref="K20:K2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42523.154513888891</v>
      </c>
      <c r="B1" t="s">
        <v>183</v>
      </c>
      <c r="C1" t="s">
        <v>197</v>
      </c>
      <c r="D1">
        <v>1110000</v>
      </c>
      <c r="E1" t="s">
        <v>123</v>
      </c>
    </row>
    <row r="2" spans="1:5" x14ac:dyDescent="0.25">
      <c r="A2" s="14">
        <v>42523.694560185184</v>
      </c>
      <c r="B2" t="s">
        <v>414</v>
      </c>
      <c r="C2" t="s">
        <v>358</v>
      </c>
      <c r="D2">
        <v>1750000</v>
      </c>
      <c r="E2" t="s">
        <v>154</v>
      </c>
    </row>
    <row r="3" spans="1:5" x14ac:dyDescent="0.25">
      <c r="A3" s="14">
        <v>42523.724942129629</v>
      </c>
      <c r="B3" t="s">
        <v>417</v>
      </c>
      <c r="C3" t="s">
        <v>347</v>
      </c>
      <c r="D3">
        <v>880000</v>
      </c>
      <c r="E3" t="s">
        <v>186</v>
      </c>
    </row>
    <row r="4" spans="1:5" x14ac:dyDescent="0.25">
      <c r="A4" s="14">
        <v>42523.732870370368</v>
      </c>
      <c r="B4" t="s">
        <v>411</v>
      </c>
      <c r="C4" t="s">
        <v>359</v>
      </c>
      <c r="D4">
        <v>1750000</v>
      </c>
      <c r="E4" t="s">
        <v>154</v>
      </c>
    </row>
    <row r="5" spans="1:5" x14ac:dyDescent="0.25">
      <c r="A5" s="14">
        <v>42523.630891203706</v>
      </c>
      <c r="B5" t="s">
        <v>417</v>
      </c>
      <c r="C5" t="s">
        <v>331</v>
      </c>
      <c r="D5">
        <v>880000</v>
      </c>
      <c r="E5" t="s">
        <v>186</v>
      </c>
    </row>
    <row r="6" spans="1:5" x14ac:dyDescent="0.25">
      <c r="A6" s="14">
        <v>42523.30672453704</v>
      </c>
      <c r="B6" t="s">
        <v>190</v>
      </c>
      <c r="C6" t="s">
        <v>237</v>
      </c>
      <c r="D6">
        <v>1760000</v>
      </c>
      <c r="E6" t="s">
        <v>152</v>
      </c>
    </row>
    <row r="7" spans="1:5" x14ac:dyDescent="0.25">
      <c r="A7" s="14">
        <v>42523.575497685182</v>
      </c>
      <c r="B7" t="s">
        <v>416</v>
      </c>
      <c r="C7" t="s">
        <v>316</v>
      </c>
      <c r="D7">
        <v>1090000</v>
      </c>
      <c r="E7" t="s">
        <v>137</v>
      </c>
    </row>
    <row r="8" spans="1:5" ht="15.75" thickBot="1" x14ac:dyDescent="0.3">
      <c r="A8" s="84">
        <v>42523.811076388891</v>
      </c>
      <c r="B8" t="s">
        <v>412</v>
      </c>
      <c r="C8" t="s">
        <v>378</v>
      </c>
      <c r="D8">
        <v>1180000</v>
      </c>
      <c r="E8" t="s">
        <v>120</v>
      </c>
    </row>
    <row r="9" spans="1:5" x14ac:dyDescent="0.25">
      <c r="A9" s="14">
        <v>42523.870752314811</v>
      </c>
      <c r="B9" t="s">
        <v>133</v>
      </c>
      <c r="C9" t="s">
        <v>385</v>
      </c>
      <c r="D9">
        <v>1770000</v>
      </c>
      <c r="E9" t="s">
        <v>418</v>
      </c>
    </row>
    <row r="10" spans="1:5" x14ac:dyDescent="0.25">
      <c r="A10" s="14">
        <v>42523.928854166668</v>
      </c>
      <c r="B10" t="s">
        <v>417</v>
      </c>
      <c r="C10" t="s">
        <v>388</v>
      </c>
      <c r="D10">
        <v>1180000</v>
      </c>
      <c r="E10" t="s">
        <v>120</v>
      </c>
    </row>
    <row r="11" spans="1:5" x14ac:dyDescent="0.25">
      <c r="A11" s="14">
        <v>42523.916354166664</v>
      </c>
      <c r="B11" t="s">
        <v>183</v>
      </c>
      <c r="C11" t="s">
        <v>389</v>
      </c>
      <c r="D11">
        <v>1810000</v>
      </c>
      <c r="E11" t="s">
        <v>419</v>
      </c>
    </row>
    <row r="12" spans="1:5" x14ac:dyDescent="0.25">
      <c r="A12" s="14">
        <v>42523.133101851854</v>
      </c>
      <c r="B12" t="s">
        <v>412</v>
      </c>
      <c r="C12" t="s">
        <v>191</v>
      </c>
      <c r="D12">
        <v>1290000</v>
      </c>
      <c r="E12" t="s">
        <v>185</v>
      </c>
    </row>
    <row r="13" spans="1:5" x14ac:dyDescent="0.25">
      <c r="A13" s="14">
        <v>42523.7891087963</v>
      </c>
      <c r="B13" t="s">
        <v>415</v>
      </c>
      <c r="C13" t="s">
        <v>377</v>
      </c>
      <c r="D13">
        <v>1770000</v>
      </c>
      <c r="E13" t="s">
        <v>418</v>
      </c>
    </row>
    <row r="14" spans="1:5" x14ac:dyDescent="0.25">
      <c r="A14" s="14">
        <v>42523.276099537034</v>
      </c>
      <c r="B14" t="s">
        <v>412</v>
      </c>
      <c r="C14" t="s">
        <v>238</v>
      </c>
      <c r="D14">
        <v>1100000</v>
      </c>
      <c r="E14" t="s">
        <v>184</v>
      </c>
    </row>
    <row r="15" spans="1:5" x14ac:dyDescent="0.25">
      <c r="A15" s="14">
        <v>42523.271631944444</v>
      </c>
      <c r="B15" t="s">
        <v>155</v>
      </c>
      <c r="C15" t="s">
        <v>223</v>
      </c>
      <c r="D15">
        <v>1340000</v>
      </c>
      <c r="E15" t="s">
        <v>420</v>
      </c>
    </row>
    <row r="16" spans="1:5" x14ac:dyDescent="0.25">
      <c r="A16" s="14">
        <v>42523.798356481479</v>
      </c>
      <c r="B16" t="s">
        <v>416</v>
      </c>
      <c r="C16" t="s">
        <v>373</v>
      </c>
      <c r="D16">
        <v>1820000</v>
      </c>
      <c r="E16" t="s">
        <v>121</v>
      </c>
    </row>
    <row r="17" spans="1:5" x14ac:dyDescent="0.25">
      <c r="A17" s="14">
        <v>42523.256516203706</v>
      </c>
      <c r="B17" t="s">
        <v>414</v>
      </c>
      <c r="C17" t="s">
        <v>231</v>
      </c>
      <c r="D17">
        <v>1360000</v>
      </c>
      <c r="E17" t="s">
        <v>421</v>
      </c>
    </row>
    <row r="18" spans="1:5" x14ac:dyDescent="0.25">
      <c r="A18" s="14">
        <v>42523.391423611109</v>
      </c>
      <c r="B18" t="s">
        <v>417</v>
      </c>
      <c r="C18" t="s">
        <v>263</v>
      </c>
      <c r="D18">
        <v>1100000</v>
      </c>
      <c r="E18" t="s">
        <v>184</v>
      </c>
    </row>
    <row r="19" spans="1:5" x14ac:dyDescent="0.25">
      <c r="A19" s="14">
        <v>42523.212997685187</v>
      </c>
      <c r="B19" t="s">
        <v>85</v>
      </c>
      <c r="C19" t="s">
        <v>203</v>
      </c>
      <c r="D19">
        <v>1430000</v>
      </c>
      <c r="E19" t="s">
        <v>422</v>
      </c>
    </row>
    <row r="20" spans="1:5" x14ac:dyDescent="0.25">
      <c r="A20" s="14">
        <v>42523.398680555554</v>
      </c>
      <c r="B20" t="s">
        <v>119</v>
      </c>
      <c r="C20" t="s">
        <v>267</v>
      </c>
      <c r="D20">
        <v>1290000</v>
      </c>
      <c r="E20" t="s">
        <v>185</v>
      </c>
    </row>
    <row r="21" spans="1:5" x14ac:dyDescent="0.25">
      <c r="A21" s="14">
        <v>42523.586087962962</v>
      </c>
      <c r="B21" t="s">
        <v>81</v>
      </c>
      <c r="C21" t="s">
        <v>327</v>
      </c>
      <c r="D21">
        <v>1140000</v>
      </c>
      <c r="E21" t="s">
        <v>188</v>
      </c>
    </row>
    <row r="22" spans="1:5" x14ac:dyDescent="0.25">
      <c r="A22" s="14">
        <v>42523.412395833337</v>
      </c>
      <c r="B22" t="s">
        <v>187</v>
      </c>
      <c r="C22" t="s">
        <v>270</v>
      </c>
      <c r="D22">
        <v>1310000</v>
      </c>
      <c r="E22" t="s">
        <v>423</v>
      </c>
    </row>
    <row r="23" spans="1:5" x14ac:dyDescent="0.25">
      <c r="A23" s="14">
        <v>42523.676689814813</v>
      </c>
      <c r="B23" t="s">
        <v>413</v>
      </c>
      <c r="C23" t="s">
        <v>343</v>
      </c>
      <c r="D23">
        <v>900000</v>
      </c>
      <c r="E23" t="s">
        <v>136</v>
      </c>
    </row>
    <row r="24" spans="1:5" x14ac:dyDescent="0.25">
      <c r="A24" s="14">
        <v>42523.414293981485</v>
      </c>
      <c r="B24" t="s">
        <v>189</v>
      </c>
      <c r="C24" t="s">
        <v>279</v>
      </c>
      <c r="D24">
        <v>1230000</v>
      </c>
      <c r="E24" t="s">
        <v>157</v>
      </c>
    </row>
    <row r="25" spans="1:5" x14ac:dyDescent="0.25">
      <c r="A25" s="14">
        <v>42523.630381944444</v>
      </c>
      <c r="B25" t="s">
        <v>189</v>
      </c>
      <c r="C25" t="s">
        <v>340</v>
      </c>
      <c r="D25">
        <v>1520000</v>
      </c>
      <c r="E25" t="s">
        <v>424</v>
      </c>
    </row>
    <row r="26" spans="1:5" x14ac:dyDescent="0.25">
      <c r="A26" s="14">
        <v>42523.425011574072</v>
      </c>
      <c r="B26" t="s">
        <v>412</v>
      </c>
      <c r="C26" t="s">
        <v>281</v>
      </c>
      <c r="D26">
        <v>900000</v>
      </c>
      <c r="E26" t="s">
        <v>136</v>
      </c>
    </row>
    <row r="27" spans="1:5" x14ac:dyDescent="0.25">
      <c r="A27" s="14">
        <v>42523.59747685185</v>
      </c>
      <c r="B27" t="s">
        <v>190</v>
      </c>
      <c r="C27" t="s">
        <v>322</v>
      </c>
      <c r="D27">
        <v>1520000</v>
      </c>
      <c r="E27" t="s">
        <v>424</v>
      </c>
    </row>
    <row r="28" spans="1:5" x14ac:dyDescent="0.25">
      <c r="A28" s="14">
        <v>42523.487858796296</v>
      </c>
      <c r="B28" t="s">
        <v>189</v>
      </c>
      <c r="C28" t="s">
        <v>300</v>
      </c>
      <c r="D28">
        <v>1520000</v>
      </c>
      <c r="E28" t="s">
        <v>424</v>
      </c>
    </row>
    <row r="29" spans="1:5" x14ac:dyDescent="0.25">
      <c r="A29" s="14">
        <v>42523.380798611113</v>
      </c>
      <c r="B29" t="s">
        <v>190</v>
      </c>
      <c r="C29" t="s">
        <v>261</v>
      </c>
      <c r="D29">
        <v>1230000</v>
      </c>
      <c r="E29" t="s">
        <v>157</v>
      </c>
    </row>
    <row r="30" spans="1:5" x14ac:dyDescent="0.25">
      <c r="A30" s="14">
        <v>42523.515115740738</v>
      </c>
      <c r="B30" t="s">
        <v>81</v>
      </c>
      <c r="C30" t="s">
        <v>306</v>
      </c>
      <c r="D30">
        <v>1140000</v>
      </c>
      <c r="E30" t="s">
        <v>188</v>
      </c>
    </row>
    <row r="31" spans="1:5" x14ac:dyDescent="0.25">
      <c r="A31" s="14">
        <v>42523.262766203705</v>
      </c>
      <c r="B31" t="s">
        <v>187</v>
      </c>
      <c r="C31" t="s">
        <v>220</v>
      </c>
      <c r="D31">
        <v>1460000</v>
      </c>
      <c r="E31" t="s">
        <v>425</v>
      </c>
    </row>
    <row r="32" spans="1:5" x14ac:dyDescent="0.25">
      <c r="A32" s="14">
        <v>42523.555474537039</v>
      </c>
      <c r="B32" t="s">
        <v>414</v>
      </c>
      <c r="C32" t="s">
        <v>317</v>
      </c>
      <c r="D32">
        <v>890000</v>
      </c>
      <c r="E32" t="s">
        <v>135</v>
      </c>
    </row>
    <row r="33" spans="1:5" x14ac:dyDescent="0.25">
      <c r="A33" s="14">
        <v>42523.20380787037</v>
      </c>
      <c r="B33" t="s">
        <v>155</v>
      </c>
      <c r="C33" t="s">
        <v>408</v>
      </c>
      <c r="D33">
        <v>1110000</v>
      </c>
      <c r="E33" t="s">
        <v>123</v>
      </c>
    </row>
    <row r="34" spans="1:5" x14ac:dyDescent="0.25">
      <c r="A34" s="14">
        <v>42523.768263888887</v>
      </c>
      <c r="B34" t="s">
        <v>85</v>
      </c>
      <c r="C34" t="s">
        <v>366</v>
      </c>
      <c r="D34">
        <v>1140000</v>
      </c>
      <c r="E34" t="s">
        <v>188</v>
      </c>
    </row>
    <row r="35" spans="1:5" x14ac:dyDescent="0.25">
      <c r="A35" s="14">
        <v>42523.195659722223</v>
      </c>
      <c r="B35" t="s">
        <v>155</v>
      </c>
      <c r="C35" t="s">
        <v>408</v>
      </c>
      <c r="D35">
        <v>1110000</v>
      </c>
      <c r="E35" t="s">
        <v>123</v>
      </c>
    </row>
    <row r="36" spans="1:5" x14ac:dyDescent="0.25">
      <c r="A36" s="14">
        <v>42523.77784722222</v>
      </c>
      <c r="B36" t="s">
        <v>417</v>
      </c>
      <c r="C36" t="s">
        <v>368</v>
      </c>
      <c r="D36">
        <v>1180000</v>
      </c>
      <c r="E36" t="s">
        <v>120</v>
      </c>
    </row>
    <row r="37" spans="1:5" x14ac:dyDescent="0.25">
      <c r="A37" s="14">
        <v>42523.825775462959</v>
      </c>
      <c r="B37" t="s">
        <v>413</v>
      </c>
      <c r="C37" t="s">
        <v>409</v>
      </c>
      <c r="D37">
        <v>1770000</v>
      </c>
      <c r="E37" t="s">
        <v>418</v>
      </c>
    </row>
    <row r="38" spans="1:5" x14ac:dyDescent="0.25">
      <c r="A38" s="14">
        <v>42523.973090277781</v>
      </c>
      <c r="B38" t="s">
        <v>412</v>
      </c>
      <c r="C38" t="s">
        <v>397</v>
      </c>
      <c r="D38">
        <v>1180000</v>
      </c>
      <c r="E38" t="s">
        <v>120</v>
      </c>
    </row>
    <row r="39" spans="1:5" x14ac:dyDescent="0.25">
      <c r="A39" s="14">
        <v>42523.778703703705</v>
      </c>
      <c r="B39" t="s">
        <v>189</v>
      </c>
      <c r="C39" t="s">
        <v>407</v>
      </c>
      <c r="D39">
        <v>1520000</v>
      </c>
      <c r="E39" t="s">
        <v>424</v>
      </c>
    </row>
    <row r="40" spans="1:5" x14ac:dyDescent="0.25">
      <c r="A40" s="14">
        <v>42524.016064814816</v>
      </c>
      <c r="B40" t="s">
        <v>414</v>
      </c>
      <c r="C40" t="s">
        <v>403</v>
      </c>
      <c r="D40">
        <v>1240000</v>
      </c>
      <c r="E40" t="s">
        <v>122</v>
      </c>
    </row>
    <row r="41" spans="1:5" x14ac:dyDescent="0.25">
      <c r="A41" s="14">
        <v>42523.996111111112</v>
      </c>
      <c r="B41" t="s">
        <v>183</v>
      </c>
      <c r="C41" t="s">
        <v>400</v>
      </c>
      <c r="D41">
        <v>1820000</v>
      </c>
      <c r="E41" t="s">
        <v>121</v>
      </c>
    </row>
    <row r="42" spans="1:5" x14ac:dyDescent="0.25">
      <c r="A42" s="14">
        <v>42523.212002314816</v>
      </c>
      <c r="B42" t="s">
        <v>118</v>
      </c>
      <c r="C42" t="s">
        <v>214</v>
      </c>
      <c r="D42">
        <v>1290000</v>
      </c>
      <c r="E42" t="s">
        <v>185</v>
      </c>
    </row>
    <row r="43" spans="1:5" x14ac:dyDescent="0.25">
      <c r="A43" s="14">
        <v>42523.889351851853</v>
      </c>
      <c r="B43" t="s">
        <v>412</v>
      </c>
      <c r="C43" t="s">
        <v>387</v>
      </c>
      <c r="D43">
        <v>1180000</v>
      </c>
      <c r="E43" t="s">
        <v>120</v>
      </c>
    </row>
    <row r="44" spans="1:5" x14ac:dyDescent="0.25">
      <c r="A44" s="14">
        <v>42523.236550925925</v>
      </c>
      <c r="B44" t="s">
        <v>153</v>
      </c>
      <c r="C44" t="s">
        <v>221</v>
      </c>
      <c r="D44">
        <v>1340000</v>
      </c>
      <c r="E44" t="s">
        <v>420</v>
      </c>
    </row>
    <row r="45" spans="1:5" x14ac:dyDescent="0.25">
      <c r="A45" s="14">
        <v>42523.745509259257</v>
      </c>
      <c r="B45" t="s">
        <v>412</v>
      </c>
      <c r="C45" t="s">
        <v>367</v>
      </c>
      <c r="D45">
        <v>1180000</v>
      </c>
      <c r="E45" t="s">
        <v>120</v>
      </c>
    </row>
    <row r="46" spans="1:5" x14ac:dyDescent="0.25">
      <c r="A46" s="14">
        <v>42523.320729166669</v>
      </c>
      <c r="B46" t="s">
        <v>410</v>
      </c>
      <c r="C46" t="s">
        <v>252</v>
      </c>
      <c r="D46">
        <v>1340000</v>
      </c>
      <c r="E46" t="s">
        <v>420</v>
      </c>
    </row>
    <row r="47" spans="1:5" x14ac:dyDescent="0.25">
      <c r="A47" s="14">
        <v>42523.466504629629</v>
      </c>
      <c r="B47" t="s">
        <v>410</v>
      </c>
      <c r="C47" t="s">
        <v>293</v>
      </c>
      <c r="D47">
        <v>1090000</v>
      </c>
      <c r="E47" t="s">
        <v>137</v>
      </c>
    </row>
    <row r="48" spans="1:5" x14ac:dyDescent="0.25">
      <c r="A48" s="14">
        <v>42523.432870370372</v>
      </c>
      <c r="B48" t="s">
        <v>81</v>
      </c>
      <c r="C48" t="s">
        <v>284</v>
      </c>
      <c r="D48">
        <v>1100000</v>
      </c>
      <c r="E48" t="s">
        <v>184</v>
      </c>
    </row>
    <row r="49" spans="1:5" x14ac:dyDescent="0.25">
      <c r="A49" s="14">
        <v>42523.874699074076</v>
      </c>
      <c r="B49" t="s">
        <v>416</v>
      </c>
      <c r="C49" t="s">
        <v>426</v>
      </c>
      <c r="D49">
        <v>1820000</v>
      </c>
      <c r="E49" t="s">
        <v>121</v>
      </c>
    </row>
    <row r="50" spans="1:5" x14ac:dyDescent="0.25">
      <c r="A50" s="14">
        <v>42523.596273148149</v>
      </c>
      <c r="B50" t="s">
        <v>190</v>
      </c>
      <c r="C50" t="s">
        <v>322</v>
      </c>
      <c r="D50">
        <v>1520000</v>
      </c>
      <c r="E50" t="s">
        <v>424</v>
      </c>
    </row>
    <row r="51" spans="1:5" x14ac:dyDescent="0.25">
      <c r="A51" s="14">
        <v>42523.787708333337</v>
      </c>
      <c r="B51" t="s">
        <v>155</v>
      </c>
      <c r="C51" t="s">
        <v>371</v>
      </c>
      <c r="D51">
        <v>1410000</v>
      </c>
      <c r="E51" t="s">
        <v>427</v>
      </c>
    </row>
    <row r="52" spans="1:5" x14ac:dyDescent="0.25">
      <c r="A52" s="14">
        <v>42523.624085648145</v>
      </c>
      <c r="B52" t="s">
        <v>414</v>
      </c>
      <c r="C52" t="s">
        <v>338</v>
      </c>
      <c r="D52">
        <v>1750000</v>
      </c>
      <c r="E52" t="s">
        <v>154</v>
      </c>
    </row>
    <row r="53" spans="1:5" x14ac:dyDescent="0.25">
      <c r="A53" s="14">
        <v>42523.64335648148</v>
      </c>
      <c r="B53" t="s">
        <v>415</v>
      </c>
      <c r="C53" t="s">
        <v>342</v>
      </c>
      <c r="D53">
        <v>900000</v>
      </c>
      <c r="E53" t="s">
        <v>136</v>
      </c>
    </row>
    <row r="54" spans="1:5" x14ac:dyDescent="0.25">
      <c r="A54" s="14">
        <v>42523.691481481481</v>
      </c>
      <c r="B54" t="s">
        <v>85</v>
      </c>
      <c r="C54" t="s">
        <v>345</v>
      </c>
      <c r="D54">
        <v>1140000</v>
      </c>
      <c r="E54" t="s">
        <v>188</v>
      </c>
    </row>
    <row r="55" spans="1:5" x14ac:dyDescent="0.25">
      <c r="A55" s="14">
        <v>42523.253217592595</v>
      </c>
      <c r="B55" t="s">
        <v>119</v>
      </c>
      <c r="C55" t="s">
        <v>216</v>
      </c>
      <c r="D55">
        <v>1290000</v>
      </c>
      <c r="E55" t="s">
        <v>185</v>
      </c>
    </row>
    <row r="56" spans="1:5" x14ac:dyDescent="0.25">
      <c r="A56" s="14">
        <v>42523.849629629629</v>
      </c>
      <c r="B56" t="s">
        <v>414</v>
      </c>
      <c r="C56" t="s">
        <v>382</v>
      </c>
      <c r="D56">
        <v>1240000</v>
      </c>
      <c r="E56" t="s">
        <v>122</v>
      </c>
    </row>
    <row r="57" spans="1:5" x14ac:dyDescent="0.25">
      <c r="A57" s="14">
        <v>42523.214409722219</v>
      </c>
      <c r="B57" t="s">
        <v>118</v>
      </c>
      <c r="C57" t="s">
        <v>214</v>
      </c>
      <c r="D57">
        <v>1290000</v>
      </c>
      <c r="E57" t="s">
        <v>185</v>
      </c>
    </row>
    <row r="58" spans="1:5" x14ac:dyDescent="0.25">
      <c r="A58" s="14">
        <v>42523.26734953704</v>
      </c>
      <c r="B58" t="s">
        <v>189</v>
      </c>
      <c r="C58" t="s">
        <v>234</v>
      </c>
      <c r="D58">
        <v>1760000</v>
      </c>
      <c r="E58" t="s">
        <v>152</v>
      </c>
    </row>
    <row r="59" spans="1:5" x14ac:dyDescent="0.25">
      <c r="A59" s="14">
        <v>42523.931875000002</v>
      </c>
      <c r="B59" t="s">
        <v>414</v>
      </c>
      <c r="C59" t="s">
        <v>391</v>
      </c>
      <c r="D59">
        <v>1240000</v>
      </c>
      <c r="E59" t="s">
        <v>122</v>
      </c>
    </row>
    <row r="60" spans="1:5" x14ac:dyDescent="0.25">
      <c r="A60" s="14">
        <v>42523.309837962966</v>
      </c>
      <c r="B60" t="s">
        <v>153</v>
      </c>
      <c r="C60" t="s">
        <v>248</v>
      </c>
      <c r="D60">
        <v>1110000</v>
      </c>
      <c r="E60" t="s">
        <v>123</v>
      </c>
    </row>
    <row r="61" spans="1:5" x14ac:dyDescent="0.25">
      <c r="A61" s="14">
        <v>42523.757048611114</v>
      </c>
      <c r="B61" t="s">
        <v>153</v>
      </c>
      <c r="C61" t="s">
        <v>369</v>
      </c>
      <c r="D61">
        <v>1410000</v>
      </c>
      <c r="E61" t="s">
        <v>427</v>
      </c>
    </row>
    <row r="62" spans="1:5" x14ac:dyDescent="0.25">
      <c r="A62" s="14">
        <v>42523.327939814815</v>
      </c>
      <c r="B62" t="s">
        <v>119</v>
      </c>
      <c r="C62" t="s">
        <v>244</v>
      </c>
      <c r="D62">
        <v>1290000</v>
      </c>
      <c r="E62" t="s">
        <v>185</v>
      </c>
    </row>
    <row r="63" spans="1:5" x14ac:dyDescent="0.25">
      <c r="A63" s="14">
        <v>42523.548437500001</v>
      </c>
      <c r="B63" t="s">
        <v>85</v>
      </c>
      <c r="C63" t="s">
        <v>308</v>
      </c>
      <c r="D63">
        <v>1140000</v>
      </c>
      <c r="E63" t="s">
        <v>188</v>
      </c>
    </row>
    <row r="64" spans="1:5" x14ac:dyDescent="0.25">
      <c r="A64" s="14">
        <v>42523.47724537037</v>
      </c>
      <c r="B64" t="s">
        <v>414</v>
      </c>
      <c r="C64" t="s">
        <v>297</v>
      </c>
      <c r="D64">
        <v>890000</v>
      </c>
      <c r="E64" t="s">
        <v>135</v>
      </c>
    </row>
    <row r="65" spans="1:5" x14ac:dyDescent="0.25">
      <c r="A65" s="14">
        <v>42523.258726851855</v>
      </c>
      <c r="B65" t="s">
        <v>414</v>
      </c>
      <c r="C65" t="s">
        <v>231</v>
      </c>
      <c r="D65">
        <v>1360000</v>
      </c>
      <c r="E65" t="s">
        <v>421</v>
      </c>
    </row>
    <row r="66" spans="1:5" x14ac:dyDescent="0.25">
      <c r="A66" s="14">
        <v>42523.530891203707</v>
      </c>
      <c r="B66" t="s">
        <v>153</v>
      </c>
      <c r="C66" t="s">
        <v>312</v>
      </c>
      <c r="D66">
        <v>1280000</v>
      </c>
      <c r="E66" t="s">
        <v>156</v>
      </c>
    </row>
    <row r="67" spans="1:5" x14ac:dyDescent="0.25">
      <c r="A67" s="14">
        <v>42524.038310185184</v>
      </c>
      <c r="B67" t="s">
        <v>187</v>
      </c>
      <c r="C67" t="s">
        <v>401</v>
      </c>
      <c r="D67">
        <v>1820000</v>
      </c>
      <c r="E67" t="s">
        <v>121</v>
      </c>
    </row>
    <row r="68" spans="1:5" x14ac:dyDescent="0.25">
      <c r="A68" s="14">
        <v>42523.840266203704</v>
      </c>
      <c r="B68" t="s">
        <v>410</v>
      </c>
      <c r="C68" t="s">
        <v>381</v>
      </c>
      <c r="D68">
        <v>1820000</v>
      </c>
      <c r="E68" t="s">
        <v>121</v>
      </c>
    </row>
    <row r="69" spans="1:5" x14ac:dyDescent="0.25">
      <c r="A69" s="14">
        <v>42523.98841435185</v>
      </c>
      <c r="B69" t="s">
        <v>134</v>
      </c>
      <c r="C69" t="s">
        <v>395</v>
      </c>
      <c r="D69">
        <v>1770000</v>
      </c>
      <c r="E69" t="s">
        <v>418</v>
      </c>
    </row>
    <row r="70" spans="1:5" x14ac:dyDescent="0.25">
      <c r="A70" s="14">
        <v>42523.621157407404</v>
      </c>
      <c r="B70" t="s">
        <v>85</v>
      </c>
      <c r="C70" t="s">
        <v>328</v>
      </c>
      <c r="D70">
        <v>1140000</v>
      </c>
      <c r="E70" t="s">
        <v>188</v>
      </c>
    </row>
    <row r="71" spans="1:5" x14ac:dyDescent="0.25">
      <c r="A71" s="14">
        <v>42523.90729166667</v>
      </c>
      <c r="B71" t="s">
        <v>134</v>
      </c>
      <c r="C71" t="s">
        <v>386</v>
      </c>
      <c r="D71">
        <v>1770000</v>
      </c>
      <c r="E71" t="s">
        <v>418</v>
      </c>
    </row>
    <row r="72" spans="1:5" x14ac:dyDescent="0.25">
      <c r="A72" s="14">
        <v>42523.719375000001</v>
      </c>
      <c r="B72" t="s">
        <v>415</v>
      </c>
      <c r="C72" t="s">
        <v>362</v>
      </c>
      <c r="D72">
        <v>1770000</v>
      </c>
      <c r="E72" t="s">
        <v>418</v>
      </c>
    </row>
    <row r="73" spans="1:5" x14ac:dyDescent="0.25">
      <c r="A73" s="14">
        <v>42523.67628472222</v>
      </c>
      <c r="B73" t="s">
        <v>153</v>
      </c>
      <c r="C73" t="s">
        <v>351</v>
      </c>
      <c r="D73">
        <v>1280000</v>
      </c>
      <c r="E73" t="s">
        <v>156</v>
      </c>
    </row>
    <row r="74" spans="1:5" x14ac:dyDescent="0.25">
      <c r="A74" s="14">
        <v>42523.974039351851</v>
      </c>
      <c r="B74" t="s">
        <v>411</v>
      </c>
      <c r="C74" t="s">
        <v>393</v>
      </c>
      <c r="D74">
        <v>1240000</v>
      </c>
      <c r="E74" t="s">
        <v>122</v>
      </c>
    </row>
    <row r="75" spans="1:5" x14ac:dyDescent="0.25">
      <c r="A75" s="14">
        <v>42523.362812500003</v>
      </c>
      <c r="B75" t="s">
        <v>118</v>
      </c>
      <c r="C75" t="s">
        <v>265</v>
      </c>
      <c r="D75">
        <v>1290000</v>
      </c>
      <c r="E75" t="s">
        <v>185</v>
      </c>
    </row>
    <row r="76" spans="1:5" x14ac:dyDescent="0.25">
      <c r="A76" s="14">
        <v>42524.013078703705</v>
      </c>
      <c r="B76" t="s">
        <v>417</v>
      </c>
      <c r="C76" t="s">
        <v>399</v>
      </c>
      <c r="D76">
        <v>1180000</v>
      </c>
      <c r="E76" t="s">
        <v>120</v>
      </c>
    </row>
    <row r="77" spans="1:5" x14ac:dyDescent="0.25">
      <c r="A77" s="14">
        <v>42523.331597222219</v>
      </c>
      <c r="B77" t="s">
        <v>414</v>
      </c>
      <c r="C77" t="s">
        <v>255</v>
      </c>
      <c r="D77">
        <v>1360000</v>
      </c>
      <c r="E77" t="s">
        <v>421</v>
      </c>
    </row>
    <row r="78" spans="1:5" x14ac:dyDescent="0.25">
      <c r="A78" s="14">
        <v>42523.268692129626</v>
      </c>
      <c r="B78" t="s">
        <v>189</v>
      </c>
      <c r="C78" t="s">
        <v>234</v>
      </c>
      <c r="D78">
        <v>1760000</v>
      </c>
      <c r="E78" t="s">
        <v>152</v>
      </c>
    </row>
    <row r="79" spans="1:5" x14ac:dyDescent="0.25">
      <c r="A79" s="14">
        <v>42523.809745370374</v>
      </c>
      <c r="B79" t="s">
        <v>412</v>
      </c>
      <c r="C79" t="s">
        <v>378</v>
      </c>
      <c r="D79">
        <v>1180000</v>
      </c>
      <c r="E79" t="s">
        <v>120</v>
      </c>
    </row>
    <row r="80" spans="1:5" x14ac:dyDescent="0.25">
      <c r="A80" s="14">
        <v>42523.332905092589</v>
      </c>
      <c r="B80" t="s">
        <v>187</v>
      </c>
      <c r="C80" t="s">
        <v>247</v>
      </c>
      <c r="D80">
        <v>1460000</v>
      </c>
      <c r="E80" t="s">
        <v>425</v>
      </c>
    </row>
    <row r="81" spans="1:5" x14ac:dyDescent="0.25">
      <c r="A81" s="14">
        <v>42523.297789351855</v>
      </c>
      <c r="B81" t="s">
        <v>183</v>
      </c>
      <c r="C81" t="s">
        <v>246</v>
      </c>
      <c r="D81">
        <v>1460000</v>
      </c>
      <c r="E81" t="s">
        <v>425</v>
      </c>
    </row>
    <row r="82" spans="1:5" x14ac:dyDescent="0.25">
      <c r="A82" s="14">
        <v>42523.532048611109</v>
      </c>
      <c r="B82" t="s">
        <v>417</v>
      </c>
      <c r="C82" t="s">
        <v>304</v>
      </c>
      <c r="D82">
        <v>900000</v>
      </c>
      <c r="E82" t="s">
        <v>136</v>
      </c>
    </row>
    <row r="83" spans="1:5" x14ac:dyDescent="0.25">
      <c r="A83" s="14">
        <v>42523.195</v>
      </c>
      <c r="B83" t="s">
        <v>189</v>
      </c>
      <c r="C83" t="s">
        <v>208</v>
      </c>
      <c r="D83">
        <v>1760000</v>
      </c>
      <c r="E83" t="s">
        <v>152</v>
      </c>
    </row>
    <row r="84" spans="1:5" x14ac:dyDescent="0.25">
      <c r="A84" s="14">
        <v>42523.710428240738</v>
      </c>
      <c r="B84" t="s">
        <v>155</v>
      </c>
      <c r="C84" t="s">
        <v>353</v>
      </c>
      <c r="D84">
        <v>1280000</v>
      </c>
      <c r="E84" t="s">
        <v>156</v>
      </c>
    </row>
    <row r="85" spans="1:5" x14ac:dyDescent="0.25">
      <c r="A85" s="14">
        <v>42524.05740740741</v>
      </c>
      <c r="B85" t="s">
        <v>411</v>
      </c>
      <c r="C85" t="s">
        <v>405</v>
      </c>
      <c r="D85">
        <v>1240000</v>
      </c>
      <c r="E85" t="s">
        <v>122</v>
      </c>
    </row>
    <row r="86" spans="1:5" x14ac:dyDescent="0.25">
      <c r="A86" s="14">
        <v>42523.295659722222</v>
      </c>
      <c r="B86" t="s">
        <v>411</v>
      </c>
      <c r="C86" t="s">
        <v>233</v>
      </c>
      <c r="D86">
        <v>1360000</v>
      </c>
      <c r="E86" t="s">
        <v>421</v>
      </c>
    </row>
    <row r="87" spans="1:5" x14ac:dyDescent="0.25">
      <c r="A87" s="14">
        <v>42523.75503472222</v>
      </c>
      <c r="B87" t="s">
        <v>413</v>
      </c>
      <c r="C87" t="s">
        <v>363</v>
      </c>
      <c r="D87">
        <v>1770000</v>
      </c>
      <c r="E87" t="s">
        <v>418</v>
      </c>
    </row>
    <row r="88" spans="1:5" x14ac:dyDescent="0.25">
      <c r="A88" s="14">
        <v>42523.494571759256</v>
      </c>
      <c r="B88" t="s">
        <v>412</v>
      </c>
      <c r="C88" t="s">
        <v>303</v>
      </c>
      <c r="D88">
        <v>900000</v>
      </c>
      <c r="E88" t="s">
        <v>136</v>
      </c>
    </row>
    <row r="89" spans="1:5" x14ac:dyDescent="0.25">
      <c r="A89" s="14">
        <v>42523.742951388886</v>
      </c>
      <c r="B89" t="s">
        <v>190</v>
      </c>
      <c r="C89" t="s">
        <v>361</v>
      </c>
      <c r="D89">
        <v>1520000</v>
      </c>
      <c r="E89" t="s">
        <v>424</v>
      </c>
    </row>
    <row r="90" spans="1:5" x14ac:dyDescent="0.25">
      <c r="A90" s="14">
        <v>42523.732986111114</v>
      </c>
      <c r="B90" t="s">
        <v>81</v>
      </c>
      <c r="C90" t="s">
        <v>364</v>
      </c>
      <c r="D90">
        <v>1140000</v>
      </c>
      <c r="E90" t="s">
        <v>188</v>
      </c>
    </row>
    <row r="91" spans="1:5" x14ac:dyDescent="0.25">
      <c r="A91" s="14">
        <v>42523.66920138889</v>
      </c>
      <c r="B91" t="s">
        <v>190</v>
      </c>
      <c r="C91" t="s">
        <v>341</v>
      </c>
      <c r="D91">
        <v>1520000</v>
      </c>
      <c r="E91" t="s">
        <v>424</v>
      </c>
    </row>
    <row r="92" spans="1:5" x14ac:dyDescent="0.25">
      <c r="A92" s="14">
        <v>42523.470451388886</v>
      </c>
      <c r="B92" t="s">
        <v>85</v>
      </c>
      <c r="C92" t="s">
        <v>285</v>
      </c>
      <c r="D92">
        <v>1100000</v>
      </c>
      <c r="E92" t="s">
        <v>184</v>
      </c>
    </row>
    <row r="93" spans="1:5" x14ac:dyDescent="0.25">
      <c r="A93" s="14">
        <v>42523.611724537041</v>
      </c>
      <c r="B93" t="s">
        <v>410</v>
      </c>
      <c r="C93" t="s">
        <v>336</v>
      </c>
      <c r="D93">
        <v>1490000</v>
      </c>
      <c r="E93" t="s">
        <v>428</v>
      </c>
    </row>
    <row r="94" spans="1:5" x14ac:dyDescent="0.25">
      <c r="A94" s="14">
        <v>42523.519537037035</v>
      </c>
      <c r="B94" t="s">
        <v>190</v>
      </c>
      <c r="C94" t="s">
        <v>302</v>
      </c>
      <c r="D94">
        <v>1520000</v>
      </c>
      <c r="E94" t="s">
        <v>424</v>
      </c>
    </row>
    <row r="95" spans="1:5" x14ac:dyDescent="0.25">
      <c r="A95" s="14">
        <v>42523.504814814813</v>
      </c>
      <c r="B95" t="s">
        <v>416</v>
      </c>
      <c r="C95" t="s">
        <v>295</v>
      </c>
      <c r="D95">
        <v>1090000</v>
      </c>
      <c r="E95" t="s">
        <v>137</v>
      </c>
    </row>
    <row r="96" spans="1:5" x14ac:dyDescent="0.25">
      <c r="A96" s="14">
        <v>42523.655150462961</v>
      </c>
      <c r="B96" t="s">
        <v>81</v>
      </c>
      <c r="C96" t="s">
        <v>344</v>
      </c>
      <c r="D96">
        <v>1140000</v>
      </c>
      <c r="E96" t="s">
        <v>188</v>
      </c>
    </row>
    <row r="97" spans="1:5" x14ac:dyDescent="0.25">
      <c r="A97" s="14">
        <v>42523.227534722224</v>
      </c>
      <c r="B97" t="s">
        <v>183</v>
      </c>
      <c r="C97" t="s">
        <v>219</v>
      </c>
      <c r="D97">
        <v>1460000</v>
      </c>
      <c r="E97" t="s">
        <v>425</v>
      </c>
    </row>
    <row r="98" spans="1:5" x14ac:dyDescent="0.25">
      <c r="A98" s="14">
        <v>42523.568935185183</v>
      </c>
      <c r="B98" t="s">
        <v>155</v>
      </c>
      <c r="C98" t="s">
        <v>313</v>
      </c>
      <c r="D98">
        <v>1280000</v>
      </c>
      <c r="E98" t="s">
        <v>156</v>
      </c>
    </row>
    <row r="99" spans="1:5" x14ac:dyDescent="0.25">
      <c r="A99" s="14">
        <v>42523.94940972222</v>
      </c>
      <c r="B99" t="s">
        <v>133</v>
      </c>
      <c r="C99" t="s">
        <v>394</v>
      </c>
      <c r="D99">
        <v>1770000</v>
      </c>
      <c r="E99" t="s">
        <v>418</v>
      </c>
    </row>
    <row r="100" spans="1:5" x14ac:dyDescent="0.25">
      <c r="A100" s="14">
        <v>42523.602083333331</v>
      </c>
      <c r="B100" t="s">
        <v>153</v>
      </c>
      <c r="C100" t="s">
        <v>333</v>
      </c>
      <c r="D100">
        <v>1280000</v>
      </c>
      <c r="E100" t="s">
        <v>156</v>
      </c>
    </row>
    <row r="101" spans="1:5" x14ac:dyDescent="0.25">
      <c r="A101" s="14">
        <v>42523.890532407408</v>
      </c>
      <c r="B101" t="s">
        <v>411</v>
      </c>
      <c r="C101" t="s">
        <v>384</v>
      </c>
      <c r="D101">
        <v>1240000</v>
      </c>
      <c r="E101" t="s">
        <v>122</v>
      </c>
    </row>
    <row r="102" spans="1:5" x14ac:dyDescent="0.25">
      <c r="A102" s="14">
        <v>42523.659375000003</v>
      </c>
      <c r="B102" t="s">
        <v>411</v>
      </c>
      <c r="C102" t="s">
        <v>339</v>
      </c>
      <c r="D102">
        <v>1750000</v>
      </c>
      <c r="E102" t="s">
        <v>154</v>
      </c>
    </row>
    <row r="103" spans="1:5" x14ac:dyDescent="0.25">
      <c r="A103" s="14">
        <v>42523.706400462965</v>
      </c>
      <c r="B103" t="s">
        <v>189</v>
      </c>
      <c r="C103" t="s">
        <v>360</v>
      </c>
      <c r="D103">
        <v>1520000</v>
      </c>
      <c r="E103" t="s">
        <v>424</v>
      </c>
    </row>
    <row r="104" spans="1:5" x14ac:dyDescent="0.25">
      <c r="A104" s="14">
        <v>42523.663668981484</v>
      </c>
      <c r="B104" t="s">
        <v>412</v>
      </c>
      <c r="C104" t="s">
        <v>346</v>
      </c>
      <c r="D104">
        <v>880000</v>
      </c>
      <c r="E104" t="s">
        <v>186</v>
      </c>
    </row>
    <row r="105" spans="1:5" x14ac:dyDescent="0.25">
      <c r="A105" s="14">
        <v>42523.703067129631</v>
      </c>
      <c r="B105" t="s">
        <v>417</v>
      </c>
      <c r="C105" t="s">
        <v>347</v>
      </c>
      <c r="D105">
        <v>880000</v>
      </c>
      <c r="E105" t="s">
        <v>186</v>
      </c>
    </row>
    <row r="106" spans="1:5" x14ac:dyDescent="0.25">
      <c r="A106" s="14">
        <v>42523.714583333334</v>
      </c>
      <c r="B106" t="s">
        <v>416</v>
      </c>
      <c r="C106" t="s">
        <v>356</v>
      </c>
      <c r="D106">
        <v>1490000</v>
      </c>
      <c r="E106" t="s">
        <v>428</v>
      </c>
    </row>
    <row r="107" spans="1:5" x14ac:dyDescent="0.25">
      <c r="A107" s="14">
        <v>42523.622870370367</v>
      </c>
      <c r="B107" t="s">
        <v>414</v>
      </c>
      <c r="C107" t="s">
        <v>338</v>
      </c>
      <c r="D107">
        <v>1750000</v>
      </c>
      <c r="E107" t="s">
        <v>154</v>
      </c>
    </row>
    <row r="108" spans="1:5" x14ac:dyDescent="0.25">
      <c r="A108" s="14">
        <v>42523.718194444446</v>
      </c>
      <c r="B108" t="s">
        <v>415</v>
      </c>
      <c r="C108" t="s">
        <v>362</v>
      </c>
      <c r="D108">
        <v>1770000</v>
      </c>
      <c r="E108" t="s">
        <v>418</v>
      </c>
    </row>
    <row r="109" spans="1:5" x14ac:dyDescent="0.25">
      <c r="A109" s="14">
        <v>42523.589814814812</v>
      </c>
      <c r="B109" t="s">
        <v>411</v>
      </c>
      <c r="C109" t="s">
        <v>318</v>
      </c>
      <c r="D109">
        <v>890000</v>
      </c>
      <c r="E109" t="s">
        <v>135</v>
      </c>
    </row>
    <row r="110" spans="1:5" x14ac:dyDescent="0.25">
      <c r="A110" s="14">
        <v>42523.17114583333</v>
      </c>
      <c r="B110" t="s">
        <v>410</v>
      </c>
      <c r="C110" t="s">
        <v>200</v>
      </c>
      <c r="D110">
        <v>1430000</v>
      </c>
      <c r="E110" t="s">
        <v>422</v>
      </c>
    </row>
    <row r="111" spans="1:5" x14ac:dyDescent="0.25">
      <c r="A111" s="14">
        <v>42523.571782407409</v>
      </c>
      <c r="B111" t="s">
        <v>415</v>
      </c>
      <c r="C111" t="s">
        <v>323</v>
      </c>
      <c r="D111">
        <v>900000</v>
      </c>
      <c r="E111" t="s">
        <v>136</v>
      </c>
    </row>
    <row r="112" spans="1:5" x14ac:dyDescent="0.25">
      <c r="A112" s="14">
        <v>42523.17150462963</v>
      </c>
      <c r="B112" t="s">
        <v>119</v>
      </c>
      <c r="C112" t="s">
        <v>194</v>
      </c>
      <c r="D112">
        <v>1290000</v>
      </c>
      <c r="E112" t="s">
        <v>185</v>
      </c>
    </row>
    <row r="113" spans="1:5" x14ac:dyDescent="0.25">
      <c r="A113" s="14">
        <v>42523.561423611114</v>
      </c>
      <c r="B113" t="s">
        <v>189</v>
      </c>
      <c r="C113" t="s">
        <v>320</v>
      </c>
      <c r="D113">
        <v>1520000</v>
      </c>
      <c r="E113" t="s">
        <v>424</v>
      </c>
    </row>
    <row r="114" spans="1:5" x14ac:dyDescent="0.25">
      <c r="A114" s="14">
        <v>42523.245532407411</v>
      </c>
      <c r="B114" t="s">
        <v>417</v>
      </c>
      <c r="C114" t="s">
        <v>213</v>
      </c>
      <c r="D114">
        <v>1100000</v>
      </c>
      <c r="E114" t="s">
        <v>184</v>
      </c>
    </row>
    <row r="115" spans="1:5" x14ac:dyDescent="0.25">
      <c r="A115" s="14">
        <v>42523.521006944444</v>
      </c>
      <c r="B115" t="s">
        <v>183</v>
      </c>
      <c r="C115" t="s">
        <v>309</v>
      </c>
      <c r="D115">
        <v>880000</v>
      </c>
      <c r="E115" t="s">
        <v>186</v>
      </c>
    </row>
    <row r="116" spans="1:5" x14ac:dyDescent="0.25">
      <c r="A116" s="14">
        <v>42523.254826388889</v>
      </c>
      <c r="B116" t="s">
        <v>119</v>
      </c>
      <c r="C116" t="s">
        <v>216</v>
      </c>
      <c r="D116">
        <v>1290000</v>
      </c>
      <c r="E116" t="s">
        <v>185</v>
      </c>
    </row>
    <row r="117" spans="1:5" x14ac:dyDescent="0.25">
      <c r="A117" s="14">
        <v>42523.495983796296</v>
      </c>
      <c r="B117" t="s">
        <v>155</v>
      </c>
      <c r="C117" t="s">
        <v>291</v>
      </c>
      <c r="D117">
        <v>1310000</v>
      </c>
      <c r="E117" t="s">
        <v>423</v>
      </c>
    </row>
    <row r="118" spans="1:5" x14ac:dyDescent="0.25">
      <c r="A118" s="14">
        <v>42523.254976851851</v>
      </c>
      <c r="B118" t="s">
        <v>410</v>
      </c>
      <c r="C118" t="s">
        <v>225</v>
      </c>
      <c r="D118">
        <v>1430000</v>
      </c>
      <c r="E118" t="s">
        <v>422</v>
      </c>
    </row>
    <row r="119" spans="1:5" x14ac:dyDescent="0.25">
      <c r="A119" s="14">
        <v>42523.463217592594</v>
      </c>
      <c r="B119" t="s">
        <v>417</v>
      </c>
      <c r="C119" t="s">
        <v>283</v>
      </c>
      <c r="D119">
        <v>900000</v>
      </c>
      <c r="E119" t="s">
        <v>136</v>
      </c>
    </row>
    <row r="120" spans="1:5" x14ac:dyDescent="0.25">
      <c r="A120" s="14">
        <v>42523.289849537039</v>
      </c>
      <c r="B120" t="s">
        <v>118</v>
      </c>
      <c r="C120" t="s">
        <v>241</v>
      </c>
      <c r="D120">
        <v>1290000</v>
      </c>
      <c r="E120" t="s">
        <v>185</v>
      </c>
    </row>
    <row r="121" spans="1:5" x14ac:dyDescent="0.25">
      <c r="A121" s="14">
        <v>42523.438252314816</v>
      </c>
      <c r="B121" t="s">
        <v>411</v>
      </c>
      <c r="C121" t="s">
        <v>278</v>
      </c>
      <c r="D121">
        <v>1360000</v>
      </c>
      <c r="E121" t="s">
        <v>421</v>
      </c>
    </row>
    <row r="122" spans="1:5" x14ac:dyDescent="0.25">
      <c r="A122" s="14">
        <v>42523.329502314817</v>
      </c>
      <c r="B122" t="s">
        <v>119</v>
      </c>
      <c r="C122" t="s">
        <v>244</v>
      </c>
      <c r="D122">
        <v>1290000</v>
      </c>
      <c r="E122" t="s">
        <v>185</v>
      </c>
    </row>
    <row r="123" spans="1:5" x14ac:dyDescent="0.25">
      <c r="A123" s="14">
        <v>42523.429768518516</v>
      </c>
      <c r="B123" t="s">
        <v>416</v>
      </c>
      <c r="C123" t="s">
        <v>276</v>
      </c>
      <c r="D123">
        <v>1340000</v>
      </c>
      <c r="E123" t="s">
        <v>420</v>
      </c>
    </row>
    <row r="124" spans="1:5" x14ac:dyDescent="0.25">
      <c r="A124" s="14">
        <v>42523.342349537037</v>
      </c>
      <c r="B124" t="s">
        <v>189</v>
      </c>
      <c r="C124" t="s">
        <v>258</v>
      </c>
      <c r="D124">
        <v>1760000</v>
      </c>
      <c r="E124" t="s">
        <v>152</v>
      </c>
    </row>
    <row r="125" spans="1:5" x14ac:dyDescent="0.25">
      <c r="A125" s="14">
        <v>42523.83797453704</v>
      </c>
      <c r="B125" t="s">
        <v>410</v>
      </c>
      <c r="C125" t="s">
        <v>381</v>
      </c>
      <c r="D125">
        <v>1820000</v>
      </c>
      <c r="E125" t="s">
        <v>121</v>
      </c>
    </row>
    <row r="126" spans="1:5" x14ac:dyDescent="0.25">
      <c r="A126" s="14">
        <v>42523.357615740744</v>
      </c>
      <c r="B126" t="s">
        <v>416</v>
      </c>
      <c r="C126" t="s">
        <v>253</v>
      </c>
      <c r="D126">
        <v>1340000</v>
      </c>
      <c r="E126" t="s">
        <v>420</v>
      </c>
    </row>
    <row r="127" spans="1:5" x14ac:dyDescent="0.25">
      <c r="A127" s="14">
        <v>42523.807719907411</v>
      </c>
      <c r="B127" t="s">
        <v>411</v>
      </c>
      <c r="C127" t="s">
        <v>376</v>
      </c>
      <c r="D127">
        <v>1240000</v>
      </c>
      <c r="E127" t="s">
        <v>122</v>
      </c>
    </row>
    <row r="128" spans="1:5" x14ac:dyDescent="0.25">
      <c r="A128" s="14">
        <v>42523.37259259259</v>
      </c>
      <c r="B128" t="s">
        <v>183</v>
      </c>
      <c r="C128" t="s">
        <v>269</v>
      </c>
      <c r="D128">
        <v>1310000</v>
      </c>
      <c r="E128" t="s">
        <v>423</v>
      </c>
    </row>
    <row r="129" spans="1:5" x14ac:dyDescent="0.25">
      <c r="A129" s="14">
        <v>42523.77140046296</v>
      </c>
      <c r="B129" t="s">
        <v>414</v>
      </c>
      <c r="C129" t="s">
        <v>374</v>
      </c>
      <c r="D129">
        <v>1240000</v>
      </c>
      <c r="E129" t="s">
        <v>122</v>
      </c>
    </row>
    <row r="130" spans="1:5" x14ac:dyDescent="0.25">
      <c r="A130" s="14">
        <v>42523.385162037041</v>
      </c>
      <c r="B130" t="s">
        <v>153</v>
      </c>
      <c r="C130" t="s">
        <v>271</v>
      </c>
      <c r="D130">
        <v>1110000</v>
      </c>
      <c r="E130" t="s">
        <v>123</v>
      </c>
    </row>
    <row r="131" spans="1:5" x14ac:dyDescent="0.25">
      <c r="A131" s="14">
        <v>42523.668356481481</v>
      </c>
      <c r="B131" t="s">
        <v>190</v>
      </c>
      <c r="C131" t="s">
        <v>341</v>
      </c>
      <c r="D131">
        <v>1520000</v>
      </c>
      <c r="E131" t="s">
        <v>424</v>
      </c>
    </row>
    <row r="132" spans="1:5" x14ac:dyDescent="0.25">
      <c r="A132" s="14">
        <v>42523.390833333331</v>
      </c>
      <c r="B132" t="s">
        <v>410</v>
      </c>
      <c r="C132" t="s">
        <v>275</v>
      </c>
      <c r="D132">
        <v>1340000</v>
      </c>
      <c r="E132" t="s">
        <v>420</v>
      </c>
    </row>
    <row r="133" spans="1:5" x14ac:dyDescent="0.25">
      <c r="A133" s="14">
        <v>42523.60365740741</v>
      </c>
      <c r="B133" t="s">
        <v>153</v>
      </c>
      <c r="C133" t="s">
        <v>333</v>
      </c>
      <c r="D133">
        <v>1280000</v>
      </c>
      <c r="E133" t="s">
        <v>156</v>
      </c>
    </row>
    <row r="134" spans="1:5" x14ac:dyDescent="0.25">
      <c r="A134" s="14">
        <v>42523.422175925924</v>
      </c>
      <c r="B134" t="s">
        <v>155</v>
      </c>
      <c r="C134" t="s">
        <v>273</v>
      </c>
      <c r="D134">
        <v>1110000</v>
      </c>
      <c r="E134" t="s">
        <v>123</v>
      </c>
    </row>
    <row r="135" spans="1:5" x14ac:dyDescent="0.25">
      <c r="A135" s="14">
        <v>42523.557546296295</v>
      </c>
      <c r="B135" t="s">
        <v>187</v>
      </c>
      <c r="C135" t="s">
        <v>310</v>
      </c>
      <c r="D135">
        <v>880000</v>
      </c>
      <c r="E135" t="s">
        <v>186</v>
      </c>
    </row>
    <row r="136" spans="1:5" x14ac:dyDescent="0.25">
      <c r="A136" s="14">
        <v>42523.447326388887</v>
      </c>
      <c r="B136" t="s">
        <v>183</v>
      </c>
      <c r="C136" t="s">
        <v>287</v>
      </c>
      <c r="D136">
        <v>880000</v>
      </c>
      <c r="E136" t="s">
        <v>186</v>
      </c>
    </row>
    <row r="137" spans="1:5" x14ac:dyDescent="0.25">
      <c r="A137" s="14">
        <v>42523.556620370371</v>
      </c>
      <c r="B137" t="s">
        <v>414</v>
      </c>
      <c r="C137" t="s">
        <v>317</v>
      </c>
      <c r="D137">
        <v>890000</v>
      </c>
      <c r="E137" t="s">
        <v>135</v>
      </c>
    </row>
    <row r="138" spans="1:5" x14ac:dyDescent="0.25">
      <c r="A138" s="14">
        <v>42523.447488425925</v>
      </c>
      <c r="B138" t="s">
        <v>190</v>
      </c>
      <c r="C138" t="s">
        <v>280</v>
      </c>
      <c r="D138">
        <v>1230000</v>
      </c>
      <c r="E138" t="s">
        <v>157</v>
      </c>
    </row>
    <row r="139" spans="1:5" x14ac:dyDescent="0.25">
      <c r="A139" s="14">
        <v>42523.549780092595</v>
      </c>
      <c r="B139" t="s">
        <v>85</v>
      </c>
      <c r="C139" t="s">
        <v>308</v>
      </c>
      <c r="D139">
        <v>1140000</v>
      </c>
      <c r="E139" t="s">
        <v>188</v>
      </c>
    </row>
    <row r="140" spans="1:5" x14ac:dyDescent="0.25">
      <c r="A140" s="14">
        <v>42523.457071759258</v>
      </c>
      <c r="B140" t="s">
        <v>153</v>
      </c>
      <c r="C140" t="s">
        <v>290</v>
      </c>
      <c r="D140">
        <v>1310000</v>
      </c>
      <c r="E140" t="s">
        <v>423</v>
      </c>
    </row>
    <row r="141" spans="1:5" x14ac:dyDescent="0.25">
      <c r="A141" s="14">
        <v>42523.543530092589</v>
      </c>
      <c r="B141" t="s">
        <v>410</v>
      </c>
      <c r="C141" t="s">
        <v>315</v>
      </c>
      <c r="D141">
        <v>1090000</v>
      </c>
      <c r="E141" t="s">
        <v>137</v>
      </c>
    </row>
    <row r="142" spans="1:5" x14ac:dyDescent="0.25">
      <c r="A142" s="14">
        <v>42523.471921296295</v>
      </c>
      <c r="B142" t="s">
        <v>85</v>
      </c>
      <c r="C142" t="s">
        <v>285</v>
      </c>
      <c r="D142">
        <v>1100000</v>
      </c>
      <c r="E142" t="s">
        <v>184</v>
      </c>
    </row>
    <row r="143" spans="1:5" x14ac:dyDescent="0.25">
      <c r="A143" s="14">
        <v>42523.518530092595</v>
      </c>
      <c r="B143" t="s">
        <v>190</v>
      </c>
      <c r="C143" t="s">
        <v>302</v>
      </c>
      <c r="D143">
        <v>1520000</v>
      </c>
      <c r="E143" t="s">
        <v>424</v>
      </c>
    </row>
    <row r="144" spans="1:5" x14ac:dyDescent="0.25">
      <c r="A144" s="14">
        <v>42523.486273148148</v>
      </c>
      <c r="B144" t="s">
        <v>187</v>
      </c>
      <c r="C144" t="s">
        <v>288</v>
      </c>
      <c r="D144">
        <v>880000</v>
      </c>
      <c r="E144" t="s">
        <v>186</v>
      </c>
    </row>
    <row r="145" spans="1:5" x14ac:dyDescent="0.25">
      <c r="A145" s="14">
        <v>42523.516921296294</v>
      </c>
      <c r="B145" t="s">
        <v>411</v>
      </c>
      <c r="C145" t="s">
        <v>299</v>
      </c>
      <c r="D145">
        <v>890000</v>
      </c>
      <c r="E145" t="s">
        <v>135</v>
      </c>
    </row>
    <row r="146" spans="1:5" x14ac:dyDescent="0.25">
      <c r="A146" s="14">
        <v>42523.599374999998</v>
      </c>
      <c r="B146" t="s">
        <v>412</v>
      </c>
      <c r="C146" t="s">
        <v>329</v>
      </c>
      <c r="D146">
        <v>880000</v>
      </c>
      <c r="E146" t="s">
        <v>186</v>
      </c>
    </row>
    <row r="147" spans="1:5" x14ac:dyDescent="0.25">
      <c r="A147" s="14">
        <v>42523.403217592589</v>
      </c>
      <c r="B147" t="s">
        <v>414</v>
      </c>
      <c r="C147" t="s">
        <v>277</v>
      </c>
      <c r="D147">
        <v>1360000</v>
      </c>
      <c r="E147" t="s">
        <v>421</v>
      </c>
    </row>
    <row r="148" spans="1:5" x14ac:dyDescent="0.25">
      <c r="A148" s="14">
        <v>42523.610590277778</v>
      </c>
      <c r="B148" t="s">
        <v>413</v>
      </c>
      <c r="C148" t="s">
        <v>325</v>
      </c>
      <c r="D148">
        <v>900000</v>
      </c>
      <c r="E148" t="s">
        <v>136</v>
      </c>
    </row>
    <row r="149" spans="1:5" x14ac:dyDescent="0.25">
      <c r="A149" s="14">
        <v>42523.368252314816</v>
      </c>
      <c r="B149" t="s">
        <v>411</v>
      </c>
      <c r="C149" t="s">
        <v>256</v>
      </c>
      <c r="D149">
        <v>1360000</v>
      </c>
      <c r="E149" t="s">
        <v>421</v>
      </c>
    </row>
    <row r="150" spans="1:5" x14ac:dyDescent="0.25">
      <c r="A150" s="14">
        <v>42523.619953703703</v>
      </c>
      <c r="B150" t="s">
        <v>85</v>
      </c>
      <c r="C150" t="s">
        <v>328</v>
      </c>
      <c r="D150">
        <v>1140000</v>
      </c>
      <c r="E150" t="s">
        <v>188</v>
      </c>
    </row>
    <row r="151" spans="1:5" x14ac:dyDescent="0.25">
      <c r="A151" s="14">
        <v>42523.352106481485</v>
      </c>
      <c r="B151" t="s">
        <v>412</v>
      </c>
      <c r="C151" t="s">
        <v>262</v>
      </c>
      <c r="D151">
        <v>1100000</v>
      </c>
      <c r="E151" t="s">
        <v>184</v>
      </c>
    </row>
    <row r="152" spans="1:5" x14ac:dyDescent="0.25">
      <c r="A152" s="14">
        <v>42523.640636574077</v>
      </c>
      <c r="B152" t="s">
        <v>155</v>
      </c>
      <c r="C152" t="s">
        <v>335</v>
      </c>
      <c r="D152">
        <v>1280000</v>
      </c>
      <c r="E152" t="s">
        <v>156</v>
      </c>
    </row>
    <row r="153" spans="1:5" x14ac:dyDescent="0.25">
      <c r="A153" s="14">
        <v>42523.348576388889</v>
      </c>
      <c r="B153" t="s">
        <v>155</v>
      </c>
      <c r="C153" t="s">
        <v>250</v>
      </c>
      <c r="D153">
        <v>1110000</v>
      </c>
      <c r="E153" t="s">
        <v>123</v>
      </c>
    </row>
    <row r="154" spans="1:5" x14ac:dyDescent="0.25">
      <c r="A154" s="14">
        <v>42523.642754629633</v>
      </c>
      <c r="B154" t="s">
        <v>416</v>
      </c>
      <c r="C154" t="s">
        <v>337</v>
      </c>
      <c r="D154">
        <v>1490000</v>
      </c>
      <c r="E154" t="s">
        <v>428</v>
      </c>
    </row>
    <row r="155" spans="1:5" x14ac:dyDescent="0.25">
      <c r="A155" s="14">
        <v>42523.316493055558</v>
      </c>
      <c r="B155" t="s">
        <v>417</v>
      </c>
      <c r="C155" t="s">
        <v>240</v>
      </c>
      <c r="D155">
        <v>1100000</v>
      </c>
      <c r="E155" t="s">
        <v>184</v>
      </c>
    </row>
    <row r="156" spans="1:5" x14ac:dyDescent="0.25">
      <c r="A156" s="14">
        <v>42523.644513888888</v>
      </c>
      <c r="B156" t="s">
        <v>415</v>
      </c>
      <c r="C156" t="s">
        <v>342</v>
      </c>
      <c r="D156">
        <v>900000</v>
      </c>
      <c r="E156" t="s">
        <v>136</v>
      </c>
    </row>
    <row r="157" spans="1:5" x14ac:dyDescent="0.25">
      <c r="A157" s="14">
        <v>42523.246944444443</v>
      </c>
      <c r="B157" t="s">
        <v>410</v>
      </c>
      <c r="C157" t="s">
        <v>225</v>
      </c>
      <c r="D157">
        <v>1430000</v>
      </c>
      <c r="E157" t="s">
        <v>422</v>
      </c>
    </row>
    <row r="158" spans="1:5" x14ac:dyDescent="0.25">
      <c r="A158" s="14">
        <v>42523.681875000002</v>
      </c>
      <c r="B158" t="s">
        <v>410</v>
      </c>
      <c r="C158" t="s">
        <v>355</v>
      </c>
      <c r="D158">
        <v>1490000</v>
      </c>
      <c r="E158" t="s">
        <v>428</v>
      </c>
    </row>
    <row r="159" spans="1:5" x14ac:dyDescent="0.25">
      <c r="A159" s="14">
        <v>42523.234722222223</v>
      </c>
      <c r="B159" t="s">
        <v>190</v>
      </c>
      <c r="C159" t="s">
        <v>209</v>
      </c>
      <c r="D159">
        <v>1760000</v>
      </c>
      <c r="E159" t="s">
        <v>152</v>
      </c>
    </row>
    <row r="160" spans="1:5" x14ac:dyDescent="0.25">
      <c r="A160" s="14">
        <v>42523.758368055554</v>
      </c>
      <c r="B160" t="s">
        <v>410</v>
      </c>
      <c r="C160" t="s">
        <v>372</v>
      </c>
      <c r="D160">
        <v>1820000</v>
      </c>
      <c r="E160" t="s">
        <v>121</v>
      </c>
    </row>
    <row r="161" spans="1:5" x14ac:dyDescent="0.25">
      <c r="A161" s="14">
        <v>42523.222094907411</v>
      </c>
      <c r="B161" t="s">
        <v>411</v>
      </c>
      <c r="C161" t="s">
        <v>207</v>
      </c>
      <c r="D161">
        <v>1360000</v>
      </c>
      <c r="E161" t="s">
        <v>421</v>
      </c>
    </row>
    <row r="162" spans="1:5" x14ac:dyDescent="0.25">
      <c r="A162" s="14">
        <v>42523.770300925928</v>
      </c>
      <c r="B162" t="s">
        <v>414</v>
      </c>
      <c r="C162" t="s">
        <v>374</v>
      </c>
      <c r="D162">
        <v>1240000</v>
      </c>
      <c r="E162" t="s">
        <v>122</v>
      </c>
    </row>
    <row r="163" spans="1:5" x14ac:dyDescent="0.25">
      <c r="A163" s="14">
        <v>42523.212129629632</v>
      </c>
      <c r="B163" t="s">
        <v>85</v>
      </c>
      <c r="C163" t="s">
        <v>203</v>
      </c>
      <c r="D163">
        <v>1430000</v>
      </c>
      <c r="E163" t="s">
        <v>422</v>
      </c>
    </row>
    <row r="164" spans="1:5" x14ac:dyDescent="0.25">
      <c r="A164" s="14">
        <v>42523.831400462965</v>
      </c>
      <c r="B164" t="s">
        <v>410</v>
      </c>
      <c r="C164" t="s">
        <v>381</v>
      </c>
      <c r="D164">
        <v>1820000</v>
      </c>
      <c r="E164" t="s">
        <v>121</v>
      </c>
    </row>
    <row r="165" spans="1:5" x14ac:dyDescent="0.25">
      <c r="A165" s="14">
        <v>42523.208715277775</v>
      </c>
      <c r="B165" t="s">
        <v>412</v>
      </c>
      <c r="C165" t="s">
        <v>211</v>
      </c>
      <c r="D165">
        <v>1100000</v>
      </c>
      <c r="E165" t="s">
        <v>184</v>
      </c>
    </row>
    <row r="166" spans="1:5" x14ac:dyDescent="0.25">
      <c r="A166" s="14">
        <v>42523.844629629632</v>
      </c>
      <c r="B166" t="s">
        <v>417</v>
      </c>
      <c r="C166" t="s">
        <v>380</v>
      </c>
      <c r="D166">
        <v>1180000</v>
      </c>
      <c r="E166" t="s">
        <v>120</v>
      </c>
    </row>
    <row r="167" spans="1:5" x14ac:dyDescent="0.25">
      <c r="A167" s="14">
        <v>42523.180555555555</v>
      </c>
      <c r="B167" t="s">
        <v>414</v>
      </c>
      <c r="C167" t="s">
        <v>205</v>
      </c>
      <c r="D167">
        <v>1360000</v>
      </c>
      <c r="E167" t="s">
        <v>421</v>
      </c>
    </row>
    <row r="168" spans="1:5" x14ac:dyDescent="0.25">
      <c r="A168" s="14">
        <v>42523.949675925927</v>
      </c>
      <c r="B168" t="s">
        <v>187</v>
      </c>
      <c r="C168" t="s">
        <v>390</v>
      </c>
      <c r="D168">
        <v>1810000</v>
      </c>
      <c r="E168" t="s">
        <v>419</v>
      </c>
    </row>
    <row r="169" spans="1:5" x14ac:dyDescent="0.25">
      <c r="A169" s="14">
        <v>42523.287175925929</v>
      </c>
      <c r="B169" t="s">
        <v>416</v>
      </c>
      <c r="C169" t="s">
        <v>229</v>
      </c>
      <c r="D169">
        <v>1430000</v>
      </c>
      <c r="E169" t="s">
        <v>422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42523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2016-06-04T13:20:20Z</dcterms:modified>
</cp:coreProperties>
</file>