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abtec\Documents\GitHub\eaglep3-reporting\EC\"/>
    </mc:Choice>
  </mc:AlternateContent>
  <bookViews>
    <workbookView xWindow="0" yWindow="0" windowWidth="20490" windowHeight="7905"/>
  </bookViews>
  <sheets>
    <sheet name="Train Runs" sheetId="1" r:id="rId1"/>
    <sheet name="Enforcements" sheetId="3" r:id="rId2"/>
    <sheet name="Missing Trips" sheetId="6" r:id="rId3"/>
    <sheet name="Trips&amp;Operators" sheetId="4" r:id="rId4"/>
    <sheet name="Variables" sheetId="5" r:id="rId5"/>
  </sheets>
  <definedNames>
    <definedName name="_xlnm._FilterDatabase" localSheetId="1" hidden="1">Enforcements!$A$2:$N$57</definedName>
    <definedName name="_xlnm._FilterDatabase" localSheetId="0" hidden="1">'Train Runs'!$A$2:$AA$146</definedName>
    <definedName name="Denver_Train_Runs_04122016" localSheetId="0">'Train Runs'!$A$2:$J$153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35" i="1" l="1"/>
  <c r="N134" i="1"/>
  <c r="V132" i="1" l="1"/>
  <c r="V133" i="1"/>
  <c r="V134" i="1"/>
  <c r="V135" i="1"/>
  <c r="V136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T147" i="1"/>
  <c r="V147" i="1"/>
  <c r="Y147" i="1"/>
  <c r="U147" i="1" s="1"/>
  <c r="Z147" i="1"/>
  <c r="L147" i="1"/>
  <c r="M147" i="1"/>
  <c r="N147" i="1" s="1"/>
  <c r="K147" i="1"/>
  <c r="P23" i="1"/>
  <c r="M23" i="1"/>
  <c r="M24" i="1"/>
  <c r="N24" i="1" s="1"/>
  <c r="K23" i="1"/>
  <c r="K24" i="1"/>
  <c r="L23" i="1"/>
  <c r="L24" i="1"/>
  <c r="V22" i="1"/>
  <c r="V23" i="1"/>
  <c r="V24" i="1"/>
  <c r="V25" i="1"/>
  <c r="V26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7" i="1"/>
  <c r="V138" i="1"/>
  <c r="V139" i="1"/>
  <c r="V140" i="1"/>
  <c r="V141" i="1"/>
  <c r="V142" i="1"/>
  <c r="V143" i="1"/>
  <c r="V144" i="1"/>
  <c r="V145" i="1"/>
  <c r="V146" i="1"/>
  <c r="L24" i="3"/>
  <c r="Q4" i="3"/>
  <c r="L27" i="3"/>
  <c r="Q5" i="3"/>
  <c r="L28" i="3"/>
  <c r="Q6" i="3"/>
  <c r="L3" i="3"/>
  <c r="Q7" i="3"/>
  <c r="L29" i="3"/>
  <c r="Q8" i="3"/>
  <c r="L30" i="3"/>
  <c r="Q9" i="3"/>
  <c r="L31" i="3"/>
  <c r="Q10" i="3"/>
  <c r="L5" i="3"/>
  <c r="Q11" i="3"/>
  <c r="L32" i="3"/>
  <c r="Q12" i="3"/>
  <c r="L33" i="3"/>
  <c r="Q13" i="3"/>
  <c r="L34" i="3"/>
  <c r="Q14" i="3"/>
  <c r="L35" i="3"/>
  <c r="Q15" i="3"/>
  <c r="L14" i="3"/>
  <c r="Q16" i="3"/>
  <c r="L15" i="3"/>
  <c r="Q17" i="3"/>
  <c r="L36" i="3"/>
  <c r="Q18" i="3"/>
  <c r="T12" i="1" l="1"/>
  <c r="T13" i="1"/>
  <c r="T14" i="1"/>
  <c r="Y13" i="1"/>
  <c r="U13" i="1" s="1"/>
  <c r="Z13" i="1"/>
  <c r="W14" i="1"/>
  <c r="X14" i="1"/>
  <c r="Z14" i="1"/>
  <c r="K13" i="1"/>
  <c r="L13" i="1"/>
  <c r="M13" i="1"/>
  <c r="N13" i="1" s="1"/>
  <c r="K14" i="1"/>
  <c r="L14" i="1"/>
  <c r="M14" i="1"/>
  <c r="N14" i="1" s="1"/>
  <c r="L9" i="3"/>
  <c r="Q43" i="3"/>
  <c r="L53" i="3"/>
  <c r="Q44" i="3"/>
  <c r="L54" i="3"/>
  <c r="Q45" i="3"/>
  <c r="L44" i="3"/>
  <c r="Q46" i="3"/>
  <c r="L55" i="3"/>
  <c r="Q47" i="3"/>
  <c r="L23" i="3"/>
  <c r="Q48" i="3"/>
  <c r="L56" i="3"/>
  <c r="Q49" i="3"/>
  <c r="L57" i="3"/>
  <c r="Q50" i="3"/>
  <c r="Q51" i="3"/>
  <c r="Q52" i="3"/>
  <c r="L45" i="3"/>
  <c r="Q53" i="3"/>
  <c r="L19" i="3"/>
  <c r="Q54" i="3"/>
  <c r="L48" i="3"/>
  <c r="Q55" i="3"/>
  <c r="L10" i="3"/>
  <c r="Q56" i="3"/>
  <c r="Q57" i="3"/>
  <c r="L7" i="3"/>
  <c r="L20" i="3"/>
  <c r="L46" i="3"/>
  <c r="T65" i="1"/>
  <c r="W65" i="1"/>
  <c r="X65" i="1"/>
  <c r="Y65" i="1" s="1"/>
  <c r="U65" i="1" s="1"/>
  <c r="Z65" i="1"/>
  <c r="T66" i="1"/>
  <c r="P6" i="3" s="1"/>
  <c r="W66" i="1"/>
  <c r="X66" i="1"/>
  <c r="Z66" i="1"/>
  <c r="T67" i="1"/>
  <c r="P4" i="3" s="1"/>
  <c r="W67" i="1"/>
  <c r="X67" i="1"/>
  <c r="Z67" i="1"/>
  <c r="T68" i="1"/>
  <c r="P17" i="3" s="1"/>
  <c r="W68" i="1"/>
  <c r="X68" i="1"/>
  <c r="Z68" i="1"/>
  <c r="T69" i="1"/>
  <c r="W69" i="1"/>
  <c r="X69" i="1"/>
  <c r="Z69" i="1"/>
  <c r="T70" i="1"/>
  <c r="W70" i="1"/>
  <c r="X70" i="1"/>
  <c r="Y70" i="1" s="1"/>
  <c r="U70" i="1" s="1"/>
  <c r="Z70" i="1"/>
  <c r="T71" i="1"/>
  <c r="W71" i="1"/>
  <c r="X71" i="1"/>
  <c r="Z71" i="1"/>
  <c r="T72" i="1"/>
  <c r="W72" i="1"/>
  <c r="X72" i="1"/>
  <c r="Z72" i="1"/>
  <c r="T73" i="1"/>
  <c r="W73" i="1"/>
  <c r="X73" i="1"/>
  <c r="Z73" i="1"/>
  <c r="T74" i="1"/>
  <c r="W74" i="1"/>
  <c r="X74" i="1"/>
  <c r="Z74" i="1"/>
  <c r="T75" i="1"/>
  <c r="P7" i="3" s="1"/>
  <c r="W75" i="1"/>
  <c r="X75" i="1"/>
  <c r="Z75" i="1"/>
  <c r="T76" i="1"/>
  <c r="W76" i="1"/>
  <c r="X76" i="1"/>
  <c r="Y76" i="1" s="1"/>
  <c r="U76" i="1" s="1"/>
  <c r="Z76" i="1"/>
  <c r="T77" i="1"/>
  <c r="W77" i="1"/>
  <c r="X77" i="1"/>
  <c r="Z77" i="1"/>
  <c r="T78" i="1"/>
  <c r="W78" i="1"/>
  <c r="X78" i="1"/>
  <c r="Z78" i="1"/>
  <c r="T79" i="1"/>
  <c r="W79" i="1"/>
  <c r="X79" i="1"/>
  <c r="Z79" i="1"/>
  <c r="T80" i="1"/>
  <c r="W80" i="1"/>
  <c r="X80" i="1"/>
  <c r="Z80" i="1"/>
  <c r="T81" i="1"/>
  <c r="W81" i="1"/>
  <c r="X81" i="1"/>
  <c r="Z81" i="1"/>
  <c r="T6" i="1"/>
  <c r="W6" i="1"/>
  <c r="X6" i="1"/>
  <c r="Z6" i="1"/>
  <c r="T7" i="1"/>
  <c r="W7" i="1"/>
  <c r="X7" i="1"/>
  <c r="Z7" i="1"/>
  <c r="K63" i="1"/>
  <c r="L63" i="1"/>
  <c r="M63" i="1"/>
  <c r="N63" i="1" s="1"/>
  <c r="K64" i="1"/>
  <c r="L64" i="1"/>
  <c r="M64" i="1"/>
  <c r="N64" i="1" s="1"/>
  <c r="K65" i="1"/>
  <c r="L65" i="1"/>
  <c r="M65" i="1"/>
  <c r="N65" i="1" s="1"/>
  <c r="K66" i="1"/>
  <c r="L66" i="1"/>
  <c r="M66" i="1"/>
  <c r="N66" i="1" s="1"/>
  <c r="K67" i="1"/>
  <c r="L67" i="1"/>
  <c r="M67" i="1"/>
  <c r="N67" i="1" s="1"/>
  <c r="K68" i="1"/>
  <c r="L68" i="1"/>
  <c r="M68" i="1"/>
  <c r="N68" i="1" s="1"/>
  <c r="K69" i="1"/>
  <c r="L69" i="1"/>
  <c r="M69" i="1"/>
  <c r="N69" i="1" s="1"/>
  <c r="K70" i="1"/>
  <c r="L70" i="1"/>
  <c r="M70" i="1"/>
  <c r="N70" i="1" s="1"/>
  <c r="K71" i="1"/>
  <c r="L71" i="1"/>
  <c r="M71" i="1"/>
  <c r="N71" i="1" s="1"/>
  <c r="K72" i="1"/>
  <c r="L72" i="1"/>
  <c r="M72" i="1"/>
  <c r="N72" i="1" s="1"/>
  <c r="K73" i="1"/>
  <c r="L73" i="1"/>
  <c r="M73" i="1"/>
  <c r="N73" i="1" s="1"/>
  <c r="K74" i="1"/>
  <c r="L74" i="1"/>
  <c r="M74" i="1"/>
  <c r="N74" i="1" s="1"/>
  <c r="K75" i="1"/>
  <c r="L75" i="1"/>
  <c r="M75" i="1"/>
  <c r="N75" i="1" s="1"/>
  <c r="K76" i="1"/>
  <c r="L76" i="1"/>
  <c r="M76" i="1"/>
  <c r="N76" i="1" s="1"/>
  <c r="K77" i="1"/>
  <c r="L77" i="1"/>
  <c r="M77" i="1"/>
  <c r="N77" i="1" s="1"/>
  <c r="K78" i="1"/>
  <c r="L78" i="1"/>
  <c r="M78" i="1"/>
  <c r="P78" i="1" s="1"/>
  <c r="K79" i="1"/>
  <c r="L79" i="1"/>
  <c r="M79" i="1"/>
  <c r="P79" i="1" s="1"/>
  <c r="K80" i="1"/>
  <c r="L80" i="1"/>
  <c r="M80" i="1"/>
  <c r="N80" i="1" s="1"/>
  <c r="Y14" i="1" l="1"/>
  <c r="U14" i="1" s="1"/>
  <c r="Y78" i="1"/>
  <c r="U78" i="1" s="1"/>
  <c r="P9" i="3"/>
  <c r="P8" i="3"/>
  <c r="Y80" i="1"/>
  <c r="U80" i="1" s="1"/>
  <c r="Y77" i="1"/>
  <c r="U77" i="1" s="1"/>
  <c r="Y66" i="1"/>
  <c r="U66" i="1" s="1"/>
  <c r="P45" i="3"/>
  <c r="Y69" i="1"/>
  <c r="U69" i="1" s="1"/>
  <c r="Y79" i="1"/>
  <c r="U79" i="1" s="1"/>
  <c r="Y67" i="1"/>
  <c r="U67" i="1" s="1"/>
  <c r="Y74" i="1"/>
  <c r="U74" i="1" s="1"/>
  <c r="Y72" i="1"/>
  <c r="U72" i="1" s="1"/>
  <c r="Y81" i="1"/>
  <c r="U81" i="1" s="1"/>
  <c r="Y71" i="1"/>
  <c r="U71" i="1" s="1"/>
  <c r="Y7" i="1"/>
  <c r="U7" i="1" s="1"/>
  <c r="Y68" i="1"/>
  <c r="U68" i="1" s="1"/>
  <c r="Y75" i="1"/>
  <c r="U75" i="1" s="1"/>
  <c r="Y73" i="1"/>
  <c r="U73" i="1" s="1"/>
  <c r="Y6" i="1"/>
  <c r="U6" i="1" s="1"/>
  <c r="K86" i="1" l="1"/>
  <c r="L86" i="1"/>
  <c r="M86" i="1"/>
  <c r="N86" i="1" s="1"/>
  <c r="T86" i="1"/>
  <c r="T87" i="1"/>
  <c r="T88" i="1"/>
  <c r="Y86" i="1"/>
  <c r="U86" i="1" s="1"/>
  <c r="Z86" i="1"/>
  <c r="Z87" i="1"/>
  <c r="K6" i="1"/>
  <c r="L6" i="1"/>
  <c r="M6" i="1"/>
  <c r="N6" i="1" s="1"/>
  <c r="L11" i="3"/>
  <c r="L25" i="3"/>
  <c r="L39" i="3"/>
  <c r="L22" i="3"/>
  <c r="L42" i="3"/>
  <c r="L4" i="3"/>
  <c r="L16" i="3"/>
  <c r="L18" i="3"/>
  <c r="L8" i="3"/>
  <c r="L40" i="3"/>
  <c r="K145" i="1"/>
  <c r="L145" i="1"/>
  <c r="M145" i="1"/>
  <c r="N145" i="1" s="1"/>
  <c r="T145" i="1"/>
  <c r="W145" i="1"/>
  <c r="X145" i="1"/>
  <c r="Z145" i="1"/>
  <c r="AA145" i="1"/>
  <c r="K146" i="1"/>
  <c r="L146" i="1"/>
  <c r="M146" i="1"/>
  <c r="N146" i="1" s="1"/>
  <c r="T146" i="1"/>
  <c r="W146" i="1"/>
  <c r="X146" i="1"/>
  <c r="Z146" i="1"/>
  <c r="AA146" i="1"/>
  <c r="K4" i="1"/>
  <c r="L4" i="1"/>
  <c r="M4" i="1"/>
  <c r="N4" i="1" s="1"/>
  <c r="T4" i="1"/>
  <c r="W4" i="1"/>
  <c r="X4" i="1"/>
  <c r="Z4" i="1"/>
  <c r="AA4" i="1"/>
  <c r="K5" i="1"/>
  <c r="L5" i="1"/>
  <c r="M5" i="1"/>
  <c r="N5" i="1" s="1"/>
  <c r="T5" i="1"/>
  <c r="W5" i="1"/>
  <c r="X5" i="1"/>
  <c r="Z5" i="1"/>
  <c r="AA5" i="1"/>
  <c r="K7" i="1"/>
  <c r="L7" i="1"/>
  <c r="M7" i="1"/>
  <c r="N7" i="1" s="1"/>
  <c r="AA7" i="1"/>
  <c r="K8" i="1"/>
  <c r="L8" i="1"/>
  <c r="M8" i="1"/>
  <c r="N8" i="1" s="1"/>
  <c r="T8" i="1"/>
  <c r="P43" i="3" s="1"/>
  <c r="W8" i="1"/>
  <c r="X8" i="1"/>
  <c r="Z8" i="1"/>
  <c r="AA8" i="1"/>
  <c r="K9" i="1"/>
  <c r="L9" i="1"/>
  <c r="M9" i="1"/>
  <c r="N9" i="1" s="1"/>
  <c r="T9" i="1"/>
  <c r="W9" i="1"/>
  <c r="X9" i="1"/>
  <c r="Z9" i="1"/>
  <c r="AA9" i="1"/>
  <c r="K10" i="1"/>
  <c r="L10" i="1"/>
  <c r="M10" i="1"/>
  <c r="N10" i="1" s="1"/>
  <c r="T10" i="1"/>
  <c r="W10" i="1"/>
  <c r="X10" i="1"/>
  <c r="Z10" i="1"/>
  <c r="AA10" i="1"/>
  <c r="K11" i="1"/>
  <c r="L11" i="1"/>
  <c r="M11" i="1"/>
  <c r="N11" i="1" s="1"/>
  <c r="T11" i="1"/>
  <c r="W11" i="1"/>
  <c r="X11" i="1"/>
  <c r="Z11" i="1"/>
  <c r="AA11" i="1"/>
  <c r="K12" i="1"/>
  <c r="L12" i="1"/>
  <c r="M12" i="1"/>
  <c r="N12" i="1" s="1"/>
  <c r="W12" i="1"/>
  <c r="X12" i="1"/>
  <c r="Z12" i="1"/>
  <c r="AA12" i="1"/>
  <c r="AA14" i="1"/>
  <c r="K15" i="1"/>
  <c r="L15" i="1"/>
  <c r="M15" i="1"/>
  <c r="N15" i="1" s="1"/>
  <c r="T15" i="1"/>
  <c r="W15" i="1"/>
  <c r="X15" i="1"/>
  <c r="Z15" i="1"/>
  <c r="AA15" i="1"/>
  <c r="K16" i="1"/>
  <c r="L16" i="1"/>
  <c r="M16" i="1"/>
  <c r="N16" i="1" s="1"/>
  <c r="T16" i="1"/>
  <c r="W16" i="1"/>
  <c r="X16" i="1"/>
  <c r="Z16" i="1"/>
  <c r="AA16" i="1"/>
  <c r="K17" i="1"/>
  <c r="L17" i="1"/>
  <c r="M17" i="1"/>
  <c r="N17" i="1" s="1"/>
  <c r="T17" i="1"/>
  <c r="P44" i="3" s="1"/>
  <c r="W17" i="1"/>
  <c r="X17" i="1"/>
  <c r="Z17" i="1"/>
  <c r="AA17" i="1"/>
  <c r="K18" i="1"/>
  <c r="L18" i="1"/>
  <c r="M18" i="1"/>
  <c r="N18" i="1" s="1"/>
  <c r="T18" i="1"/>
  <c r="W18" i="1"/>
  <c r="X18" i="1"/>
  <c r="Z18" i="1"/>
  <c r="AA18" i="1"/>
  <c r="K19" i="1"/>
  <c r="L19" i="1"/>
  <c r="M19" i="1"/>
  <c r="N19" i="1" s="1"/>
  <c r="T19" i="1"/>
  <c r="W19" i="1"/>
  <c r="X19" i="1"/>
  <c r="Z19" i="1"/>
  <c r="AA19" i="1"/>
  <c r="K20" i="1"/>
  <c r="L20" i="1"/>
  <c r="M20" i="1"/>
  <c r="N20" i="1" s="1"/>
  <c r="T20" i="1"/>
  <c r="W20" i="1"/>
  <c r="X20" i="1"/>
  <c r="Z20" i="1"/>
  <c r="AA20" i="1"/>
  <c r="K21" i="1"/>
  <c r="L21" i="1"/>
  <c r="M21" i="1"/>
  <c r="N21" i="1" s="1"/>
  <c r="T21" i="1"/>
  <c r="W21" i="1"/>
  <c r="X21" i="1"/>
  <c r="Z21" i="1"/>
  <c r="AA21" i="1"/>
  <c r="K22" i="1"/>
  <c r="L22" i="1"/>
  <c r="M22" i="1"/>
  <c r="N22" i="1" s="1"/>
  <c r="T22" i="1"/>
  <c r="W22" i="1"/>
  <c r="X22" i="1"/>
  <c r="Z22" i="1"/>
  <c r="AA22" i="1"/>
  <c r="T24" i="1"/>
  <c r="W24" i="1"/>
  <c r="X24" i="1"/>
  <c r="Z24" i="1"/>
  <c r="AA24" i="1"/>
  <c r="K25" i="1"/>
  <c r="L25" i="1"/>
  <c r="M25" i="1"/>
  <c r="N25" i="1" s="1"/>
  <c r="T25" i="1"/>
  <c r="W25" i="1"/>
  <c r="X25" i="1"/>
  <c r="Z25" i="1"/>
  <c r="AA25" i="1"/>
  <c r="K26" i="1"/>
  <c r="L26" i="1"/>
  <c r="M26" i="1"/>
  <c r="N26" i="1" s="1"/>
  <c r="T26" i="1"/>
  <c r="W26" i="1"/>
  <c r="X26" i="1"/>
  <c r="Z26" i="1"/>
  <c r="AA26" i="1"/>
  <c r="K28" i="1"/>
  <c r="L28" i="1"/>
  <c r="M28" i="1"/>
  <c r="N28" i="1" s="1"/>
  <c r="T28" i="1"/>
  <c r="W28" i="1"/>
  <c r="X28" i="1"/>
  <c r="Z28" i="1"/>
  <c r="AA28" i="1"/>
  <c r="K27" i="1"/>
  <c r="L27" i="1"/>
  <c r="M27" i="1"/>
  <c r="N27" i="1" s="1"/>
  <c r="T27" i="1"/>
  <c r="W27" i="1"/>
  <c r="X27" i="1"/>
  <c r="Z27" i="1"/>
  <c r="AA27" i="1"/>
  <c r="K29" i="1"/>
  <c r="L29" i="1"/>
  <c r="M29" i="1"/>
  <c r="N29" i="1" s="1"/>
  <c r="T29" i="1"/>
  <c r="P47" i="3" s="1"/>
  <c r="W29" i="1"/>
  <c r="X29" i="1"/>
  <c r="Z29" i="1"/>
  <c r="AA29" i="1"/>
  <c r="K30" i="1"/>
  <c r="L30" i="1"/>
  <c r="M30" i="1"/>
  <c r="N30" i="1" s="1"/>
  <c r="T30" i="1"/>
  <c r="W30" i="1"/>
  <c r="X30" i="1"/>
  <c r="Z30" i="1"/>
  <c r="AA30" i="1"/>
  <c r="K31" i="1"/>
  <c r="L31" i="1"/>
  <c r="M31" i="1"/>
  <c r="N31" i="1" s="1"/>
  <c r="T31" i="1"/>
  <c r="W31" i="1"/>
  <c r="X31" i="1"/>
  <c r="Z31" i="1"/>
  <c r="AA31" i="1"/>
  <c r="K33" i="1"/>
  <c r="L33" i="1"/>
  <c r="M33" i="1"/>
  <c r="N33" i="1" s="1"/>
  <c r="T33" i="1"/>
  <c r="W33" i="1"/>
  <c r="X33" i="1"/>
  <c r="Z33" i="1"/>
  <c r="AA33" i="1"/>
  <c r="K32" i="1"/>
  <c r="L32" i="1"/>
  <c r="M32" i="1"/>
  <c r="N32" i="1" s="1"/>
  <c r="T32" i="1"/>
  <c r="W32" i="1"/>
  <c r="X32" i="1"/>
  <c r="Z32" i="1"/>
  <c r="AA32" i="1"/>
  <c r="K34" i="1"/>
  <c r="L34" i="1"/>
  <c r="M34" i="1"/>
  <c r="N34" i="1" s="1"/>
  <c r="T34" i="1"/>
  <c r="P48" i="3" s="1"/>
  <c r="W34" i="1"/>
  <c r="X34" i="1"/>
  <c r="Z34" i="1"/>
  <c r="AA34" i="1"/>
  <c r="K35" i="1"/>
  <c r="L35" i="1"/>
  <c r="M35" i="1"/>
  <c r="N35" i="1" s="1"/>
  <c r="T35" i="1"/>
  <c r="W35" i="1"/>
  <c r="X35" i="1"/>
  <c r="Z35" i="1"/>
  <c r="AA35" i="1"/>
  <c r="K36" i="1"/>
  <c r="L36" i="1"/>
  <c r="M36" i="1"/>
  <c r="N36" i="1" s="1"/>
  <c r="T36" i="1"/>
  <c r="W36" i="1"/>
  <c r="X36" i="1"/>
  <c r="Z36" i="1"/>
  <c r="AA36" i="1"/>
  <c r="K37" i="1"/>
  <c r="L37" i="1"/>
  <c r="M37" i="1"/>
  <c r="N37" i="1" s="1"/>
  <c r="T37" i="1"/>
  <c r="P5" i="3" s="1"/>
  <c r="W37" i="1"/>
  <c r="X37" i="1"/>
  <c r="Z37" i="1"/>
  <c r="AA37" i="1"/>
  <c r="K38" i="1"/>
  <c r="L38" i="1"/>
  <c r="M38" i="1"/>
  <c r="N38" i="1" s="1"/>
  <c r="T38" i="1"/>
  <c r="W38" i="1"/>
  <c r="X38" i="1"/>
  <c r="Z38" i="1"/>
  <c r="AA38" i="1"/>
  <c r="K39" i="1"/>
  <c r="L39" i="1"/>
  <c r="M39" i="1"/>
  <c r="N39" i="1" s="1"/>
  <c r="T39" i="1"/>
  <c r="W39" i="1"/>
  <c r="X39" i="1"/>
  <c r="Z39" i="1"/>
  <c r="AA39" i="1"/>
  <c r="K40" i="1"/>
  <c r="L40" i="1"/>
  <c r="M40" i="1"/>
  <c r="N40" i="1" s="1"/>
  <c r="T40" i="1"/>
  <c r="W40" i="1"/>
  <c r="X40" i="1"/>
  <c r="Z40" i="1"/>
  <c r="AA40" i="1"/>
  <c r="K41" i="1"/>
  <c r="L41" i="1"/>
  <c r="M41" i="1"/>
  <c r="N41" i="1" s="1"/>
  <c r="T41" i="1"/>
  <c r="W41" i="1"/>
  <c r="X41" i="1"/>
  <c r="Z41" i="1"/>
  <c r="AA41" i="1"/>
  <c r="K42" i="1"/>
  <c r="L42" i="1"/>
  <c r="M42" i="1"/>
  <c r="N42" i="1" s="1"/>
  <c r="T42" i="1"/>
  <c r="W42" i="1"/>
  <c r="X42" i="1"/>
  <c r="Z42" i="1"/>
  <c r="AA42" i="1"/>
  <c r="K43" i="1"/>
  <c r="L43" i="1"/>
  <c r="M43" i="1"/>
  <c r="N43" i="1" s="1"/>
  <c r="T43" i="1"/>
  <c r="W43" i="1"/>
  <c r="X43" i="1"/>
  <c r="Z43" i="1"/>
  <c r="AA43" i="1"/>
  <c r="K44" i="1"/>
  <c r="L44" i="1"/>
  <c r="M44" i="1"/>
  <c r="N44" i="1" s="1"/>
  <c r="T44" i="1"/>
  <c r="W44" i="1"/>
  <c r="X44" i="1"/>
  <c r="Z44" i="1"/>
  <c r="AA44" i="1"/>
  <c r="K45" i="1"/>
  <c r="L45" i="1"/>
  <c r="M45" i="1"/>
  <c r="P45" i="1" s="1"/>
  <c r="T45" i="1"/>
  <c r="W45" i="1"/>
  <c r="X45" i="1"/>
  <c r="Z45" i="1"/>
  <c r="AA45" i="1"/>
  <c r="K47" i="1"/>
  <c r="L47" i="1"/>
  <c r="M47" i="1"/>
  <c r="N47" i="1" s="1"/>
  <c r="T47" i="1"/>
  <c r="W47" i="1"/>
  <c r="X47" i="1"/>
  <c r="Z47" i="1"/>
  <c r="AA47" i="1"/>
  <c r="K46" i="1"/>
  <c r="L46" i="1"/>
  <c r="M46" i="1"/>
  <c r="N46" i="1" s="1"/>
  <c r="T46" i="1"/>
  <c r="W46" i="1"/>
  <c r="X46" i="1"/>
  <c r="Z46" i="1"/>
  <c r="AA46" i="1"/>
  <c r="K48" i="1"/>
  <c r="L48" i="1"/>
  <c r="M48" i="1"/>
  <c r="N48" i="1" s="1"/>
  <c r="T48" i="1"/>
  <c r="W48" i="1"/>
  <c r="X48" i="1"/>
  <c r="Z48" i="1"/>
  <c r="AA48" i="1"/>
  <c r="K50" i="1"/>
  <c r="L50" i="1"/>
  <c r="M50" i="1"/>
  <c r="T49" i="1"/>
  <c r="W49" i="1"/>
  <c r="X49" i="1"/>
  <c r="Z49" i="1"/>
  <c r="AA49" i="1"/>
  <c r="K49" i="1"/>
  <c r="L49" i="1"/>
  <c r="M49" i="1"/>
  <c r="T50" i="1"/>
  <c r="W50" i="1"/>
  <c r="X50" i="1"/>
  <c r="Z50" i="1"/>
  <c r="AA50" i="1"/>
  <c r="K51" i="1"/>
  <c r="L51" i="1"/>
  <c r="M51" i="1"/>
  <c r="N51" i="1" s="1"/>
  <c r="T51" i="1"/>
  <c r="W51" i="1"/>
  <c r="X51" i="1"/>
  <c r="Z51" i="1"/>
  <c r="AA51" i="1"/>
  <c r="K52" i="1"/>
  <c r="L52" i="1"/>
  <c r="M52" i="1"/>
  <c r="N52" i="1" s="1"/>
  <c r="T52" i="1"/>
  <c r="W52" i="1"/>
  <c r="X52" i="1"/>
  <c r="Z52" i="1"/>
  <c r="AA52" i="1"/>
  <c r="K53" i="1"/>
  <c r="L53" i="1"/>
  <c r="M53" i="1"/>
  <c r="T53" i="1"/>
  <c r="W53" i="1"/>
  <c r="X53" i="1"/>
  <c r="Z53" i="1"/>
  <c r="AA53" i="1"/>
  <c r="K54" i="1"/>
  <c r="L54" i="1"/>
  <c r="M54" i="1"/>
  <c r="N54" i="1" s="1"/>
  <c r="T54" i="1"/>
  <c r="W54" i="1"/>
  <c r="X54" i="1"/>
  <c r="Z54" i="1"/>
  <c r="AA54" i="1"/>
  <c r="K55" i="1"/>
  <c r="L55" i="1"/>
  <c r="M55" i="1"/>
  <c r="N55" i="1" s="1"/>
  <c r="T55" i="1"/>
  <c r="W55" i="1"/>
  <c r="X55" i="1"/>
  <c r="Z55" i="1"/>
  <c r="AA55" i="1"/>
  <c r="K56" i="1"/>
  <c r="L56" i="1"/>
  <c r="M56" i="1"/>
  <c r="N56" i="1" s="1"/>
  <c r="T56" i="1"/>
  <c r="W56" i="1"/>
  <c r="X56" i="1"/>
  <c r="Z56" i="1"/>
  <c r="AA56" i="1"/>
  <c r="K57" i="1"/>
  <c r="L57" i="1"/>
  <c r="M57" i="1"/>
  <c r="N57" i="1" s="1"/>
  <c r="T57" i="1"/>
  <c r="W57" i="1"/>
  <c r="X57" i="1"/>
  <c r="Z57" i="1"/>
  <c r="AA57" i="1"/>
  <c r="K58" i="1"/>
  <c r="L58" i="1"/>
  <c r="M58" i="1"/>
  <c r="N58" i="1" s="1"/>
  <c r="T58" i="1"/>
  <c r="W58" i="1"/>
  <c r="X58" i="1"/>
  <c r="Z58" i="1"/>
  <c r="AA58" i="1"/>
  <c r="K59" i="1"/>
  <c r="L59" i="1"/>
  <c r="M59" i="1"/>
  <c r="N59" i="1" s="1"/>
  <c r="T59" i="1"/>
  <c r="W59" i="1"/>
  <c r="X59" i="1"/>
  <c r="Z59" i="1"/>
  <c r="AA59" i="1"/>
  <c r="K60" i="1"/>
  <c r="L60" i="1"/>
  <c r="M60" i="1"/>
  <c r="N60" i="1" s="1"/>
  <c r="T60" i="1"/>
  <c r="W60" i="1"/>
  <c r="X60" i="1"/>
  <c r="Z60" i="1"/>
  <c r="AA60" i="1"/>
  <c r="K61" i="1"/>
  <c r="L61" i="1"/>
  <c r="M61" i="1"/>
  <c r="N61" i="1" s="1"/>
  <c r="T61" i="1"/>
  <c r="W61" i="1"/>
  <c r="X61" i="1"/>
  <c r="Z61" i="1"/>
  <c r="AA61" i="1"/>
  <c r="K62" i="1"/>
  <c r="L62" i="1"/>
  <c r="M62" i="1"/>
  <c r="N62" i="1" s="1"/>
  <c r="T62" i="1"/>
  <c r="W62" i="1"/>
  <c r="X62" i="1"/>
  <c r="Z62" i="1"/>
  <c r="AA62" i="1"/>
  <c r="T63" i="1"/>
  <c r="W63" i="1"/>
  <c r="X63" i="1"/>
  <c r="Z63" i="1"/>
  <c r="AA63" i="1"/>
  <c r="T64" i="1"/>
  <c r="W64" i="1"/>
  <c r="X64" i="1"/>
  <c r="Z64" i="1"/>
  <c r="AA64" i="1"/>
  <c r="K81" i="1"/>
  <c r="L81" i="1"/>
  <c r="M81" i="1"/>
  <c r="N81" i="1" s="1"/>
  <c r="K82" i="1"/>
  <c r="L82" i="1"/>
  <c r="M82" i="1"/>
  <c r="N82" i="1" s="1"/>
  <c r="T82" i="1"/>
  <c r="W82" i="1"/>
  <c r="X82" i="1"/>
  <c r="Z82" i="1"/>
  <c r="K83" i="1"/>
  <c r="L83" i="1"/>
  <c r="M83" i="1"/>
  <c r="N83" i="1" s="1"/>
  <c r="T83" i="1"/>
  <c r="W83" i="1"/>
  <c r="X83" i="1"/>
  <c r="Z83" i="1"/>
  <c r="K84" i="1"/>
  <c r="L84" i="1"/>
  <c r="M84" i="1"/>
  <c r="N84" i="1" s="1"/>
  <c r="T84" i="1"/>
  <c r="W84" i="1"/>
  <c r="X84" i="1"/>
  <c r="Z84" i="1"/>
  <c r="AA84" i="1"/>
  <c r="K85" i="1"/>
  <c r="L85" i="1"/>
  <c r="M85" i="1"/>
  <c r="N85" i="1" s="1"/>
  <c r="T85" i="1"/>
  <c r="W85" i="1"/>
  <c r="X85" i="1"/>
  <c r="Z85" i="1"/>
  <c r="AA85" i="1"/>
  <c r="K87" i="1"/>
  <c r="L87" i="1"/>
  <c r="M87" i="1"/>
  <c r="N87" i="1" s="1"/>
  <c r="W87" i="1"/>
  <c r="X87" i="1"/>
  <c r="AA87" i="1"/>
  <c r="K88" i="1"/>
  <c r="L88" i="1"/>
  <c r="M88" i="1"/>
  <c r="N88" i="1" s="1"/>
  <c r="W88" i="1"/>
  <c r="X88" i="1"/>
  <c r="Z88" i="1"/>
  <c r="AA88" i="1"/>
  <c r="K89" i="1"/>
  <c r="L89" i="1"/>
  <c r="M89" i="1"/>
  <c r="N89" i="1" s="1"/>
  <c r="T89" i="1"/>
  <c r="W89" i="1"/>
  <c r="X89" i="1"/>
  <c r="Z89" i="1"/>
  <c r="AA89" i="1"/>
  <c r="K90" i="1"/>
  <c r="L90" i="1"/>
  <c r="M90" i="1"/>
  <c r="N90" i="1" s="1"/>
  <c r="T90" i="1"/>
  <c r="W90" i="1"/>
  <c r="X90" i="1"/>
  <c r="Z90" i="1"/>
  <c r="AA90" i="1"/>
  <c r="K91" i="1"/>
  <c r="L91" i="1"/>
  <c r="M91" i="1"/>
  <c r="N91" i="1" s="1"/>
  <c r="T91" i="1"/>
  <c r="W91" i="1"/>
  <c r="X91" i="1"/>
  <c r="Z91" i="1"/>
  <c r="AA91" i="1"/>
  <c r="K92" i="1"/>
  <c r="L92" i="1"/>
  <c r="M92" i="1"/>
  <c r="N92" i="1" s="1"/>
  <c r="T92" i="1"/>
  <c r="W92" i="1"/>
  <c r="X92" i="1"/>
  <c r="Z92" i="1"/>
  <c r="AA92" i="1"/>
  <c r="K93" i="1"/>
  <c r="L93" i="1"/>
  <c r="M93" i="1"/>
  <c r="N93" i="1" s="1"/>
  <c r="T93" i="1"/>
  <c r="W93" i="1"/>
  <c r="X93" i="1"/>
  <c r="Z93" i="1"/>
  <c r="AA93" i="1"/>
  <c r="K94" i="1"/>
  <c r="L94" i="1"/>
  <c r="M94" i="1"/>
  <c r="N94" i="1" s="1"/>
  <c r="T94" i="1"/>
  <c r="P10" i="3" s="1"/>
  <c r="W94" i="1"/>
  <c r="X94" i="1"/>
  <c r="Z94" i="1"/>
  <c r="AA94" i="1"/>
  <c r="K95" i="1"/>
  <c r="L95" i="1"/>
  <c r="M95" i="1"/>
  <c r="N95" i="1" s="1"/>
  <c r="T95" i="1"/>
  <c r="P11" i="3" s="1"/>
  <c r="W95" i="1"/>
  <c r="X95" i="1"/>
  <c r="Z95" i="1"/>
  <c r="AA95" i="1"/>
  <c r="K96" i="1"/>
  <c r="L96" i="1"/>
  <c r="M96" i="1"/>
  <c r="N96" i="1" s="1"/>
  <c r="T96" i="1"/>
  <c r="W96" i="1"/>
  <c r="X96" i="1"/>
  <c r="Z96" i="1"/>
  <c r="AA96" i="1"/>
  <c r="K97" i="1"/>
  <c r="L97" i="1"/>
  <c r="M97" i="1"/>
  <c r="N97" i="1" s="1"/>
  <c r="T97" i="1"/>
  <c r="W97" i="1"/>
  <c r="X97" i="1"/>
  <c r="Z97" i="1"/>
  <c r="AA97" i="1"/>
  <c r="K98" i="1"/>
  <c r="L98" i="1"/>
  <c r="M98" i="1"/>
  <c r="N98" i="1" s="1"/>
  <c r="T98" i="1"/>
  <c r="W98" i="1"/>
  <c r="X98" i="1"/>
  <c r="Z98" i="1"/>
  <c r="AA98" i="1"/>
  <c r="K99" i="1"/>
  <c r="L99" i="1"/>
  <c r="M99" i="1"/>
  <c r="N99" i="1" s="1"/>
  <c r="T99" i="1"/>
  <c r="W99" i="1"/>
  <c r="X99" i="1"/>
  <c r="Z99" i="1"/>
  <c r="AA99" i="1"/>
  <c r="K100" i="1"/>
  <c r="L100" i="1"/>
  <c r="M100" i="1"/>
  <c r="N100" i="1" s="1"/>
  <c r="T100" i="1"/>
  <c r="W100" i="1"/>
  <c r="X100" i="1"/>
  <c r="Z100" i="1"/>
  <c r="AA100" i="1"/>
  <c r="K101" i="1"/>
  <c r="L101" i="1"/>
  <c r="M101" i="1"/>
  <c r="N101" i="1" s="1"/>
  <c r="T101" i="1"/>
  <c r="W101" i="1"/>
  <c r="X101" i="1"/>
  <c r="Z101" i="1"/>
  <c r="AA101" i="1"/>
  <c r="K102" i="1"/>
  <c r="L102" i="1"/>
  <c r="M102" i="1"/>
  <c r="N102" i="1" s="1"/>
  <c r="T102" i="1"/>
  <c r="W102" i="1"/>
  <c r="X102" i="1"/>
  <c r="Z102" i="1"/>
  <c r="AA102" i="1"/>
  <c r="K103" i="1"/>
  <c r="L103" i="1"/>
  <c r="M103" i="1"/>
  <c r="N103" i="1" s="1"/>
  <c r="T103" i="1"/>
  <c r="W103" i="1"/>
  <c r="X103" i="1"/>
  <c r="Z103" i="1"/>
  <c r="AA103" i="1"/>
  <c r="K104" i="1"/>
  <c r="L104" i="1"/>
  <c r="M104" i="1"/>
  <c r="N104" i="1" s="1"/>
  <c r="T104" i="1"/>
  <c r="W104" i="1"/>
  <c r="X104" i="1"/>
  <c r="Z104" i="1"/>
  <c r="AA104" i="1"/>
  <c r="K105" i="1"/>
  <c r="L105" i="1"/>
  <c r="M105" i="1"/>
  <c r="N105" i="1" s="1"/>
  <c r="T105" i="1"/>
  <c r="W105" i="1"/>
  <c r="X105" i="1"/>
  <c r="Z105" i="1"/>
  <c r="AA105" i="1"/>
  <c r="K106" i="1"/>
  <c r="L106" i="1"/>
  <c r="M106" i="1"/>
  <c r="N106" i="1" s="1"/>
  <c r="T106" i="1"/>
  <c r="W106" i="1"/>
  <c r="X106" i="1"/>
  <c r="Z106" i="1"/>
  <c r="AA106" i="1"/>
  <c r="K107" i="1"/>
  <c r="L107" i="1"/>
  <c r="M107" i="1"/>
  <c r="N107" i="1" s="1"/>
  <c r="T107" i="1"/>
  <c r="W107" i="1"/>
  <c r="X107" i="1"/>
  <c r="Z107" i="1"/>
  <c r="AA107" i="1"/>
  <c r="K109" i="1"/>
  <c r="L109" i="1"/>
  <c r="M109" i="1"/>
  <c r="N109" i="1" s="1"/>
  <c r="T109" i="1"/>
  <c r="P13" i="3" s="1"/>
  <c r="W109" i="1"/>
  <c r="X109" i="1"/>
  <c r="Z109" i="1"/>
  <c r="AA109" i="1"/>
  <c r="K108" i="1"/>
  <c r="L108" i="1"/>
  <c r="M108" i="1"/>
  <c r="N108" i="1" s="1"/>
  <c r="T108" i="1"/>
  <c r="W108" i="1"/>
  <c r="X108" i="1"/>
  <c r="Z108" i="1"/>
  <c r="AA108" i="1"/>
  <c r="K110" i="1"/>
  <c r="L110" i="1"/>
  <c r="M110" i="1"/>
  <c r="N110" i="1" s="1"/>
  <c r="T110" i="1"/>
  <c r="W110" i="1"/>
  <c r="X110" i="1"/>
  <c r="Z110" i="1"/>
  <c r="AA110" i="1"/>
  <c r="K111" i="1"/>
  <c r="L111" i="1"/>
  <c r="M111" i="1"/>
  <c r="N111" i="1" s="1"/>
  <c r="T111" i="1"/>
  <c r="W111" i="1"/>
  <c r="X111" i="1"/>
  <c r="Z111" i="1"/>
  <c r="AA111" i="1"/>
  <c r="K112" i="1"/>
  <c r="L112" i="1"/>
  <c r="M112" i="1"/>
  <c r="N112" i="1" s="1"/>
  <c r="T112" i="1"/>
  <c r="W112" i="1"/>
  <c r="X112" i="1"/>
  <c r="Z112" i="1"/>
  <c r="AA112" i="1"/>
  <c r="K113" i="1"/>
  <c r="L113" i="1"/>
  <c r="M113" i="1"/>
  <c r="N113" i="1" s="1"/>
  <c r="T113" i="1"/>
  <c r="W113" i="1"/>
  <c r="X113" i="1"/>
  <c r="Z113" i="1"/>
  <c r="AA113" i="1"/>
  <c r="K114" i="1"/>
  <c r="L114" i="1"/>
  <c r="M114" i="1"/>
  <c r="N114" i="1" s="1"/>
  <c r="T114" i="1"/>
  <c r="W114" i="1"/>
  <c r="X114" i="1"/>
  <c r="Z114" i="1"/>
  <c r="AA114" i="1"/>
  <c r="K115" i="1"/>
  <c r="L115" i="1"/>
  <c r="M115" i="1"/>
  <c r="N115" i="1" s="1"/>
  <c r="T115" i="1"/>
  <c r="W115" i="1"/>
  <c r="X115" i="1"/>
  <c r="Z115" i="1"/>
  <c r="AA115" i="1"/>
  <c r="K116" i="1"/>
  <c r="L116" i="1"/>
  <c r="M116" i="1"/>
  <c r="N116" i="1" s="1"/>
  <c r="T116" i="1"/>
  <c r="P12" i="3" s="1"/>
  <c r="W116" i="1"/>
  <c r="X116" i="1"/>
  <c r="Z116" i="1"/>
  <c r="AA116" i="1"/>
  <c r="K117" i="1"/>
  <c r="L117" i="1"/>
  <c r="M117" i="1"/>
  <c r="N117" i="1" s="1"/>
  <c r="T117" i="1"/>
  <c r="W117" i="1"/>
  <c r="X117" i="1"/>
  <c r="Z117" i="1"/>
  <c r="AA117" i="1"/>
  <c r="K118" i="1"/>
  <c r="L118" i="1"/>
  <c r="M118" i="1"/>
  <c r="N118" i="1" s="1"/>
  <c r="T118" i="1"/>
  <c r="W118" i="1"/>
  <c r="X118" i="1"/>
  <c r="Z118" i="1"/>
  <c r="AA118" i="1"/>
  <c r="K119" i="1"/>
  <c r="L119" i="1"/>
  <c r="M119" i="1"/>
  <c r="N119" i="1" s="1"/>
  <c r="T119" i="1"/>
  <c r="W119" i="1"/>
  <c r="X119" i="1"/>
  <c r="Z119" i="1"/>
  <c r="AA119" i="1"/>
  <c r="K120" i="1"/>
  <c r="L120" i="1"/>
  <c r="M120" i="1"/>
  <c r="N120" i="1" s="1"/>
  <c r="T120" i="1"/>
  <c r="W120" i="1"/>
  <c r="X120" i="1"/>
  <c r="Z120" i="1"/>
  <c r="AA120" i="1"/>
  <c r="K121" i="1"/>
  <c r="L121" i="1"/>
  <c r="M121" i="1"/>
  <c r="N121" i="1" s="1"/>
  <c r="T121" i="1"/>
  <c r="W121" i="1"/>
  <c r="X121" i="1"/>
  <c r="Z121" i="1"/>
  <c r="AA121" i="1"/>
  <c r="K122" i="1"/>
  <c r="L122" i="1"/>
  <c r="M122" i="1"/>
  <c r="N122" i="1" s="1"/>
  <c r="T122" i="1"/>
  <c r="W122" i="1"/>
  <c r="X122" i="1"/>
  <c r="Z122" i="1"/>
  <c r="AA122" i="1"/>
  <c r="K123" i="1"/>
  <c r="L123" i="1"/>
  <c r="M123" i="1"/>
  <c r="N123" i="1" s="1"/>
  <c r="T123" i="1"/>
  <c r="W123" i="1"/>
  <c r="X123" i="1"/>
  <c r="Z123" i="1"/>
  <c r="AA123" i="1"/>
  <c r="K124" i="1"/>
  <c r="L124" i="1"/>
  <c r="M124" i="1"/>
  <c r="N124" i="1" s="1"/>
  <c r="T124" i="1"/>
  <c r="W124" i="1"/>
  <c r="X124" i="1"/>
  <c r="Z124" i="1"/>
  <c r="AA124" i="1"/>
  <c r="K125" i="1"/>
  <c r="L125" i="1"/>
  <c r="M125" i="1"/>
  <c r="N125" i="1" s="1"/>
  <c r="T125" i="1"/>
  <c r="W125" i="1"/>
  <c r="X125" i="1"/>
  <c r="Z125" i="1"/>
  <c r="AA125" i="1"/>
  <c r="K126" i="1"/>
  <c r="L126" i="1"/>
  <c r="M126" i="1"/>
  <c r="N126" i="1" s="1"/>
  <c r="T126" i="1"/>
  <c r="W126" i="1"/>
  <c r="X126" i="1"/>
  <c r="Z126" i="1"/>
  <c r="AA126" i="1"/>
  <c r="K127" i="1"/>
  <c r="L127" i="1"/>
  <c r="M127" i="1"/>
  <c r="N127" i="1" s="1"/>
  <c r="T127" i="1"/>
  <c r="W127" i="1"/>
  <c r="X127" i="1"/>
  <c r="Z127" i="1"/>
  <c r="AA127" i="1"/>
  <c r="K128" i="1"/>
  <c r="L128" i="1"/>
  <c r="M128" i="1"/>
  <c r="N128" i="1" s="1"/>
  <c r="T128" i="1"/>
  <c r="W128" i="1"/>
  <c r="X128" i="1"/>
  <c r="Z128" i="1"/>
  <c r="AA128" i="1"/>
  <c r="K129" i="1"/>
  <c r="L129" i="1"/>
  <c r="M129" i="1"/>
  <c r="N129" i="1" s="1"/>
  <c r="T129" i="1"/>
  <c r="W129" i="1"/>
  <c r="X129" i="1"/>
  <c r="Z129" i="1"/>
  <c r="AA129" i="1"/>
  <c r="K130" i="1"/>
  <c r="L130" i="1"/>
  <c r="M130" i="1"/>
  <c r="N130" i="1" s="1"/>
  <c r="T130" i="1"/>
  <c r="W130" i="1"/>
  <c r="X130" i="1"/>
  <c r="Z130" i="1"/>
  <c r="AA130" i="1"/>
  <c r="K131" i="1"/>
  <c r="L131" i="1"/>
  <c r="M131" i="1"/>
  <c r="N131" i="1" s="1"/>
  <c r="T131" i="1"/>
  <c r="W131" i="1"/>
  <c r="X131" i="1"/>
  <c r="Z131" i="1"/>
  <c r="AA131" i="1"/>
  <c r="K132" i="1"/>
  <c r="L132" i="1"/>
  <c r="M132" i="1"/>
  <c r="P132" i="1" s="1"/>
  <c r="T132" i="1"/>
  <c r="W132" i="1"/>
  <c r="X132" i="1"/>
  <c r="Z132" i="1"/>
  <c r="AA132" i="1"/>
  <c r="K133" i="1"/>
  <c r="L133" i="1"/>
  <c r="M133" i="1"/>
  <c r="N133" i="1" s="1"/>
  <c r="T133" i="1"/>
  <c r="W133" i="1"/>
  <c r="X133" i="1"/>
  <c r="Z133" i="1"/>
  <c r="AA133" i="1"/>
  <c r="K134" i="1"/>
  <c r="L134" i="1"/>
  <c r="M134" i="1"/>
  <c r="T134" i="1"/>
  <c r="W134" i="1"/>
  <c r="X134" i="1"/>
  <c r="Z134" i="1"/>
  <c r="AA134" i="1"/>
  <c r="K135" i="1"/>
  <c r="L135" i="1"/>
  <c r="M135" i="1"/>
  <c r="T135" i="1"/>
  <c r="W135" i="1"/>
  <c r="X135" i="1"/>
  <c r="Z135" i="1"/>
  <c r="AA135" i="1"/>
  <c r="K136" i="1"/>
  <c r="L136" i="1"/>
  <c r="M136" i="1"/>
  <c r="N136" i="1" s="1"/>
  <c r="T136" i="1"/>
  <c r="W136" i="1"/>
  <c r="X136" i="1"/>
  <c r="Z136" i="1"/>
  <c r="AA136" i="1"/>
  <c r="K137" i="1"/>
  <c r="L137" i="1"/>
  <c r="M137" i="1"/>
  <c r="N137" i="1" s="1"/>
  <c r="T137" i="1"/>
  <c r="W137" i="1"/>
  <c r="X137" i="1"/>
  <c r="Z137" i="1"/>
  <c r="AA137" i="1"/>
  <c r="K138" i="1"/>
  <c r="L138" i="1"/>
  <c r="M138" i="1"/>
  <c r="N138" i="1" s="1"/>
  <c r="T138" i="1"/>
  <c r="W138" i="1"/>
  <c r="X138" i="1"/>
  <c r="Z138" i="1"/>
  <c r="AA138" i="1"/>
  <c r="K139" i="1"/>
  <c r="L139" i="1"/>
  <c r="M139" i="1"/>
  <c r="N139" i="1" s="1"/>
  <c r="T139" i="1"/>
  <c r="W139" i="1"/>
  <c r="X139" i="1"/>
  <c r="Z139" i="1"/>
  <c r="AA139" i="1"/>
  <c r="K140" i="1"/>
  <c r="L140" i="1"/>
  <c r="M140" i="1"/>
  <c r="N140" i="1" s="1"/>
  <c r="T140" i="1"/>
  <c r="W140" i="1"/>
  <c r="X140" i="1"/>
  <c r="Z140" i="1"/>
  <c r="AA140" i="1"/>
  <c r="K141" i="1"/>
  <c r="L141" i="1"/>
  <c r="M141" i="1"/>
  <c r="N141" i="1" s="1"/>
  <c r="T141" i="1"/>
  <c r="W141" i="1"/>
  <c r="X141" i="1"/>
  <c r="Z141" i="1"/>
  <c r="AA141" i="1"/>
  <c r="K142" i="1"/>
  <c r="L142" i="1"/>
  <c r="M142" i="1"/>
  <c r="N142" i="1" s="1"/>
  <c r="T142" i="1"/>
  <c r="W142" i="1"/>
  <c r="X142" i="1"/>
  <c r="Z142" i="1"/>
  <c r="AA142" i="1"/>
  <c r="K143" i="1"/>
  <c r="L143" i="1"/>
  <c r="M143" i="1"/>
  <c r="N143" i="1" s="1"/>
  <c r="T143" i="1"/>
  <c r="W143" i="1"/>
  <c r="X143" i="1"/>
  <c r="Z143" i="1"/>
  <c r="AA143" i="1"/>
  <c r="K144" i="1"/>
  <c r="L144" i="1"/>
  <c r="M144" i="1"/>
  <c r="N144" i="1" s="1"/>
  <c r="T144" i="1"/>
  <c r="W144" i="1"/>
  <c r="X144" i="1"/>
  <c r="Z144" i="1"/>
  <c r="AA144" i="1"/>
  <c r="P50" i="3" l="1"/>
  <c r="Y128" i="1"/>
  <c r="U128" i="1" s="1"/>
  <c r="P50" i="1"/>
  <c r="P51" i="3"/>
  <c r="P49" i="3"/>
  <c r="P46" i="3"/>
  <c r="P56" i="3"/>
  <c r="P14" i="3"/>
  <c r="P15" i="3"/>
  <c r="P16" i="3"/>
  <c r="P52" i="3"/>
  <c r="P53" i="3"/>
  <c r="P18" i="3"/>
  <c r="P57" i="3"/>
  <c r="P54" i="3"/>
  <c r="P55" i="3"/>
  <c r="Y55" i="1"/>
  <c r="U55" i="1" s="1"/>
  <c r="Y101" i="1"/>
  <c r="U101" i="1" s="1"/>
  <c r="Y93" i="1"/>
  <c r="U93" i="1" s="1"/>
  <c r="Y34" i="1"/>
  <c r="U34" i="1" s="1"/>
  <c r="Y122" i="1"/>
  <c r="U122" i="1" s="1"/>
  <c r="Y50" i="1"/>
  <c r="U50" i="1" s="1"/>
  <c r="Y130" i="1"/>
  <c r="U130" i="1" s="1"/>
  <c r="Y87" i="1"/>
  <c r="U87" i="1" s="1"/>
  <c r="Y12" i="1"/>
  <c r="U12" i="1" s="1"/>
  <c r="Y105" i="1"/>
  <c r="U105" i="1" s="1"/>
  <c r="Y145" i="1"/>
  <c r="U145" i="1" s="1"/>
  <c r="Y39" i="1"/>
  <c r="U39" i="1" s="1"/>
  <c r="Y144" i="1"/>
  <c r="U144" i="1" s="1"/>
  <c r="Y110" i="1"/>
  <c r="U110" i="1" s="1"/>
  <c r="Y44" i="1"/>
  <c r="U44" i="1" s="1"/>
  <c r="Y41" i="1"/>
  <c r="U41" i="1" s="1"/>
  <c r="Y32" i="1"/>
  <c r="U32" i="1" s="1"/>
  <c r="Y60" i="1"/>
  <c r="U60" i="1" s="1"/>
  <c r="Y102" i="1"/>
  <c r="U102" i="1" s="1"/>
  <c r="Y53" i="1"/>
  <c r="U53" i="1" s="1"/>
  <c r="Y106" i="1"/>
  <c r="U106" i="1" s="1"/>
  <c r="Y139" i="1"/>
  <c r="U139" i="1" s="1"/>
  <c r="Y113" i="1"/>
  <c r="U113" i="1" s="1"/>
  <c r="Y89" i="1"/>
  <c r="U89" i="1" s="1"/>
  <c r="Y26" i="1"/>
  <c r="U26" i="1" s="1"/>
  <c r="Y115" i="1"/>
  <c r="U115" i="1" s="1"/>
  <c r="Y83" i="1"/>
  <c r="U83" i="1" s="1"/>
  <c r="Y137" i="1"/>
  <c r="U137" i="1" s="1"/>
  <c r="Y143" i="1"/>
  <c r="U143" i="1" s="1"/>
  <c r="Y125" i="1"/>
  <c r="U125" i="1" s="1"/>
  <c r="Y112" i="1"/>
  <c r="U112" i="1" s="1"/>
  <c r="Y51" i="1"/>
  <c r="U51" i="1" s="1"/>
  <c r="Y56" i="1"/>
  <c r="U56" i="1" s="1"/>
  <c r="Y9" i="1"/>
  <c r="U9" i="1" s="1"/>
  <c r="Y134" i="1"/>
  <c r="U134" i="1" s="1"/>
  <c r="Y64" i="1"/>
  <c r="U64" i="1" s="1"/>
  <c r="Y33" i="1"/>
  <c r="U33" i="1" s="1"/>
  <c r="Y124" i="1"/>
  <c r="U124" i="1" s="1"/>
  <c r="Y119" i="1"/>
  <c r="U119" i="1" s="1"/>
  <c r="Y111" i="1"/>
  <c r="U111" i="1" s="1"/>
  <c r="Y129" i="1"/>
  <c r="U129" i="1" s="1"/>
  <c r="Y91" i="1"/>
  <c r="U91" i="1" s="1"/>
  <c r="Y58" i="1"/>
  <c r="U58" i="1" s="1"/>
  <c r="Y28" i="1"/>
  <c r="U28" i="1" s="1"/>
  <c r="Y24" i="1"/>
  <c r="U24" i="1" s="1"/>
  <c r="Y146" i="1"/>
  <c r="U146" i="1" s="1"/>
  <c r="Y37" i="1"/>
  <c r="U37" i="1" s="1"/>
  <c r="Y19" i="1"/>
  <c r="U19" i="1" s="1"/>
  <c r="Y42" i="1"/>
  <c r="U42" i="1" s="1"/>
  <c r="Y103" i="1"/>
  <c r="U103" i="1" s="1"/>
  <c r="Y31" i="1"/>
  <c r="U31" i="1" s="1"/>
  <c r="Y22" i="1"/>
  <c r="U22" i="1" s="1"/>
  <c r="Y4" i="1"/>
  <c r="U4" i="1" s="1"/>
  <c r="Y118" i="1"/>
  <c r="U118" i="1" s="1"/>
  <c r="Y116" i="1"/>
  <c r="U116" i="1" s="1"/>
  <c r="Y5" i="1"/>
  <c r="U5" i="1" s="1"/>
  <c r="Y138" i="1"/>
  <c r="U138" i="1" s="1"/>
  <c r="Y123" i="1"/>
  <c r="U123" i="1" s="1"/>
  <c r="Y36" i="1"/>
  <c r="U36" i="1" s="1"/>
  <c r="Y140" i="1"/>
  <c r="U140" i="1" s="1"/>
  <c r="Y107" i="1"/>
  <c r="U107" i="1" s="1"/>
  <c r="Y46" i="1"/>
  <c r="U46" i="1" s="1"/>
  <c r="Y43" i="1"/>
  <c r="U43" i="1" s="1"/>
  <c r="Y38" i="1"/>
  <c r="U38" i="1" s="1"/>
  <c r="Y10" i="1"/>
  <c r="U10" i="1" s="1"/>
  <c r="Y8" i="1"/>
  <c r="U8" i="1" s="1"/>
  <c r="Y57" i="1"/>
  <c r="U57" i="1" s="1"/>
  <c r="Y127" i="1"/>
  <c r="U127" i="1" s="1"/>
  <c r="Y92" i="1"/>
  <c r="U92" i="1" s="1"/>
  <c r="Y82" i="1"/>
  <c r="U82" i="1" s="1"/>
  <c r="Y63" i="1"/>
  <c r="U63" i="1" s="1"/>
  <c r="Y21" i="1"/>
  <c r="U21" i="1" s="1"/>
  <c r="Y114" i="1"/>
  <c r="U114" i="1" s="1"/>
  <c r="Y54" i="1"/>
  <c r="U54" i="1" s="1"/>
  <c r="Y35" i="1"/>
  <c r="U35" i="1" s="1"/>
  <c r="Y84" i="1"/>
  <c r="U84" i="1" s="1"/>
  <c r="Y126" i="1"/>
  <c r="U126" i="1" s="1"/>
  <c r="Y99" i="1"/>
  <c r="U99" i="1" s="1"/>
  <c r="Y47" i="1"/>
  <c r="U47" i="1" s="1"/>
  <c r="Y135" i="1"/>
  <c r="U135" i="1" s="1"/>
  <c r="Y104" i="1"/>
  <c r="U104" i="1" s="1"/>
  <c r="Y17" i="1"/>
  <c r="U17" i="1" s="1"/>
  <c r="Y141" i="1"/>
  <c r="U141" i="1" s="1"/>
  <c r="Y85" i="1"/>
  <c r="U85" i="1" s="1"/>
  <c r="Y48" i="1"/>
  <c r="U48" i="1" s="1"/>
  <c r="Y29" i="1"/>
  <c r="U29" i="1" s="1"/>
  <c r="Y109" i="1"/>
  <c r="U109" i="1" s="1"/>
  <c r="Y94" i="1"/>
  <c r="U94" i="1" s="1"/>
  <c r="Y45" i="1"/>
  <c r="U45" i="1" s="1"/>
  <c r="Y11" i="1"/>
  <c r="U11" i="1" s="1"/>
  <c r="Y97" i="1"/>
  <c r="U97" i="1" s="1"/>
  <c r="Y120" i="1"/>
  <c r="U120" i="1" s="1"/>
  <c r="Y96" i="1"/>
  <c r="U96" i="1" s="1"/>
  <c r="Y59" i="1"/>
  <c r="U59" i="1" s="1"/>
  <c r="Y52" i="1"/>
  <c r="U52" i="1" s="1"/>
  <c r="Y132" i="1"/>
  <c r="U132" i="1" s="1"/>
  <c r="Y117" i="1"/>
  <c r="U117" i="1" s="1"/>
  <c r="Y61" i="1"/>
  <c r="U61" i="1" s="1"/>
  <c r="Y136" i="1"/>
  <c r="U136" i="1" s="1"/>
  <c r="Y62" i="1"/>
  <c r="U62" i="1" s="1"/>
  <c r="Y40" i="1"/>
  <c r="U40" i="1" s="1"/>
  <c r="Y27" i="1"/>
  <c r="U27" i="1" s="1"/>
  <c r="Y100" i="1"/>
  <c r="U100" i="1" s="1"/>
  <c r="Y95" i="1"/>
  <c r="U95" i="1" s="1"/>
  <c r="Y15" i="1"/>
  <c r="U15" i="1" s="1"/>
  <c r="Y131" i="1"/>
  <c r="U131" i="1" s="1"/>
  <c r="Y30" i="1"/>
  <c r="U30" i="1" s="1"/>
  <c r="Y25" i="1"/>
  <c r="U25" i="1" s="1"/>
  <c r="Y142" i="1"/>
  <c r="U142" i="1" s="1"/>
  <c r="Y133" i="1"/>
  <c r="U133" i="1" s="1"/>
  <c r="Y121" i="1"/>
  <c r="U121" i="1" s="1"/>
  <c r="Y108" i="1"/>
  <c r="U108" i="1" s="1"/>
  <c r="Y98" i="1"/>
  <c r="U98" i="1" s="1"/>
  <c r="Y16" i="1"/>
  <c r="U16" i="1" s="1"/>
  <c r="Y18" i="1"/>
  <c r="U18" i="1" s="1"/>
  <c r="Y88" i="1"/>
  <c r="U88" i="1" s="1"/>
  <c r="Y20" i="1"/>
  <c r="U20" i="1" s="1"/>
  <c r="Y49" i="1"/>
  <c r="U49" i="1" s="1"/>
  <c r="Y90" i="1"/>
  <c r="U90" i="1" s="1"/>
  <c r="Q33" i="3"/>
  <c r="Q34" i="3"/>
  <c r="Q35" i="3"/>
  <c r="Q36" i="3"/>
  <c r="Q37" i="3"/>
  <c r="Q38" i="3"/>
  <c r="L21" i="3"/>
  <c r="Q39" i="3"/>
  <c r="Q40" i="3"/>
  <c r="Q41" i="3"/>
  <c r="Q42" i="3"/>
  <c r="L49" i="3"/>
  <c r="L12" i="3"/>
  <c r="L47" i="3"/>
  <c r="L50" i="3"/>
  <c r="L6" i="3"/>
  <c r="L13" i="3"/>
  <c r="P36" i="3"/>
  <c r="P37" i="3"/>
  <c r="P39" i="3"/>
  <c r="P41" i="3"/>
  <c r="P33" i="3"/>
  <c r="P34" i="3"/>
  <c r="P35" i="3"/>
  <c r="I150" i="1"/>
  <c r="P40" i="3" l="1"/>
  <c r="P42" i="3"/>
  <c r="P38" i="3"/>
  <c r="K3" i="1" l="1"/>
  <c r="L17" i="3" l="1"/>
  <c r="J154" i="1" l="1"/>
  <c r="A1" i="1" l="1"/>
  <c r="Q3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L51" i="3" l="1"/>
  <c r="L37" i="3"/>
  <c r="L38" i="3"/>
  <c r="L41" i="3"/>
  <c r="L52" i="3"/>
  <c r="L43" i="3"/>
  <c r="P22" i="3" l="1"/>
  <c r="P29" i="3"/>
  <c r="P28" i="3"/>
  <c r="P24" i="3"/>
  <c r="P31" i="3"/>
  <c r="P3" i="3"/>
  <c r="P30" i="3"/>
  <c r="P21" i="3"/>
  <c r="P32" i="3"/>
  <c r="P27" i="3"/>
  <c r="P25" i="3"/>
  <c r="P26" i="3"/>
  <c r="P20" i="3"/>
  <c r="P19" i="3"/>
  <c r="L3" i="1" l="1"/>
  <c r="M3" i="1"/>
  <c r="N3" i="1" s="1"/>
  <c r="J152" i="1" s="1"/>
  <c r="J153" i="1" l="1"/>
  <c r="N156" i="1"/>
  <c r="J156" i="1"/>
  <c r="J155" i="1"/>
  <c r="L26" i="3"/>
  <c r="J157" i="1" l="1"/>
  <c r="A1" i="6"/>
  <c r="M59" i="3"/>
  <c r="M60" i="3" s="1"/>
  <c r="A1" i="3"/>
  <c r="O154" i="1"/>
  <c r="N154" i="1"/>
  <c r="M154" i="1"/>
  <c r="AA3" i="1"/>
  <c r="Z3" i="1"/>
  <c r="X3" i="1"/>
  <c r="W3" i="1"/>
  <c r="V3" i="1"/>
  <c r="T3" i="1"/>
  <c r="P23" i="3" l="1"/>
  <c r="Y3" i="1"/>
  <c r="U3" i="1" s="1"/>
  <c r="O156" i="1"/>
  <c r="O153" i="1"/>
  <c r="M156" i="1"/>
  <c r="N153" i="1"/>
  <c r="M153" i="1"/>
</calcChain>
</file>

<file path=xl/connections.xml><?xml version="1.0" encoding="utf-8"?>
<connections xmlns="http://schemas.openxmlformats.org/spreadsheetml/2006/main">
  <connection id="1" name="Denver Train Runs 04122016" type="6" refreshedVersion="5" deleted="1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<sst xmlns="http://schemas.openxmlformats.org/spreadsheetml/2006/main" count="1545" uniqueCount="452">
  <si>
    <t>Train ID</t>
  </si>
  <si>
    <t>Departure/Init Location</t>
  </si>
  <si>
    <t>Initialization Date/Time (US/Mountain)</t>
  </si>
  <si>
    <t>Departure Date/Time (US/Mountain)</t>
  </si>
  <si>
    <t>Delay (minutes)</t>
  </si>
  <si>
    <t>Arrival Location</t>
  </si>
  <si>
    <t>Arrival Date/Time (US/Mountain)</t>
  </si>
  <si>
    <t>2083 Enforcements (count)</t>
  </si>
  <si>
    <t>Trip Length</t>
  </si>
  <si>
    <t>Cut out runs</t>
  </si>
  <si>
    <t>PTC Runs</t>
  </si>
  <si>
    <t>Average</t>
  </si>
  <si>
    <t>Min</t>
  </si>
  <si>
    <t>Max</t>
  </si>
  <si>
    <t>Total</t>
  </si>
  <si>
    <t>NA</t>
  </si>
  <si>
    <t>Total Completed PTC runs</t>
  </si>
  <si>
    <t>Single Init runs</t>
  </si>
  <si>
    <t>Cut out</t>
  </si>
  <si>
    <t>Total Completed PTC runs (%)</t>
  </si>
  <si>
    <t>Trip Start MP</t>
  </si>
  <si>
    <t>Trip End MP</t>
  </si>
  <si>
    <t>Trip Distance</t>
  </si>
  <si>
    <t>Concerning?</t>
  </si>
  <si>
    <t>Comments</t>
  </si>
  <si>
    <t>Operating Date</t>
  </si>
  <si>
    <t>Onboard Software Version</t>
  </si>
  <si>
    <t>Training enforcement</t>
  </si>
  <si>
    <t>Possible System Enforcement</t>
  </si>
  <si>
    <t>System Enforcement Y/N</t>
  </si>
  <si>
    <t xml:space="preserve">Data.Enforcement Direction of Travel </t>
  </si>
  <si>
    <t xml:space="preserve">Data.Target Start Milepost </t>
  </si>
  <si>
    <t xml:space="preserve">Data.Target Type </t>
  </si>
  <si>
    <t xml:space="preserve">Data.Enforcement Start Milepost </t>
  </si>
  <si>
    <t xml:space="preserve">Data.Enforcement Train Speed </t>
  </si>
  <si>
    <t xml:space="preserve">Data.Target Speed </t>
  </si>
  <si>
    <t xml:space="preserve">Data.Target Description </t>
  </si>
  <si>
    <t xml:space="preserve">Data.Warning/Enforcement Type </t>
  </si>
  <si>
    <t xml:space="preserve">Data.Train ID </t>
  </si>
  <si>
    <t xml:space="preserve">Source </t>
  </si>
  <si>
    <t xml:space="preserve">Time </t>
  </si>
  <si>
    <t>Enforcement MP</t>
  </si>
  <si>
    <t>Enforcement Desc</t>
  </si>
  <si>
    <t>w/o multiple inits</t>
  </si>
  <si>
    <t>w/ multiple inits</t>
  </si>
  <si>
    <t>Multi Init runs</t>
  </si>
  <si>
    <t>Loco ID</t>
  </si>
  <si>
    <t>Kibana Link</t>
  </si>
  <si>
    <t>Threshold for Pink Highlight (Slow Run) (mins)</t>
  </si>
  <si>
    <t>Status</t>
  </si>
  <si>
    <t>Operator Name</t>
  </si>
  <si>
    <t>Difference between last trip</t>
  </si>
  <si>
    <t>Predictive Enforcement (2)</t>
  </si>
  <si>
    <t>TRACK WARRANT AUTHORITY</t>
  </si>
  <si>
    <t>Form based authority (4)</t>
  </si>
  <si>
    <t>Increasing Mileposts (1)</t>
  </si>
  <si>
    <t>Decreasing Mileposts (2)</t>
  </si>
  <si>
    <t>Reactive Enforcement (3)</t>
  </si>
  <si>
    <t>SIGNAL</t>
  </si>
  <si>
    <t>Signal based authority (5)</t>
  </si>
  <si>
    <t>PERMANENT SPEED RESTRICTION</t>
  </si>
  <si>
    <t>Speed (6)</t>
  </si>
  <si>
    <t>DE.1.0.6.0</t>
  </si>
  <si>
    <t>204:145</t>
  </si>
  <si>
    <t>204:455</t>
  </si>
  <si>
    <t>204:451</t>
  </si>
  <si>
    <t>204:152</t>
  </si>
  <si>
    <t>204:232994</t>
  </si>
  <si>
    <t>N</t>
  </si>
  <si>
    <t>baselines:</t>
  </si>
  <si>
    <t>sunday - thu - 144/day</t>
  </si>
  <si>
    <t>fri-sat - 146/day</t>
  </si>
  <si>
    <t>204:150</t>
  </si>
  <si>
    <t>Married Pair</t>
  </si>
  <si>
    <t>204:147</t>
  </si>
  <si>
    <t>204:158</t>
  </si>
  <si>
    <t>rtdc.l.rtdc.4031:itc</t>
  </si>
  <si>
    <t>204:232996</t>
  </si>
  <si>
    <t>204:160</t>
  </si>
  <si>
    <t>204:460</t>
  </si>
  <si>
    <t>rtdc.l.rtdc.4032:itc</t>
  </si>
  <si>
    <t>Y</t>
  </si>
  <si>
    <t>204:233293</t>
  </si>
  <si>
    <t>204:233314</t>
  </si>
  <si>
    <t>204:232977</t>
  </si>
  <si>
    <t>204:466</t>
  </si>
  <si>
    <t>204:143</t>
  </si>
  <si>
    <t>204:440</t>
  </si>
  <si>
    <t>204:462</t>
  </si>
  <si>
    <t>Kibana URL</t>
  </si>
  <si>
    <t>204:457</t>
  </si>
  <si>
    <t>204:232991</t>
  </si>
  <si>
    <t>204:139</t>
  </si>
  <si>
    <t>204:233312</t>
  </si>
  <si>
    <t>204:141</t>
  </si>
  <si>
    <t>204:232985</t>
  </si>
  <si>
    <t>204:156</t>
  </si>
  <si>
    <t>204:149</t>
  </si>
  <si>
    <t>204:233297</t>
  </si>
  <si>
    <t>GRADE CROSSING</t>
  </si>
  <si>
    <t>Bulletin (2)</t>
  </si>
  <si>
    <t>204:138</t>
  </si>
  <si>
    <t>204:232973</t>
  </si>
  <si>
    <t>GRASTON</t>
  </si>
  <si>
    <t>204:453</t>
  </si>
  <si>
    <t>204:161</t>
  </si>
  <si>
    <t>rtdc.l.rtdc.4043:itc</t>
  </si>
  <si>
    <t>204:232978</t>
  </si>
  <si>
    <t>204:477</t>
  </si>
  <si>
    <t>204:233311</t>
  </si>
  <si>
    <t>204:232986</t>
  </si>
  <si>
    <t>204:233291</t>
  </si>
  <si>
    <t>204:467</t>
  </si>
  <si>
    <t>204:469</t>
  </si>
  <si>
    <t>GEBRETEKLE</t>
  </si>
  <si>
    <t>204:154</t>
  </si>
  <si>
    <t>204:233308</t>
  </si>
  <si>
    <t>204:233013</t>
  </si>
  <si>
    <t>204:233304</t>
  </si>
  <si>
    <t>204:232987</t>
  </si>
  <si>
    <t>204:165</t>
  </si>
  <si>
    <t>204:232989</t>
  </si>
  <si>
    <t>204:232984</t>
  </si>
  <si>
    <t>204:233302</t>
  </si>
  <si>
    <t>SANTIZO</t>
  </si>
  <si>
    <t>LEDERHAUSE</t>
  </si>
  <si>
    <t>MALAVE</t>
  </si>
  <si>
    <t>204:233274</t>
  </si>
  <si>
    <t>204:232953</t>
  </si>
  <si>
    <t>204:233299</t>
  </si>
  <si>
    <t>204:435</t>
  </si>
  <si>
    <t>204:233276</t>
  </si>
  <si>
    <t>LOCKLEAR</t>
  </si>
  <si>
    <t>rtdc.l.rtdc.4019:itc</t>
  </si>
  <si>
    <t>rtdc.l.rtdc.4040:itc</t>
  </si>
  <si>
    <t>rtdc.l.rtdc.4020:itc</t>
  </si>
  <si>
    <t>rtdc.l.rtdc.4039:itc</t>
  </si>
  <si>
    <t>STURGEON</t>
  </si>
  <si>
    <t>106-04</t>
  </si>
  <si>
    <t>204:232966</t>
  </si>
  <si>
    <t>204:233321</t>
  </si>
  <si>
    <t>204:458</t>
  </si>
  <si>
    <t>204:233325</t>
  </si>
  <si>
    <t>204:471</t>
  </si>
  <si>
    <t>204:232983</t>
  </si>
  <si>
    <t>204:233301</t>
  </si>
  <si>
    <t>204:232998</t>
  </si>
  <si>
    <t>204:497</t>
  </si>
  <si>
    <t>204:233298</t>
  </si>
  <si>
    <t>204:233000</t>
  </si>
  <si>
    <t>204:167</t>
  </si>
  <si>
    <t>204:233303</t>
  </si>
  <si>
    <t>204:232980</t>
  </si>
  <si>
    <t>204:232971</t>
  </si>
  <si>
    <t>244-04</t>
  </si>
  <si>
    <t>204:169</t>
  </si>
  <si>
    <t>rtdc.l.rtdc.4009:itc</t>
  </si>
  <si>
    <t>rtdc.l.rtdc.4010:itc</t>
  </si>
  <si>
    <t>BONDS</t>
  </si>
  <si>
    <t>ACKERMAN</t>
  </si>
  <si>
    <t>HONTZ</t>
  </si>
  <si>
    <t>RIVERA</t>
  </si>
  <si>
    <t>204:233284</t>
  </si>
  <si>
    <t>204:233006</t>
  </si>
  <si>
    <t>204:233300</t>
  </si>
  <si>
    <t>204:233399</t>
  </si>
  <si>
    <t>204:132</t>
  </si>
  <si>
    <t>204:431</t>
  </si>
  <si>
    <t>204:233310</t>
  </si>
  <si>
    <t>204:232976</t>
  </si>
  <si>
    <t>204:233278</t>
  </si>
  <si>
    <t>137-05</t>
  </si>
  <si>
    <t>204:233287</t>
  </si>
  <si>
    <t>204:486</t>
  </si>
  <si>
    <t>149-05</t>
  </si>
  <si>
    <t>156-05</t>
  </si>
  <si>
    <t>157-05</t>
  </si>
  <si>
    <t>204:232990</t>
  </si>
  <si>
    <t>204:233002</t>
  </si>
  <si>
    <t>204:478</t>
  </si>
  <si>
    <t>204:233008</t>
  </si>
  <si>
    <t>204:480</t>
  </si>
  <si>
    <t>204:232970</t>
  </si>
  <si>
    <t>162-05</t>
  </si>
  <si>
    <t>204:123</t>
  </si>
  <si>
    <t>204:475</t>
  </si>
  <si>
    <t>204:449</t>
  </si>
  <si>
    <t>172-05</t>
  </si>
  <si>
    <t>204:233331</t>
  </si>
  <si>
    <t>204:194</t>
  </si>
  <si>
    <t>204:489</t>
  </si>
  <si>
    <t>204:427</t>
  </si>
  <si>
    <t>rtdc.l.rtdc.4011:itc</t>
  </si>
  <si>
    <t>rtdc.l.rtdc.4018:itc</t>
  </si>
  <si>
    <t>rtdc.l.rtdc.4027:itc</t>
  </si>
  <si>
    <t>rtdc.l.rtdc.4017:itc</t>
  </si>
  <si>
    <t>rtdc.l.rtdc.4028:itc</t>
  </si>
  <si>
    <t>rtdc.l.rtdc.4023:itc</t>
  </si>
  <si>
    <t>EQUIPMENT RESTRICTION</t>
  </si>
  <si>
    <t>rtdc.l.rtdc.4012:itc</t>
  </si>
  <si>
    <t>HELVIE</t>
  </si>
  <si>
    <t>BRABO</t>
  </si>
  <si>
    <t>YOUNG</t>
  </si>
  <si>
    <t>BARTLETT</t>
  </si>
  <si>
    <t>REBOLETTI</t>
  </si>
  <si>
    <t>TBD</t>
  </si>
  <si>
    <t>105-06</t>
  </si>
  <si>
    <t>TEMPORARY SPEED RESTRICTION</t>
  </si>
  <si>
    <t>rtdc.l.rtdc.4026:itc</t>
  </si>
  <si>
    <t>106-06</t>
  </si>
  <si>
    <t>115-06</t>
  </si>
  <si>
    <t>rtdc.l.rtdc.4015:itc</t>
  </si>
  <si>
    <t>114-06</t>
  </si>
  <si>
    <t>116-06</t>
  </si>
  <si>
    <t>rtdc.l.rtdc.4013:itc</t>
  </si>
  <si>
    <t>118-06</t>
  </si>
  <si>
    <t>129-06</t>
  </si>
  <si>
    <t>135-06</t>
  </si>
  <si>
    <t>130-06</t>
  </si>
  <si>
    <t>137-06</t>
  </si>
  <si>
    <t>132-06</t>
  </si>
  <si>
    <t>134-06</t>
  </si>
  <si>
    <t>147-06</t>
  </si>
  <si>
    <t>136-06</t>
  </si>
  <si>
    <t>142-06</t>
  </si>
  <si>
    <t>144-06</t>
  </si>
  <si>
    <t>146-06</t>
  </si>
  <si>
    <t>rtdc.l.rtdc.4025:itc</t>
  </si>
  <si>
    <t>157-06</t>
  </si>
  <si>
    <t>163-06</t>
  </si>
  <si>
    <t>165-06</t>
  </si>
  <si>
    <t>160-06</t>
  </si>
  <si>
    <t>164-06</t>
  </si>
  <si>
    <t>162-06</t>
  </si>
  <si>
    <t>177-06</t>
  </si>
  <si>
    <t>172-06</t>
  </si>
  <si>
    <t>179-06</t>
  </si>
  <si>
    <t>178-06</t>
  </si>
  <si>
    <t>180-06</t>
  </si>
  <si>
    <t>185-06</t>
  </si>
  <si>
    <t>191-06</t>
  </si>
  <si>
    <t>188-06</t>
  </si>
  <si>
    <t>rtdc.l.rtdc.4044:itc</t>
  </si>
  <si>
    <t>189-06</t>
  </si>
  <si>
    <t>193-06</t>
  </si>
  <si>
    <t>rtdc.l.rtdc.4016:itc</t>
  </si>
  <si>
    <t>197-06</t>
  </si>
  <si>
    <t>192-06</t>
  </si>
  <si>
    <t>202-06</t>
  </si>
  <si>
    <t>213-06</t>
  </si>
  <si>
    <t>206-06</t>
  </si>
  <si>
    <t>221-06</t>
  </si>
  <si>
    <t>223-06</t>
  </si>
  <si>
    <t>225-06</t>
  </si>
  <si>
    <t>224-06</t>
  </si>
  <si>
    <t>237-06</t>
  </si>
  <si>
    <t>239-06</t>
  </si>
  <si>
    <t>240-06</t>
  </si>
  <si>
    <t>Form c</t>
  </si>
  <si>
    <t>101-06</t>
  </si>
  <si>
    <t>204:734</t>
  </si>
  <si>
    <t>204:233317</t>
  </si>
  <si>
    <t>102-06</t>
  </si>
  <si>
    <t>204:232687</t>
  </si>
  <si>
    <t>204:134</t>
  </si>
  <si>
    <t>103-06</t>
  </si>
  <si>
    <t>204:750</t>
  </si>
  <si>
    <t>204:233238</t>
  </si>
  <si>
    <t>104-06</t>
  </si>
  <si>
    <t>204:232588</t>
  </si>
  <si>
    <t>204:664</t>
  </si>
  <si>
    <t>204:233283</t>
  </si>
  <si>
    <t>204:232641</t>
  </si>
  <si>
    <t>107-06</t>
  </si>
  <si>
    <t>204:329</t>
  </si>
  <si>
    <t>204:233253</t>
  </si>
  <si>
    <t>108-06</t>
  </si>
  <si>
    <t>204:232946</t>
  </si>
  <si>
    <t>109-06</t>
  </si>
  <si>
    <t>110-06</t>
  </si>
  <si>
    <t>111-06</t>
  </si>
  <si>
    <t>204:746</t>
  </si>
  <si>
    <t>204:233320</t>
  </si>
  <si>
    <t>112-06</t>
  </si>
  <si>
    <t>113-06</t>
  </si>
  <si>
    <t>204:418</t>
  </si>
  <si>
    <t>204:121</t>
  </si>
  <si>
    <t>204:918</t>
  </si>
  <si>
    <t>204:232961</t>
  </si>
  <si>
    <t>117-06</t>
  </si>
  <si>
    <t>204:520</t>
  </si>
  <si>
    <t>204:232974</t>
  </si>
  <si>
    <t>119-06</t>
  </si>
  <si>
    <t>204:717</t>
  </si>
  <si>
    <t>204:233280</t>
  </si>
  <si>
    <t>120-06</t>
  </si>
  <si>
    <t>204:232955</t>
  </si>
  <si>
    <t>122-06</t>
  </si>
  <si>
    <t>204:233121</t>
  </si>
  <si>
    <t>123-06</t>
  </si>
  <si>
    <t>204:233341</t>
  </si>
  <si>
    <t>124-06</t>
  </si>
  <si>
    <t>204:233086</t>
  </si>
  <si>
    <t>125-06</t>
  </si>
  <si>
    <t>204:233334</t>
  </si>
  <si>
    <t>126-06</t>
  </si>
  <si>
    <t>127-06</t>
  </si>
  <si>
    <t>204:233337</t>
  </si>
  <si>
    <t>128-06</t>
  </si>
  <si>
    <t>204:233011</t>
  </si>
  <si>
    <t>204:118</t>
  </si>
  <si>
    <t>204:488</t>
  </si>
  <si>
    <t>131-06</t>
  </si>
  <si>
    <t>204:233266</t>
  </si>
  <si>
    <t>204:232948</t>
  </si>
  <si>
    <t>204:236</t>
  </si>
  <si>
    <t>133-06</t>
  </si>
  <si>
    <t>204:232964</t>
  </si>
  <si>
    <t>204:233336</t>
  </si>
  <si>
    <t>138-06</t>
  </si>
  <si>
    <t>204:233025</t>
  </si>
  <si>
    <t>139-06</t>
  </si>
  <si>
    <t>204:233305</t>
  </si>
  <si>
    <t>140-06</t>
  </si>
  <si>
    <t>141-06</t>
  </si>
  <si>
    <t>204:429</t>
  </si>
  <si>
    <t>204:211</t>
  </si>
  <si>
    <t>143-06</t>
  </si>
  <si>
    <t>204:233326</t>
  </si>
  <si>
    <t>204:1169</t>
  </si>
  <si>
    <t>145-06</t>
  </si>
  <si>
    <t>204:528</t>
  </si>
  <si>
    <t>204:232943</t>
  </si>
  <si>
    <t>204:37180</t>
  </si>
  <si>
    <t>204:233257</t>
  </si>
  <si>
    <t>204:575</t>
  </si>
  <si>
    <t>148-06</t>
  </si>
  <si>
    <t>204:232930</t>
  </si>
  <si>
    <t>149-06</t>
  </si>
  <si>
    <t>150-06</t>
  </si>
  <si>
    <t>204:232968</t>
  </si>
  <si>
    <t>151-06</t>
  </si>
  <si>
    <t>204:442</t>
  </si>
  <si>
    <t>204:233318</t>
  </si>
  <si>
    <t>152-06</t>
  </si>
  <si>
    <t>204:233009</t>
  </si>
  <si>
    <t>153-06</t>
  </si>
  <si>
    <t>154-06</t>
  </si>
  <si>
    <t>155-06</t>
  </si>
  <si>
    <t>204:508</t>
  </si>
  <si>
    <t>156-06</t>
  </si>
  <si>
    <t>158-06</t>
  </si>
  <si>
    <t>204:232979</t>
  </si>
  <si>
    <t>159-06</t>
  </si>
  <si>
    <t>204:232965</t>
  </si>
  <si>
    <t>161-06</t>
  </si>
  <si>
    <t>204:446</t>
  </si>
  <si>
    <t>204:233021</t>
  </si>
  <si>
    <t>204:233432</t>
  </si>
  <si>
    <t>166-06</t>
  </si>
  <si>
    <t>204:233123</t>
  </si>
  <si>
    <t>167-06</t>
  </si>
  <si>
    <t>168-06</t>
  </si>
  <si>
    <t>204:232967</t>
  </si>
  <si>
    <t>169-06</t>
  </si>
  <si>
    <t>170-06</t>
  </si>
  <si>
    <t>204:233030</t>
  </si>
  <si>
    <t>171-06</t>
  </si>
  <si>
    <t>173-06</t>
  </si>
  <si>
    <t>174-06</t>
  </si>
  <si>
    <t>175-06</t>
  </si>
  <si>
    <t>204:19566</t>
  </si>
  <si>
    <t>176-06</t>
  </si>
  <si>
    <t>204:232982</t>
  </si>
  <si>
    <t>204:233433</t>
  </si>
  <si>
    <t>204:233099</t>
  </si>
  <si>
    <t>181-06</t>
  </si>
  <si>
    <t>182-06</t>
  </si>
  <si>
    <t>183-06</t>
  </si>
  <si>
    <t>204:233374</t>
  </si>
  <si>
    <t>184-06</t>
  </si>
  <si>
    <t>204:233065</t>
  </si>
  <si>
    <t>186-06</t>
  </si>
  <si>
    <t>187-06</t>
  </si>
  <si>
    <t>190-06</t>
  </si>
  <si>
    <t>204:232988</t>
  </si>
  <si>
    <t>194-06</t>
  </si>
  <si>
    <t>204:163</t>
  </si>
  <si>
    <t>195-06</t>
  </si>
  <si>
    <t>196-06</t>
  </si>
  <si>
    <t>204:233387</t>
  </si>
  <si>
    <t>198-06</t>
  </si>
  <si>
    <t>204:233077</t>
  </si>
  <si>
    <t>204:107</t>
  </si>
  <si>
    <t>199-06</t>
  </si>
  <si>
    <t>200-06</t>
  </si>
  <si>
    <t>201-06</t>
  </si>
  <si>
    <t>203-06</t>
  </si>
  <si>
    <t>204-06</t>
  </si>
  <si>
    <t>205-06</t>
  </si>
  <si>
    <t>204:233010</t>
  </si>
  <si>
    <t>207-06</t>
  </si>
  <si>
    <t>208-06</t>
  </si>
  <si>
    <t>204:233155</t>
  </si>
  <si>
    <t>209-06</t>
  </si>
  <si>
    <t>210-06</t>
  </si>
  <si>
    <t>211-06</t>
  </si>
  <si>
    <t>204:413</t>
  </si>
  <si>
    <t>212-06</t>
  </si>
  <si>
    <t>204:187</t>
  </si>
  <si>
    <t>214-06</t>
  </si>
  <si>
    <t>215-06</t>
  </si>
  <si>
    <t>216-06</t>
  </si>
  <si>
    <t>217-06</t>
  </si>
  <si>
    <t>218-06</t>
  </si>
  <si>
    <t>219-06</t>
  </si>
  <si>
    <t>220-06</t>
  </si>
  <si>
    <t>222-06</t>
  </si>
  <si>
    <t>204:1158</t>
  </si>
  <si>
    <t>226-06</t>
  </si>
  <si>
    <t>227-06</t>
  </si>
  <si>
    <t>228-06</t>
  </si>
  <si>
    <t>229-06</t>
  </si>
  <si>
    <t>204:40843</t>
  </si>
  <si>
    <t>230-06</t>
  </si>
  <si>
    <t>231-06</t>
  </si>
  <si>
    <t>232-06</t>
  </si>
  <si>
    <t>204:3255</t>
  </si>
  <si>
    <t>233-06</t>
  </si>
  <si>
    <t>234-06</t>
  </si>
  <si>
    <t>235-06</t>
  </si>
  <si>
    <t>236-06</t>
  </si>
  <si>
    <t>238-06</t>
  </si>
  <si>
    <t>204:875</t>
  </si>
  <si>
    <t>241-06</t>
  </si>
  <si>
    <t>242-06</t>
  </si>
  <si>
    <t>243-06</t>
  </si>
  <si>
    <t>244-06</t>
  </si>
  <si>
    <t>4032-06</t>
  </si>
  <si>
    <t>COCA</t>
  </si>
  <si>
    <t>YANAI</t>
  </si>
  <si>
    <t>CHANDLER</t>
  </si>
  <si>
    <t>rtdc.l.rtdc.4014:itc</t>
  </si>
  <si>
    <t>COOLAHAN</t>
  </si>
  <si>
    <t>SPECTOR</t>
  </si>
  <si>
    <t>LOZA</t>
  </si>
  <si>
    <t>NEWELL</t>
  </si>
  <si>
    <t>HAUSER</t>
  </si>
  <si>
    <t>121-06</t>
  </si>
  <si>
    <t>Stop Signal With Warning</t>
  </si>
  <si>
    <t xml:space="preserve">Enroute Failure </t>
  </si>
  <si>
    <t>Onboard Comms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</si>
</sst>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:ss;@"/>
    <numFmt numFmtId="165" formatCode="0.0%"/>
    <numFmt numFmtId="166" formatCode="yyyy\-mm\-dd"/>
    <numFmt numFmtId="167" formatCode="yyyy\-mm\-dd\ hh:mm:ss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rgb="FFECF0F1"/>
      </bottom>
      <diagonal/>
    </border>
  </borders>
  <cellStyleXfs count="1">
    <xf numFmtId="0" fontId="0" fillId="0" borderId="0"/>
  </cellStyleXfs>
  <cellXfs count="94">
    <xf numFmtId="0" fontId="0" fillId="0" borderId="0" xfId="0"/>
    <xf numFmtId="20" fontId="0" fillId="0" borderId="0" xfId="0" applyNumberFormat="1" applyFill="1" applyAlignment="1">
      <alignment wrapText="1"/>
    </xf>
    <xf numFmtId="0" fontId="0" fillId="0" borderId="0" xfId="0" applyFill="1"/>
    <xf numFmtId="0" fontId="0" fillId="0" borderId="4" xfId="0" applyBorder="1" applyAlignment="1">
      <alignment horizontal="center" vertical="center"/>
    </xf>
    <xf numFmtId="1" fontId="0" fillId="0" borderId="0" xfId="0" applyNumberFormat="1"/>
    <xf numFmtId="1" fontId="0" fillId="0" borderId="0" xfId="0" applyNumberFormat="1" applyFill="1"/>
    <xf numFmtId="1" fontId="0" fillId="0" borderId="3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/>
    </xf>
    <xf numFmtId="0" fontId="0" fillId="0" borderId="3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164" fontId="0" fillId="0" borderId="5" xfId="0" applyNumberFormat="1" applyFill="1" applyBorder="1" applyAlignment="1">
      <alignment horizontal="left"/>
    </xf>
    <xf numFmtId="1" fontId="0" fillId="0" borderId="5" xfId="0" applyNumberFormat="1" applyFill="1" applyBorder="1" applyAlignment="1">
      <alignment horizontal="left"/>
    </xf>
    <xf numFmtId="167" fontId="0" fillId="0" borderId="0" xfId="0" applyNumberFormat="1"/>
    <xf numFmtId="0" fontId="0" fillId="0" borderId="7" xfId="0" applyBorder="1"/>
    <xf numFmtId="0" fontId="0" fillId="0" borderId="6" xfId="0" applyBorder="1" applyAlignment="1">
      <alignment vertical="center" wrapText="1"/>
    </xf>
    <xf numFmtId="0" fontId="0" fillId="2" borderId="10" xfId="0" applyFill="1" applyBorder="1"/>
    <xf numFmtId="0" fontId="0" fillId="2" borderId="11" xfId="0" applyFill="1" applyBorder="1" applyAlignment="1">
      <alignment vertical="center" wrapText="1"/>
    </xf>
    <xf numFmtId="0" fontId="0" fillId="0" borderId="0" xfId="0" applyFill="1" applyAlignment="1"/>
    <xf numFmtId="0" fontId="0" fillId="0" borderId="5" xfId="0" applyFill="1" applyBorder="1" applyAlignment="1"/>
    <xf numFmtId="0" fontId="0" fillId="0" borderId="5" xfId="0" applyFill="1" applyBorder="1" applyAlignment="1">
      <alignment vertical="center"/>
    </xf>
    <xf numFmtId="0" fontId="0" fillId="0" borderId="5" xfId="0" applyBorder="1" applyAlignment="1">
      <alignment vertical="center"/>
    </xf>
    <xf numFmtId="167" fontId="0" fillId="0" borderId="5" xfId="0" applyNumberFormat="1" applyBorder="1" applyAlignment="1">
      <alignment vertical="center"/>
    </xf>
    <xf numFmtId="0" fontId="1" fillId="0" borderId="5" xfId="0" applyFont="1" applyFill="1" applyBorder="1" applyAlignment="1">
      <alignment horizontal="center" vertical="center" wrapText="1"/>
    </xf>
    <xf numFmtId="167" fontId="1" fillId="0" borderId="5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3" fillId="0" borderId="8" xfId="0" applyFont="1" applyBorder="1" applyAlignment="1">
      <alignment horizontal="center" wrapText="1"/>
    </xf>
    <xf numFmtId="166" fontId="4" fillId="0" borderId="9" xfId="0" applyNumberFormat="1" applyFont="1" applyBorder="1" applyAlignment="1">
      <alignment horizontal="center" vertical="center" wrapText="1"/>
    </xf>
    <xf numFmtId="167" fontId="0" fillId="0" borderId="5" xfId="0" applyNumberFormat="1" applyFill="1" applyBorder="1" applyAlignment="1">
      <alignment horizontal="left"/>
    </xf>
    <xf numFmtId="167" fontId="0" fillId="0" borderId="0" xfId="0" applyNumberFormat="1" applyFill="1"/>
    <xf numFmtId="167" fontId="0" fillId="0" borderId="3" xfId="0" applyNumberFormat="1" applyBorder="1" applyAlignment="1">
      <alignment horizontal="right" vertical="center" wrapText="1"/>
    </xf>
    <xf numFmtId="167" fontId="0" fillId="2" borderId="3" xfId="0" applyNumberFormat="1" applyFill="1" applyBorder="1" applyAlignment="1">
      <alignment horizontal="right" vertical="center" wrapText="1"/>
    </xf>
    <xf numFmtId="167" fontId="0" fillId="3" borderId="3" xfId="0" applyNumberFormat="1" applyFill="1" applyBorder="1" applyAlignment="1">
      <alignment horizontal="right" vertical="center" wrapText="1"/>
    </xf>
    <xf numFmtId="20" fontId="0" fillId="0" borderId="2" xfId="0" applyNumberFormat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wrapText="1"/>
    </xf>
    <xf numFmtId="0" fontId="1" fillId="0" borderId="9" xfId="0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left"/>
    </xf>
    <xf numFmtId="2" fontId="0" fillId="0" borderId="0" xfId="0" applyNumberFormat="1" applyFill="1"/>
    <xf numFmtId="2" fontId="0" fillId="0" borderId="0" xfId="0" applyNumberFormat="1"/>
    <xf numFmtId="167" fontId="0" fillId="0" borderId="0" xfId="0" applyNumberForma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/>
    <xf numFmtId="0" fontId="1" fillId="0" borderId="5" xfId="0" applyFont="1" applyFill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167" fontId="1" fillId="0" borderId="5" xfId="0" applyNumberFormat="1" applyFont="1" applyBorder="1" applyAlignment="1">
      <alignment horizontal="left" vertical="center" wrapText="1"/>
    </xf>
    <xf numFmtId="2" fontId="1" fillId="0" borderId="5" xfId="0" applyNumberFormat="1" applyFont="1" applyBorder="1" applyAlignment="1">
      <alignment horizontal="left" vertical="center" wrapText="1"/>
    </xf>
    <xf numFmtId="20" fontId="1" fillId="0" borderId="5" xfId="0" applyNumberFormat="1" applyFont="1" applyFill="1" applyBorder="1" applyAlignment="1">
      <alignment horizontal="left" vertical="center" wrapText="1"/>
    </xf>
    <xf numFmtId="1" fontId="1" fillId="0" borderId="5" xfId="0" applyNumberFormat="1" applyFont="1" applyBorder="1" applyAlignment="1">
      <alignment horizontal="left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2" borderId="13" xfId="0" applyFill="1" applyBorder="1" applyAlignment="1">
      <alignment vertical="center" wrapText="1"/>
    </xf>
    <xf numFmtId="0" fontId="0" fillId="0" borderId="14" xfId="0" applyBorder="1" applyAlignment="1">
      <alignment vertical="center" wrapText="1"/>
    </xf>
    <xf numFmtId="0" fontId="5" fillId="0" borderId="0" xfId="0" applyFont="1"/>
    <xf numFmtId="0" fontId="5" fillId="0" borderId="0" xfId="0" applyFont="1" applyAlignment="1">
      <alignment horizontal="left"/>
    </xf>
    <xf numFmtId="0" fontId="5" fillId="0" borderId="0" xfId="0" applyFont="1" applyFill="1"/>
    <xf numFmtId="0" fontId="5" fillId="0" borderId="0" xfId="0" applyFont="1" applyFill="1" applyAlignment="1">
      <alignment horizontal="left"/>
    </xf>
    <xf numFmtId="20" fontId="0" fillId="0" borderId="2" xfId="0" applyNumberFormat="1" applyBorder="1" applyAlignment="1">
      <alignment horizontal="center" vertical="center" wrapText="1"/>
    </xf>
    <xf numFmtId="0" fontId="0" fillId="0" borderId="0" xfId="0"/>
    <xf numFmtId="0" fontId="0" fillId="0" borderId="5" xfId="0" applyFill="1" applyBorder="1" applyAlignment="1">
      <alignment horizontal="left"/>
    </xf>
    <xf numFmtId="1" fontId="0" fillId="0" borderId="5" xfId="0" applyNumberFormat="1" applyFill="1" applyBorder="1"/>
    <xf numFmtId="0" fontId="0" fillId="0" borderId="0" xfId="0" applyFill="1" applyBorder="1" applyAlignment="1">
      <alignment horizontal="left"/>
    </xf>
    <xf numFmtId="167" fontId="0" fillId="0" borderId="0" xfId="0" applyNumberFormat="1" applyFill="1" applyBorder="1" applyAlignment="1">
      <alignment horizontal="left"/>
    </xf>
    <xf numFmtId="2" fontId="0" fillId="0" borderId="0" xfId="0" applyNumberFormat="1" applyFill="1" applyBorder="1" applyAlignment="1">
      <alignment horizontal="left"/>
    </xf>
    <xf numFmtId="164" fontId="0" fillId="0" borderId="0" xfId="0" applyNumberFormat="1" applyFill="1" applyBorder="1" applyAlignment="1">
      <alignment horizontal="left"/>
    </xf>
    <xf numFmtId="1" fontId="0" fillId="0" borderId="0" xfId="0" applyNumberFormat="1" applyFill="1" applyBorder="1" applyAlignment="1">
      <alignment horizontal="left"/>
    </xf>
    <xf numFmtId="1" fontId="0" fillId="0" borderId="0" xfId="0" applyNumberFormat="1" applyFill="1" applyBorder="1"/>
    <xf numFmtId="0" fontId="5" fillId="0" borderId="0" xfId="0" applyFont="1" applyFill="1" applyBorder="1"/>
    <xf numFmtId="0" fontId="5" fillId="0" borderId="0" xfId="0" applyFont="1" applyFill="1" applyBorder="1" applyAlignment="1">
      <alignment horizontal="left"/>
    </xf>
    <xf numFmtId="1" fontId="0" fillId="0" borderId="3" xfId="0" applyNumberForma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6" fillId="0" borderId="0" xfId="0" applyFont="1" applyFill="1" applyBorder="1"/>
    <xf numFmtId="0" fontId="6" fillId="0" borderId="0" xfId="0" applyFont="1" applyFill="1" applyBorder="1" applyAlignment="1">
      <alignment horizontal="left"/>
    </xf>
    <xf numFmtId="166" fontId="0" fillId="0" borderId="4" xfId="0" applyNumberFormat="1" applyBorder="1" applyAlignment="1">
      <alignment horizontal="center" wrapText="1"/>
    </xf>
    <xf numFmtId="0" fontId="1" fillId="0" borderId="0" xfId="0" applyFont="1" applyBorder="1"/>
    <xf numFmtId="0" fontId="0" fillId="0" borderId="0" xfId="0" applyBorder="1"/>
    <xf numFmtId="0" fontId="0" fillId="0" borderId="0" xfId="0" applyFill="1" applyBorder="1"/>
    <xf numFmtId="0" fontId="7" fillId="0" borderId="0" xfId="0" applyFont="1" applyAlignment="1">
      <alignment horizontal="center" vertical="center"/>
    </xf>
    <xf numFmtId="0" fontId="7" fillId="0" borderId="0" xfId="0" applyFont="1" applyFill="1" applyAlignment="1"/>
    <xf numFmtId="0" fontId="7" fillId="0" borderId="0" xfId="0" applyFont="1"/>
    <xf numFmtId="0" fontId="8" fillId="0" borderId="0" xfId="0" applyFont="1" applyFill="1" applyBorder="1" applyAlignment="1">
      <alignment horizontal="center" vertical="center" wrapText="1"/>
    </xf>
    <xf numFmtId="167" fontId="0" fillId="0" borderId="15" xfId="0" applyNumberFormat="1" applyBorder="1"/>
    <xf numFmtId="17" fontId="0" fillId="0" borderId="0" xfId="0" applyNumberFormat="1"/>
    <xf numFmtId="166" fontId="0" fillId="0" borderId="1" xfId="0" applyNumberFormat="1" applyBorder="1" applyAlignment="1">
      <alignment horizontal="center" wrapText="1"/>
    </xf>
    <xf numFmtId="166" fontId="0" fillId="0" borderId="2" xfId="0" applyNumberForma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20" fontId="0" fillId="0" borderId="1" xfId="0" applyNumberFormat="1" applyBorder="1" applyAlignment="1">
      <alignment horizontal="center" vertical="center" wrapText="1"/>
    </xf>
    <xf numFmtId="20" fontId="0" fillId="0" borderId="2" xfId="0" applyNumberForma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</cellXfs>
  <cellStyles count="1">
    <cellStyle name="Normal" xfId="0" builtinId="0"/>
  </cellStyles>
  <dxfs count="20"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Denver Train Runs 04122016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165"/>
  <sheetViews>
    <sheetView showGridLines="0" tabSelected="1" zoomScale="85" zoomScaleNormal="85" workbookViewId="0">
      <selection activeCell="Q118" sqref="Q118"/>
    </sheetView>
  </sheetViews>
  <sheetFormatPr defaultRowHeight="15" x14ac:dyDescent="0.25"/>
  <cols>
    <col min="1" max="1" width="10.5703125" style="2" customWidth="1"/>
    <col min="2" max="2" width="9" customWidth="1"/>
    <col min="3" max="3" width="13.5703125" hidden="1" customWidth="1"/>
    <col min="4" max="4" width="16.140625" hidden="1" customWidth="1"/>
    <col min="5" max="5" width="19.5703125" style="14" hidden="1" customWidth="1"/>
    <col min="6" max="6" width="20.140625" style="14" customWidth="1"/>
    <col min="7" max="7" width="18.42578125" style="40" hidden="1" customWidth="1"/>
    <col min="8" max="8" width="22.140625" style="14" hidden="1" customWidth="1"/>
    <col min="9" max="9" width="19.7109375" style="14" customWidth="1"/>
    <col min="10" max="10" width="7.7109375" bestFit="1" customWidth="1"/>
    <col min="11" max="11" width="13.28515625" customWidth="1"/>
    <col min="12" max="12" width="13.28515625" style="59" customWidth="1"/>
    <col min="13" max="13" width="9.5703125" style="1" customWidth="1"/>
    <col min="14" max="14" width="8.85546875" style="4" customWidth="1"/>
    <col min="15" max="15" width="9.140625" style="4"/>
    <col min="16" max="16" width="6" style="4" customWidth="1"/>
    <col min="17" max="17" width="13.5703125" customWidth="1"/>
    <col min="18" max="18" width="67.5703125" bestFit="1" customWidth="1"/>
    <col min="19" max="19" width="4.28515625" customWidth="1"/>
    <col min="20" max="20" width="19.28515625" style="54" customWidth="1"/>
    <col min="21" max="21" width="10.140625" style="54" customWidth="1"/>
    <col min="22" max="22" width="14.140625" style="54" customWidth="1"/>
    <col min="23" max="25" width="9.140625" style="54"/>
    <col min="26" max="26" width="10.7109375" style="55" bestFit="1" customWidth="1"/>
    <col min="27" max="27" width="30.5703125" style="55" bestFit="1" customWidth="1"/>
  </cols>
  <sheetData>
    <row r="1" spans="1:89" ht="57.75" customHeight="1" thickBot="1" x14ac:dyDescent="0.3">
      <c r="A1" s="92" t="str">
        <f>"Eagle P3 System Performance - "&amp;TEXT(Variables!A2,"yyyy-mm-dd")</f>
        <v>Eagle P3 System Performance - 2016-06-06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</row>
    <row r="2" spans="1:89" s="11" customFormat="1" ht="69" customHeight="1" thickBot="1" x14ac:dyDescent="0.3">
      <c r="A2" s="45" t="s">
        <v>0</v>
      </c>
      <c r="B2" s="46" t="s">
        <v>46</v>
      </c>
      <c r="C2" s="46" t="s">
        <v>26</v>
      </c>
      <c r="D2" s="46" t="s">
        <v>1</v>
      </c>
      <c r="E2" s="47" t="s">
        <v>2</v>
      </c>
      <c r="F2" s="47" t="s">
        <v>3</v>
      </c>
      <c r="G2" s="48" t="s">
        <v>4</v>
      </c>
      <c r="H2" s="47" t="s">
        <v>5</v>
      </c>
      <c r="I2" s="47" t="s">
        <v>6</v>
      </c>
      <c r="J2" s="46" t="s">
        <v>7</v>
      </c>
      <c r="K2" s="46" t="s">
        <v>73</v>
      </c>
      <c r="L2" s="46" t="s">
        <v>50</v>
      </c>
      <c r="M2" s="49" t="s">
        <v>8</v>
      </c>
      <c r="N2" s="46" t="s">
        <v>43</v>
      </c>
      <c r="O2" s="50" t="s">
        <v>44</v>
      </c>
      <c r="P2" s="50" t="s">
        <v>18</v>
      </c>
      <c r="Q2" s="51" t="s">
        <v>49</v>
      </c>
      <c r="R2" s="51" t="s">
        <v>24</v>
      </c>
      <c r="S2" s="10"/>
      <c r="T2" s="71" t="s">
        <v>47</v>
      </c>
      <c r="U2" s="71" t="s">
        <v>23</v>
      </c>
      <c r="V2" s="71" t="s">
        <v>51</v>
      </c>
      <c r="W2" s="71" t="s">
        <v>20</v>
      </c>
      <c r="X2" s="71" t="s">
        <v>21</v>
      </c>
      <c r="Y2" s="71" t="s">
        <v>22</v>
      </c>
      <c r="Z2" s="72" t="s">
        <v>41</v>
      </c>
      <c r="AA2" s="72" t="s">
        <v>42</v>
      </c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0"/>
      <c r="CD2" s="10"/>
      <c r="CE2" s="10"/>
      <c r="CF2" s="10"/>
      <c r="CG2" s="10"/>
      <c r="CH2" s="10"/>
      <c r="CI2" s="10"/>
      <c r="CJ2" s="10"/>
      <c r="CK2" s="10"/>
    </row>
    <row r="3" spans="1:89" s="2" customFormat="1" x14ac:dyDescent="0.25">
      <c r="A3" s="60" t="s">
        <v>259</v>
      </c>
      <c r="B3" s="60">
        <v>4018</v>
      </c>
      <c r="C3" s="60" t="s">
        <v>62</v>
      </c>
      <c r="D3" s="60" t="s">
        <v>260</v>
      </c>
      <c r="E3" s="30">
        <v>42527.130636574075</v>
      </c>
      <c r="F3" s="30">
        <v>42527.132037037038</v>
      </c>
      <c r="G3" s="38">
        <v>2</v>
      </c>
      <c r="H3" s="30" t="s">
        <v>261</v>
      </c>
      <c r="I3" s="30">
        <v>42527.161689814813</v>
      </c>
      <c r="J3" s="60">
        <v>0</v>
      </c>
      <c r="K3" s="60" t="str">
        <f t="shared" ref="K3:K22" si="0">IF(ISEVEN(B3),(B3-1)&amp;"/"&amp;B3,B3&amp;"/"&amp;(B3+1))</f>
        <v>4017/4018</v>
      </c>
      <c r="L3" s="60" t="str">
        <f>VLOOKUP(A3,'Trips&amp;Operators'!$C$1:$E$9999,3,FALSE)</f>
        <v>COOLAHAN</v>
      </c>
      <c r="M3" s="12">
        <f t="shared" ref="M3:M22" si="1">I3-F3</f>
        <v>2.9652777775481809E-2</v>
      </c>
      <c r="N3" s="13">
        <f t="shared" ref="N3:N22" si="2">24*60*SUM($M3:$M3)</f>
        <v>42.699999996693805</v>
      </c>
      <c r="O3" s="13"/>
      <c r="P3" s="13"/>
      <c r="Q3" s="61"/>
      <c r="R3" s="61"/>
      <c r="T3" s="73" t="str">
        <f t="shared" ref="T3" si="3">"https://search-rtdc-monitor-bjffxe2xuh6vdkpspy63sjmuny.us-east-1.es.amazonaws.com/_plugin/kibana/#/discover/Steve-Slow-Train-Analysis-(2080s-and-2083s)?_g=(refreshInterval:(display:Off,section:0,value:0),time:(from:'"&amp;TEXT(E3-1/24/60,"yyyy-MM-DD hh:mm:ss")&amp;"-0600',mode:absolute,to:'"&amp;TEXT(I3+1/24/60,"yyyy-MM-DD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&amp;"%22')),sort:!(Time,asc))"</f>
        <v>https://search-rtdc-monitor-bjffxe2xuh6vdkpspy63sjmuny.us-east-1.es.amazonaws.com/_plugin/kibana/#/discover/Steve-Slow-Train-Analysis-(2080s-and-2083s)?_g=(refreshInterval:(display:Off,section:0,value:0),time:(from:'2016-06-06 03:07:07-0600',mode:absolute,to:'2016-06-06 03:53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U3" s="73" t="str">
        <f t="shared" ref="U3" si="4">IF(Y3&lt;23,"Y","N")</f>
        <v>N</v>
      </c>
      <c r="V3" s="73" t="e">
        <f>VALUE(LEFT(A3,3))-VALUE(LEFT(A2,3))</f>
        <v>#VALUE!</v>
      </c>
      <c r="W3" s="73">
        <f t="shared" ref="W3" si="5">RIGHT(D3,LEN(D3)-4)/10000</f>
        <v>7.3400000000000007E-2</v>
      </c>
      <c r="X3" s="73">
        <f t="shared" ref="X3" si="6">RIGHT(H3,LEN(H3)-4)/10000</f>
        <v>23.331700000000001</v>
      </c>
      <c r="Y3" s="73">
        <f t="shared" ref="Y3" si="7">ABS(X3-W3)</f>
        <v>23.258300000000002</v>
      </c>
      <c r="Z3" s="74" t="e">
        <f>VLOOKUP(A3,Enforcements!$C$3:$J$57,8,0)</f>
        <v>#N/A</v>
      </c>
      <c r="AA3" s="74" t="e">
        <f>VLOOKUP(A3,Enforcements!$C$3:$J$57,3,0)</f>
        <v>#N/A</v>
      </c>
    </row>
    <row r="4" spans="1:89" s="2" customFormat="1" x14ac:dyDescent="0.25">
      <c r="A4" s="60" t="s">
        <v>262</v>
      </c>
      <c r="B4" s="60">
        <v>4015</v>
      </c>
      <c r="C4" s="60" t="s">
        <v>62</v>
      </c>
      <c r="D4" s="60" t="s">
        <v>263</v>
      </c>
      <c r="E4" s="30">
        <v>42527.16983796296</v>
      </c>
      <c r="F4" s="30">
        <v>42527.170902777776</v>
      </c>
      <c r="G4" s="38">
        <v>1</v>
      </c>
      <c r="H4" s="30" t="s">
        <v>264</v>
      </c>
      <c r="I4" s="30">
        <v>42527.202615740738</v>
      </c>
      <c r="J4" s="60">
        <v>0</v>
      </c>
      <c r="K4" s="60" t="str">
        <f t="shared" si="0"/>
        <v>4015/4016</v>
      </c>
      <c r="L4" s="60" t="str">
        <f>VLOOKUP(A4,'Trips&amp;Operators'!$C$1:$E$9999,3,FALSE)</f>
        <v>COOLAHAN</v>
      </c>
      <c r="M4" s="12">
        <f t="shared" si="1"/>
        <v>3.1712962962046731E-2</v>
      </c>
      <c r="N4" s="13">
        <f t="shared" si="2"/>
        <v>45.666666665347293</v>
      </c>
      <c r="O4" s="13"/>
      <c r="P4" s="13"/>
      <c r="Q4" s="61"/>
      <c r="R4" s="61"/>
      <c r="T4" s="73" t="str">
        <f t="shared" ref="T4:T64" si="8">"https://search-rtdc-monitor-bjffxe2xuh6vdkpspy63sjmuny.us-east-1.es.amazonaws.com/_plugin/kibana/#/discover/Steve-Slow-Train-Analysis-(2080s-and-2083s)?_g=(refreshInterval:(display:Off,section:0,value:0),time:(from:'"&amp;TEXT(E4-1/24/60,"yyyy-MM-DD hh:mm:ss")&amp;"-0600',mode:absolute,to:'"&amp;TEXT(I4+1/24/60,"yyyy-MM-DD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&amp;"%22')),sort:!(Time,asc))"</f>
        <v>https://search-rtdc-monitor-bjffxe2xuh6vdkpspy63sjmuny.us-east-1.es.amazonaws.com/_plugin/kibana/#/discover/Steve-Slow-Train-Analysis-(2080s-and-2083s)?_g=(refreshInterval:(display:Off,section:0,value:0),time:(from:'2016-06-06 04:03:34-0600',mode:absolute,to:'2016-06-06 04:52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4" s="73" t="str">
        <f t="shared" ref="U4:U64" si="9">IF(Y4&lt;23,"Y","N")</f>
        <v>N</v>
      </c>
      <c r="V4" s="73">
        <f t="shared" ref="V4:V68" si="10">VALUE(LEFT(A4,3))-VALUE(LEFT(A3,3))</f>
        <v>1</v>
      </c>
      <c r="W4" s="73">
        <f t="shared" ref="W4:W64" si="11">RIGHT(D4,LEN(D4)-4)/10000</f>
        <v>23.268699999999999</v>
      </c>
      <c r="X4" s="73">
        <f t="shared" ref="X4:X64" si="12">RIGHT(H4,LEN(H4)-4)/10000</f>
        <v>1.34E-2</v>
      </c>
      <c r="Y4" s="73">
        <f t="shared" ref="Y4:Y64" si="13">ABS(X4-W4)</f>
        <v>23.255299999999998</v>
      </c>
      <c r="Z4" s="74" t="e">
        <f>VLOOKUP(A4,Enforcements!$C$3:$J$57,8,0)</f>
        <v>#N/A</v>
      </c>
      <c r="AA4" s="74" t="e">
        <f>VLOOKUP(A4,Enforcements!$C$3:$J$57,3,0)</f>
        <v>#N/A</v>
      </c>
    </row>
    <row r="5" spans="1:89" s="2" customFormat="1" x14ac:dyDescent="0.25">
      <c r="A5" s="60" t="s">
        <v>265</v>
      </c>
      <c r="B5" s="60">
        <v>4040</v>
      </c>
      <c r="C5" s="60" t="s">
        <v>62</v>
      </c>
      <c r="D5" s="60" t="s">
        <v>266</v>
      </c>
      <c r="E5" s="30">
        <v>42527.150752314818</v>
      </c>
      <c r="F5" s="30">
        <v>42527.152141203704</v>
      </c>
      <c r="G5" s="38">
        <v>1</v>
      </c>
      <c r="H5" s="30" t="s">
        <v>267</v>
      </c>
      <c r="I5" s="30">
        <v>42527.18240740741</v>
      </c>
      <c r="J5" s="60">
        <v>0</v>
      </c>
      <c r="K5" s="60" t="str">
        <f t="shared" si="0"/>
        <v>4039/4040</v>
      </c>
      <c r="L5" s="60" t="str">
        <f>VLOOKUP(A5,'Trips&amp;Operators'!$C$1:$E$9999,3,FALSE)</f>
        <v>STURGEON</v>
      </c>
      <c r="M5" s="12">
        <f t="shared" si="1"/>
        <v>3.0266203706560191E-2</v>
      </c>
      <c r="N5" s="13">
        <f t="shared" si="2"/>
        <v>43.583333337446675</v>
      </c>
      <c r="O5" s="13"/>
      <c r="P5" s="13"/>
      <c r="Q5" s="61"/>
      <c r="R5" s="61"/>
      <c r="T5" s="73" t="str">
        <f t="shared" si="8"/>
        <v>https://search-rtdc-monitor-bjffxe2xuh6vdkpspy63sjmuny.us-east-1.es.amazonaws.com/_plugin/kibana/#/discover/Steve-Slow-Train-Analysis-(2080s-and-2083s)?_g=(refreshInterval:(display:Off,section:0,value:0),time:(from:'2016-06-06 03:36:05-0600',mode:absolute,to:'2016-06-06 04:23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5" s="73" t="str">
        <f t="shared" si="9"/>
        <v>N</v>
      </c>
      <c r="V5" s="73">
        <f t="shared" si="10"/>
        <v>1</v>
      </c>
      <c r="W5" s="73">
        <f t="shared" si="11"/>
        <v>7.4999999999999997E-2</v>
      </c>
      <c r="X5" s="73">
        <f t="shared" si="12"/>
        <v>23.323799999999999</v>
      </c>
      <c r="Y5" s="73">
        <f t="shared" si="13"/>
        <v>23.248799999999999</v>
      </c>
      <c r="Z5" s="74" t="e">
        <f>VLOOKUP(A5,Enforcements!$C$3:$J$57,8,0)</f>
        <v>#N/A</v>
      </c>
      <c r="AA5" s="74" t="e">
        <f>VLOOKUP(A5,Enforcements!$C$3:$J$57,3,0)</f>
        <v>#N/A</v>
      </c>
    </row>
    <row r="6" spans="1:89" s="2" customFormat="1" x14ac:dyDescent="0.25">
      <c r="A6" s="60" t="s">
        <v>268</v>
      </c>
      <c r="B6" s="60">
        <v>4013</v>
      </c>
      <c r="C6" s="60" t="s">
        <v>62</v>
      </c>
      <c r="D6" s="60" t="s">
        <v>269</v>
      </c>
      <c r="E6" s="30">
        <v>42527.188645833332</v>
      </c>
      <c r="F6" s="30">
        <v>42527.190879629627</v>
      </c>
      <c r="G6" s="38">
        <v>3</v>
      </c>
      <c r="H6" s="30" t="s">
        <v>189</v>
      </c>
      <c r="I6" s="30">
        <v>42527.222337962965</v>
      </c>
      <c r="J6" s="60">
        <v>0</v>
      </c>
      <c r="K6" s="60" t="str">
        <f t="shared" si="0"/>
        <v>4013/4014</v>
      </c>
      <c r="L6" s="60" t="str">
        <f>VLOOKUP(A6,'Trips&amp;Operators'!$C$1:$E$9999,3,FALSE)</f>
        <v>STURGEON</v>
      </c>
      <c r="M6" s="12">
        <f t="shared" si="1"/>
        <v>3.1458333338377997E-2</v>
      </c>
      <c r="N6" s="13">
        <f t="shared" si="2"/>
        <v>45.300000007264316</v>
      </c>
      <c r="O6" s="13"/>
      <c r="P6" s="13"/>
      <c r="Q6" s="61"/>
      <c r="R6" s="61"/>
      <c r="T6" s="73" t="str">
        <f t="shared" ref="T6:T7" si="14">"https://search-rtdc-monitor-bjffxe2xuh6vdkpspy63sjmuny.us-east-1.es.amazonaws.com/_plugin/kibana/#/discover/Steve-Slow-Train-Analysis-(2080s-and-2083s)?_g=(refreshInterval:(display:Off,section:0,value:0),time:(from:'"&amp;TEXT(E6-1/24/60,"yyyy-MM-DD hh:mm:ss")&amp;"-0600',mode:absolute,to:'"&amp;TEXT(I6+1/24/60,"yyyy-MM-DD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&amp;"%22')),sort:!(Time,asc))"</f>
        <v>https://search-rtdc-monitor-bjffxe2xuh6vdkpspy63sjmuny.us-east-1.es.amazonaws.com/_plugin/kibana/#/discover/Steve-Slow-Train-Analysis-(2080s-and-2083s)?_g=(refreshInterval:(display:Off,section:0,value:0),time:(from:'2016-06-06 04:30:39-0600',mode:absolute,to:'2016-06-06 05:21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U6" s="73" t="str">
        <f t="shared" ref="U6:U7" si="15">IF(Y6&lt;23,"Y","N")</f>
        <v>N</v>
      </c>
      <c r="V6" s="73">
        <f t="shared" si="10"/>
        <v>1</v>
      </c>
      <c r="W6" s="73">
        <f t="shared" ref="W6:W7" si="16">RIGHT(D6,LEN(D6)-4)/10000</f>
        <v>23.258800000000001</v>
      </c>
      <c r="X6" s="73">
        <f t="shared" ref="X6:X7" si="17">RIGHT(H6,LEN(H6)-4)/10000</f>
        <v>1.9400000000000001E-2</v>
      </c>
      <c r="Y6" s="73">
        <f t="shared" ref="Y6:Y7" si="18">ABS(X6-W6)</f>
        <v>23.2394</v>
      </c>
      <c r="Z6" s="74" t="e">
        <f>VLOOKUP(A6,Enforcements!$C$3:$J$57,8,0)</f>
        <v>#N/A</v>
      </c>
      <c r="AA6" s="74"/>
    </row>
    <row r="7" spans="1:89" s="2" customFormat="1" x14ac:dyDescent="0.25">
      <c r="A7" s="60" t="s">
        <v>206</v>
      </c>
      <c r="B7" s="60">
        <v>4011</v>
      </c>
      <c r="C7" s="60" t="s">
        <v>62</v>
      </c>
      <c r="D7" s="60" t="s">
        <v>270</v>
      </c>
      <c r="E7" s="30">
        <v>42527.172418981485</v>
      </c>
      <c r="F7" s="30">
        <v>42527.173472222225</v>
      </c>
      <c r="G7" s="38">
        <v>1</v>
      </c>
      <c r="H7" s="30" t="s">
        <v>271</v>
      </c>
      <c r="I7" s="30">
        <v>42527.204236111109</v>
      </c>
      <c r="J7" s="60">
        <v>1</v>
      </c>
      <c r="K7" s="60" t="str">
        <f t="shared" si="0"/>
        <v>4011/4012</v>
      </c>
      <c r="L7" s="60" t="str">
        <f>VLOOKUP(A7,'Trips&amp;Operators'!$C$1:$E$9999,3,FALSE)</f>
        <v>BRABO</v>
      </c>
      <c r="M7" s="12">
        <f t="shared" si="1"/>
        <v>3.0763888884393964E-2</v>
      </c>
      <c r="N7" s="13">
        <f t="shared" si="2"/>
        <v>44.299999993527308</v>
      </c>
      <c r="O7" s="13"/>
      <c r="P7" s="13"/>
      <c r="Q7" s="61"/>
      <c r="R7" s="61"/>
      <c r="T7" s="73" t="str">
        <f t="shared" si="14"/>
        <v>https://search-rtdc-monitor-bjffxe2xuh6vdkpspy63sjmuny.us-east-1.es.amazonaws.com/_plugin/kibana/#/discover/Steve-Slow-Train-Analysis-(2080s-and-2083s)?_g=(refreshInterval:(display:Off,section:0,value:0),time:(from:'2016-06-06 04:07:17-0600',mode:absolute,to:'2016-06-06 04:55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7" s="73" t="str">
        <f t="shared" si="15"/>
        <v>N</v>
      </c>
      <c r="V7" s="73">
        <f t="shared" si="10"/>
        <v>1</v>
      </c>
      <c r="W7" s="73">
        <f t="shared" si="16"/>
        <v>6.6400000000000001E-2</v>
      </c>
      <c r="X7" s="73">
        <f t="shared" si="17"/>
        <v>23.328299999999999</v>
      </c>
      <c r="Y7" s="73">
        <f t="shared" si="18"/>
        <v>23.261899999999997</v>
      </c>
      <c r="Z7" s="74">
        <f>VLOOKUP(A7,Enforcements!$C$3:$J$57,8,0)</f>
        <v>197000</v>
      </c>
      <c r="AA7" s="74" t="str">
        <f>VLOOKUP(A7,Enforcements!$C$3:$J$57,3,0)</f>
        <v>TEMPORARY SPEED RESTRICTION</v>
      </c>
    </row>
    <row r="8" spans="1:89" s="2" customFormat="1" x14ac:dyDescent="0.25">
      <c r="A8" s="60" t="s">
        <v>209</v>
      </c>
      <c r="B8" s="60">
        <v>4026</v>
      </c>
      <c r="C8" s="60" t="s">
        <v>62</v>
      </c>
      <c r="D8" s="60" t="s">
        <v>272</v>
      </c>
      <c r="E8" s="30">
        <v>42527.212673611109</v>
      </c>
      <c r="F8" s="30">
        <v>42527.213703703703</v>
      </c>
      <c r="G8" s="38">
        <v>1</v>
      </c>
      <c r="H8" s="30" t="s">
        <v>63</v>
      </c>
      <c r="I8" s="30">
        <v>42527.243206018517</v>
      </c>
      <c r="J8" s="60">
        <v>1</v>
      </c>
      <c r="K8" s="60" t="str">
        <f t="shared" si="0"/>
        <v>4025/4026</v>
      </c>
      <c r="L8" s="60" t="str">
        <f>VLOOKUP(A8,'Trips&amp;Operators'!$C$1:$E$9999,3,FALSE)</f>
        <v>BRABO</v>
      </c>
      <c r="M8" s="12">
        <f t="shared" si="1"/>
        <v>2.9502314813726116E-2</v>
      </c>
      <c r="N8" s="13">
        <f t="shared" si="2"/>
        <v>42.483333331765607</v>
      </c>
      <c r="O8" s="13"/>
      <c r="P8" s="13"/>
      <c r="Q8" s="61"/>
      <c r="R8" s="61"/>
      <c r="T8" s="73" t="str">
        <f t="shared" si="8"/>
        <v>https://search-rtdc-monitor-bjffxe2xuh6vdkpspy63sjmuny.us-east-1.es.amazonaws.com/_plugin/kibana/#/discover/Steve-Slow-Train-Analysis-(2080s-and-2083s)?_g=(refreshInterval:(display:Off,section:0,value:0),time:(from:'2016-06-06 05:05:15-0600',mode:absolute,to:'2016-06-06 05:51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U8" s="73" t="str">
        <f t="shared" si="9"/>
        <v>N</v>
      </c>
      <c r="V8" s="73">
        <f t="shared" si="10"/>
        <v>1</v>
      </c>
      <c r="W8" s="73">
        <f t="shared" si="11"/>
        <v>23.264099999999999</v>
      </c>
      <c r="X8" s="73">
        <f t="shared" si="12"/>
        <v>1.4500000000000001E-2</v>
      </c>
      <c r="Y8" s="73">
        <f t="shared" si="13"/>
        <v>23.249599999999997</v>
      </c>
      <c r="Z8" s="74">
        <f>VLOOKUP(A8,Enforcements!$C$3:$J$57,8,0)</f>
        <v>191723</v>
      </c>
      <c r="AA8" s="74" t="str">
        <f>VLOOKUP(A8,Enforcements!$C$3:$J$57,3,0)</f>
        <v>SIGNAL</v>
      </c>
    </row>
    <row r="9" spans="1:89" s="2" customFormat="1" x14ac:dyDescent="0.25">
      <c r="A9" s="60" t="s">
        <v>273</v>
      </c>
      <c r="B9" s="60">
        <v>4031</v>
      </c>
      <c r="C9" s="60" t="s">
        <v>62</v>
      </c>
      <c r="D9" s="60" t="s">
        <v>274</v>
      </c>
      <c r="E9" s="30">
        <v>42527.181006944447</v>
      </c>
      <c r="F9" s="30">
        <v>42527.181944444441</v>
      </c>
      <c r="G9" s="38">
        <v>1</v>
      </c>
      <c r="H9" s="30" t="s">
        <v>275</v>
      </c>
      <c r="I9" s="30">
        <v>42527.213067129633</v>
      </c>
      <c r="J9" s="60">
        <v>0</v>
      </c>
      <c r="K9" s="60" t="str">
        <f t="shared" si="0"/>
        <v>4031/4032</v>
      </c>
      <c r="L9" s="60" t="str">
        <f>VLOOKUP(A9,'Trips&amp;Operators'!$C$1:$E$9999,3,FALSE)</f>
        <v>YANAI</v>
      </c>
      <c r="M9" s="12">
        <f t="shared" si="1"/>
        <v>3.1122685191803612E-2</v>
      </c>
      <c r="N9" s="13">
        <f t="shared" si="2"/>
        <v>44.816666676197201</v>
      </c>
      <c r="O9" s="13"/>
      <c r="P9" s="13"/>
      <c r="Q9" s="61"/>
      <c r="R9" s="61"/>
      <c r="T9" s="73" t="str">
        <f t="shared" si="8"/>
        <v>https://search-rtdc-monitor-bjffxe2xuh6vdkpspy63sjmuny.us-east-1.es.amazonaws.com/_plugin/kibana/#/discover/Steve-Slow-Train-Analysis-(2080s-and-2083s)?_g=(refreshInterval:(display:Off,section:0,value:0),time:(from:'2016-06-06 04:19:39-0600',mode:absolute,to:'2016-06-06 05:07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U9" s="73" t="str">
        <f t="shared" si="9"/>
        <v>N</v>
      </c>
      <c r="V9" s="73">
        <f t="shared" si="10"/>
        <v>1</v>
      </c>
      <c r="W9" s="73">
        <f t="shared" si="11"/>
        <v>3.2899999999999999E-2</v>
      </c>
      <c r="X9" s="73">
        <f t="shared" si="12"/>
        <v>23.325299999999999</v>
      </c>
      <c r="Y9" s="73">
        <f t="shared" si="13"/>
        <v>23.292399999999997</v>
      </c>
      <c r="Z9" s="74" t="e">
        <f>VLOOKUP(A9,Enforcements!$C$3:$J$57,8,0)</f>
        <v>#N/A</v>
      </c>
      <c r="AA9" s="74" t="e">
        <f>VLOOKUP(A9,Enforcements!$C$3:$J$57,3,0)</f>
        <v>#N/A</v>
      </c>
    </row>
    <row r="10" spans="1:89" s="2" customFormat="1" x14ac:dyDescent="0.25">
      <c r="A10" s="60" t="s">
        <v>276</v>
      </c>
      <c r="B10" s="60">
        <v>4032</v>
      </c>
      <c r="C10" s="60" t="s">
        <v>62</v>
      </c>
      <c r="D10" s="60" t="s">
        <v>277</v>
      </c>
      <c r="E10" s="30">
        <v>42527.220069444447</v>
      </c>
      <c r="F10" s="30">
        <v>42527.220914351848</v>
      </c>
      <c r="G10" s="38">
        <v>1</v>
      </c>
      <c r="H10" s="30" t="s">
        <v>63</v>
      </c>
      <c r="I10" s="30">
        <v>42527.251701388886</v>
      </c>
      <c r="J10" s="60">
        <v>0</v>
      </c>
      <c r="K10" s="60" t="str">
        <f t="shared" si="0"/>
        <v>4031/4032</v>
      </c>
      <c r="L10" s="60" t="str">
        <f>VLOOKUP(A10,'Trips&amp;Operators'!$C$1:$E$9999,3,FALSE)</f>
        <v>YANAI</v>
      </c>
      <c r="M10" s="12">
        <f t="shared" si="1"/>
        <v>3.0787037037953269E-2</v>
      </c>
      <c r="N10" s="13">
        <f t="shared" si="2"/>
        <v>44.333333334652707</v>
      </c>
      <c r="O10" s="13"/>
      <c r="P10" s="13"/>
      <c r="Q10" s="61"/>
      <c r="R10" s="61"/>
      <c r="T10" s="73" t="str">
        <f t="shared" si="8"/>
        <v>https://search-rtdc-monitor-bjffxe2xuh6vdkpspy63sjmuny.us-east-1.es.amazonaws.com/_plugin/kibana/#/discover/Steve-Slow-Train-Analysis-(2080s-and-2083s)?_g=(refreshInterval:(display:Off,section:0,value:0),time:(from:'2016-06-06 05:15:54-0600',mode:absolute,to:'2016-06-06 06:03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U10" s="73" t="str">
        <f t="shared" si="9"/>
        <v>N</v>
      </c>
      <c r="V10" s="73">
        <f t="shared" si="10"/>
        <v>1</v>
      </c>
      <c r="W10" s="73">
        <f t="shared" si="11"/>
        <v>23.294599999999999</v>
      </c>
      <c r="X10" s="73">
        <f t="shared" si="12"/>
        <v>1.4500000000000001E-2</v>
      </c>
      <c r="Y10" s="73">
        <f t="shared" si="13"/>
        <v>23.280099999999997</v>
      </c>
      <c r="Z10" s="74" t="e">
        <f>VLOOKUP(A10,Enforcements!$C$3:$J$57,8,0)</f>
        <v>#N/A</v>
      </c>
      <c r="AA10" s="74" t="e">
        <f>VLOOKUP(A10,Enforcements!$C$3:$J$57,3,0)</f>
        <v>#N/A</v>
      </c>
    </row>
    <row r="11" spans="1:89" s="2" customFormat="1" x14ac:dyDescent="0.25">
      <c r="A11" s="60" t="s">
        <v>278</v>
      </c>
      <c r="B11" s="60">
        <v>4020</v>
      </c>
      <c r="C11" s="60" t="s">
        <v>62</v>
      </c>
      <c r="D11" s="60" t="s">
        <v>90</v>
      </c>
      <c r="E11" s="30">
        <v>42527.193576388891</v>
      </c>
      <c r="F11" s="30">
        <v>42527.194687499999</v>
      </c>
      <c r="G11" s="38">
        <v>1</v>
      </c>
      <c r="H11" s="30" t="s">
        <v>188</v>
      </c>
      <c r="I11" s="30">
        <v>42527.22315972222</v>
      </c>
      <c r="J11" s="60">
        <v>0</v>
      </c>
      <c r="K11" s="60" t="str">
        <f t="shared" si="0"/>
        <v>4019/4020</v>
      </c>
      <c r="L11" s="60" t="str">
        <f>VLOOKUP(A11,'Trips&amp;Operators'!$C$1:$E$9999,3,FALSE)</f>
        <v>SPECTOR</v>
      </c>
      <c r="M11" s="12">
        <f t="shared" si="1"/>
        <v>2.8472222220443655E-2</v>
      </c>
      <c r="N11" s="13">
        <f t="shared" si="2"/>
        <v>40.999999997438863</v>
      </c>
      <c r="O11" s="13"/>
      <c r="P11" s="13"/>
      <c r="Q11" s="61"/>
      <c r="R11" s="61"/>
      <c r="T11" s="73" t="str">
        <f t="shared" si="8"/>
        <v>https://search-rtdc-monitor-bjffxe2xuh6vdkpspy63sjmuny.us-east-1.es.amazonaws.com/_plugin/kibana/#/discover/Steve-Slow-Train-Analysis-(2080s-and-2083s)?_g=(refreshInterval:(display:Off,section:0,value:0),time:(from:'2016-06-06 04:37:45-0600',mode:absolute,to:'2016-06-06 05:22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11" s="73" t="str">
        <f t="shared" si="9"/>
        <v>N</v>
      </c>
      <c r="V11" s="73">
        <f t="shared" si="10"/>
        <v>1</v>
      </c>
      <c r="W11" s="73">
        <f t="shared" si="11"/>
        <v>4.5699999999999998E-2</v>
      </c>
      <c r="X11" s="73">
        <f t="shared" si="12"/>
        <v>23.333100000000002</v>
      </c>
      <c r="Y11" s="73">
        <f t="shared" si="13"/>
        <v>23.287400000000002</v>
      </c>
      <c r="Z11" s="74" t="e">
        <f>VLOOKUP(A11,Enforcements!$C$3:$J$57,8,0)</f>
        <v>#N/A</v>
      </c>
      <c r="AA11" s="74" t="e">
        <f>VLOOKUP(A11,Enforcements!$C$3:$J$57,3,0)</f>
        <v>#N/A</v>
      </c>
    </row>
    <row r="12" spans="1:89" s="2" customFormat="1" x14ac:dyDescent="0.25">
      <c r="A12" s="60" t="s">
        <v>279</v>
      </c>
      <c r="B12" s="60">
        <v>4019</v>
      </c>
      <c r="C12" s="60" t="s">
        <v>62</v>
      </c>
      <c r="D12" s="60" t="s">
        <v>178</v>
      </c>
      <c r="E12" s="30">
        <v>42527.232314814813</v>
      </c>
      <c r="F12" s="30">
        <v>42527.233368055553</v>
      </c>
      <c r="G12" s="38">
        <v>1</v>
      </c>
      <c r="H12" s="30" t="s">
        <v>72</v>
      </c>
      <c r="I12" s="30">
        <v>42527.262418981481</v>
      </c>
      <c r="J12" s="60">
        <v>0</v>
      </c>
      <c r="K12" s="60" t="str">
        <f t="shared" si="0"/>
        <v>4019/4020</v>
      </c>
      <c r="L12" s="60" t="str">
        <f>VLOOKUP(A12,'Trips&amp;Operators'!$C$1:$E$9999,3,FALSE)</f>
        <v>SPECTOR</v>
      </c>
      <c r="M12" s="12">
        <f t="shared" si="1"/>
        <v>2.9050925928459037E-2</v>
      </c>
      <c r="N12" s="13">
        <f t="shared" si="2"/>
        <v>41.833333336981013</v>
      </c>
      <c r="O12" s="13"/>
      <c r="P12" s="13"/>
      <c r="Q12" s="61"/>
      <c r="R12" s="61"/>
      <c r="T12" s="73" t="str">
        <f t="shared" ref="T12:T14" si="19">"https://search-rtdc-monitor-bjffxe2xuh6vdkpspy63sjmuny.us-east-1.es.amazonaws.com/_plugin/kibana/#/discover/Steve-Slow-Train-Analysis-(2080s-and-2083s)?_g=(refreshInterval:(display:Off,section:0,value:0),time:(from:'"&amp;TEXT(E12-1/24/60,"yyyy-MM-DD hh:mm:ss")&amp;"-0600',mode:absolute,to:'"&amp;TEXT(I12+1/24/60,"yyyy-MM-DD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12&amp;"%22')),sort:!(Time,asc))"</f>
        <v>https://search-rtdc-monitor-bjffxe2xuh6vdkpspy63sjmuny.us-east-1.es.amazonaws.com/_plugin/kibana/#/discover/Steve-Slow-Train-Analysis-(2080s-and-2083s)?_g=(refreshInterval:(display:Off,section:0,value:0),time:(from:'2016-06-06 05:33:32-0600',mode:absolute,to:'2016-06-06 06:18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12" s="73" t="str">
        <f t="shared" ref="U12:U14" si="20">IF(Y12&lt;23,"Y","N")</f>
        <v>N</v>
      </c>
      <c r="V12" s="73">
        <f t="shared" si="10"/>
        <v>1</v>
      </c>
      <c r="W12" s="73">
        <f t="shared" si="11"/>
        <v>23.3002</v>
      </c>
      <c r="X12" s="73">
        <f t="shared" si="12"/>
        <v>1.4999999999999999E-2</v>
      </c>
      <c r="Y12" s="73">
        <f t="shared" si="13"/>
        <v>23.2852</v>
      </c>
      <c r="Z12" s="74" t="e">
        <f>VLOOKUP(A12,Enforcements!$C$3:$J$57,8,0)</f>
        <v>#N/A</v>
      </c>
      <c r="AA12" s="74" t="e">
        <f>VLOOKUP(A12,Enforcements!$C$3:$J$57,3,0)</f>
        <v>#N/A</v>
      </c>
    </row>
    <row r="13" spans="1:89" s="2" customFormat="1" x14ac:dyDescent="0.25">
      <c r="A13" s="60" t="s">
        <v>280</v>
      </c>
      <c r="B13" s="60">
        <v>4018</v>
      </c>
      <c r="C13" s="60" t="s">
        <v>62</v>
      </c>
      <c r="D13" s="60" t="s">
        <v>281</v>
      </c>
      <c r="E13" s="30">
        <v>42527.205416666664</v>
      </c>
      <c r="F13" s="30">
        <v>42527.206550925926</v>
      </c>
      <c r="G13" s="38">
        <v>1</v>
      </c>
      <c r="H13" s="30" t="s">
        <v>282</v>
      </c>
      <c r="I13" s="30">
        <v>42527.234143518515</v>
      </c>
      <c r="J13" s="60">
        <v>0</v>
      </c>
      <c r="K13" s="60" t="str">
        <f t="shared" si="0"/>
        <v>4017/4018</v>
      </c>
      <c r="L13" s="60" t="str">
        <f>VLOOKUP(A13,'Trips&amp;Operators'!$C$1:$E$9999,3,FALSE)</f>
        <v>SANTIZO</v>
      </c>
      <c r="M13" s="12">
        <f t="shared" si="1"/>
        <v>2.7592592588916887E-2</v>
      </c>
      <c r="N13" s="13">
        <f t="shared" si="2"/>
        <v>39.733333328040317</v>
      </c>
      <c r="O13" s="13"/>
      <c r="P13" s="13"/>
      <c r="Q13" s="61"/>
      <c r="R13" s="61"/>
      <c r="T13" s="73" t="str">
        <f t="shared" si="19"/>
        <v>https://search-rtdc-monitor-bjffxe2xuh6vdkpspy63sjmuny.us-east-1.es.amazonaws.com/_plugin/kibana/#/discover/Steve-Slow-Train-Analysis-(2080s-and-2083s)?_g=(refreshInterval:(display:Off,section:0,value:0),time:(from:'2016-06-06 04:54:48-0600',mode:absolute,to:'2016-06-06 05:38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U13" s="73" t="str">
        <f t="shared" si="20"/>
        <v>Y</v>
      </c>
      <c r="V13" s="73">
        <f t="shared" si="10"/>
        <v>1</v>
      </c>
      <c r="W13" s="73">
        <v>7.3700000000000002E-2</v>
      </c>
      <c r="X13" s="73">
        <v>7.3700000000000002E-2</v>
      </c>
      <c r="Y13" s="73">
        <f t="shared" ref="Y13:Y14" si="21">ABS(X13-W13)</f>
        <v>0</v>
      </c>
      <c r="Z13" s="74" t="e">
        <f>VLOOKUP(A13,Enforcements!$C$3:$J$57,8,0)</f>
        <v>#N/A</v>
      </c>
      <c r="AA13" s="74"/>
    </row>
    <row r="14" spans="1:89" s="2" customFormat="1" x14ac:dyDescent="0.25">
      <c r="A14" s="60" t="s">
        <v>283</v>
      </c>
      <c r="B14" s="60">
        <v>4017</v>
      </c>
      <c r="C14" s="60" t="s">
        <v>62</v>
      </c>
      <c r="D14" s="60" t="s">
        <v>177</v>
      </c>
      <c r="E14" s="30">
        <v>42527.243634259263</v>
      </c>
      <c r="F14" s="30">
        <v>42527.244976851849</v>
      </c>
      <c r="G14" s="38">
        <v>1</v>
      </c>
      <c r="H14" s="30" t="s">
        <v>115</v>
      </c>
      <c r="I14" s="30">
        <v>42527.272847222222</v>
      </c>
      <c r="J14" s="60">
        <v>0</v>
      </c>
      <c r="K14" s="60" t="str">
        <f t="shared" si="0"/>
        <v>4017/4018</v>
      </c>
      <c r="L14" s="60" t="str">
        <f>VLOOKUP(A14,'Trips&amp;Operators'!$C$1:$E$9999,3,FALSE)</f>
        <v>SANTIZO</v>
      </c>
      <c r="M14" s="12">
        <f t="shared" si="1"/>
        <v>2.7870370373420883E-2</v>
      </c>
      <c r="N14" s="13">
        <f t="shared" si="2"/>
        <v>40.133333337726071</v>
      </c>
      <c r="O14" s="13"/>
      <c r="P14" s="13"/>
      <c r="Q14" s="61"/>
      <c r="R14" s="61"/>
      <c r="T14" s="73" t="str">
        <f t="shared" si="19"/>
        <v>https://search-rtdc-monitor-bjffxe2xuh6vdkpspy63sjmuny.us-east-1.es.amazonaws.com/_plugin/kibana/#/discover/Steve-Slow-Train-Analysis-(2080s-and-2083s)?_g=(refreshInterval:(display:Off,section:0,value:0),time:(from:'2016-06-06 05:49:50-0600',mode:absolute,to:'2016-06-06 06:33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U14" s="73" t="str">
        <f t="shared" si="20"/>
        <v>N</v>
      </c>
      <c r="V14" s="73">
        <f t="shared" si="10"/>
        <v>1</v>
      </c>
      <c r="W14" s="73">
        <f t="shared" ref="W14" si="22">RIGHT(D14,LEN(D14)-4)/10000</f>
        <v>23.298999999999999</v>
      </c>
      <c r="X14" s="73">
        <f t="shared" ref="X14" si="23">RIGHT(H14,LEN(H14)-4)/10000</f>
        <v>1.54E-2</v>
      </c>
      <c r="Y14" s="73">
        <f t="shared" si="21"/>
        <v>23.2836</v>
      </c>
      <c r="Z14" s="74" t="e">
        <f>VLOOKUP(A14,Enforcements!$C$3:$J$57,8,0)</f>
        <v>#N/A</v>
      </c>
      <c r="AA14" s="74" t="e">
        <f>VLOOKUP(A14,Enforcements!$C$3:$J$57,3,0)</f>
        <v>#N/A</v>
      </c>
    </row>
    <row r="15" spans="1:89" s="2" customFormat="1" x14ac:dyDescent="0.25">
      <c r="A15" s="60" t="s">
        <v>284</v>
      </c>
      <c r="B15" s="60">
        <v>4016</v>
      </c>
      <c r="C15" s="60" t="s">
        <v>62</v>
      </c>
      <c r="D15" s="60" t="s">
        <v>285</v>
      </c>
      <c r="E15" s="30">
        <v>42527.210150462961</v>
      </c>
      <c r="F15" s="30">
        <v>42527.211145833331</v>
      </c>
      <c r="G15" s="38">
        <v>1</v>
      </c>
      <c r="H15" s="30" t="s">
        <v>116</v>
      </c>
      <c r="I15" s="30">
        <v>42527.244143518517</v>
      </c>
      <c r="J15" s="60">
        <v>0</v>
      </c>
      <c r="K15" s="60" t="str">
        <f t="shared" si="0"/>
        <v>4015/4016</v>
      </c>
      <c r="L15" s="60" t="str">
        <f>VLOOKUP(A15,'Trips&amp;Operators'!$C$1:$E$9999,3,FALSE)</f>
        <v>COOLAHAN</v>
      </c>
      <c r="M15" s="12">
        <f t="shared" si="1"/>
        <v>3.2997685186273884E-2</v>
      </c>
      <c r="N15" s="13">
        <f t="shared" si="2"/>
        <v>47.516666668234393</v>
      </c>
      <c r="O15" s="13"/>
      <c r="P15" s="13"/>
      <c r="Q15" s="61"/>
      <c r="R15" s="61"/>
      <c r="T15" s="73" t="str">
        <f t="shared" si="8"/>
        <v>https://search-rtdc-monitor-bjffxe2xuh6vdkpspy63sjmuny.us-east-1.es.amazonaws.com/_plugin/kibana/#/discover/Steve-Slow-Train-Analysis-(2080s-and-2083s)?_g=(refreshInterval:(display:Off,section:0,value:0),time:(from:'2016-06-06 05:01:37-0600',mode:absolute,to:'2016-06-06 05:52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15" s="73" t="str">
        <f t="shared" si="9"/>
        <v>N</v>
      </c>
      <c r="V15" s="73">
        <f t="shared" si="10"/>
        <v>1</v>
      </c>
      <c r="W15" s="73">
        <f t="shared" si="11"/>
        <v>4.1799999999999997E-2</v>
      </c>
      <c r="X15" s="73">
        <f t="shared" si="12"/>
        <v>23.3308</v>
      </c>
      <c r="Y15" s="73">
        <f t="shared" si="13"/>
        <v>23.289000000000001</v>
      </c>
      <c r="Z15" s="74" t="e">
        <f>VLOOKUP(A15,Enforcements!$C$3:$J$57,8,0)</f>
        <v>#N/A</v>
      </c>
      <c r="AA15" s="74" t="e">
        <f>VLOOKUP(A15,Enforcements!$C$3:$J$57,3,0)</f>
        <v>#N/A</v>
      </c>
    </row>
    <row r="16" spans="1:89" s="2" customFormat="1" x14ac:dyDescent="0.25">
      <c r="A16" s="60" t="s">
        <v>212</v>
      </c>
      <c r="B16" s="60">
        <v>4015</v>
      </c>
      <c r="C16" s="60" t="s">
        <v>62</v>
      </c>
      <c r="D16" s="60" t="s">
        <v>180</v>
      </c>
      <c r="E16" s="30">
        <v>42527.252500000002</v>
      </c>
      <c r="F16" s="30">
        <v>42527.254247685189</v>
      </c>
      <c r="G16" s="38">
        <v>2</v>
      </c>
      <c r="H16" s="30" t="s">
        <v>286</v>
      </c>
      <c r="I16" s="30">
        <v>42527.283402777779</v>
      </c>
      <c r="J16" s="60">
        <v>1</v>
      </c>
      <c r="K16" s="60" t="str">
        <f t="shared" si="0"/>
        <v>4015/4016</v>
      </c>
      <c r="L16" s="60" t="str">
        <f>VLOOKUP(A16,'Trips&amp;Operators'!$C$1:$E$9999,3,FALSE)</f>
        <v>COOLAHAN</v>
      </c>
      <c r="M16" s="12">
        <f t="shared" si="1"/>
        <v>2.9155092590372078E-2</v>
      </c>
      <c r="N16" s="13">
        <f t="shared" si="2"/>
        <v>41.983333330135792</v>
      </c>
      <c r="O16" s="13"/>
      <c r="P16" s="13"/>
      <c r="Q16" s="61"/>
      <c r="R16" s="61"/>
      <c r="T16" s="73" t="str">
        <f t="shared" si="8"/>
        <v>https://search-rtdc-monitor-bjffxe2xuh6vdkpspy63sjmuny.us-east-1.es.amazonaws.com/_plugin/kibana/#/discover/Steve-Slow-Train-Analysis-(2080s-and-2083s)?_g=(refreshInterval:(display:Off,section:0,value:0),time:(from:'2016-06-06 06:02:36-0600',mode:absolute,to:'2016-06-06 06:49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16" s="73" t="str">
        <f t="shared" si="9"/>
        <v>N</v>
      </c>
      <c r="V16" s="73">
        <f t="shared" si="10"/>
        <v>1</v>
      </c>
      <c r="W16" s="73">
        <f t="shared" si="11"/>
        <v>23.300799999999999</v>
      </c>
      <c r="X16" s="73">
        <f t="shared" si="12"/>
        <v>1.21E-2</v>
      </c>
      <c r="Y16" s="73">
        <f t="shared" si="13"/>
        <v>23.288699999999999</v>
      </c>
      <c r="Z16" s="74">
        <f>VLOOKUP(A16,Enforcements!$C$3:$J$57,8,0)</f>
        <v>1</v>
      </c>
      <c r="AA16" s="74" t="str">
        <f>VLOOKUP(A16,Enforcements!$C$3:$J$57,3,0)</f>
        <v>TRACK WARRANT AUTHORITY</v>
      </c>
    </row>
    <row r="17" spans="1:27" s="2" customFormat="1" x14ac:dyDescent="0.25">
      <c r="A17" s="60" t="s">
        <v>210</v>
      </c>
      <c r="B17" s="60">
        <v>4040</v>
      </c>
      <c r="C17" s="60" t="s">
        <v>62</v>
      </c>
      <c r="D17" s="60" t="s">
        <v>287</v>
      </c>
      <c r="E17" s="30">
        <v>42527.227789351855</v>
      </c>
      <c r="F17" s="30">
        <v>42527.229178240741</v>
      </c>
      <c r="G17" s="38">
        <v>1</v>
      </c>
      <c r="H17" s="30" t="s">
        <v>111</v>
      </c>
      <c r="I17" s="30">
        <v>42527.253680555557</v>
      </c>
      <c r="J17" s="60">
        <v>1</v>
      </c>
      <c r="K17" s="60" t="str">
        <f t="shared" si="0"/>
        <v>4039/4040</v>
      </c>
      <c r="L17" s="60" t="str">
        <f>VLOOKUP(A17,'Trips&amp;Operators'!$C$1:$E$9999,3,FALSE)</f>
        <v>MALAVE</v>
      </c>
      <c r="M17" s="12">
        <f t="shared" si="1"/>
        <v>2.4502314816345461E-2</v>
      </c>
      <c r="N17" s="13">
        <f t="shared" si="2"/>
        <v>35.283333335537463</v>
      </c>
      <c r="O17" s="13"/>
      <c r="P17" s="13"/>
      <c r="Q17" s="61"/>
      <c r="R17" s="61"/>
      <c r="T17" s="73" t="str">
        <f t="shared" si="8"/>
        <v>https://search-rtdc-monitor-bjffxe2xuh6vdkpspy63sjmuny.us-east-1.es.amazonaws.com/_plugin/kibana/#/discover/Steve-Slow-Train-Analysis-(2080s-and-2083s)?_g=(refreshInterval:(display:Off,section:0,value:0),time:(from:'2016-06-06 05:27:01-0600',mode:absolute,to:'2016-06-06 06:06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17" s="73" t="str">
        <f t="shared" si="9"/>
        <v>N</v>
      </c>
      <c r="V17" s="73">
        <f t="shared" si="10"/>
        <v>1</v>
      </c>
      <c r="W17" s="73">
        <f t="shared" si="11"/>
        <v>9.1800000000000007E-2</v>
      </c>
      <c r="X17" s="73">
        <f t="shared" si="12"/>
        <v>23.3291</v>
      </c>
      <c r="Y17" s="73">
        <f t="shared" si="13"/>
        <v>23.237300000000001</v>
      </c>
      <c r="Z17" s="74">
        <f>VLOOKUP(A17,Enforcements!$C$3:$J$57,8,0)</f>
        <v>233491</v>
      </c>
      <c r="AA17" s="74" t="str">
        <f>VLOOKUP(A17,Enforcements!$C$3:$J$57,3,0)</f>
        <v>TRACK WARRANT AUTHORITY</v>
      </c>
    </row>
    <row r="18" spans="1:27" s="2" customFormat="1" x14ac:dyDescent="0.25">
      <c r="A18" s="60" t="s">
        <v>213</v>
      </c>
      <c r="B18" s="60">
        <v>4039</v>
      </c>
      <c r="C18" s="60" t="s">
        <v>62</v>
      </c>
      <c r="D18" s="60" t="s">
        <v>288</v>
      </c>
      <c r="E18" s="30">
        <v>42527.258472222224</v>
      </c>
      <c r="F18" s="30">
        <v>42527.264108796298</v>
      </c>
      <c r="G18" s="38">
        <v>8</v>
      </c>
      <c r="H18" s="30" t="s">
        <v>115</v>
      </c>
      <c r="I18" s="30">
        <v>42527.294131944444</v>
      </c>
      <c r="J18" s="60">
        <v>2</v>
      </c>
      <c r="K18" s="60" t="str">
        <f t="shared" si="0"/>
        <v>4039/4040</v>
      </c>
      <c r="L18" s="60" t="str">
        <f>VLOOKUP(A18,'Trips&amp;Operators'!$C$1:$E$9999,3,FALSE)</f>
        <v>MALAVE</v>
      </c>
      <c r="M18" s="12">
        <f t="shared" si="1"/>
        <v>3.0023148145119194E-2</v>
      </c>
      <c r="N18" s="13">
        <f t="shared" si="2"/>
        <v>43.233333328971639</v>
      </c>
      <c r="O18" s="13"/>
      <c r="P18" s="13"/>
      <c r="Q18" s="61"/>
      <c r="R18" s="61"/>
      <c r="T18" s="73" t="str">
        <f t="shared" si="8"/>
        <v>https://search-rtdc-monitor-bjffxe2xuh6vdkpspy63sjmuny.us-east-1.es.amazonaws.com/_plugin/kibana/#/discover/Steve-Slow-Train-Analysis-(2080s-and-2083s)?_g=(refreshInterval:(display:Off,section:0,value:0),time:(from:'2016-06-06 06:11:12-0600',mode:absolute,to:'2016-06-06 07:04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18" s="73" t="str">
        <f t="shared" si="9"/>
        <v>N</v>
      </c>
      <c r="V18" s="73">
        <f t="shared" si="10"/>
        <v>1</v>
      </c>
      <c r="W18" s="73">
        <f t="shared" si="11"/>
        <v>23.296099999999999</v>
      </c>
      <c r="X18" s="73">
        <f t="shared" si="12"/>
        <v>1.54E-2</v>
      </c>
      <c r="Y18" s="73">
        <f t="shared" si="13"/>
        <v>23.2807</v>
      </c>
      <c r="Z18" s="74">
        <f>VLOOKUP(A18,Enforcements!$C$3:$J$57,8,0)</f>
        <v>103864</v>
      </c>
      <c r="AA18" s="74" t="str">
        <f>VLOOKUP(A18,Enforcements!$C$3:$J$57,3,0)</f>
        <v>EQUIPMENT RESTRICTION</v>
      </c>
    </row>
    <row r="19" spans="1:27" s="2" customFormat="1" x14ac:dyDescent="0.25">
      <c r="A19" s="60" t="s">
        <v>289</v>
      </c>
      <c r="B19" s="60">
        <v>4014</v>
      </c>
      <c r="C19" s="60" t="s">
        <v>62</v>
      </c>
      <c r="D19" s="60" t="s">
        <v>290</v>
      </c>
      <c r="E19" s="30">
        <v>42527.23065972222</v>
      </c>
      <c r="F19" s="30">
        <v>42527.233576388891</v>
      </c>
      <c r="G19" s="38">
        <v>4</v>
      </c>
      <c r="H19" s="30" t="s">
        <v>148</v>
      </c>
      <c r="I19" s="30">
        <v>42527.264999999999</v>
      </c>
      <c r="J19" s="60">
        <v>0</v>
      </c>
      <c r="K19" s="60" t="str">
        <f t="shared" si="0"/>
        <v>4013/4014</v>
      </c>
      <c r="L19" s="60" t="str">
        <f>VLOOKUP(A19,'Trips&amp;Operators'!$C$1:$E$9999,3,FALSE)</f>
        <v>STURGEON</v>
      </c>
      <c r="M19" s="12">
        <f t="shared" si="1"/>
        <v>3.142361110803904E-2</v>
      </c>
      <c r="N19" s="13">
        <f t="shared" si="2"/>
        <v>45.249999995576218</v>
      </c>
      <c r="O19" s="13"/>
      <c r="P19" s="13"/>
      <c r="Q19" s="61"/>
      <c r="R19" s="61"/>
      <c r="T19" s="73" t="str">
        <f t="shared" si="8"/>
        <v>https://search-rtdc-monitor-bjffxe2xuh6vdkpspy63sjmuny.us-east-1.es.amazonaws.com/_plugin/kibana/#/discover/Steve-Slow-Train-Analysis-(2080s-and-2083s)?_g=(refreshInterval:(display:Off,section:0,value:0),time:(from:'2016-06-06 05:31:09-0600',mode:absolute,to:'2016-06-06 06:22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U19" s="73" t="str">
        <f t="shared" si="9"/>
        <v>N</v>
      </c>
      <c r="V19" s="73">
        <f t="shared" si="10"/>
        <v>1</v>
      </c>
      <c r="W19" s="73">
        <f t="shared" si="11"/>
        <v>5.1999999999999998E-2</v>
      </c>
      <c r="X19" s="73">
        <f t="shared" si="12"/>
        <v>23.329799999999999</v>
      </c>
      <c r="Y19" s="73">
        <f t="shared" si="13"/>
        <v>23.277799999999999</v>
      </c>
      <c r="Z19" s="74" t="e">
        <f>VLOOKUP(A19,Enforcements!$C$3:$J$57,8,0)</f>
        <v>#N/A</v>
      </c>
      <c r="AA19" s="74" t="e">
        <f>VLOOKUP(A19,Enforcements!$C$3:$J$57,3,0)</f>
        <v>#N/A</v>
      </c>
    </row>
    <row r="20" spans="1:27" s="2" customFormat="1" x14ac:dyDescent="0.25">
      <c r="A20" s="60" t="s">
        <v>215</v>
      </c>
      <c r="B20" s="60">
        <v>4013</v>
      </c>
      <c r="C20" s="60" t="s">
        <v>62</v>
      </c>
      <c r="D20" s="60" t="s">
        <v>291</v>
      </c>
      <c r="E20" s="30">
        <v>42527.273634259262</v>
      </c>
      <c r="F20" s="30">
        <v>42527.274606481478</v>
      </c>
      <c r="G20" s="38">
        <v>1</v>
      </c>
      <c r="H20" s="30" t="s">
        <v>96</v>
      </c>
      <c r="I20" s="30">
        <v>42527.3046412037</v>
      </c>
      <c r="J20" s="60">
        <v>1</v>
      </c>
      <c r="K20" s="60" t="str">
        <f t="shared" si="0"/>
        <v>4013/4014</v>
      </c>
      <c r="L20" s="60" t="str">
        <f>VLOOKUP(A20,'Trips&amp;Operators'!$C$1:$E$9999,3,FALSE)</f>
        <v>STURGEON</v>
      </c>
      <c r="M20" s="12">
        <f t="shared" si="1"/>
        <v>3.0034722221898846E-2</v>
      </c>
      <c r="N20" s="13">
        <f t="shared" si="2"/>
        <v>43.249999999534339</v>
      </c>
      <c r="O20" s="13"/>
      <c r="P20" s="13"/>
      <c r="Q20" s="61"/>
      <c r="R20" s="61"/>
      <c r="T20" s="73" t="str">
        <f t="shared" si="8"/>
        <v>https://search-rtdc-monitor-bjffxe2xuh6vdkpspy63sjmuny.us-east-1.es.amazonaws.com/_plugin/kibana/#/discover/Steve-Slow-Train-Analysis-(2080s-and-2083s)?_g=(refreshInterval:(display:Off,section:0,value:0),time:(from:'2016-06-06 06:33:02-0600',mode:absolute,to:'2016-06-06 07:19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U20" s="73" t="str">
        <f t="shared" si="9"/>
        <v>N</v>
      </c>
      <c r="V20" s="73">
        <f t="shared" si="10"/>
        <v>1</v>
      </c>
      <c r="W20" s="73">
        <f t="shared" si="11"/>
        <v>23.2974</v>
      </c>
      <c r="X20" s="73">
        <f t="shared" si="12"/>
        <v>1.5599999999999999E-2</v>
      </c>
      <c r="Y20" s="73">
        <f t="shared" si="13"/>
        <v>23.2818</v>
      </c>
      <c r="Z20" s="74">
        <f>VLOOKUP(A20,Enforcements!$C$3:$J$57,8,0)</f>
        <v>1</v>
      </c>
      <c r="AA20" s="74" t="str">
        <f>VLOOKUP(A20,Enforcements!$C$3:$J$57,3,0)</f>
        <v>TRACK WARRANT AUTHORITY</v>
      </c>
    </row>
    <row r="21" spans="1:27" s="2" customFormat="1" x14ac:dyDescent="0.25">
      <c r="A21" s="60" t="s">
        <v>292</v>
      </c>
      <c r="B21" s="60">
        <v>4011</v>
      </c>
      <c r="C21" s="60" t="s">
        <v>62</v>
      </c>
      <c r="D21" s="60" t="s">
        <v>293</v>
      </c>
      <c r="E21" s="30">
        <v>42527.247615740744</v>
      </c>
      <c r="F21" s="30">
        <v>42527.24863425926</v>
      </c>
      <c r="G21" s="38">
        <v>1</v>
      </c>
      <c r="H21" s="30" t="s">
        <v>294</v>
      </c>
      <c r="I21" s="30">
        <v>42527.274780092594</v>
      </c>
      <c r="J21" s="60">
        <v>0</v>
      </c>
      <c r="K21" s="60" t="str">
        <f t="shared" si="0"/>
        <v>4011/4012</v>
      </c>
      <c r="L21" s="60" t="str">
        <f>VLOOKUP(A21,'Trips&amp;Operators'!$C$1:$E$9999,3,FALSE)</f>
        <v>BRABO</v>
      </c>
      <c r="M21" s="12">
        <f t="shared" si="1"/>
        <v>2.6145833333430346E-2</v>
      </c>
      <c r="N21" s="13">
        <f t="shared" si="2"/>
        <v>37.650000000139698</v>
      </c>
      <c r="O21" s="13"/>
      <c r="P21" s="13"/>
      <c r="Q21" s="61"/>
      <c r="R21" s="61"/>
      <c r="T21" s="73" t="str">
        <f t="shared" si="8"/>
        <v>https://search-rtdc-monitor-bjffxe2xuh6vdkpspy63sjmuny.us-east-1.es.amazonaws.com/_plugin/kibana/#/discover/Steve-Slow-Train-Analysis-(2080s-and-2083s)?_g=(refreshInterval:(display:Off,section:0,value:0),time:(from:'2016-06-06 05:55:34-0600',mode:absolute,to:'2016-06-06 06:36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21" s="73" t="str">
        <f t="shared" si="9"/>
        <v>N</v>
      </c>
      <c r="V21" s="73">
        <f t="shared" si="10"/>
        <v>1</v>
      </c>
      <c r="W21" s="73">
        <f t="shared" si="11"/>
        <v>7.17E-2</v>
      </c>
      <c r="X21" s="73">
        <f t="shared" si="12"/>
        <v>23.327999999999999</v>
      </c>
      <c r="Y21" s="73">
        <f t="shared" si="13"/>
        <v>23.2563</v>
      </c>
      <c r="Z21" s="74" t="e">
        <f>VLOOKUP(A21,Enforcements!$C$3:$J$57,8,0)</f>
        <v>#N/A</v>
      </c>
      <c r="AA21" s="74" t="e">
        <f>VLOOKUP(A21,Enforcements!$C$3:$J$57,3,0)</f>
        <v>#N/A</v>
      </c>
    </row>
    <row r="22" spans="1:27" s="2" customFormat="1" x14ac:dyDescent="0.25">
      <c r="A22" s="60" t="s">
        <v>295</v>
      </c>
      <c r="B22" s="60">
        <v>4012</v>
      </c>
      <c r="C22" s="60" t="s">
        <v>62</v>
      </c>
      <c r="D22" s="60" t="s">
        <v>296</v>
      </c>
      <c r="E22" s="30">
        <v>42527.283032407409</v>
      </c>
      <c r="F22" s="30">
        <v>42527.284074074072</v>
      </c>
      <c r="G22" s="38">
        <v>1</v>
      </c>
      <c r="H22" s="30" t="s">
        <v>264</v>
      </c>
      <c r="I22" s="30">
        <v>42527.315439814818</v>
      </c>
      <c r="J22" s="60">
        <v>0</v>
      </c>
      <c r="K22" s="60" t="str">
        <f t="shared" si="0"/>
        <v>4011/4012</v>
      </c>
      <c r="L22" s="60" t="str">
        <f>VLOOKUP(A22,'Trips&amp;Operators'!$C$1:$E$9999,3,FALSE)</f>
        <v>BRABO</v>
      </c>
      <c r="M22" s="12">
        <f t="shared" si="1"/>
        <v>3.1365740745968651E-2</v>
      </c>
      <c r="N22" s="13">
        <f t="shared" si="2"/>
        <v>45.166666674194857</v>
      </c>
      <c r="O22" s="13"/>
      <c r="P22" s="13"/>
      <c r="Q22" s="61"/>
      <c r="R22" s="61"/>
      <c r="T22" s="73" t="str">
        <f t="shared" si="8"/>
        <v>https://search-rtdc-monitor-bjffxe2xuh6vdkpspy63sjmuny.us-east-1.es.amazonaws.com/_plugin/kibana/#/discover/Steve-Slow-Train-Analysis-(2080s-and-2083s)?_g=(refreshInterval:(display:Off,section:0,value:0),time:(from:'2016-06-06 06:46:34-0600',mode:absolute,to:'2016-06-06 07:35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22" s="73" t="str">
        <f t="shared" si="9"/>
        <v>N</v>
      </c>
      <c r="V22" s="73">
        <f t="shared" si="10"/>
        <v>1</v>
      </c>
      <c r="W22" s="73">
        <f t="shared" si="11"/>
        <v>23.295500000000001</v>
      </c>
      <c r="X22" s="73">
        <f t="shared" si="12"/>
        <v>1.34E-2</v>
      </c>
      <c r="Y22" s="73">
        <f t="shared" si="13"/>
        <v>23.2821</v>
      </c>
      <c r="Z22" s="74" t="e">
        <f>VLOOKUP(A22,Enforcements!$C$3:$J$57,8,0)</f>
        <v>#N/A</v>
      </c>
      <c r="AA22" s="74" t="e">
        <f>VLOOKUP(A22,Enforcements!$C$3:$J$57,3,0)</f>
        <v>#N/A</v>
      </c>
    </row>
    <row r="23" spans="1:27" s="2" customFormat="1" x14ac:dyDescent="0.25">
      <c r="A23" s="60" t="s">
        <v>448</v>
      </c>
      <c r="B23" s="60">
        <v>4031</v>
      </c>
      <c r="C23" s="60"/>
      <c r="D23" s="60"/>
      <c r="E23" s="30"/>
      <c r="F23" s="30">
        <v>42527.256608796299</v>
      </c>
      <c r="G23" s="38"/>
      <c r="H23" s="30"/>
      <c r="I23" s="30">
        <v>42527.260300925926</v>
      </c>
      <c r="J23" s="60"/>
      <c r="K23" s="60" t="str">
        <f t="shared" ref="K23:K24" si="24">IF(ISEVEN(B23),(B23-1)&amp;"/"&amp;B23,B23&amp;"/"&amp;(B23+1))</f>
        <v>4031/4032</v>
      </c>
      <c r="L23" s="60" t="str">
        <f>VLOOKUP(A23,'Trips&amp;Operators'!$C$1:$E$9999,3,FALSE)</f>
        <v>YANAI</v>
      </c>
      <c r="M23" s="12">
        <f t="shared" ref="M23:M24" si="25">I23-F23</f>
        <v>3.6921296268701553E-3</v>
      </c>
      <c r="N23" s="13"/>
      <c r="O23" s="13"/>
      <c r="P23" s="13">
        <f t="shared" ref="N23:P24" si="26">24*60*SUM($M23:$M23)</f>
        <v>5.3166666626930237</v>
      </c>
      <c r="Q23" s="61"/>
      <c r="R23" s="61" t="s">
        <v>450</v>
      </c>
      <c r="T23" s="73"/>
      <c r="U23" s="73"/>
      <c r="V23" s="73">
        <f t="shared" si="10"/>
        <v>1</v>
      </c>
      <c r="W23" s="73"/>
      <c r="X23" s="73"/>
      <c r="Y23" s="73"/>
      <c r="Z23" s="74"/>
      <c r="AA23" s="74"/>
    </row>
    <row r="24" spans="1:27" s="2" customFormat="1" x14ac:dyDescent="0.25">
      <c r="A24" s="60" t="s">
        <v>297</v>
      </c>
      <c r="B24" s="60">
        <v>4032</v>
      </c>
      <c r="C24" s="60" t="s">
        <v>62</v>
      </c>
      <c r="D24" s="60" t="s">
        <v>298</v>
      </c>
      <c r="E24" s="30">
        <v>42527.295370370368</v>
      </c>
      <c r="F24" s="30">
        <v>42527.296296296299</v>
      </c>
      <c r="G24" s="38">
        <v>1</v>
      </c>
      <c r="H24" s="30" t="s">
        <v>66</v>
      </c>
      <c r="I24" s="30">
        <v>42527.324699074074</v>
      </c>
      <c r="J24" s="60">
        <v>0</v>
      </c>
      <c r="K24" s="60" t="str">
        <f t="shared" si="24"/>
        <v>4031/4032</v>
      </c>
      <c r="L24" s="60" t="str">
        <f>VLOOKUP(A24,'Trips&amp;Operators'!$C$1:$E$9999,3,FALSE)</f>
        <v>YANAI</v>
      </c>
      <c r="M24" s="12">
        <f t="shared" si="25"/>
        <v>2.8402777774317656E-2</v>
      </c>
      <c r="N24" s="13">
        <f t="shared" si="26"/>
        <v>40.899999995017424</v>
      </c>
      <c r="O24" s="13"/>
      <c r="P24" s="13"/>
      <c r="Q24" s="61"/>
      <c r="R24" s="61"/>
      <c r="T24" s="73" t="str">
        <f t="shared" si="8"/>
        <v>https://search-rtdc-monitor-bjffxe2xuh6vdkpspy63sjmuny.us-east-1.es.amazonaws.com/_plugin/kibana/#/discover/Steve-Slow-Train-Analysis-(2080s-and-2083s)?_g=(refreshInterval:(display:Off,section:0,value:0),time:(from:'2016-06-06 07:04:20-0600',mode:absolute,to:'2016-06-06 07:48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U24" s="73" t="str">
        <f t="shared" si="9"/>
        <v>N</v>
      </c>
      <c r="V24" s="73">
        <f t="shared" si="10"/>
        <v>1</v>
      </c>
      <c r="W24" s="73">
        <f t="shared" si="11"/>
        <v>23.312100000000001</v>
      </c>
      <c r="X24" s="73">
        <f t="shared" si="12"/>
        <v>1.52E-2</v>
      </c>
      <c r="Y24" s="73">
        <f t="shared" si="13"/>
        <v>23.296900000000001</v>
      </c>
      <c r="Z24" s="74" t="e">
        <f>VLOOKUP(A24,Enforcements!$C$3:$J$57,8,0)</f>
        <v>#N/A</v>
      </c>
      <c r="AA24" s="74" t="e">
        <f>VLOOKUP(A24,Enforcements!$C$3:$J$57,3,0)</f>
        <v>#N/A</v>
      </c>
    </row>
    <row r="25" spans="1:27" s="2" customFormat="1" x14ac:dyDescent="0.25">
      <c r="A25" s="60" t="s">
        <v>299</v>
      </c>
      <c r="B25" s="60">
        <v>4020</v>
      </c>
      <c r="C25" s="60" t="s">
        <v>62</v>
      </c>
      <c r="D25" s="60" t="s">
        <v>65</v>
      </c>
      <c r="E25" s="30">
        <v>42527.266053240739</v>
      </c>
      <c r="F25" s="30">
        <v>42527.267071759263</v>
      </c>
      <c r="G25" s="38">
        <v>1</v>
      </c>
      <c r="H25" s="30" t="s">
        <v>300</v>
      </c>
      <c r="I25" s="30">
        <v>42527.295231481483</v>
      </c>
      <c r="J25" s="60">
        <v>0</v>
      </c>
      <c r="K25" s="60" t="str">
        <f t="shared" ref="K25:K56" si="27">IF(ISEVEN(B25),(B25-1)&amp;"/"&amp;B25,B25&amp;"/"&amp;(B25+1))</f>
        <v>4019/4020</v>
      </c>
      <c r="L25" s="60" t="str">
        <f>VLOOKUP(A25,'Trips&amp;Operators'!$C$1:$E$9999,3,FALSE)</f>
        <v>SPECTOR</v>
      </c>
      <c r="M25" s="12">
        <f t="shared" ref="M25:M56" si="28">I25-F25</f>
        <v>2.8159722220152617E-2</v>
      </c>
      <c r="N25" s="13">
        <f t="shared" ref="N25:N44" si="29">24*60*SUM($M25:$M25)</f>
        <v>40.549999997019768</v>
      </c>
      <c r="O25" s="13"/>
      <c r="P25" s="13"/>
      <c r="Q25" s="61"/>
      <c r="R25" s="61"/>
      <c r="T25" s="73" t="str">
        <f t="shared" si="8"/>
        <v>https://search-rtdc-monitor-bjffxe2xuh6vdkpspy63sjmuny.us-east-1.es.amazonaws.com/_plugin/kibana/#/discover/Steve-Slow-Train-Analysis-(2080s-and-2083s)?_g=(refreshInterval:(display:Off,section:0,value:0),time:(from:'2016-06-06 06:22:07-0600',mode:absolute,to:'2016-06-06 07:06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25" s="73" t="str">
        <f t="shared" si="9"/>
        <v>N</v>
      </c>
      <c r="V25" s="73">
        <f t="shared" si="10"/>
        <v>1</v>
      </c>
      <c r="W25" s="73">
        <f t="shared" si="11"/>
        <v>4.5100000000000001E-2</v>
      </c>
      <c r="X25" s="73">
        <f t="shared" si="12"/>
        <v>23.334099999999999</v>
      </c>
      <c r="Y25" s="73">
        <f t="shared" si="13"/>
        <v>23.288999999999998</v>
      </c>
      <c r="Z25" s="74" t="e">
        <f>VLOOKUP(A25,Enforcements!$C$3:$J$57,8,0)</f>
        <v>#N/A</v>
      </c>
      <c r="AA25" s="74" t="e">
        <f>VLOOKUP(A25,Enforcements!$C$3:$J$57,3,0)</f>
        <v>#N/A</v>
      </c>
    </row>
    <row r="26" spans="1:27" s="2" customFormat="1" x14ac:dyDescent="0.25">
      <c r="A26" s="60" t="s">
        <v>301</v>
      </c>
      <c r="B26" s="60">
        <v>4019</v>
      </c>
      <c r="C26" s="60" t="s">
        <v>62</v>
      </c>
      <c r="D26" s="60" t="s">
        <v>302</v>
      </c>
      <c r="E26" s="30">
        <v>42527.305787037039</v>
      </c>
      <c r="F26" s="30">
        <v>42527.30678240741</v>
      </c>
      <c r="G26" s="38">
        <v>1</v>
      </c>
      <c r="H26" s="30" t="s">
        <v>166</v>
      </c>
      <c r="I26" s="30">
        <v>42527.335648148146</v>
      </c>
      <c r="J26" s="60">
        <v>0</v>
      </c>
      <c r="K26" s="60" t="str">
        <f t="shared" si="27"/>
        <v>4019/4020</v>
      </c>
      <c r="L26" s="60" t="str">
        <f>VLOOKUP(A26,'Trips&amp;Operators'!$C$1:$E$9999,3,FALSE)</f>
        <v>SPECTOR</v>
      </c>
      <c r="M26" s="12">
        <f t="shared" si="28"/>
        <v>2.8865740736364387E-2</v>
      </c>
      <c r="N26" s="13">
        <f t="shared" si="29"/>
        <v>41.566666660364717</v>
      </c>
      <c r="O26" s="13"/>
      <c r="P26" s="13"/>
      <c r="Q26" s="61"/>
      <c r="R26" s="61"/>
      <c r="T26" s="73" t="str">
        <f t="shared" si="8"/>
        <v>https://search-rtdc-monitor-bjffxe2xuh6vdkpspy63sjmuny.us-east-1.es.amazonaws.com/_plugin/kibana/#/discover/Steve-Slow-Train-Analysis-(2080s-and-2083s)?_g=(refreshInterval:(display:Off,section:0,value:0),time:(from:'2016-06-06 07:19:20-0600',mode:absolute,to:'2016-06-06 08:04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26" s="73" t="str">
        <f t="shared" si="9"/>
        <v>N</v>
      </c>
      <c r="V26" s="73">
        <f t="shared" si="10"/>
        <v>1</v>
      </c>
      <c r="W26" s="73">
        <f t="shared" si="11"/>
        <v>23.308599999999998</v>
      </c>
      <c r="X26" s="73">
        <f t="shared" si="12"/>
        <v>1.32E-2</v>
      </c>
      <c r="Y26" s="73">
        <f t="shared" si="13"/>
        <v>23.295399999999997</v>
      </c>
      <c r="Z26" s="74" t="e">
        <f>VLOOKUP(A26,Enforcements!$C$3:$J$57,8,0)</f>
        <v>#N/A</v>
      </c>
      <c r="AA26" s="74" t="e">
        <f>VLOOKUP(A26,Enforcements!$C$3:$J$57,3,0)</f>
        <v>#N/A</v>
      </c>
    </row>
    <row r="27" spans="1:27" s="2" customFormat="1" ht="16.5" customHeight="1" x14ac:dyDescent="0.25">
      <c r="A27" s="60" t="s">
        <v>303</v>
      </c>
      <c r="B27" s="60">
        <v>4018</v>
      </c>
      <c r="C27" s="60" t="s">
        <v>62</v>
      </c>
      <c r="D27" s="60" t="s">
        <v>143</v>
      </c>
      <c r="E27" s="30">
        <v>42527.277395833335</v>
      </c>
      <c r="F27" s="30">
        <v>42527.278391203705</v>
      </c>
      <c r="G27" s="38">
        <v>1</v>
      </c>
      <c r="H27" s="30" t="s">
        <v>304</v>
      </c>
      <c r="I27" s="30">
        <v>42527.306342592594</v>
      </c>
      <c r="J27" s="60">
        <v>0</v>
      </c>
      <c r="K27" s="60" t="str">
        <f t="shared" si="27"/>
        <v>4017/4018</v>
      </c>
      <c r="L27" s="60" t="str">
        <f>VLOOKUP(A27,'Trips&amp;Operators'!$C$1:$E$9999,3,FALSE)</f>
        <v>SANTIZO</v>
      </c>
      <c r="M27" s="12">
        <f t="shared" si="28"/>
        <v>2.7951388889050577E-2</v>
      </c>
      <c r="N27" s="13">
        <f t="shared" si="29"/>
        <v>40.250000000232831</v>
      </c>
      <c r="O27" s="13"/>
      <c r="P27" s="13"/>
      <c r="Q27" s="61"/>
      <c r="R27" s="61"/>
      <c r="T27" s="73" t="str">
        <f>"https://search-rtdc-monitor-bjffxe2xuh6vdkpspy63sjmuny.us-east-1.es.amazonaws.com/_plugin/kibana/#/discover/Steve-Slow-Train-Analysis-(2080s-and-2083s)?_g=(refreshInterval:(display:Off,section:0,value:0),time:(from:'"&amp;TEXT(E27-1/24/60,"yyyy-MM-DD hh:mm:ss")&amp;"-0600',mode:absolute,to:'"&amp;TEXT(I27+1/24/60,"yyyy-MM-DD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27&amp;"%22')),sort:!(Time,asc))"</f>
        <v>https://search-rtdc-monitor-bjffxe2xuh6vdkpspy63sjmuny.us-east-1.es.amazonaws.com/_plugin/kibana/#/discover/Steve-Slow-Train-Analysis-(2080s-and-2083s)?_g=(refreshInterval:(display:Off,section:0,value:0),time:(from:'2016-06-06 06:38:27-0600',mode:absolute,to:'2016-06-06 07:22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U27" s="73" t="str">
        <f>IF(Y27&lt;23,"Y","N")</f>
        <v>N</v>
      </c>
      <c r="V27" s="73">
        <f t="shared" si="10"/>
        <v>1</v>
      </c>
      <c r="W27" s="73">
        <f>RIGHT(D27,LEN(D27)-4)/10000</f>
        <v>4.7100000000000003E-2</v>
      </c>
      <c r="X27" s="73">
        <f>RIGHT(H27,LEN(H27)-4)/10000</f>
        <v>23.333400000000001</v>
      </c>
      <c r="Y27" s="73">
        <f>ABS(X27-W27)</f>
        <v>23.286300000000001</v>
      </c>
      <c r="Z27" s="74" t="e">
        <f>VLOOKUP(A27,Enforcements!$C$3:$J$57,8,0)</f>
        <v>#N/A</v>
      </c>
      <c r="AA27" s="74" t="e">
        <f>VLOOKUP(A27,Enforcements!$C$3:$J$57,3,0)</f>
        <v>#N/A</v>
      </c>
    </row>
    <row r="28" spans="1:27" s="2" customFormat="1" ht="16.5" customHeight="1" x14ac:dyDescent="0.25">
      <c r="A28" s="60" t="s">
        <v>305</v>
      </c>
      <c r="B28" s="60">
        <v>4017</v>
      </c>
      <c r="C28" s="60" t="s">
        <v>62</v>
      </c>
      <c r="D28" s="60" t="s">
        <v>180</v>
      </c>
      <c r="E28" s="30">
        <v>42527.314942129633</v>
      </c>
      <c r="F28" s="30">
        <v>42527.316087962965</v>
      </c>
      <c r="G28" s="38">
        <v>1</v>
      </c>
      <c r="H28" s="30" t="s">
        <v>97</v>
      </c>
      <c r="I28" s="30">
        <v>42527.345497685186</v>
      </c>
      <c r="J28" s="60">
        <v>0</v>
      </c>
      <c r="K28" s="60" t="str">
        <f t="shared" si="27"/>
        <v>4017/4018</v>
      </c>
      <c r="L28" s="60" t="str">
        <f>VLOOKUP(A28,'Trips&amp;Operators'!$C$1:$E$9999,3,FALSE)</f>
        <v>SANTIZO</v>
      </c>
      <c r="M28" s="12">
        <f t="shared" si="28"/>
        <v>2.940972222131677E-2</v>
      </c>
      <c r="N28" s="13">
        <f t="shared" si="29"/>
        <v>42.349999998696148</v>
      </c>
      <c r="O28" s="13"/>
      <c r="P28" s="13"/>
      <c r="Q28" s="61"/>
      <c r="R28" s="61"/>
      <c r="T28" s="73" t="str">
        <f t="shared" si="8"/>
        <v>https://search-rtdc-monitor-bjffxe2xuh6vdkpspy63sjmuny.us-east-1.es.amazonaws.com/_plugin/kibana/#/discover/Steve-Slow-Train-Analysis-(2080s-and-2083s)?_g=(refreshInterval:(display:Off,section:0,value:0),time:(from:'2016-06-06 07:32:31-0600',mode:absolute,to:'2016-06-06 08:18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U28" s="73" t="str">
        <f t="shared" si="9"/>
        <v>N</v>
      </c>
      <c r="V28" s="73">
        <f t="shared" si="10"/>
        <v>1</v>
      </c>
      <c r="W28" s="73">
        <f t="shared" si="11"/>
        <v>23.300799999999999</v>
      </c>
      <c r="X28" s="73">
        <f t="shared" si="12"/>
        <v>1.49E-2</v>
      </c>
      <c r="Y28" s="73">
        <f t="shared" si="13"/>
        <v>23.285899999999998</v>
      </c>
      <c r="Z28" s="74" t="e">
        <f>VLOOKUP(A28,Enforcements!$C$3:$J$57,8,0)</f>
        <v>#N/A</v>
      </c>
      <c r="AA28" s="74" t="e">
        <f>VLOOKUP(A28,Enforcements!$C$3:$J$57,3,0)</f>
        <v>#N/A</v>
      </c>
    </row>
    <row r="29" spans="1:27" s="2" customFormat="1" x14ac:dyDescent="0.25">
      <c r="A29" s="60" t="s">
        <v>306</v>
      </c>
      <c r="B29" s="60">
        <v>4016</v>
      </c>
      <c r="C29" s="60" t="s">
        <v>62</v>
      </c>
      <c r="D29" s="60" t="s">
        <v>167</v>
      </c>
      <c r="E29" s="30">
        <v>42527.287511574075</v>
      </c>
      <c r="F29" s="30">
        <v>42527.288819444446</v>
      </c>
      <c r="G29" s="38">
        <v>1</v>
      </c>
      <c r="H29" s="30" t="s">
        <v>307</v>
      </c>
      <c r="I29" s="30">
        <v>42527.317696759259</v>
      </c>
      <c r="J29" s="60">
        <v>0</v>
      </c>
      <c r="K29" s="60" t="str">
        <f t="shared" si="27"/>
        <v>4015/4016</v>
      </c>
      <c r="L29" s="60" t="str">
        <f>VLOOKUP(A29,'Trips&amp;Operators'!$C$1:$E$9999,3,FALSE)</f>
        <v>COOLAHAN</v>
      </c>
      <c r="M29" s="12">
        <f t="shared" si="28"/>
        <v>2.8877314813144039E-2</v>
      </c>
      <c r="N29" s="13">
        <f t="shared" si="29"/>
        <v>41.583333330927417</v>
      </c>
      <c r="O29" s="13"/>
      <c r="P29" s="13"/>
      <c r="Q29" s="61"/>
      <c r="R29" s="61"/>
      <c r="T29" s="73" t="str">
        <f t="shared" si="8"/>
        <v>https://search-rtdc-monitor-bjffxe2xuh6vdkpspy63sjmuny.us-east-1.es.amazonaws.com/_plugin/kibana/#/discover/Steve-Slow-Train-Analysis-(2080s-and-2083s)?_g=(refreshInterval:(display:Off,section:0,value:0),time:(from:'2016-06-06 06:53:01-0600',mode:absolute,to:'2016-06-06 07:38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29" s="73" t="str">
        <f t="shared" si="9"/>
        <v>N</v>
      </c>
      <c r="V29" s="73">
        <f t="shared" si="10"/>
        <v>1</v>
      </c>
      <c r="W29" s="73">
        <f t="shared" si="11"/>
        <v>4.3099999999999999E-2</v>
      </c>
      <c r="X29" s="73">
        <f t="shared" si="12"/>
        <v>23.3337</v>
      </c>
      <c r="Y29" s="73">
        <f t="shared" si="13"/>
        <v>23.290600000000001</v>
      </c>
      <c r="Z29" s="74" t="e">
        <f>VLOOKUP(A29,Enforcements!$C$3:$J$57,8,0)</f>
        <v>#N/A</v>
      </c>
      <c r="AA29" s="74" t="e">
        <f>VLOOKUP(A29,Enforcements!$C$3:$J$57,3,0)</f>
        <v>#N/A</v>
      </c>
    </row>
    <row r="30" spans="1:27" s="2" customFormat="1" x14ac:dyDescent="0.25">
      <c r="A30" s="60" t="s">
        <v>308</v>
      </c>
      <c r="B30" s="60">
        <v>4015</v>
      </c>
      <c r="C30" s="60" t="s">
        <v>62</v>
      </c>
      <c r="D30" s="60" t="s">
        <v>309</v>
      </c>
      <c r="E30" s="30">
        <v>42527.32571759259</v>
      </c>
      <c r="F30" s="30">
        <v>42527.327118055553</v>
      </c>
      <c r="G30" s="38">
        <v>2</v>
      </c>
      <c r="H30" s="30" t="s">
        <v>310</v>
      </c>
      <c r="I30" s="30">
        <v>42527.356712962966</v>
      </c>
      <c r="J30" s="60">
        <v>0</v>
      </c>
      <c r="K30" s="60" t="str">
        <f t="shared" si="27"/>
        <v>4015/4016</v>
      </c>
      <c r="L30" s="60" t="str">
        <f>VLOOKUP(A30,'Trips&amp;Operators'!$C$1:$E$9999,3,FALSE)</f>
        <v>COOLAHAN</v>
      </c>
      <c r="M30" s="12">
        <f t="shared" si="28"/>
        <v>2.959490741341142E-2</v>
      </c>
      <c r="N30" s="13">
        <f t="shared" si="29"/>
        <v>42.616666675312445</v>
      </c>
      <c r="O30" s="13"/>
      <c r="P30" s="13"/>
      <c r="Q30" s="61"/>
      <c r="R30" s="61"/>
      <c r="T30" s="73" t="str">
        <f t="shared" si="8"/>
        <v>https://search-rtdc-monitor-bjffxe2xuh6vdkpspy63sjmuny.us-east-1.es.amazonaws.com/_plugin/kibana/#/discover/Steve-Slow-Train-Analysis-(2080s-and-2083s)?_g=(refreshInterval:(display:Off,section:0,value:0),time:(from:'2016-06-06 07:48:02-0600',mode:absolute,to:'2016-06-06 08:34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30" s="73" t="str">
        <f t="shared" si="9"/>
        <v>N</v>
      </c>
      <c r="V30" s="73">
        <f t="shared" si="10"/>
        <v>1</v>
      </c>
      <c r="W30" s="73">
        <f t="shared" si="11"/>
        <v>23.301100000000002</v>
      </c>
      <c r="X30" s="73">
        <f t="shared" si="12"/>
        <v>1.18E-2</v>
      </c>
      <c r="Y30" s="73">
        <f t="shared" si="13"/>
        <v>23.289300000000001</v>
      </c>
      <c r="Z30" s="74" t="e">
        <f>VLOOKUP(A30,Enforcements!$C$3:$J$57,8,0)</f>
        <v>#N/A</v>
      </c>
      <c r="AA30" s="74" t="e">
        <f>VLOOKUP(A30,Enforcements!$C$3:$J$57,3,0)</f>
        <v>#N/A</v>
      </c>
    </row>
    <row r="31" spans="1:27" s="2" customFormat="1" x14ac:dyDescent="0.25">
      <c r="A31" s="60" t="s">
        <v>216</v>
      </c>
      <c r="B31" s="60">
        <v>4040</v>
      </c>
      <c r="C31" s="60" t="s">
        <v>62</v>
      </c>
      <c r="D31" s="60" t="s">
        <v>311</v>
      </c>
      <c r="E31" s="30">
        <v>42527.299212962964</v>
      </c>
      <c r="F31" s="30">
        <v>42527.300127314818</v>
      </c>
      <c r="G31" s="38">
        <v>1</v>
      </c>
      <c r="H31" s="30" t="s">
        <v>116</v>
      </c>
      <c r="I31" s="30">
        <v>42527.326817129629</v>
      </c>
      <c r="J31" s="60">
        <v>0</v>
      </c>
      <c r="K31" s="60" t="str">
        <f t="shared" si="27"/>
        <v>4039/4040</v>
      </c>
      <c r="L31" s="60" t="str">
        <f>VLOOKUP(A31,'Trips&amp;Operators'!$C$1:$E$9999,3,FALSE)</f>
        <v>MALAVE</v>
      </c>
      <c r="M31" s="12">
        <f t="shared" si="28"/>
        <v>2.6689814811106771E-2</v>
      </c>
      <c r="N31" s="13">
        <f t="shared" si="29"/>
        <v>38.433333327993751</v>
      </c>
      <c r="O31" s="13"/>
      <c r="P31" s="13"/>
      <c r="Q31" s="61"/>
      <c r="R31" s="61"/>
      <c r="T31" s="73" t="str">
        <f t="shared" si="8"/>
        <v>https://search-rtdc-monitor-bjffxe2xuh6vdkpspy63sjmuny.us-east-1.es.amazonaws.com/_plugin/kibana/#/discover/Steve-Slow-Train-Analysis-(2080s-and-2083s)?_g=(refreshInterval:(display:Off,section:0,value:0),time:(from:'2016-06-06 07:09:52-0600',mode:absolute,to:'2016-06-06 07:51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31" s="73" t="str">
        <f t="shared" si="9"/>
        <v>N</v>
      </c>
      <c r="V31" s="73">
        <f t="shared" si="10"/>
        <v>1</v>
      </c>
      <c r="W31" s="73">
        <f t="shared" si="11"/>
        <v>4.8800000000000003E-2</v>
      </c>
      <c r="X31" s="73">
        <f t="shared" si="12"/>
        <v>23.3308</v>
      </c>
      <c r="Y31" s="73">
        <f t="shared" si="13"/>
        <v>23.282</v>
      </c>
      <c r="Z31" s="74">
        <f>VLOOKUP(A31,Enforcements!$C$3:$J$57,8,0)</f>
        <v>233491</v>
      </c>
      <c r="AA31" s="74" t="str">
        <f>VLOOKUP(A31,Enforcements!$C$3:$J$57,3,0)</f>
        <v>TRACK WARRANT AUTHORITY</v>
      </c>
    </row>
    <row r="32" spans="1:27" s="2" customFormat="1" x14ac:dyDescent="0.25">
      <c r="A32" s="60" t="s">
        <v>218</v>
      </c>
      <c r="B32" s="60">
        <v>4039</v>
      </c>
      <c r="C32" s="60" t="s">
        <v>62</v>
      </c>
      <c r="D32" s="60" t="s">
        <v>119</v>
      </c>
      <c r="E32" s="30">
        <v>42527.338321759256</v>
      </c>
      <c r="F32" s="30">
        <v>42527.339039351849</v>
      </c>
      <c r="G32" s="38">
        <v>1</v>
      </c>
      <c r="H32" s="30" t="s">
        <v>75</v>
      </c>
      <c r="I32" s="30">
        <v>42527.366666666669</v>
      </c>
      <c r="J32" s="60">
        <v>1</v>
      </c>
      <c r="K32" s="60" t="str">
        <f t="shared" si="27"/>
        <v>4039/4040</v>
      </c>
      <c r="L32" s="60" t="str">
        <f>VLOOKUP(A32,'Trips&amp;Operators'!$C$1:$E$9999,3,FALSE)</f>
        <v>MALAVE</v>
      </c>
      <c r="M32" s="12">
        <f t="shared" si="28"/>
        <v>2.7627314819255844E-2</v>
      </c>
      <c r="N32" s="13">
        <f t="shared" si="29"/>
        <v>39.783333339728415</v>
      </c>
      <c r="O32" s="13"/>
      <c r="P32" s="13"/>
      <c r="Q32" s="61"/>
      <c r="R32" s="61"/>
      <c r="T32" s="73" t="str">
        <f>"https://search-rtdc-monitor-bjffxe2xuh6vdkpspy63sjmuny.us-east-1.es.amazonaws.com/_plugin/kibana/#/discover/Steve-Slow-Train-Analysis-(2080s-and-2083s)?_g=(refreshInterval:(display:Off,section:0,value:0),time:(from:'"&amp;TEXT(E32-1/24/60,"yyyy-MM-DD hh:mm:ss")&amp;"-0600',mode:absolute,to:'"&amp;TEXT(I32+1/24/60,"yyyy-MM-DD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32&amp;"%22')),sort:!(Time,asc))"</f>
        <v>https://search-rtdc-monitor-bjffxe2xuh6vdkpspy63sjmuny.us-east-1.es.amazonaws.com/_plugin/kibana/#/discover/Steve-Slow-Train-Analysis-(2080s-and-2083s)?_g=(refreshInterval:(display:Off,section:0,value:0),time:(from:'2016-06-06 08:06:11-0600',mode:absolute,to:'2016-06-06 08:49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32" s="73" t="str">
        <f>IF(Y32&lt;23,"Y","N")</f>
        <v>N</v>
      </c>
      <c r="V32" s="73">
        <f t="shared" si="10"/>
        <v>1</v>
      </c>
      <c r="W32" s="73">
        <f>RIGHT(D32,LEN(D32)-4)/10000</f>
        <v>23.2987</v>
      </c>
      <c r="X32" s="73">
        <f>RIGHT(H32,LEN(H32)-4)/10000</f>
        <v>1.5800000000000002E-2</v>
      </c>
      <c r="Y32" s="73">
        <f>ABS(X32-W32)</f>
        <v>23.282900000000001</v>
      </c>
      <c r="Z32" s="74">
        <f>VLOOKUP(A32,Enforcements!$C$3:$J$57,8,0)</f>
        <v>1</v>
      </c>
      <c r="AA32" s="74" t="str">
        <f>VLOOKUP(A32,Enforcements!$C$3:$J$57,3,0)</f>
        <v>TRACK WARRANT AUTHORITY</v>
      </c>
    </row>
    <row r="33" spans="1:27" s="2" customFormat="1" x14ac:dyDescent="0.25">
      <c r="A33" s="60" t="s">
        <v>312</v>
      </c>
      <c r="B33" s="60">
        <v>4014</v>
      </c>
      <c r="C33" s="60" t="s">
        <v>62</v>
      </c>
      <c r="D33" s="60" t="s">
        <v>90</v>
      </c>
      <c r="E33" s="30">
        <v>42527.306377314817</v>
      </c>
      <c r="F33" s="30">
        <v>42527.307534722226</v>
      </c>
      <c r="G33" s="38">
        <v>1</v>
      </c>
      <c r="H33" s="30" t="s">
        <v>313</v>
      </c>
      <c r="I33" s="30">
        <v>42527.337430555555</v>
      </c>
      <c r="J33" s="60">
        <v>0</v>
      </c>
      <c r="K33" s="60" t="str">
        <f t="shared" si="27"/>
        <v>4013/4014</v>
      </c>
      <c r="L33" s="60" t="str">
        <f>VLOOKUP(A33,'Trips&amp;Operators'!$C$1:$E$9999,3,FALSE)</f>
        <v>STURGEON</v>
      </c>
      <c r="M33" s="12">
        <f t="shared" si="28"/>
        <v>2.9895833329646848E-2</v>
      </c>
      <c r="N33" s="13">
        <f t="shared" si="29"/>
        <v>43.049999994691461</v>
      </c>
      <c r="O33" s="13"/>
      <c r="P33" s="13"/>
      <c r="Q33" s="61"/>
      <c r="R33" s="61"/>
      <c r="T33" s="73" t="str">
        <f t="shared" si="8"/>
        <v>https://search-rtdc-monitor-bjffxe2xuh6vdkpspy63sjmuny.us-east-1.es.amazonaws.com/_plugin/kibana/#/discover/Steve-Slow-Train-Analysis-(2080s-and-2083s)?_g=(refreshInterval:(display:Off,section:0,value:0),time:(from:'2016-06-06 07:20:11-0600',mode:absolute,to:'2016-06-06 08:06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U33" s="73" t="str">
        <f t="shared" si="9"/>
        <v>N</v>
      </c>
      <c r="V33" s="73">
        <f t="shared" si="10"/>
        <v>1</v>
      </c>
      <c r="W33" s="73">
        <f t="shared" si="11"/>
        <v>4.5699999999999998E-2</v>
      </c>
      <c r="X33" s="73">
        <f t="shared" si="12"/>
        <v>23.326599999999999</v>
      </c>
      <c r="Y33" s="73">
        <f t="shared" si="13"/>
        <v>23.280899999999999</v>
      </c>
      <c r="Z33" s="74" t="e">
        <f>VLOOKUP(A33,Enforcements!$C$3:$J$57,8,0)</f>
        <v>#N/A</v>
      </c>
      <c r="AA33" s="74" t="e">
        <f>VLOOKUP(A33,Enforcements!$C$3:$J$57,3,0)</f>
        <v>#N/A</v>
      </c>
    </row>
    <row r="34" spans="1:27" s="2" customFormat="1" x14ac:dyDescent="0.25">
      <c r="A34" s="60" t="s">
        <v>220</v>
      </c>
      <c r="B34" s="60">
        <v>4013</v>
      </c>
      <c r="C34" s="60" t="s">
        <v>62</v>
      </c>
      <c r="D34" s="60" t="s">
        <v>314</v>
      </c>
      <c r="E34" s="30">
        <v>42527.344502314816</v>
      </c>
      <c r="F34" s="30">
        <v>42527.345856481479</v>
      </c>
      <c r="G34" s="38">
        <v>1</v>
      </c>
      <c r="H34" s="30" t="s">
        <v>315</v>
      </c>
      <c r="I34" s="30">
        <v>42527.377337962964</v>
      </c>
      <c r="J34" s="60">
        <v>1</v>
      </c>
      <c r="K34" s="60" t="str">
        <f t="shared" si="27"/>
        <v>4013/4014</v>
      </c>
      <c r="L34" s="60" t="str">
        <f>VLOOKUP(A34,'Trips&amp;Operators'!$C$1:$E$9999,3,FALSE)</f>
        <v>STURGEON</v>
      </c>
      <c r="M34" s="12">
        <f t="shared" si="28"/>
        <v>3.1481481484661344E-2</v>
      </c>
      <c r="N34" s="13">
        <f t="shared" si="29"/>
        <v>45.333333337912336</v>
      </c>
      <c r="O34" s="13"/>
      <c r="P34" s="13"/>
      <c r="Q34" s="61"/>
      <c r="R34" s="61"/>
      <c r="T34" s="73" t="str">
        <f t="shared" si="8"/>
        <v>https://search-rtdc-monitor-bjffxe2xuh6vdkpspy63sjmuny.us-east-1.es.amazonaws.com/_plugin/kibana/#/discover/Steve-Slow-Train-Analysis-(2080s-and-2083s)?_g=(refreshInterval:(display:Off,section:0,value:0),time:(from:'2016-06-06 08:15:05-0600',mode:absolute,to:'2016-06-06 09:04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U34" s="73" t="str">
        <f t="shared" si="9"/>
        <v>N</v>
      </c>
      <c r="V34" s="73">
        <f t="shared" si="10"/>
        <v>1</v>
      </c>
      <c r="W34" s="73">
        <f t="shared" si="11"/>
        <v>23.294799999999999</v>
      </c>
      <c r="X34" s="73">
        <f t="shared" si="12"/>
        <v>2.3599999999999999E-2</v>
      </c>
      <c r="Y34" s="73">
        <f t="shared" si="13"/>
        <v>23.2712</v>
      </c>
      <c r="Z34" s="74">
        <f>VLOOKUP(A34,Enforcements!$C$3:$J$57,8,0)</f>
        <v>1</v>
      </c>
      <c r="AA34" s="74" t="str">
        <f>VLOOKUP(A34,Enforcements!$C$3:$J$57,3,0)</f>
        <v>TRACK WARRANT AUTHORITY</v>
      </c>
    </row>
    <row r="35" spans="1:27" s="2" customFormat="1" ht="14.25" customHeight="1" x14ac:dyDescent="0.25">
      <c r="A35" s="60" t="s">
        <v>316</v>
      </c>
      <c r="B35" s="60">
        <v>4011</v>
      </c>
      <c r="C35" s="60" t="s">
        <v>62</v>
      </c>
      <c r="D35" s="60" t="s">
        <v>79</v>
      </c>
      <c r="E35" s="30">
        <v>42527.31763888889</v>
      </c>
      <c r="F35" s="30">
        <v>42527.318483796298</v>
      </c>
      <c r="G35" s="38">
        <v>1</v>
      </c>
      <c r="H35" s="30" t="s">
        <v>127</v>
      </c>
      <c r="I35" s="30">
        <v>42527.348136574074</v>
      </c>
      <c r="J35" s="60">
        <v>0</v>
      </c>
      <c r="K35" s="60" t="str">
        <f t="shared" si="27"/>
        <v>4011/4012</v>
      </c>
      <c r="L35" s="60" t="str">
        <f>VLOOKUP(A35,'Trips&amp;Operators'!$C$1:$E$9999,3,FALSE)</f>
        <v>BRABO</v>
      </c>
      <c r="M35" s="12">
        <f t="shared" si="28"/>
        <v>2.9652777775481809E-2</v>
      </c>
      <c r="N35" s="13">
        <f t="shared" si="29"/>
        <v>42.699999996693805</v>
      </c>
      <c r="O35" s="13"/>
      <c r="P35" s="13"/>
      <c r="Q35" s="61"/>
      <c r="R35" s="61"/>
      <c r="T35" s="73" t="str">
        <f t="shared" si="8"/>
        <v>https://search-rtdc-monitor-bjffxe2xuh6vdkpspy63sjmuny.us-east-1.es.amazonaws.com/_plugin/kibana/#/discover/Steve-Slow-Train-Analysis-(2080s-and-2083s)?_g=(refreshInterval:(display:Off,section:0,value:0),time:(from:'2016-06-06 07:36:24-0600',mode:absolute,to:'2016-06-06 08:22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35" s="73" t="str">
        <f t="shared" si="9"/>
        <v>N</v>
      </c>
      <c r="V35" s="73">
        <f t="shared" si="10"/>
        <v>1</v>
      </c>
      <c r="W35" s="73">
        <f t="shared" si="11"/>
        <v>4.5999999999999999E-2</v>
      </c>
      <c r="X35" s="73">
        <f t="shared" si="12"/>
        <v>23.327400000000001</v>
      </c>
      <c r="Y35" s="73">
        <f t="shared" si="13"/>
        <v>23.281400000000001</v>
      </c>
      <c r="Z35" s="74" t="e">
        <f>VLOOKUP(A35,Enforcements!$C$3:$J$57,8,0)</f>
        <v>#N/A</v>
      </c>
      <c r="AA35" s="74" t="e">
        <f>VLOOKUP(A35,Enforcements!$C$3:$J$57,3,0)</f>
        <v>#N/A</v>
      </c>
    </row>
    <row r="36" spans="1:27" s="2" customFormat="1" x14ac:dyDescent="0.25">
      <c r="A36" s="60" t="s">
        <v>221</v>
      </c>
      <c r="B36" s="60">
        <v>4012</v>
      </c>
      <c r="C36" s="60" t="s">
        <v>62</v>
      </c>
      <c r="D36" s="60" t="s">
        <v>317</v>
      </c>
      <c r="E36" s="30">
        <v>42527.353877314818</v>
      </c>
      <c r="F36" s="30">
        <v>42527.354930555557</v>
      </c>
      <c r="G36" s="38">
        <v>1</v>
      </c>
      <c r="H36" s="30" t="s">
        <v>72</v>
      </c>
      <c r="I36" s="30">
        <v>42527.388541666667</v>
      </c>
      <c r="J36" s="60">
        <v>1</v>
      </c>
      <c r="K36" s="60" t="str">
        <f t="shared" si="27"/>
        <v>4011/4012</v>
      </c>
      <c r="L36" s="60" t="str">
        <f>VLOOKUP(A36,'Trips&amp;Operators'!$C$1:$E$9999,3,FALSE)</f>
        <v>BRABO</v>
      </c>
      <c r="M36" s="12">
        <f t="shared" si="28"/>
        <v>3.3611111110076308E-2</v>
      </c>
      <c r="N36" s="13">
        <f t="shared" si="29"/>
        <v>48.399999998509884</v>
      </c>
      <c r="O36" s="13"/>
      <c r="P36" s="13"/>
      <c r="Q36" s="61"/>
      <c r="R36" s="61"/>
      <c r="T36" s="73" t="str">
        <f t="shared" si="8"/>
        <v>https://search-rtdc-monitor-bjffxe2xuh6vdkpspy63sjmuny.us-east-1.es.amazonaws.com/_plugin/kibana/#/discover/Steve-Slow-Train-Analysis-(2080s-and-2083s)?_g=(refreshInterval:(display:Off,section:0,value:0),time:(from:'2016-06-06 08:28:35-0600',mode:absolute,to:'2016-06-06 09:20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36" s="73" t="str">
        <f t="shared" si="9"/>
        <v>N</v>
      </c>
      <c r="V36" s="73">
        <f t="shared" si="10"/>
        <v>1</v>
      </c>
      <c r="W36" s="73">
        <f t="shared" si="11"/>
        <v>23.296399999999998</v>
      </c>
      <c r="X36" s="73">
        <f t="shared" si="12"/>
        <v>1.4999999999999999E-2</v>
      </c>
      <c r="Y36" s="73">
        <f t="shared" si="13"/>
        <v>23.281399999999998</v>
      </c>
      <c r="Z36" s="74">
        <f>VLOOKUP(A36,Enforcements!$C$3:$J$57,8,0)</f>
        <v>1</v>
      </c>
      <c r="AA36" s="74" t="str">
        <f>VLOOKUP(A36,Enforcements!$C$3:$J$57,3,0)</f>
        <v>TRACK WARRANT AUTHORITY</v>
      </c>
    </row>
    <row r="37" spans="1:27" s="2" customFormat="1" x14ac:dyDescent="0.25">
      <c r="A37" s="60" t="s">
        <v>217</v>
      </c>
      <c r="B37" s="60">
        <v>4031</v>
      </c>
      <c r="C37" s="60" t="s">
        <v>62</v>
      </c>
      <c r="D37" s="60" t="s">
        <v>90</v>
      </c>
      <c r="E37" s="30">
        <v>42527.326932870368</v>
      </c>
      <c r="F37" s="30">
        <v>42527.328240740739</v>
      </c>
      <c r="G37" s="38">
        <v>1</v>
      </c>
      <c r="H37" s="30" t="s">
        <v>83</v>
      </c>
      <c r="I37" s="30">
        <v>42527.358240740738</v>
      </c>
      <c r="J37" s="60">
        <v>1</v>
      </c>
      <c r="K37" s="60" t="str">
        <f t="shared" si="27"/>
        <v>4031/4032</v>
      </c>
      <c r="L37" s="60" t="str">
        <f>VLOOKUP(A37,'Trips&amp;Operators'!$C$1:$E$9999,3,FALSE)</f>
        <v>YANAI</v>
      </c>
      <c r="M37" s="12">
        <f t="shared" si="28"/>
        <v>2.9999999998835847E-2</v>
      </c>
      <c r="N37" s="13">
        <f t="shared" si="29"/>
        <v>43.199999998323619</v>
      </c>
      <c r="O37" s="13"/>
      <c r="P37" s="13"/>
      <c r="Q37" s="61"/>
      <c r="R37" s="61"/>
      <c r="T37" s="73" t="str">
        <f t="shared" si="8"/>
        <v>https://search-rtdc-monitor-bjffxe2xuh6vdkpspy63sjmuny.us-east-1.es.amazonaws.com/_plugin/kibana/#/discover/Steve-Slow-Train-Analysis-(2080s-and-2083s)?_g=(refreshInterval:(display:Off,section:0,value:0),time:(from:'2016-06-06 07:49:47-0600',mode:absolute,to:'2016-06-06 08:36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U37" s="73" t="str">
        <f t="shared" si="9"/>
        <v>N</v>
      </c>
      <c r="V37" s="73">
        <f t="shared" si="10"/>
        <v>1</v>
      </c>
      <c r="W37" s="73">
        <f t="shared" si="11"/>
        <v>4.5699999999999998E-2</v>
      </c>
      <c r="X37" s="73">
        <f t="shared" si="12"/>
        <v>23.331399999999999</v>
      </c>
      <c r="Y37" s="73">
        <f t="shared" si="13"/>
        <v>23.285699999999999</v>
      </c>
      <c r="Z37" s="74">
        <f>VLOOKUP(A37,Enforcements!$C$3:$J$57,8,0)</f>
        <v>127562</v>
      </c>
      <c r="AA37" s="74" t="str">
        <f>VLOOKUP(A37,Enforcements!$C$3:$J$57,3,0)</f>
        <v>GRADE CROSSING</v>
      </c>
    </row>
    <row r="38" spans="1:27" s="2" customFormat="1" x14ac:dyDescent="0.25">
      <c r="A38" s="60" t="s">
        <v>223</v>
      </c>
      <c r="B38" s="60">
        <v>4032</v>
      </c>
      <c r="C38" s="60" t="s">
        <v>62</v>
      </c>
      <c r="D38" s="60" t="s">
        <v>117</v>
      </c>
      <c r="E38" s="30">
        <v>42527.368796296294</v>
      </c>
      <c r="F38" s="30">
        <v>42527.370243055557</v>
      </c>
      <c r="G38" s="38">
        <v>2</v>
      </c>
      <c r="H38" s="30" t="s">
        <v>166</v>
      </c>
      <c r="I38" s="30">
        <v>42527.397719907407</v>
      </c>
      <c r="J38" s="60">
        <v>1</v>
      </c>
      <c r="K38" s="60" t="str">
        <f t="shared" si="27"/>
        <v>4031/4032</v>
      </c>
      <c r="L38" s="60" t="str">
        <f>VLOOKUP(A38,'Trips&amp;Operators'!$C$1:$E$9999,3,FALSE)</f>
        <v>YANAI</v>
      </c>
      <c r="M38" s="12">
        <f t="shared" si="28"/>
        <v>2.7476851850224193E-2</v>
      </c>
      <c r="N38" s="13">
        <f t="shared" si="29"/>
        <v>39.566666664322838</v>
      </c>
      <c r="O38" s="13"/>
      <c r="P38" s="13"/>
      <c r="Q38" s="61"/>
      <c r="R38" s="61"/>
      <c r="T38" s="73" t="str">
        <f t="shared" si="8"/>
        <v>https://search-rtdc-monitor-bjffxe2xuh6vdkpspy63sjmuny.us-east-1.es.amazonaws.com/_plugin/kibana/#/discover/Steve-Slow-Train-Analysis-(2080s-and-2083s)?_g=(refreshInterval:(display:Off,section:0,value:0),time:(from:'2016-06-06 08:50:04-0600',mode:absolute,to:'2016-06-06 09:33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U38" s="73" t="str">
        <f t="shared" si="9"/>
        <v>N</v>
      </c>
      <c r="V38" s="73">
        <f t="shared" si="10"/>
        <v>1</v>
      </c>
      <c r="W38" s="73">
        <f t="shared" si="11"/>
        <v>23.301300000000001</v>
      </c>
      <c r="X38" s="73">
        <f t="shared" si="12"/>
        <v>1.32E-2</v>
      </c>
      <c r="Y38" s="73">
        <f t="shared" si="13"/>
        <v>23.2881</v>
      </c>
      <c r="Z38" s="74">
        <f>VLOOKUP(A38,Enforcements!$C$3:$J$57,8,0)</f>
        <v>1</v>
      </c>
      <c r="AA38" s="74" t="str">
        <f>VLOOKUP(A38,Enforcements!$C$3:$J$57,3,0)</f>
        <v>TRACK WARRANT AUTHORITY</v>
      </c>
    </row>
    <row r="39" spans="1:27" s="2" customFormat="1" x14ac:dyDescent="0.25">
      <c r="A39" s="60" t="s">
        <v>219</v>
      </c>
      <c r="B39" s="60">
        <v>4020</v>
      </c>
      <c r="C39" s="60" t="s">
        <v>62</v>
      </c>
      <c r="D39" s="60" t="s">
        <v>186</v>
      </c>
      <c r="E39" s="30">
        <v>42527.338750000003</v>
      </c>
      <c r="F39" s="30">
        <v>42527.339456018519</v>
      </c>
      <c r="G39" s="38">
        <v>1</v>
      </c>
      <c r="H39" s="30" t="s">
        <v>318</v>
      </c>
      <c r="I39" s="30">
        <v>42527.367800925924</v>
      </c>
      <c r="J39" s="60">
        <v>1</v>
      </c>
      <c r="K39" s="60" t="str">
        <f t="shared" si="27"/>
        <v>4019/4020</v>
      </c>
      <c r="L39" s="60" t="str">
        <f>VLOOKUP(A39,'Trips&amp;Operators'!$C$1:$E$9999,3,FALSE)</f>
        <v>SPECTOR</v>
      </c>
      <c r="M39" s="12">
        <f t="shared" si="28"/>
        <v>2.8344907404971309E-2</v>
      </c>
      <c r="N39" s="13">
        <f t="shared" si="29"/>
        <v>40.816666663158685</v>
      </c>
      <c r="O39" s="13"/>
      <c r="P39" s="13"/>
      <c r="Q39" s="61"/>
      <c r="R39" s="61"/>
      <c r="T39" s="73" t="str">
        <f t="shared" si="8"/>
        <v>https://search-rtdc-monitor-bjffxe2xuh6vdkpspy63sjmuny.us-east-1.es.amazonaws.com/_plugin/kibana/#/discover/Steve-Slow-Train-Analysis-(2080s-and-2083s)?_g=(refreshInterval:(display:Off,section:0,value:0),time:(from:'2016-06-06 08:06:48-0600',mode:absolute,to:'2016-06-06 08:50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39" s="73" t="str">
        <f t="shared" si="9"/>
        <v>N</v>
      </c>
      <c r="V39" s="73">
        <f t="shared" si="10"/>
        <v>1</v>
      </c>
      <c r="W39" s="73">
        <f t="shared" si="11"/>
        <v>4.4900000000000002E-2</v>
      </c>
      <c r="X39" s="73">
        <f t="shared" si="12"/>
        <v>23.333600000000001</v>
      </c>
      <c r="Y39" s="73">
        <f t="shared" si="13"/>
        <v>23.288700000000002</v>
      </c>
      <c r="Z39" s="74">
        <f>VLOOKUP(A39,Enforcements!$C$3:$J$57,8,0)</f>
        <v>233491</v>
      </c>
      <c r="AA39" s="74" t="str">
        <f>VLOOKUP(A39,Enforcements!$C$3:$J$57,3,0)</f>
        <v>TRACK WARRANT AUTHORITY</v>
      </c>
    </row>
    <row r="40" spans="1:27" s="2" customFormat="1" x14ac:dyDescent="0.25">
      <c r="A40" s="60" t="s">
        <v>319</v>
      </c>
      <c r="B40" s="60">
        <v>4019</v>
      </c>
      <c r="C40" s="60" t="s">
        <v>62</v>
      </c>
      <c r="D40" s="60" t="s">
        <v>320</v>
      </c>
      <c r="E40" s="30">
        <v>42527.376689814817</v>
      </c>
      <c r="F40" s="30">
        <v>42527.37777777778</v>
      </c>
      <c r="G40" s="38">
        <v>1</v>
      </c>
      <c r="H40" s="30" t="s">
        <v>75</v>
      </c>
      <c r="I40" s="30">
        <v>42527.408865740741</v>
      </c>
      <c r="J40" s="60">
        <v>0</v>
      </c>
      <c r="K40" s="60" t="str">
        <f t="shared" si="27"/>
        <v>4019/4020</v>
      </c>
      <c r="L40" s="60" t="str">
        <f>VLOOKUP(A40,'Trips&amp;Operators'!$C$1:$E$9999,3,FALSE)</f>
        <v>SPECTOR</v>
      </c>
      <c r="M40" s="12">
        <f t="shared" si="28"/>
        <v>3.1087962961464655E-2</v>
      </c>
      <c r="N40" s="13">
        <f t="shared" si="29"/>
        <v>44.766666664509103</v>
      </c>
      <c r="O40" s="13"/>
      <c r="P40" s="13"/>
      <c r="Q40" s="61"/>
      <c r="R40" s="61"/>
      <c r="T40" s="73" t="str">
        <f t="shared" si="8"/>
        <v>https://search-rtdc-monitor-bjffxe2xuh6vdkpspy63sjmuny.us-east-1.es.amazonaws.com/_plugin/kibana/#/discover/Steve-Slow-Train-Analysis-(2080s-and-2083s)?_g=(refreshInterval:(display:Off,section:0,value:0),time:(from:'2016-06-06 09:01:26-0600',mode:absolute,to:'2016-06-06 09:49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40" s="73" t="str">
        <f t="shared" si="9"/>
        <v>N</v>
      </c>
      <c r="V40" s="73">
        <f t="shared" si="10"/>
        <v>1</v>
      </c>
      <c r="W40" s="73">
        <f t="shared" si="11"/>
        <v>23.302499999999998</v>
      </c>
      <c r="X40" s="73">
        <f t="shared" si="12"/>
        <v>1.5800000000000002E-2</v>
      </c>
      <c r="Y40" s="73">
        <f t="shared" si="13"/>
        <v>23.2867</v>
      </c>
      <c r="Z40" s="74" t="e">
        <f>VLOOKUP(A40,Enforcements!$C$3:$J$57,8,0)</f>
        <v>#N/A</v>
      </c>
      <c r="AA40" s="74" t="e">
        <f>VLOOKUP(A40,Enforcements!$C$3:$J$57,3,0)</f>
        <v>#N/A</v>
      </c>
    </row>
    <row r="41" spans="1:27" s="2" customFormat="1" x14ac:dyDescent="0.25">
      <c r="A41" s="60" t="s">
        <v>321</v>
      </c>
      <c r="B41" s="60">
        <v>4018</v>
      </c>
      <c r="C41" s="60" t="s">
        <v>62</v>
      </c>
      <c r="D41" s="60" t="s">
        <v>167</v>
      </c>
      <c r="E41" s="30">
        <v>42527.351539351854</v>
      </c>
      <c r="F41" s="30">
        <v>42527.35260416667</v>
      </c>
      <c r="G41" s="38">
        <v>1</v>
      </c>
      <c r="H41" s="30" t="s">
        <v>322</v>
      </c>
      <c r="I41" s="30">
        <v>42527.378946759258</v>
      </c>
      <c r="J41" s="60">
        <v>0</v>
      </c>
      <c r="K41" s="60" t="str">
        <f t="shared" si="27"/>
        <v>4017/4018</v>
      </c>
      <c r="L41" s="60" t="str">
        <f>VLOOKUP(A41,'Trips&amp;Operators'!$C$1:$E$9999,3,FALSE)</f>
        <v>SANTIZO</v>
      </c>
      <c r="M41" s="12">
        <f t="shared" si="28"/>
        <v>2.6342592587752733E-2</v>
      </c>
      <c r="N41" s="13">
        <f t="shared" si="29"/>
        <v>37.933333326363936</v>
      </c>
      <c r="O41" s="13"/>
      <c r="P41" s="13"/>
      <c r="Q41" s="61"/>
      <c r="R41" s="61"/>
      <c r="T41" s="73" t="str">
        <f t="shared" si="8"/>
        <v>https://search-rtdc-monitor-bjffxe2xuh6vdkpspy63sjmuny.us-east-1.es.amazonaws.com/_plugin/kibana/#/discover/Steve-Slow-Train-Analysis-(2080s-and-2083s)?_g=(refreshInterval:(display:Off,section:0,value:0),time:(from:'2016-06-06 08:25:13-0600',mode:absolute,to:'2016-06-06 09:06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U41" s="73" t="str">
        <f t="shared" si="9"/>
        <v>N</v>
      </c>
      <c r="V41" s="73">
        <f t="shared" si="10"/>
        <v>1</v>
      </c>
      <c r="W41" s="73">
        <f t="shared" si="11"/>
        <v>4.3099999999999999E-2</v>
      </c>
      <c r="X41" s="73">
        <f t="shared" si="12"/>
        <v>23.330500000000001</v>
      </c>
      <c r="Y41" s="73">
        <f t="shared" si="13"/>
        <v>23.287400000000002</v>
      </c>
      <c r="Z41" s="74" t="e">
        <f>VLOOKUP(A41,Enforcements!$C$3:$J$57,8,0)</f>
        <v>#N/A</v>
      </c>
      <c r="AA41" s="74" t="e">
        <f>VLOOKUP(A41,Enforcements!$C$3:$J$57,3,0)</f>
        <v>#N/A</v>
      </c>
    </row>
    <row r="42" spans="1:27" s="2" customFormat="1" x14ac:dyDescent="0.25">
      <c r="A42" s="60" t="s">
        <v>323</v>
      </c>
      <c r="B42" s="60">
        <v>4017</v>
      </c>
      <c r="C42" s="60" t="s">
        <v>62</v>
      </c>
      <c r="D42" s="60" t="s">
        <v>110</v>
      </c>
      <c r="E42" s="30">
        <v>42527.387372685182</v>
      </c>
      <c r="F42" s="30">
        <v>42527.388449074075</v>
      </c>
      <c r="G42" s="38">
        <v>1</v>
      </c>
      <c r="H42" s="30" t="s">
        <v>66</v>
      </c>
      <c r="I42" s="30">
        <v>42527.418668981481</v>
      </c>
      <c r="J42" s="60">
        <v>0</v>
      </c>
      <c r="K42" s="60" t="str">
        <f t="shared" si="27"/>
        <v>4017/4018</v>
      </c>
      <c r="L42" s="60" t="str">
        <f>VLOOKUP(A42,'Trips&amp;Operators'!$C$1:$E$9999,3,FALSE)</f>
        <v>SANTIZO</v>
      </c>
      <c r="M42" s="12">
        <f t="shared" si="28"/>
        <v>3.0219907406717539E-2</v>
      </c>
      <c r="N42" s="13">
        <f t="shared" si="29"/>
        <v>43.516666665673256</v>
      </c>
      <c r="O42" s="13"/>
      <c r="P42" s="13"/>
      <c r="Q42" s="61"/>
      <c r="R42" s="61"/>
      <c r="T42" s="73" t="str">
        <f t="shared" si="8"/>
        <v>https://search-rtdc-monitor-bjffxe2xuh6vdkpspy63sjmuny.us-east-1.es.amazonaws.com/_plugin/kibana/#/discover/Steve-Slow-Train-Analysis-(2080s-and-2083s)?_g=(refreshInterval:(display:Off,section:0,value:0),time:(from:'2016-06-06 09:16:49-0600',mode:absolute,to:'2016-06-06 10:03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U42" s="73" t="str">
        <f t="shared" si="9"/>
        <v>N</v>
      </c>
      <c r="V42" s="73">
        <f t="shared" si="10"/>
        <v>1</v>
      </c>
      <c r="W42" s="73">
        <f t="shared" si="11"/>
        <v>23.2986</v>
      </c>
      <c r="X42" s="73">
        <f t="shared" si="12"/>
        <v>1.52E-2</v>
      </c>
      <c r="Y42" s="73">
        <f t="shared" si="13"/>
        <v>23.2834</v>
      </c>
      <c r="Z42" s="74" t="e">
        <f>VLOOKUP(A42,Enforcements!$C$3:$J$57,8,0)</f>
        <v>#N/A</v>
      </c>
      <c r="AA42" s="74" t="e">
        <f>VLOOKUP(A42,Enforcements!$C$3:$J$57,3,0)</f>
        <v>#N/A</v>
      </c>
    </row>
    <row r="43" spans="1:27" s="2" customFormat="1" x14ac:dyDescent="0.25">
      <c r="A43" s="60" t="s">
        <v>324</v>
      </c>
      <c r="B43" s="60">
        <v>4016</v>
      </c>
      <c r="C43" s="60" t="s">
        <v>62</v>
      </c>
      <c r="D43" s="60" t="s">
        <v>325</v>
      </c>
      <c r="E43" s="30">
        <v>42527.360601851855</v>
      </c>
      <c r="F43" s="30">
        <v>42527.362129629626</v>
      </c>
      <c r="G43" s="38">
        <v>2</v>
      </c>
      <c r="H43" s="30" t="s">
        <v>304</v>
      </c>
      <c r="I43" s="30">
        <v>42527.38957175926</v>
      </c>
      <c r="J43" s="60">
        <v>0</v>
      </c>
      <c r="K43" s="60" t="str">
        <f t="shared" si="27"/>
        <v>4015/4016</v>
      </c>
      <c r="L43" s="60" t="str">
        <f>VLOOKUP(A43,'Trips&amp;Operators'!$C$1:$E$9999,3,FALSE)</f>
        <v>COOLAHAN</v>
      </c>
      <c r="M43" s="12">
        <f t="shared" si="28"/>
        <v>2.7442129634437151E-2</v>
      </c>
      <c r="N43" s="13">
        <f t="shared" si="29"/>
        <v>39.516666673589498</v>
      </c>
      <c r="O43" s="13"/>
      <c r="P43" s="13"/>
      <c r="Q43" s="61"/>
      <c r="R43" s="61"/>
      <c r="T43" s="73" t="str">
        <f t="shared" si="8"/>
        <v>https://search-rtdc-monitor-bjffxe2xuh6vdkpspy63sjmuny.us-east-1.es.amazonaws.com/_plugin/kibana/#/discover/Steve-Slow-Train-Analysis-(2080s-and-2083s)?_g=(refreshInterval:(display:Off,section:0,value:0),time:(from:'2016-06-06 08:38:16-0600',mode:absolute,to:'2016-06-06 09:21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43" s="73" t="str">
        <f t="shared" si="9"/>
        <v>N</v>
      </c>
      <c r="V43" s="73">
        <f t="shared" si="10"/>
        <v>1</v>
      </c>
      <c r="W43" s="73">
        <f t="shared" si="11"/>
        <v>4.2900000000000001E-2</v>
      </c>
      <c r="X43" s="73">
        <f t="shared" si="12"/>
        <v>23.333400000000001</v>
      </c>
      <c r="Y43" s="73">
        <f t="shared" si="13"/>
        <v>23.290500000000002</v>
      </c>
      <c r="Z43" s="74" t="e">
        <f>VLOOKUP(A43,Enforcements!$C$3:$J$57,8,0)</f>
        <v>#N/A</v>
      </c>
      <c r="AA43" s="74" t="e">
        <f>VLOOKUP(A43,Enforcements!$C$3:$J$57,3,0)</f>
        <v>#N/A</v>
      </c>
    </row>
    <row r="44" spans="1:27" s="2" customFormat="1" x14ac:dyDescent="0.25">
      <c r="A44" s="60" t="s">
        <v>224</v>
      </c>
      <c r="B44" s="60">
        <v>4015</v>
      </c>
      <c r="C44" s="60" t="s">
        <v>62</v>
      </c>
      <c r="D44" s="60" t="s">
        <v>163</v>
      </c>
      <c r="E44" s="30">
        <v>42527.396527777775</v>
      </c>
      <c r="F44" s="30">
        <v>42527.39739583333</v>
      </c>
      <c r="G44" s="38">
        <v>1</v>
      </c>
      <c r="H44" s="30" t="s">
        <v>326</v>
      </c>
      <c r="I44" s="30">
        <v>42527.42931712963</v>
      </c>
      <c r="J44" s="60">
        <v>1</v>
      </c>
      <c r="K44" s="60" t="str">
        <f t="shared" si="27"/>
        <v>4015/4016</v>
      </c>
      <c r="L44" s="60" t="str">
        <f>VLOOKUP(A44,'Trips&amp;Operators'!$C$1:$E$9999,3,FALSE)</f>
        <v>COOLAHAN</v>
      </c>
      <c r="M44" s="12">
        <f t="shared" si="28"/>
        <v>3.1921296300424729E-2</v>
      </c>
      <c r="N44" s="13">
        <f t="shared" si="29"/>
        <v>45.966666672611609</v>
      </c>
      <c r="O44" s="13"/>
      <c r="P44" s="13"/>
      <c r="Q44" s="61"/>
      <c r="R44" s="61"/>
      <c r="T44" s="73" t="str">
        <f t="shared" si="8"/>
        <v>https://search-rtdc-monitor-bjffxe2xuh6vdkpspy63sjmuny.us-east-1.es.amazonaws.com/_plugin/kibana/#/discover/Steve-Slow-Train-Analysis-(2080s-and-2083s)?_g=(refreshInterval:(display:Off,section:0,value:0),time:(from:'2016-06-06 09:30:00-0600',mode:absolute,to:'2016-06-06 10:19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44" s="73" t="str">
        <f t="shared" si="9"/>
        <v>N</v>
      </c>
      <c r="V44" s="73">
        <f t="shared" si="10"/>
        <v>1</v>
      </c>
      <c r="W44" s="73">
        <f t="shared" si="11"/>
        <v>23.300599999999999</v>
      </c>
      <c r="X44" s="73">
        <f t="shared" si="12"/>
        <v>2.1100000000000001E-2</v>
      </c>
      <c r="Y44" s="73">
        <f t="shared" si="13"/>
        <v>23.279499999999999</v>
      </c>
      <c r="Z44" s="74">
        <f>VLOOKUP(A44,Enforcements!$C$3:$J$57,8,0)</f>
        <v>1</v>
      </c>
      <c r="AA44" s="74" t="str">
        <f>VLOOKUP(A44,Enforcements!$C$3:$J$57,3,0)</f>
        <v>TRACK WARRANT AUTHORITY</v>
      </c>
    </row>
    <row r="45" spans="1:27" s="2" customFormat="1" x14ac:dyDescent="0.25">
      <c r="A45" s="60" t="s">
        <v>327</v>
      </c>
      <c r="B45" s="60">
        <v>4040</v>
      </c>
      <c r="C45" s="60" t="s">
        <v>62</v>
      </c>
      <c r="D45" s="60" t="s">
        <v>185</v>
      </c>
      <c r="E45" s="30">
        <v>42527.373287037037</v>
      </c>
      <c r="F45" s="30">
        <v>42527.373923611114</v>
      </c>
      <c r="G45" s="38">
        <v>0</v>
      </c>
      <c r="H45" s="30" t="s">
        <v>328</v>
      </c>
      <c r="I45" s="30">
        <v>42527.374606481484</v>
      </c>
      <c r="J45" s="60">
        <v>1</v>
      </c>
      <c r="K45" s="60" t="str">
        <f t="shared" si="27"/>
        <v>4039/4040</v>
      </c>
      <c r="L45" s="60" t="str">
        <f>VLOOKUP(A45,'Trips&amp;Operators'!$C$1:$E$9999,3,FALSE)</f>
        <v>MALAVE</v>
      </c>
      <c r="M45" s="12">
        <f t="shared" si="28"/>
        <v>6.8287036992842332E-4</v>
      </c>
      <c r="N45" s="13"/>
      <c r="O45" s="13"/>
      <c r="P45" s="13">
        <f>24*60*SUM($M45:$M45)</f>
        <v>0.98333333269692957</v>
      </c>
      <c r="Q45" s="61"/>
      <c r="R45" s="61" t="s">
        <v>450</v>
      </c>
      <c r="T45" s="73" t="str">
        <f t="shared" si="8"/>
        <v>https://search-rtdc-monitor-bjffxe2xuh6vdkpspy63sjmuny.us-east-1.es.amazonaws.com/_plugin/kibana/#/discover/Steve-Slow-Train-Analysis-(2080s-and-2083s)?_g=(refreshInterval:(display:Off,section:0,value:0),time:(from:'2016-06-06 08:56:32-0600',mode:absolute,to:'2016-06-06 09:00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45" s="73" t="str">
        <f t="shared" si="9"/>
        <v>N</v>
      </c>
      <c r="V45" s="73">
        <f t="shared" si="10"/>
        <v>1</v>
      </c>
      <c r="W45" s="73">
        <f t="shared" si="11"/>
        <v>4.7500000000000001E-2</v>
      </c>
      <c r="X45" s="73">
        <f t="shared" si="12"/>
        <v>23.332599999999999</v>
      </c>
      <c r="Y45" s="73">
        <f t="shared" si="13"/>
        <v>23.2851</v>
      </c>
      <c r="Z45" s="74" t="e">
        <f>VLOOKUP(A45,Enforcements!$C$3:$J$57,8,0)</f>
        <v>#N/A</v>
      </c>
      <c r="AA45" s="74" t="e">
        <f>VLOOKUP(A45,Enforcements!$C$3:$J$57,3,0)</f>
        <v>#N/A</v>
      </c>
    </row>
    <row r="46" spans="1:27" s="2" customFormat="1" x14ac:dyDescent="0.25">
      <c r="A46" s="60" t="s">
        <v>225</v>
      </c>
      <c r="B46" s="60">
        <v>4039</v>
      </c>
      <c r="C46" s="60" t="s">
        <v>62</v>
      </c>
      <c r="D46" s="60" t="s">
        <v>153</v>
      </c>
      <c r="E46" s="30">
        <v>42527.411932870367</v>
      </c>
      <c r="F46" s="30">
        <v>42527.414039351854</v>
      </c>
      <c r="G46" s="38">
        <v>3</v>
      </c>
      <c r="H46" s="30" t="s">
        <v>329</v>
      </c>
      <c r="I46" s="30">
        <v>42527.439826388887</v>
      </c>
      <c r="J46" s="60">
        <v>0</v>
      </c>
      <c r="K46" s="60" t="str">
        <f t="shared" si="27"/>
        <v>4039/4040</v>
      </c>
      <c r="L46" s="60" t="str">
        <f>VLOOKUP(A46,'Trips&amp;Operators'!$C$1:$E$9999,3,FALSE)</f>
        <v>MALAVE</v>
      </c>
      <c r="M46" s="12">
        <f t="shared" si="28"/>
        <v>2.5787037033296656E-2</v>
      </c>
      <c r="N46" s="13">
        <f>24*60*SUM($M46:$M46)</f>
        <v>37.133333327947184</v>
      </c>
      <c r="O46" s="13"/>
      <c r="P46" s="13"/>
      <c r="Q46" s="61"/>
      <c r="R46" s="61"/>
      <c r="T46" s="73" t="str">
        <f>"https://search-rtdc-monitor-bjffxe2xuh6vdkpspy63sjmuny.us-east-1.es.amazonaws.com/_plugin/kibana/#/discover/Steve-Slow-Train-Analysis-(2080s-and-2083s)?_g=(refreshInterval:(display:Off,section:0,value:0),time:(from:'"&amp;TEXT(E46-1/24/60,"yyyy-MM-DD hh:mm:ss")&amp;"-0600',mode:absolute,to:'"&amp;TEXT(I46+1/24/60,"yyyy-MM-DD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46&amp;"%22')),sort:!(Time,asc))"</f>
        <v>https://search-rtdc-monitor-bjffxe2xuh6vdkpspy63sjmuny.us-east-1.es.amazonaws.com/_plugin/kibana/#/discover/Steve-Slow-Train-Analysis-(2080s-and-2083s)?_g=(refreshInterval:(display:Off,section:0,value:0),time:(from:'2016-06-06 09:52:11-0600',mode:absolute,to:'2016-06-06 10:34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46" s="73" t="str">
        <f>IF(Y46&lt;23,"Y","N")</f>
        <v>N</v>
      </c>
      <c r="V46" s="73">
        <f t="shared" si="10"/>
        <v>1</v>
      </c>
      <c r="W46" s="73">
        <f>RIGHT(D46,LEN(D46)-4)/10000</f>
        <v>23.2971</v>
      </c>
      <c r="X46" s="73">
        <f>RIGHT(H46,LEN(H46)-4)/10000</f>
        <v>0.1169</v>
      </c>
      <c r="Y46" s="73">
        <f>ABS(X46-W46)</f>
        <v>23.180199999999999</v>
      </c>
      <c r="Z46" s="74">
        <f>VLOOKUP(A46,Enforcements!$C$3:$J$57,8,0)</f>
        <v>839</v>
      </c>
      <c r="AA46" s="74" t="str">
        <f>VLOOKUP(A46,Enforcements!$C$3:$J$57,3,0)</f>
        <v>TRACK WARRANT AUTHORITY</v>
      </c>
    </row>
    <row r="47" spans="1:27" s="2" customFormat="1" x14ac:dyDescent="0.25">
      <c r="A47" s="60" t="s">
        <v>330</v>
      </c>
      <c r="B47" s="60">
        <v>4014</v>
      </c>
      <c r="C47" s="60" t="s">
        <v>62</v>
      </c>
      <c r="D47" s="60" t="s">
        <v>331</v>
      </c>
      <c r="E47" s="30">
        <v>42527.379166666666</v>
      </c>
      <c r="F47" s="30">
        <v>42527.380636574075</v>
      </c>
      <c r="G47" s="38">
        <v>2</v>
      </c>
      <c r="H47" s="30" t="s">
        <v>170</v>
      </c>
      <c r="I47" s="30">
        <v>42527.410497685189</v>
      </c>
      <c r="J47" s="60">
        <v>0</v>
      </c>
      <c r="K47" s="60" t="str">
        <f t="shared" si="27"/>
        <v>4013/4014</v>
      </c>
      <c r="L47" s="60" t="str">
        <f>VLOOKUP(A47,'Trips&amp;Operators'!$C$1:$E$9999,3,FALSE)</f>
        <v>STURGEON</v>
      </c>
      <c r="M47" s="12">
        <f t="shared" si="28"/>
        <v>2.9861111113859806E-2</v>
      </c>
      <c r="N47" s="13">
        <f>24*60*SUM($M47:$M47)</f>
        <v>43.000000003958121</v>
      </c>
      <c r="O47" s="13"/>
      <c r="P47" s="13"/>
      <c r="Q47" s="61"/>
      <c r="R47" s="61"/>
      <c r="T47" s="73" t="str">
        <f t="shared" si="8"/>
        <v>https://search-rtdc-monitor-bjffxe2xuh6vdkpspy63sjmuny.us-east-1.es.amazonaws.com/_plugin/kibana/#/discover/Steve-Slow-Train-Analysis-(2080s-and-2083s)?_g=(refreshInterval:(display:Off,section:0,value:0),time:(from:'2016-06-06 09:05:00-0600',mode:absolute,to:'2016-06-06 09:52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U47" s="73" t="str">
        <f t="shared" si="9"/>
        <v>N</v>
      </c>
      <c r="V47" s="73">
        <f t="shared" si="10"/>
        <v>1</v>
      </c>
      <c r="W47" s="73">
        <f t="shared" si="11"/>
        <v>5.28E-2</v>
      </c>
      <c r="X47" s="73">
        <f t="shared" si="12"/>
        <v>23.3278</v>
      </c>
      <c r="Y47" s="73">
        <f t="shared" si="13"/>
        <v>23.274999999999999</v>
      </c>
      <c r="Z47" s="74" t="e">
        <f>VLOOKUP(A47,Enforcements!$C$3:$J$57,8,0)</f>
        <v>#N/A</v>
      </c>
      <c r="AA47" s="74" t="e">
        <f>VLOOKUP(A47,Enforcements!$C$3:$J$57,3,0)</f>
        <v>#N/A</v>
      </c>
    </row>
    <row r="48" spans="1:27" s="2" customFormat="1" x14ac:dyDescent="0.25">
      <c r="A48" s="60" t="s">
        <v>226</v>
      </c>
      <c r="B48" s="60">
        <v>4013</v>
      </c>
      <c r="C48" s="60" t="s">
        <v>62</v>
      </c>
      <c r="D48" s="60" t="s">
        <v>332</v>
      </c>
      <c r="E48" s="30">
        <v>42527.419224537036</v>
      </c>
      <c r="F48" s="30">
        <v>42527.420185185183</v>
      </c>
      <c r="G48" s="38">
        <v>1</v>
      </c>
      <c r="H48" s="30" t="s">
        <v>120</v>
      </c>
      <c r="I48" s="30">
        <v>42527.450358796297</v>
      </c>
      <c r="J48" s="60">
        <v>1</v>
      </c>
      <c r="K48" s="60" t="str">
        <f t="shared" si="27"/>
        <v>4013/4014</v>
      </c>
      <c r="L48" s="60" t="str">
        <f>VLOOKUP(A48,'Trips&amp;Operators'!$C$1:$E$9999,3,FALSE)</f>
        <v>STURGEON</v>
      </c>
      <c r="M48" s="12">
        <f t="shared" si="28"/>
        <v>3.0173611114150845E-2</v>
      </c>
      <c r="N48" s="13">
        <f>24*60*SUM($M48:$M48)</f>
        <v>43.450000004377216</v>
      </c>
      <c r="O48" s="13"/>
      <c r="P48" s="13"/>
      <c r="Q48" s="61"/>
      <c r="R48" s="61"/>
      <c r="T48" s="73" t="str">
        <f t="shared" si="8"/>
        <v>https://search-rtdc-monitor-bjffxe2xuh6vdkpspy63sjmuny.us-east-1.es.amazonaws.com/_plugin/kibana/#/discover/Steve-Slow-Train-Analysis-(2080s-and-2083s)?_g=(refreshInterval:(display:Off,section:0,value:0),time:(from:'2016-06-06 10:02:41-0600',mode:absolute,to:'2016-06-06 10:49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U48" s="73" t="str">
        <f t="shared" si="9"/>
        <v>N</v>
      </c>
      <c r="V48" s="73">
        <f t="shared" si="10"/>
        <v>1</v>
      </c>
      <c r="W48" s="73">
        <f t="shared" si="11"/>
        <v>23.2943</v>
      </c>
      <c r="X48" s="73">
        <f t="shared" si="12"/>
        <v>1.6500000000000001E-2</v>
      </c>
      <c r="Y48" s="73">
        <f t="shared" si="13"/>
        <v>23.277799999999999</v>
      </c>
      <c r="Z48" s="74">
        <f>VLOOKUP(A48,Enforcements!$C$3:$J$57,8,0)</f>
        <v>1</v>
      </c>
      <c r="AA48" s="74" t="str">
        <f>VLOOKUP(A48,Enforcements!$C$3:$J$57,3,0)</f>
        <v>TRACK WARRANT AUTHORITY</v>
      </c>
    </row>
    <row r="49" spans="1:27" s="2" customFormat="1" x14ac:dyDescent="0.25">
      <c r="A49" s="60" t="s">
        <v>222</v>
      </c>
      <c r="B49" s="60">
        <v>4011</v>
      </c>
      <c r="C49" s="60" t="s">
        <v>62</v>
      </c>
      <c r="D49" s="60" t="s">
        <v>88</v>
      </c>
      <c r="E49" s="30">
        <v>42527.390775462962</v>
      </c>
      <c r="F49" s="30">
        <v>42527.391689814816</v>
      </c>
      <c r="G49" s="38">
        <v>1</v>
      </c>
      <c r="H49" s="30" t="s">
        <v>335</v>
      </c>
      <c r="I49" s="30">
        <v>42527.396469907406</v>
      </c>
      <c r="J49" s="60">
        <v>0</v>
      </c>
      <c r="K49" s="60" t="str">
        <f t="shared" si="27"/>
        <v>4011/4012</v>
      </c>
      <c r="L49" s="60" t="str">
        <f>VLOOKUP(A49,'Trips&amp;Operators'!$C$1:$E$9999,3,FALSE)</f>
        <v>BRABO</v>
      </c>
      <c r="M49" s="12">
        <f t="shared" si="28"/>
        <v>4.7800925894989632E-3</v>
      </c>
      <c r="N49" s="13"/>
      <c r="O49" s="13"/>
      <c r="P49" s="13"/>
      <c r="Q49" s="61"/>
      <c r="R49" s="61"/>
      <c r="T49" s="73" t="str">
        <f t="shared" si="8"/>
        <v>https://search-rtdc-monitor-bjffxe2xuh6vdkpspy63sjmuny.us-east-1.es.amazonaws.com/_plugin/kibana/#/discover/Steve-Slow-Train-Analysis-(2080s-and-2083s)?_g=(refreshInterval:(display:Off,section:0,value:0),time:(from:'2016-06-06 09:21:43-0600',mode:absolute,to:'2016-06-06 09:31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49" s="73" t="str">
        <f t="shared" si="9"/>
        <v>Y</v>
      </c>
      <c r="V49" s="73">
        <f t="shared" si="10"/>
        <v>1</v>
      </c>
      <c r="W49" s="73">
        <f t="shared" si="11"/>
        <v>4.6199999999999998E-2</v>
      </c>
      <c r="X49" s="73">
        <f t="shared" si="12"/>
        <v>5.7500000000000002E-2</v>
      </c>
      <c r="Y49" s="73">
        <f t="shared" si="13"/>
        <v>1.1300000000000004E-2</v>
      </c>
      <c r="Z49" s="74">
        <f>VLOOKUP(A49,Enforcements!$C$3:$J$57,8,0)</f>
        <v>0</v>
      </c>
      <c r="AA49" s="74" t="str">
        <f>VLOOKUP(A49,Enforcements!$C$3:$J$57,3,0)</f>
        <v>PERMANENT SPEED RESTRICTION</v>
      </c>
    </row>
    <row r="50" spans="1:27" s="2" customFormat="1" x14ac:dyDescent="0.25">
      <c r="A50" s="60" t="s">
        <v>222</v>
      </c>
      <c r="B50" s="60">
        <v>4011</v>
      </c>
      <c r="C50" s="60" t="s">
        <v>62</v>
      </c>
      <c r="D50" s="60" t="s">
        <v>333</v>
      </c>
      <c r="E50" s="30">
        <v>42527.403449074074</v>
      </c>
      <c r="F50" s="30">
        <v>42527.404178240744</v>
      </c>
      <c r="G50" s="38">
        <v>1</v>
      </c>
      <c r="H50" s="30" t="s">
        <v>334</v>
      </c>
      <c r="I50" s="30">
        <v>42527.424259259256</v>
      </c>
      <c r="J50" s="60">
        <v>2</v>
      </c>
      <c r="K50" s="60" t="str">
        <f t="shared" si="27"/>
        <v>4011/4012</v>
      </c>
      <c r="L50" s="60" t="str">
        <f>VLOOKUP(A50,'Trips&amp;Operators'!$C$1:$E$9999,3,FALSE)</f>
        <v>BRABO</v>
      </c>
      <c r="M50" s="12">
        <f t="shared" si="28"/>
        <v>2.0081018512428273E-2</v>
      </c>
      <c r="N50" s="13"/>
      <c r="O50" s="13"/>
      <c r="P50" s="13">
        <f>24*60*SUM($M49:$M50)</f>
        <v>35.799999986775219</v>
      </c>
      <c r="Q50" s="61"/>
      <c r="R50" s="61" t="s">
        <v>450</v>
      </c>
      <c r="T50" s="73" t="str">
        <f t="shared" si="8"/>
        <v>https://search-rtdc-monitor-bjffxe2xuh6vdkpspy63sjmuny.us-east-1.es.amazonaws.com/_plugin/kibana/#/discover/Steve-Slow-Train-Analysis-(2080s-and-2083s)?_g=(refreshInterval:(display:Off,section:0,value:0),time:(from:'2016-06-06 09:39:58-0600',mode:absolute,to:'2016-06-06 10:11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50" s="73" t="str">
        <f t="shared" si="9"/>
        <v>Y</v>
      </c>
      <c r="V50" s="73">
        <f t="shared" si="10"/>
        <v>0</v>
      </c>
      <c r="W50" s="73">
        <f t="shared" si="11"/>
        <v>3.718</v>
      </c>
      <c r="X50" s="73">
        <f t="shared" si="12"/>
        <v>23.325700000000001</v>
      </c>
      <c r="Y50" s="73">
        <f t="shared" si="13"/>
        <v>19.607700000000001</v>
      </c>
      <c r="Z50" s="74">
        <f>VLOOKUP(A50,Enforcements!$C$3:$J$57,8,0)</f>
        <v>0</v>
      </c>
      <c r="AA50" s="74" t="str">
        <f>VLOOKUP(A50,Enforcements!$C$3:$J$57,3,0)</f>
        <v>PERMANENT SPEED RESTRICTION</v>
      </c>
    </row>
    <row r="51" spans="1:27" s="2" customFormat="1" x14ac:dyDescent="0.25">
      <c r="A51" s="60" t="s">
        <v>336</v>
      </c>
      <c r="B51" s="60">
        <v>4012</v>
      </c>
      <c r="C51" s="60" t="s">
        <v>62</v>
      </c>
      <c r="D51" s="60" t="s">
        <v>337</v>
      </c>
      <c r="E51" s="30">
        <v>42527.429837962962</v>
      </c>
      <c r="F51" s="30">
        <v>42527.430925925924</v>
      </c>
      <c r="G51" s="38">
        <v>1</v>
      </c>
      <c r="H51" s="30" t="s">
        <v>63</v>
      </c>
      <c r="I51" s="30">
        <v>42527.461215277777</v>
      </c>
      <c r="J51" s="60">
        <v>0</v>
      </c>
      <c r="K51" s="60" t="str">
        <f t="shared" si="27"/>
        <v>4011/4012</v>
      </c>
      <c r="L51" s="60" t="str">
        <f>VLOOKUP(A51,'Trips&amp;Operators'!$C$1:$E$9999,3,FALSE)</f>
        <v>BRABO</v>
      </c>
      <c r="M51" s="12">
        <f t="shared" si="28"/>
        <v>3.0289351852843538E-2</v>
      </c>
      <c r="N51" s="13">
        <f>24*60*SUM($M51:$M51)</f>
        <v>43.616666668094695</v>
      </c>
      <c r="O51" s="13"/>
      <c r="P51" s="13"/>
      <c r="Q51" s="61"/>
      <c r="R51" s="61"/>
      <c r="T51" s="73" t="str">
        <f t="shared" si="8"/>
        <v>https://search-rtdc-monitor-bjffxe2xuh6vdkpspy63sjmuny.us-east-1.es.amazonaws.com/_plugin/kibana/#/discover/Steve-Slow-Train-Analysis-(2080s-and-2083s)?_g=(refreshInterval:(display:Off,section:0,value:0),time:(from:'2016-06-06 10:17:58-0600',mode:absolute,to:'2016-06-06 11:05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51" s="73" t="str">
        <f t="shared" si="9"/>
        <v>N</v>
      </c>
      <c r="V51" s="73">
        <f t="shared" si="10"/>
        <v>1</v>
      </c>
      <c r="W51" s="73">
        <f t="shared" si="11"/>
        <v>23.292999999999999</v>
      </c>
      <c r="X51" s="73">
        <f t="shared" si="12"/>
        <v>1.4500000000000001E-2</v>
      </c>
      <c r="Y51" s="73">
        <f t="shared" si="13"/>
        <v>23.278499999999998</v>
      </c>
      <c r="Z51" s="74" t="e">
        <f>VLOOKUP(A51,Enforcements!$C$3:$J$57,8,0)</f>
        <v>#N/A</v>
      </c>
      <c r="AA51" s="74" t="e">
        <f>VLOOKUP(A51,Enforcements!$C$3:$J$57,3,0)</f>
        <v>#N/A</v>
      </c>
    </row>
    <row r="52" spans="1:27" s="2" customFormat="1" x14ac:dyDescent="0.25">
      <c r="A52" s="60" t="s">
        <v>338</v>
      </c>
      <c r="B52" s="60">
        <v>4031</v>
      </c>
      <c r="C52" s="60" t="s">
        <v>62</v>
      </c>
      <c r="D52" s="60" t="s">
        <v>87</v>
      </c>
      <c r="E52" s="30">
        <v>42527.40215277778</v>
      </c>
      <c r="F52" s="30">
        <v>42527.402858796297</v>
      </c>
      <c r="G52" s="38">
        <v>1</v>
      </c>
      <c r="H52" s="30" t="s">
        <v>82</v>
      </c>
      <c r="I52" s="30">
        <v>42527.431076388886</v>
      </c>
      <c r="J52" s="60">
        <v>0</v>
      </c>
      <c r="K52" s="60" t="str">
        <f t="shared" si="27"/>
        <v>4031/4032</v>
      </c>
      <c r="L52" s="60" t="str">
        <f>VLOOKUP(A52,'Trips&amp;Operators'!$C$1:$E$9999,3,FALSE)</f>
        <v>YANAI</v>
      </c>
      <c r="M52" s="12">
        <f t="shared" si="28"/>
        <v>2.8217592589498963E-2</v>
      </c>
      <c r="N52" s="13">
        <f>24*60*SUM($M52:$M52)</f>
        <v>40.633333328878507</v>
      </c>
      <c r="O52" s="13"/>
      <c r="P52" s="13"/>
      <c r="Q52" s="61"/>
      <c r="R52" s="61"/>
      <c r="T52" s="73" t="str">
        <f t="shared" si="8"/>
        <v>https://search-rtdc-monitor-bjffxe2xuh6vdkpspy63sjmuny.us-east-1.es.amazonaws.com/_plugin/kibana/#/discover/Steve-Slow-Train-Analysis-(2080s-and-2083s)?_g=(refreshInterval:(display:Off,section:0,value:0),time:(from:'2016-06-06 09:38:06-0600',mode:absolute,to:'2016-06-06 10:21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U52" s="73" t="str">
        <f t="shared" si="9"/>
        <v>N</v>
      </c>
      <c r="V52" s="73">
        <f t="shared" si="10"/>
        <v>1</v>
      </c>
      <c r="W52" s="73">
        <f t="shared" si="11"/>
        <v>4.3999999999999997E-2</v>
      </c>
      <c r="X52" s="73">
        <f t="shared" si="12"/>
        <v>23.3293</v>
      </c>
      <c r="Y52" s="73">
        <f t="shared" si="13"/>
        <v>23.285299999999999</v>
      </c>
      <c r="Z52" s="74" t="e">
        <f>VLOOKUP(A52,Enforcements!$C$3:$J$57,8,0)</f>
        <v>#N/A</v>
      </c>
      <c r="AA52" s="74" t="e">
        <f>VLOOKUP(A52,Enforcements!$C$3:$J$57,3,0)</f>
        <v>#N/A</v>
      </c>
    </row>
    <row r="53" spans="1:27" s="2" customFormat="1" x14ac:dyDescent="0.25">
      <c r="A53" s="60" t="s">
        <v>339</v>
      </c>
      <c r="B53" s="60">
        <v>4032</v>
      </c>
      <c r="C53" s="60" t="s">
        <v>62</v>
      </c>
      <c r="D53" s="60" t="s">
        <v>139</v>
      </c>
      <c r="E53" s="30">
        <v>42527.442557870374</v>
      </c>
      <c r="F53" s="30">
        <v>42527.44425925926</v>
      </c>
      <c r="G53" s="38">
        <v>2</v>
      </c>
      <c r="H53" s="30" t="s">
        <v>340</v>
      </c>
      <c r="I53" s="30">
        <v>42527.443912037037</v>
      </c>
      <c r="J53" s="60">
        <v>0</v>
      </c>
      <c r="K53" s="60" t="str">
        <f t="shared" si="27"/>
        <v>4031/4032</v>
      </c>
      <c r="L53" s="60" t="str">
        <f>VLOOKUP(A53,'Trips&amp;Operators'!$C$1:$E$9999,3,FALSE)</f>
        <v>YANAI</v>
      </c>
      <c r="M53" s="12">
        <f t="shared" si="28"/>
        <v>-3.4722222335403785E-4</v>
      </c>
      <c r="N53" s="13"/>
      <c r="O53" s="13"/>
      <c r="P53" s="13">
        <v>1</v>
      </c>
      <c r="Q53" s="61"/>
      <c r="R53" s="61" t="s">
        <v>450</v>
      </c>
      <c r="T53" s="73" t="str">
        <f t="shared" si="8"/>
        <v>https://search-rtdc-monitor-bjffxe2xuh6vdkpspy63sjmuny.us-east-1.es.amazonaws.com/_plugin/kibana/#/discover/Steve-Slow-Train-Analysis-(2080s-and-2083s)?_g=(refreshInterval:(display:Off,section:0,value:0),time:(from:'2016-06-06 10:36:17-0600',mode:absolute,to:'2016-06-06 10:40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U53" s="73" t="str">
        <f t="shared" si="9"/>
        <v>Y</v>
      </c>
      <c r="V53" s="73">
        <f t="shared" si="10"/>
        <v>1</v>
      </c>
      <c r="W53" s="73">
        <f t="shared" si="11"/>
        <v>23.296600000000002</v>
      </c>
      <c r="X53" s="73">
        <f t="shared" si="12"/>
        <v>23.296800000000001</v>
      </c>
      <c r="Y53" s="73">
        <f t="shared" si="13"/>
        <v>1.9999999999953388E-4</v>
      </c>
      <c r="Z53" s="74" t="e">
        <f>VLOOKUP(A53,Enforcements!$C$3:$J$57,8,0)</f>
        <v>#N/A</v>
      </c>
      <c r="AA53" s="74" t="e">
        <f>VLOOKUP(A53,Enforcements!$C$3:$J$57,3,0)</f>
        <v>#N/A</v>
      </c>
    </row>
    <row r="54" spans="1:27" s="2" customFormat="1" x14ac:dyDescent="0.25">
      <c r="A54" s="60" t="s">
        <v>341</v>
      </c>
      <c r="B54" s="60">
        <v>4020</v>
      </c>
      <c r="C54" s="60" t="s">
        <v>62</v>
      </c>
      <c r="D54" s="60" t="s">
        <v>342</v>
      </c>
      <c r="E54" s="30">
        <v>42527.410983796297</v>
      </c>
      <c r="F54" s="30">
        <v>42527.412037037036</v>
      </c>
      <c r="G54" s="38">
        <v>1</v>
      </c>
      <c r="H54" s="30" t="s">
        <v>343</v>
      </c>
      <c r="I54" s="30">
        <v>42527.440775462965</v>
      </c>
      <c r="J54" s="60">
        <v>0</v>
      </c>
      <c r="K54" s="60" t="str">
        <f t="shared" si="27"/>
        <v>4019/4020</v>
      </c>
      <c r="L54" s="60" t="str">
        <f>VLOOKUP(A54,'Trips&amp;Operators'!$C$1:$E$9999,3,FALSE)</f>
        <v>SPECTOR</v>
      </c>
      <c r="M54" s="12">
        <f t="shared" si="28"/>
        <v>2.8738425928167999E-2</v>
      </c>
      <c r="N54" s="13">
        <f t="shared" ref="N54:N77" si="30">24*60*SUM($M54:$M54)</f>
        <v>41.383333336561918</v>
      </c>
      <c r="O54" s="13"/>
      <c r="P54" s="13"/>
      <c r="Q54" s="61"/>
      <c r="R54" s="61"/>
      <c r="T54" s="73" t="str">
        <f t="shared" si="8"/>
        <v>https://search-rtdc-monitor-bjffxe2xuh6vdkpspy63sjmuny.us-east-1.es.amazonaws.com/_plugin/kibana/#/discover/Steve-Slow-Train-Analysis-(2080s-and-2083s)?_g=(refreshInterval:(display:Off,section:0,value:0),time:(from:'2016-06-06 09:50:49-0600',mode:absolute,to:'2016-06-06 10:35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54" s="73" t="str">
        <f t="shared" si="9"/>
        <v>N</v>
      </c>
      <c r="V54" s="73">
        <f t="shared" si="10"/>
        <v>1</v>
      </c>
      <c r="W54" s="73">
        <f t="shared" si="11"/>
        <v>4.4200000000000003E-2</v>
      </c>
      <c r="X54" s="73">
        <f t="shared" si="12"/>
        <v>23.331800000000001</v>
      </c>
      <c r="Y54" s="73">
        <f t="shared" si="13"/>
        <v>23.287600000000001</v>
      </c>
      <c r="Z54" s="74" t="e">
        <f>VLOOKUP(A54,Enforcements!$C$3:$J$57,8,0)</f>
        <v>#N/A</v>
      </c>
      <c r="AA54" s="74" t="e">
        <f>VLOOKUP(A54,Enforcements!$C$3:$J$57,3,0)</f>
        <v>#N/A</v>
      </c>
    </row>
    <row r="55" spans="1:27" s="2" customFormat="1" x14ac:dyDescent="0.25">
      <c r="A55" s="60" t="s">
        <v>344</v>
      </c>
      <c r="B55" s="60">
        <v>4019</v>
      </c>
      <c r="C55" s="60" t="s">
        <v>62</v>
      </c>
      <c r="D55" s="60" t="s">
        <v>345</v>
      </c>
      <c r="E55" s="30">
        <v>42527.447662037041</v>
      </c>
      <c r="F55" s="30">
        <v>42527.448622685188</v>
      </c>
      <c r="G55" s="38">
        <v>1</v>
      </c>
      <c r="H55" s="30" t="s">
        <v>94</v>
      </c>
      <c r="I55" s="30">
        <v>42527.482430555552</v>
      </c>
      <c r="J55" s="60">
        <v>0</v>
      </c>
      <c r="K55" s="60" t="str">
        <f t="shared" si="27"/>
        <v>4019/4020</v>
      </c>
      <c r="L55" s="60" t="str">
        <f>VLOOKUP(A55,'Trips&amp;Operators'!$C$1:$E$9999,3,FALSE)</f>
        <v>SPECTOR</v>
      </c>
      <c r="M55" s="12">
        <f t="shared" si="28"/>
        <v>3.3807870364398696E-2</v>
      </c>
      <c r="N55" s="13">
        <f t="shared" si="30"/>
        <v>48.683333324734122</v>
      </c>
      <c r="O55" s="13"/>
      <c r="P55" s="13"/>
      <c r="Q55" s="61"/>
      <c r="R55" s="61"/>
      <c r="T55" s="73" t="str">
        <f t="shared" si="8"/>
        <v>https://search-rtdc-monitor-bjffxe2xuh6vdkpspy63sjmuny.us-east-1.es.amazonaws.com/_plugin/kibana/#/discover/Steve-Slow-Train-Analysis-(2080s-and-2083s)?_g=(refreshInterval:(display:Off,section:0,value:0),time:(from:'2016-06-06 10:43:38-0600',mode:absolute,to:'2016-06-06 11:35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55" s="73" t="str">
        <f t="shared" si="9"/>
        <v>N</v>
      </c>
      <c r="V55" s="73">
        <f t="shared" si="10"/>
        <v>1</v>
      </c>
      <c r="W55" s="73">
        <f t="shared" si="11"/>
        <v>23.300899999999999</v>
      </c>
      <c r="X55" s="73">
        <f t="shared" si="12"/>
        <v>1.41E-2</v>
      </c>
      <c r="Y55" s="73">
        <f t="shared" si="13"/>
        <v>23.286799999999999</v>
      </c>
      <c r="Z55" s="74" t="e">
        <f>VLOOKUP(A55,Enforcements!$C$3:$J$57,8,0)</f>
        <v>#N/A</v>
      </c>
      <c r="AA55" s="74" t="e">
        <f>VLOOKUP(A55,Enforcements!$C$3:$J$57,3,0)</f>
        <v>#N/A</v>
      </c>
    </row>
    <row r="56" spans="1:27" s="2" customFormat="1" x14ac:dyDescent="0.25">
      <c r="A56" s="60" t="s">
        <v>346</v>
      </c>
      <c r="B56" s="60">
        <v>4018</v>
      </c>
      <c r="C56" s="60" t="s">
        <v>62</v>
      </c>
      <c r="D56" s="60" t="s">
        <v>112</v>
      </c>
      <c r="E56" s="30">
        <v>42527.421678240738</v>
      </c>
      <c r="F56" s="30">
        <v>42527.422708333332</v>
      </c>
      <c r="G56" s="38">
        <v>1</v>
      </c>
      <c r="H56" s="30" t="s">
        <v>168</v>
      </c>
      <c r="I56" s="30">
        <v>42527.452013888891</v>
      </c>
      <c r="J56" s="60">
        <v>0</v>
      </c>
      <c r="K56" s="60" t="str">
        <f t="shared" si="27"/>
        <v>4017/4018</v>
      </c>
      <c r="L56" s="60" t="str">
        <f>VLOOKUP(A56,'Trips&amp;Operators'!$C$1:$E$9999,3,FALSE)</f>
        <v>ACKERMAN</v>
      </c>
      <c r="M56" s="12">
        <f t="shared" si="28"/>
        <v>2.9305555559403729E-2</v>
      </c>
      <c r="N56" s="13">
        <f t="shared" si="30"/>
        <v>42.200000005541369</v>
      </c>
      <c r="O56" s="13"/>
      <c r="P56" s="13"/>
      <c r="Q56" s="61"/>
      <c r="R56" s="61"/>
      <c r="T56" s="73" t="str">
        <f t="shared" si="8"/>
        <v>https://search-rtdc-monitor-bjffxe2xuh6vdkpspy63sjmuny.us-east-1.es.amazonaws.com/_plugin/kibana/#/discover/Steve-Slow-Train-Analysis-(2080s-and-2083s)?_g=(refreshInterval:(display:Off,section:0,value:0),time:(from:'2016-06-06 10:06:13-0600',mode:absolute,to:'2016-06-06 10:51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U56" s="73" t="str">
        <f t="shared" si="9"/>
        <v>N</v>
      </c>
      <c r="V56" s="73">
        <f t="shared" si="10"/>
        <v>1</v>
      </c>
      <c r="W56" s="73">
        <f t="shared" si="11"/>
        <v>4.6699999999999998E-2</v>
      </c>
      <c r="X56" s="73">
        <f t="shared" si="12"/>
        <v>23.331</v>
      </c>
      <c r="Y56" s="73">
        <f t="shared" si="13"/>
        <v>23.284299999999998</v>
      </c>
      <c r="Z56" s="74" t="e">
        <f>VLOOKUP(A56,Enforcements!$C$3:$J$57,8,0)</f>
        <v>#N/A</v>
      </c>
      <c r="AA56" s="74" t="e">
        <f>VLOOKUP(A56,Enforcements!$C$3:$J$57,3,0)</f>
        <v>#N/A</v>
      </c>
    </row>
    <row r="57" spans="1:27" s="2" customFormat="1" x14ac:dyDescent="0.25">
      <c r="A57" s="60" t="s">
        <v>347</v>
      </c>
      <c r="B57" s="60">
        <v>4017</v>
      </c>
      <c r="C57" s="60" t="s">
        <v>62</v>
      </c>
      <c r="D57" s="60" t="s">
        <v>91</v>
      </c>
      <c r="E57" s="30">
        <v>42527.460486111115</v>
      </c>
      <c r="F57" s="30">
        <v>42527.461469907408</v>
      </c>
      <c r="G57" s="38">
        <v>1</v>
      </c>
      <c r="H57" s="30" t="s">
        <v>97</v>
      </c>
      <c r="I57" s="30">
        <v>42527.493946759256</v>
      </c>
      <c r="J57" s="60">
        <v>0</v>
      </c>
      <c r="K57" s="60" t="str">
        <f t="shared" ref="K57:K88" si="31">IF(ISEVEN(B57),(B57-1)&amp;"/"&amp;B57,B57&amp;"/"&amp;(B57+1))</f>
        <v>4017/4018</v>
      </c>
      <c r="L57" s="60" t="str">
        <f>VLOOKUP(A57,'Trips&amp;Operators'!$C$1:$E$9999,3,FALSE)</f>
        <v>ACKERMAN</v>
      </c>
      <c r="M57" s="12">
        <f t="shared" ref="M57:M88" si="32">I57-F57</f>
        <v>3.2476851847604848E-2</v>
      </c>
      <c r="N57" s="13">
        <f t="shared" si="30"/>
        <v>46.766666660550982</v>
      </c>
      <c r="O57" s="13"/>
      <c r="P57" s="13"/>
      <c r="Q57" s="61"/>
      <c r="R57" s="61"/>
      <c r="T57" s="73" t="str">
        <f t="shared" si="8"/>
        <v>https://search-rtdc-monitor-bjffxe2xuh6vdkpspy63sjmuny.us-east-1.es.amazonaws.com/_plugin/kibana/#/discover/Steve-Slow-Train-Analysis-(2080s-and-2083s)?_g=(refreshInterval:(display:Off,section:0,value:0),time:(from:'2016-06-06 11:02:06-0600',mode:absolute,to:'2016-06-06 11:52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U57" s="73" t="str">
        <f t="shared" si="9"/>
        <v>N</v>
      </c>
      <c r="V57" s="73">
        <f t="shared" si="10"/>
        <v>1</v>
      </c>
      <c r="W57" s="73">
        <f t="shared" si="11"/>
        <v>23.299099999999999</v>
      </c>
      <c r="X57" s="73">
        <f t="shared" si="12"/>
        <v>1.49E-2</v>
      </c>
      <c r="Y57" s="73">
        <f t="shared" si="13"/>
        <v>23.284199999999998</v>
      </c>
      <c r="Z57" s="74" t="e">
        <f>VLOOKUP(A57,Enforcements!$C$3:$J$57,8,0)</f>
        <v>#N/A</v>
      </c>
      <c r="AA57" s="74" t="e">
        <f>VLOOKUP(A57,Enforcements!$C$3:$J$57,3,0)</f>
        <v>#N/A</v>
      </c>
    </row>
    <row r="58" spans="1:27" s="2" customFormat="1" x14ac:dyDescent="0.25">
      <c r="A58" s="60" t="s">
        <v>348</v>
      </c>
      <c r="B58" s="60">
        <v>4016</v>
      </c>
      <c r="C58" s="60" t="s">
        <v>62</v>
      </c>
      <c r="D58" s="60" t="s">
        <v>349</v>
      </c>
      <c r="E58" s="30">
        <v>42527.432118055556</v>
      </c>
      <c r="F58" s="30">
        <v>42527.43341435185</v>
      </c>
      <c r="G58" s="38">
        <v>1</v>
      </c>
      <c r="H58" s="30" t="s">
        <v>109</v>
      </c>
      <c r="I58" s="30">
        <v>42527.46429398148</v>
      </c>
      <c r="J58" s="60">
        <v>0</v>
      </c>
      <c r="K58" s="60" t="str">
        <f t="shared" si="31"/>
        <v>4015/4016</v>
      </c>
      <c r="L58" s="60" t="str">
        <f>VLOOKUP(A58,'Trips&amp;Operators'!$C$1:$E$9999,3,FALSE)</f>
        <v>SANTIZO</v>
      </c>
      <c r="M58" s="12">
        <f t="shared" si="32"/>
        <v>3.0879629630362615E-2</v>
      </c>
      <c r="N58" s="13">
        <f t="shared" si="30"/>
        <v>44.466666667722166</v>
      </c>
      <c r="O58" s="13"/>
      <c r="P58" s="13"/>
      <c r="Q58" s="61"/>
      <c r="R58" s="61"/>
      <c r="T58" s="73" t="str">
        <f t="shared" si="8"/>
        <v>https://search-rtdc-monitor-bjffxe2xuh6vdkpspy63sjmuny.us-east-1.es.amazonaws.com/_plugin/kibana/#/discover/Steve-Slow-Train-Analysis-(2080s-and-2083s)?_g=(refreshInterval:(display:Off,section:0,value:0),time:(from:'2016-06-06 10:21:15-0600',mode:absolute,to:'2016-06-06 11:09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58" s="73" t="str">
        <f t="shared" si="9"/>
        <v>N</v>
      </c>
      <c r="V58" s="73">
        <f t="shared" si="10"/>
        <v>1</v>
      </c>
      <c r="W58" s="73">
        <f t="shared" si="11"/>
        <v>5.0799999999999998E-2</v>
      </c>
      <c r="X58" s="73">
        <f t="shared" si="12"/>
        <v>23.331099999999999</v>
      </c>
      <c r="Y58" s="73">
        <f t="shared" si="13"/>
        <v>23.2803</v>
      </c>
      <c r="Z58" s="74" t="e">
        <f>VLOOKUP(A58,Enforcements!$C$3:$J$57,8,0)</f>
        <v>#N/A</v>
      </c>
      <c r="AA58" s="74" t="e">
        <f>VLOOKUP(A58,Enforcements!$C$3:$J$57,3,0)</f>
        <v>#N/A</v>
      </c>
    </row>
    <row r="59" spans="1:27" s="2" customFormat="1" x14ac:dyDescent="0.25">
      <c r="A59" s="60" t="s">
        <v>350</v>
      </c>
      <c r="B59" s="60">
        <v>4015</v>
      </c>
      <c r="C59" s="60" t="s">
        <v>62</v>
      </c>
      <c r="D59" s="60" t="s">
        <v>67</v>
      </c>
      <c r="E59" s="30">
        <v>42527.470717592594</v>
      </c>
      <c r="F59" s="30">
        <v>42527.471828703703</v>
      </c>
      <c r="G59" s="38">
        <v>1</v>
      </c>
      <c r="H59" s="30" t="s">
        <v>78</v>
      </c>
      <c r="I59" s="30">
        <v>42527.504004629627</v>
      </c>
      <c r="J59" s="60">
        <v>0</v>
      </c>
      <c r="K59" s="60" t="str">
        <f t="shared" si="31"/>
        <v>4015/4016</v>
      </c>
      <c r="L59" s="60" t="str">
        <f>VLOOKUP(A59,'Trips&amp;Operators'!$C$1:$E$9999,3,FALSE)</f>
        <v>SANTIZO</v>
      </c>
      <c r="M59" s="12">
        <f t="shared" si="32"/>
        <v>3.2175925924093463E-2</v>
      </c>
      <c r="N59" s="13">
        <f t="shared" si="30"/>
        <v>46.333333330694586</v>
      </c>
      <c r="O59" s="13"/>
      <c r="P59" s="13"/>
      <c r="Q59" s="61"/>
      <c r="R59" s="61"/>
      <c r="T59" s="73" t="str">
        <f t="shared" si="8"/>
        <v>https://search-rtdc-monitor-bjffxe2xuh6vdkpspy63sjmuny.us-east-1.es.amazonaws.com/_plugin/kibana/#/discover/Steve-Slow-Train-Analysis-(2080s-and-2083s)?_g=(refreshInterval:(display:Off,section:0,value:0),time:(from:'2016-06-06 11:16:50-0600',mode:absolute,to:'2016-06-06 12:06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59" s="73" t="str">
        <f t="shared" si="9"/>
        <v>N</v>
      </c>
      <c r="V59" s="73">
        <f t="shared" si="10"/>
        <v>1</v>
      </c>
      <c r="W59" s="73">
        <f t="shared" si="11"/>
        <v>23.299399999999999</v>
      </c>
      <c r="X59" s="73">
        <f t="shared" si="12"/>
        <v>1.6E-2</v>
      </c>
      <c r="Y59" s="73">
        <f t="shared" si="13"/>
        <v>23.2834</v>
      </c>
      <c r="Z59" s="74" t="e">
        <f>VLOOKUP(A59,Enforcements!$C$3:$J$57,8,0)</f>
        <v>#N/A</v>
      </c>
      <c r="AA59" s="74" t="e">
        <f>VLOOKUP(A59,Enforcements!$C$3:$J$57,3,0)</f>
        <v>#N/A</v>
      </c>
    </row>
    <row r="60" spans="1:27" s="2" customFormat="1" x14ac:dyDescent="0.25">
      <c r="A60" s="60" t="s">
        <v>228</v>
      </c>
      <c r="B60" s="60">
        <v>4025</v>
      </c>
      <c r="C60" s="60" t="s">
        <v>62</v>
      </c>
      <c r="D60" s="60" t="s">
        <v>88</v>
      </c>
      <c r="E60" s="30">
        <v>42527.43949074074</v>
      </c>
      <c r="F60" s="30">
        <v>42527.440671296295</v>
      </c>
      <c r="G60" s="38">
        <v>1</v>
      </c>
      <c r="H60" s="30" t="s">
        <v>116</v>
      </c>
      <c r="I60" s="30">
        <v>42527.473993055559</v>
      </c>
      <c r="J60" s="60">
        <v>1</v>
      </c>
      <c r="K60" s="60" t="str">
        <f t="shared" si="31"/>
        <v>4025/4026</v>
      </c>
      <c r="L60" s="60" t="str">
        <f>VLOOKUP(A60,'Trips&amp;Operators'!$C$1:$E$9999,3,FALSE)</f>
        <v>COCA</v>
      </c>
      <c r="M60" s="12">
        <f t="shared" si="32"/>
        <v>3.3321759263344575E-2</v>
      </c>
      <c r="N60" s="13">
        <f t="shared" si="30"/>
        <v>47.983333339216188</v>
      </c>
      <c r="O60" s="13"/>
      <c r="P60" s="13"/>
      <c r="Q60" s="61"/>
      <c r="R60" s="61"/>
      <c r="T60" s="73" t="str">
        <f t="shared" si="8"/>
        <v>https://search-rtdc-monitor-bjffxe2xuh6vdkpspy63sjmuny.us-east-1.es.amazonaws.com/_plugin/kibana/#/discover/Steve-Slow-Train-Analysis-(2080s-and-2083s)?_g=(refreshInterval:(display:Off,section:0,value:0),time:(from:'2016-06-06 10:31:52-0600',mode:absolute,to:'2016-06-06 11:23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U60" s="73" t="str">
        <f t="shared" si="9"/>
        <v>N</v>
      </c>
      <c r="V60" s="73">
        <f t="shared" si="10"/>
        <v>1</v>
      </c>
      <c r="W60" s="73">
        <f t="shared" si="11"/>
        <v>4.6199999999999998E-2</v>
      </c>
      <c r="X60" s="73">
        <f t="shared" si="12"/>
        <v>23.3308</v>
      </c>
      <c r="Y60" s="73">
        <f t="shared" si="13"/>
        <v>23.284600000000001</v>
      </c>
      <c r="Z60" s="74">
        <f>VLOOKUP(A60,Enforcements!$C$3:$J$57,8,0)</f>
        <v>233491</v>
      </c>
      <c r="AA60" s="74" t="str">
        <f>VLOOKUP(A60,Enforcements!$C$3:$J$57,3,0)</f>
        <v>TRACK WARRANT AUTHORITY</v>
      </c>
    </row>
    <row r="61" spans="1:27" s="2" customFormat="1" x14ac:dyDescent="0.25">
      <c r="A61" s="60" t="s">
        <v>351</v>
      </c>
      <c r="B61" s="60">
        <v>4026</v>
      </c>
      <c r="C61" s="60" t="s">
        <v>62</v>
      </c>
      <c r="D61" s="60" t="s">
        <v>352</v>
      </c>
      <c r="E61" s="30">
        <v>42527.484479166669</v>
      </c>
      <c r="F61" s="30">
        <v>42527.485185185185</v>
      </c>
      <c r="G61" s="38">
        <v>1</v>
      </c>
      <c r="H61" s="30" t="s">
        <v>86</v>
      </c>
      <c r="I61" s="30">
        <v>42527.514953703707</v>
      </c>
      <c r="J61" s="60">
        <v>0</v>
      </c>
      <c r="K61" s="60" t="str">
        <f t="shared" si="31"/>
        <v>4025/4026</v>
      </c>
      <c r="L61" s="60" t="str">
        <f>VLOOKUP(A61,'Trips&amp;Operators'!$C$1:$E$9999,3,FALSE)</f>
        <v>COCA</v>
      </c>
      <c r="M61" s="12">
        <f t="shared" si="32"/>
        <v>2.976851852145046E-2</v>
      </c>
      <c r="N61" s="13">
        <f t="shared" si="30"/>
        <v>42.866666670888662</v>
      </c>
      <c r="O61" s="13"/>
      <c r="P61" s="13"/>
      <c r="Q61" s="61"/>
      <c r="R61" s="61"/>
      <c r="T61" s="73" t="str">
        <f t="shared" si="8"/>
        <v>https://search-rtdc-monitor-bjffxe2xuh6vdkpspy63sjmuny.us-east-1.es.amazonaws.com/_plugin/kibana/#/discover/Steve-Slow-Train-Analysis-(2080s-and-2083s)?_g=(refreshInterval:(display:Off,section:0,value:0),time:(from:'2016-06-06 11:36:39-0600',mode:absolute,to:'2016-06-06 12:22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U61" s="73" t="str">
        <f t="shared" si="9"/>
        <v>N</v>
      </c>
      <c r="V61" s="73">
        <f t="shared" si="10"/>
        <v>1</v>
      </c>
      <c r="W61" s="73">
        <f t="shared" si="11"/>
        <v>23.297899999999998</v>
      </c>
      <c r="X61" s="73">
        <f t="shared" si="12"/>
        <v>1.43E-2</v>
      </c>
      <c r="Y61" s="73">
        <f t="shared" si="13"/>
        <v>23.2836</v>
      </c>
      <c r="Z61" s="74" t="e">
        <f>VLOOKUP(A61,Enforcements!$C$3:$J$57,8,0)</f>
        <v>#N/A</v>
      </c>
      <c r="AA61" s="74" t="e">
        <f>VLOOKUP(A61,Enforcements!$C$3:$J$57,3,0)</f>
        <v>#N/A</v>
      </c>
    </row>
    <row r="62" spans="1:27" s="2" customFormat="1" x14ac:dyDescent="0.25">
      <c r="A62" s="60" t="s">
        <v>353</v>
      </c>
      <c r="B62" s="60">
        <v>4014</v>
      </c>
      <c r="C62" s="60" t="s">
        <v>62</v>
      </c>
      <c r="D62" s="60" t="s">
        <v>185</v>
      </c>
      <c r="E62" s="30">
        <v>42527.454930555556</v>
      </c>
      <c r="F62" s="30">
        <v>42527.456030092595</v>
      </c>
      <c r="G62" s="38">
        <v>1</v>
      </c>
      <c r="H62" s="30" t="s">
        <v>162</v>
      </c>
      <c r="I62" s="30">
        <v>42527.483078703706</v>
      </c>
      <c r="J62" s="60">
        <v>0</v>
      </c>
      <c r="K62" s="60" t="str">
        <f t="shared" si="31"/>
        <v>4013/4014</v>
      </c>
      <c r="L62" s="60" t="str">
        <f>VLOOKUP(A62,'Trips&amp;Operators'!$C$1:$E$9999,3,FALSE)</f>
        <v>MALAVE</v>
      </c>
      <c r="M62" s="12">
        <f t="shared" si="32"/>
        <v>2.7048611111240461E-2</v>
      </c>
      <c r="N62" s="13">
        <f t="shared" si="30"/>
        <v>38.950000000186265</v>
      </c>
      <c r="O62" s="13"/>
      <c r="P62" s="13"/>
      <c r="Q62" s="61"/>
      <c r="R62" s="61"/>
      <c r="T62" s="73" t="str">
        <f t="shared" si="8"/>
        <v>https://search-rtdc-monitor-bjffxe2xuh6vdkpspy63sjmuny.us-east-1.es.amazonaws.com/_plugin/kibana/#/discover/Steve-Slow-Train-Analysis-(2080s-and-2083s)?_g=(refreshInterval:(display:Off,section:0,value:0),time:(from:'2016-06-06 10:54:06-0600',mode:absolute,to:'2016-06-06 11:36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U62" s="73" t="str">
        <f t="shared" si="9"/>
        <v>N</v>
      </c>
      <c r="V62" s="73">
        <f t="shared" si="10"/>
        <v>1</v>
      </c>
      <c r="W62" s="73">
        <f t="shared" si="11"/>
        <v>4.7500000000000001E-2</v>
      </c>
      <c r="X62" s="73">
        <f t="shared" si="12"/>
        <v>23.328399999999998</v>
      </c>
      <c r="Y62" s="73">
        <f t="shared" si="13"/>
        <v>23.280899999999999</v>
      </c>
      <c r="Z62" s="74" t="e">
        <f>VLOOKUP(A62,Enforcements!$C$3:$J$57,8,0)</f>
        <v>#N/A</v>
      </c>
      <c r="AA62" s="74" t="e">
        <f>VLOOKUP(A62,Enforcements!$C$3:$J$57,3,0)</f>
        <v>#N/A</v>
      </c>
    </row>
    <row r="63" spans="1:27" s="2" customFormat="1" x14ac:dyDescent="0.25">
      <c r="A63" s="60" t="s">
        <v>231</v>
      </c>
      <c r="B63" s="60">
        <v>4013</v>
      </c>
      <c r="C63" s="60" t="s">
        <v>62</v>
      </c>
      <c r="D63" s="60" t="s">
        <v>354</v>
      </c>
      <c r="E63" s="30">
        <v>42527.495451388888</v>
      </c>
      <c r="F63" s="30">
        <v>42527.497453703705</v>
      </c>
      <c r="G63" s="38">
        <v>2</v>
      </c>
      <c r="H63" s="30" t="s">
        <v>97</v>
      </c>
      <c r="I63" s="30">
        <v>42527.525567129633</v>
      </c>
      <c r="J63" s="60">
        <v>1</v>
      </c>
      <c r="K63" s="60" t="str">
        <f t="shared" si="31"/>
        <v>4013/4014</v>
      </c>
      <c r="L63" s="60" t="str">
        <f>VLOOKUP(A63,'Trips&amp;Operators'!$C$1:$E$9999,3,FALSE)</f>
        <v>MALAVE</v>
      </c>
      <c r="M63" s="12">
        <f t="shared" si="32"/>
        <v>2.8113425927585922E-2</v>
      </c>
      <c r="N63" s="13">
        <f t="shared" si="30"/>
        <v>40.483333335723728</v>
      </c>
      <c r="O63" s="13"/>
      <c r="P63" s="13"/>
      <c r="Q63" s="61"/>
      <c r="R63" s="61"/>
      <c r="T63" s="73" t="str">
        <f t="shared" si="8"/>
        <v>https://search-rtdc-monitor-bjffxe2xuh6vdkpspy63sjmuny.us-east-1.es.amazonaws.com/_plugin/kibana/#/discover/Steve-Slow-Train-Analysis-(2080s-and-2083s)?_g=(refreshInterval:(display:Off,section:0,value:0),time:(from:'2016-06-06 11:52:27-0600',mode:absolute,to:'2016-06-06 12:37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U63" s="73" t="str">
        <f t="shared" si="9"/>
        <v>N</v>
      </c>
      <c r="V63" s="73">
        <f t="shared" si="10"/>
        <v>1</v>
      </c>
      <c r="W63" s="73">
        <f t="shared" si="11"/>
        <v>23.296500000000002</v>
      </c>
      <c r="X63" s="73">
        <f t="shared" si="12"/>
        <v>1.49E-2</v>
      </c>
      <c r="Y63" s="73">
        <f t="shared" si="13"/>
        <v>23.281600000000001</v>
      </c>
      <c r="Z63" s="74">
        <f>VLOOKUP(A63,Enforcements!$C$3:$J$57,8,0)</f>
        <v>1</v>
      </c>
      <c r="AA63" s="74" t="str">
        <f>VLOOKUP(A63,Enforcements!$C$3:$J$57,3,0)</f>
        <v>TRACK WARRANT AUTHORITY</v>
      </c>
    </row>
    <row r="64" spans="1:27" s="2" customFormat="1" x14ac:dyDescent="0.25">
      <c r="A64" s="60" t="s">
        <v>355</v>
      </c>
      <c r="B64" s="60">
        <v>4011</v>
      </c>
      <c r="C64" s="60" t="s">
        <v>62</v>
      </c>
      <c r="D64" s="60" t="s">
        <v>356</v>
      </c>
      <c r="E64" s="30">
        <v>42527.463368055556</v>
      </c>
      <c r="F64" s="30">
        <v>42527.464918981481</v>
      </c>
      <c r="G64" s="38">
        <v>2</v>
      </c>
      <c r="H64" s="30" t="s">
        <v>118</v>
      </c>
      <c r="I64" s="30">
        <v>42527.494039351855</v>
      </c>
      <c r="J64" s="60">
        <v>0</v>
      </c>
      <c r="K64" s="60" t="str">
        <f t="shared" si="31"/>
        <v>4011/4012</v>
      </c>
      <c r="L64" s="60" t="str">
        <f>VLOOKUP(A64,'Trips&amp;Operators'!$C$1:$E$9999,3,FALSE)</f>
        <v>RIVERA</v>
      </c>
      <c r="M64" s="12">
        <f t="shared" si="32"/>
        <v>2.9120370374585036E-2</v>
      </c>
      <c r="N64" s="13">
        <f t="shared" si="30"/>
        <v>41.933333339402452</v>
      </c>
      <c r="O64" s="13"/>
      <c r="P64" s="13"/>
      <c r="Q64" s="61"/>
      <c r="R64" s="61"/>
      <c r="T64" s="73" t="str">
        <f t="shared" si="8"/>
        <v>https://search-rtdc-monitor-bjffxe2xuh6vdkpspy63sjmuny.us-east-1.es.amazonaws.com/_plugin/kibana/#/discover/Steve-Slow-Train-Analysis-(2080s-and-2083s)?_g=(refreshInterval:(display:Off,section:0,value:0),time:(from:'2016-06-06 11:06:15-0600',mode:absolute,to:'2016-06-06 11:52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64" s="73" t="str">
        <f t="shared" si="9"/>
        <v>N</v>
      </c>
      <c r="V64" s="73">
        <f t="shared" si="10"/>
        <v>1</v>
      </c>
      <c r="W64" s="73">
        <f t="shared" si="11"/>
        <v>4.4600000000000001E-2</v>
      </c>
      <c r="X64" s="73">
        <f t="shared" si="12"/>
        <v>23.330400000000001</v>
      </c>
      <c r="Y64" s="73">
        <f t="shared" si="13"/>
        <v>23.285800000000002</v>
      </c>
      <c r="Z64" s="74" t="e">
        <f>VLOOKUP(A64,Enforcements!$C$3:$J$57,8,0)</f>
        <v>#N/A</v>
      </c>
      <c r="AA64" s="74" t="e">
        <f>VLOOKUP(A64,Enforcements!$C$3:$J$57,3,0)</f>
        <v>#N/A</v>
      </c>
    </row>
    <row r="65" spans="1:27" s="2" customFormat="1" x14ac:dyDescent="0.25">
      <c r="A65" s="60" t="s">
        <v>233</v>
      </c>
      <c r="B65" s="60">
        <v>4012</v>
      </c>
      <c r="C65" s="60" t="s">
        <v>62</v>
      </c>
      <c r="D65" s="60" t="s">
        <v>67</v>
      </c>
      <c r="E65" s="30">
        <v>42527.500833333332</v>
      </c>
      <c r="F65" s="30">
        <v>42527.501921296294</v>
      </c>
      <c r="G65" s="38">
        <v>1</v>
      </c>
      <c r="H65" s="30" t="s">
        <v>101</v>
      </c>
      <c r="I65" s="30">
        <v>42527.534247685187</v>
      </c>
      <c r="J65" s="60">
        <v>1</v>
      </c>
      <c r="K65" s="60" t="str">
        <f t="shared" si="31"/>
        <v>4011/4012</v>
      </c>
      <c r="L65" s="60" t="str">
        <f>VLOOKUP(A65,'Trips&amp;Operators'!$C$1:$E$9999,3,FALSE)</f>
        <v>RIVERA</v>
      </c>
      <c r="M65" s="12">
        <f t="shared" si="32"/>
        <v>3.2326388893125113E-2</v>
      </c>
      <c r="N65" s="13">
        <f t="shared" si="30"/>
        <v>46.550000006100163</v>
      </c>
      <c r="O65" s="13"/>
      <c r="P65" s="13"/>
      <c r="Q65" s="61"/>
      <c r="R65" s="61"/>
      <c r="T65" s="73" t="str">
        <f t="shared" ref="T65:T81" si="33">"https://search-rtdc-monitor-bjffxe2xuh6vdkpspy63sjmuny.us-east-1.es.amazonaws.com/_plugin/kibana/#/discover/Steve-Slow-Train-Analysis-(2080s-and-2083s)?_g=(refreshInterval:(display:Off,section:0,value:0),time:(from:'"&amp;TEXT(E65-1/24/60,"yyyy-MM-DD hh:mm:ss")&amp;"-0600',mode:absolute,to:'"&amp;TEXT(I65+1/24/60,"yyyy-MM-DD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65&amp;"%22')),sort:!(Time,asc))"</f>
        <v>https://search-rtdc-monitor-bjffxe2xuh6vdkpspy63sjmuny.us-east-1.es.amazonaws.com/_plugin/kibana/#/discover/Steve-Slow-Train-Analysis-(2080s-and-2083s)?_g=(refreshInterval:(display:Off,section:0,value:0),time:(from:'2016-06-06 12:00:12-0600',mode:absolute,to:'2016-06-06 12:50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65" s="73" t="str">
        <f t="shared" ref="U65:U81" si="34">IF(Y65&lt;23,"Y","N")</f>
        <v>N</v>
      </c>
      <c r="V65" s="73">
        <f t="shared" si="10"/>
        <v>1</v>
      </c>
      <c r="W65" s="73">
        <f t="shared" ref="W65:W81" si="35">RIGHT(D65,LEN(D65)-4)/10000</f>
        <v>23.299399999999999</v>
      </c>
      <c r="X65" s="73">
        <f t="shared" ref="X65:X81" si="36">RIGHT(H65,LEN(H65)-4)/10000</f>
        <v>1.38E-2</v>
      </c>
      <c r="Y65" s="73">
        <f t="shared" ref="Y65:Y81" si="37">ABS(X65-W65)</f>
        <v>23.285599999999999</v>
      </c>
      <c r="Z65" s="74">
        <f>VLOOKUP(A65,Enforcements!$C$3:$J$57,8,0)</f>
        <v>1</v>
      </c>
      <c r="AA65" s="74" t="str">
        <f>VLOOKUP(A65,Enforcements!$C$3:$J$57,3,0)</f>
        <v>TRACK WARRANT AUTHORITY</v>
      </c>
    </row>
    <row r="66" spans="1:27" s="2" customFormat="1" x14ac:dyDescent="0.25">
      <c r="A66" s="60" t="s">
        <v>229</v>
      </c>
      <c r="B66" s="60">
        <v>4040</v>
      </c>
      <c r="C66" s="60" t="s">
        <v>62</v>
      </c>
      <c r="D66" s="60" t="s">
        <v>113</v>
      </c>
      <c r="E66" s="30">
        <v>42527.469594907408</v>
      </c>
      <c r="F66" s="30">
        <v>42527.470543981479</v>
      </c>
      <c r="G66" s="38">
        <v>1</v>
      </c>
      <c r="H66" s="30" t="s">
        <v>328</v>
      </c>
      <c r="I66" s="30">
        <v>42527.506180555552</v>
      </c>
      <c r="J66" s="60">
        <v>1</v>
      </c>
      <c r="K66" s="60" t="str">
        <f t="shared" si="31"/>
        <v>4039/4040</v>
      </c>
      <c r="L66" s="60" t="str">
        <f>VLOOKUP(A66,'Trips&amp;Operators'!$C$1:$E$9999,3,FALSE)</f>
        <v>BONDS</v>
      </c>
      <c r="M66" s="12">
        <f t="shared" si="32"/>
        <v>3.5636574073578231E-2</v>
      </c>
      <c r="N66" s="13">
        <f t="shared" si="30"/>
        <v>51.316666665952653</v>
      </c>
      <c r="O66" s="13"/>
      <c r="P66" s="13"/>
      <c r="Q66" s="61"/>
      <c r="R66" s="61"/>
      <c r="T66" s="73" t="str">
        <f t="shared" si="33"/>
        <v>https://search-rtdc-monitor-bjffxe2xuh6vdkpspy63sjmuny.us-east-1.es.amazonaws.com/_plugin/kibana/#/discover/Steve-Slow-Train-Analysis-(2080s-and-2083s)?_g=(refreshInterval:(display:Off,section:0,value:0),time:(from:'2016-06-06 11:15:13-0600',mode:absolute,to:'2016-06-06 12:09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66" s="73" t="str">
        <f t="shared" si="34"/>
        <v>N</v>
      </c>
      <c r="V66" s="73">
        <f t="shared" si="10"/>
        <v>1</v>
      </c>
      <c r="W66" s="73">
        <f t="shared" si="35"/>
        <v>4.6899999999999997E-2</v>
      </c>
      <c r="X66" s="73">
        <f t="shared" si="36"/>
        <v>23.332599999999999</v>
      </c>
      <c r="Y66" s="73">
        <f t="shared" si="37"/>
        <v>23.285699999999999</v>
      </c>
      <c r="Z66" s="74">
        <f>VLOOKUP(A66,Enforcements!$C$3:$J$57,8,0)</f>
        <v>27052</v>
      </c>
      <c r="AA66" s="74" t="str">
        <f>VLOOKUP(A66,Enforcements!$C$3:$J$57,3,0)</f>
        <v>GRADE CROSSING</v>
      </c>
    </row>
    <row r="67" spans="1:27" s="2" customFormat="1" x14ac:dyDescent="0.25">
      <c r="A67" s="60" t="s">
        <v>232</v>
      </c>
      <c r="B67" s="60">
        <v>4039</v>
      </c>
      <c r="C67" s="60" t="s">
        <v>62</v>
      </c>
      <c r="D67" s="60" t="s">
        <v>357</v>
      </c>
      <c r="E67" s="30">
        <v>42527.512766203705</v>
      </c>
      <c r="F67" s="30">
        <v>42527.513888888891</v>
      </c>
      <c r="G67" s="38">
        <v>1</v>
      </c>
      <c r="H67" s="30" t="s">
        <v>94</v>
      </c>
      <c r="I67" s="30">
        <v>42527.545219907406</v>
      </c>
      <c r="J67" s="60">
        <v>1</v>
      </c>
      <c r="K67" s="60" t="str">
        <f t="shared" si="31"/>
        <v>4039/4040</v>
      </c>
      <c r="L67" s="60" t="str">
        <f>VLOOKUP(A67,'Trips&amp;Operators'!$C$1:$E$9999,3,FALSE)</f>
        <v>BONDS</v>
      </c>
      <c r="M67" s="12">
        <f t="shared" si="32"/>
        <v>3.1331018515629694E-2</v>
      </c>
      <c r="N67" s="13">
        <f t="shared" si="30"/>
        <v>45.116666662506759</v>
      </c>
      <c r="O67" s="13"/>
      <c r="P67" s="13"/>
      <c r="Q67" s="61"/>
      <c r="R67" s="61"/>
      <c r="T67" s="73" t="str">
        <f t="shared" si="33"/>
        <v>https://search-rtdc-monitor-bjffxe2xuh6vdkpspy63sjmuny.us-east-1.es.amazonaws.com/_plugin/kibana/#/discover/Steve-Slow-Train-Analysis-(2080s-and-2083s)?_g=(refreshInterval:(display:Off,section:0,value:0),time:(from:'2016-06-06 12:17:23-0600',mode:absolute,to:'2016-06-06 13:06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67" s="73" t="str">
        <f t="shared" si="34"/>
        <v>N</v>
      </c>
      <c r="V67" s="73">
        <f t="shared" si="10"/>
        <v>1</v>
      </c>
      <c r="W67" s="73">
        <f t="shared" si="35"/>
        <v>23.302099999999999</v>
      </c>
      <c r="X67" s="73">
        <f t="shared" si="36"/>
        <v>1.41E-2</v>
      </c>
      <c r="Y67" s="73">
        <f t="shared" si="37"/>
        <v>23.288</v>
      </c>
      <c r="Z67" s="74">
        <f>VLOOKUP(A67,Enforcements!$C$3:$J$57,8,0)</f>
        <v>126678</v>
      </c>
      <c r="AA67" s="74" t="str">
        <f>VLOOKUP(A67,Enforcements!$C$3:$J$57,3,0)</f>
        <v>EQUIPMENT RESTRICTION</v>
      </c>
    </row>
    <row r="68" spans="1:27" s="2" customFormat="1" x14ac:dyDescent="0.25">
      <c r="A68" s="60" t="s">
        <v>230</v>
      </c>
      <c r="B68" s="60">
        <v>4020</v>
      </c>
      <c r="C68" s="60" t="s">
        <v>62</v>
      </c>
      <c r="D68" s="60" t="s">
        <v>65</v>
      </c>
      <c r="E68" s="30">
        <v>42527.484097222223</v>
      </c>
      <c r="F68" s="30">
        <v>42527.485173611109</v>
      </c>
      <c r="G68" s="38">
        <v>1</v>
      </c>
      <c r="H68" s="30" t="s">
        <v>358</v>
      </c>
      <c r="I68" s="30">
        <v>42527.514791666668</v>
      </c>
      <c r="J68" s="60">
        <v>1</v>
      </c>
      <c r="K68" s="60" t="str">
        <f t="shared" si="31"/>
        <v>4019/4020</v>
      </c>
      <c r="L68" s="60" t="str">
        <f>VLOOKUP(A68,'Trips&amp;Operators'!$C$1:$E$9999,3,FALSE)</f>
        <v>LOCKLEAR</v>
      </c>
      <c r="M68" s="12">
        <f t="shared" si="32"/>
        <v>2.9618055559694767E-2</v>
      </c>
      <c r="N68" s="13">
        <f t="shared" si="30"/>
        <v>42.650000005960464</v>
      </c>
      <c r="O68" s="13"/>
      <c r="P68" s="13"/>
      <c r="Q68" s="61"/>
      <c r="R68" s="61"/>
      <c r="T68" s="73" t="str">
        <f t="shared" si="33"/>
        <v>https://search-rtdc-monitor-bjffxe2xuh6vdkpspy63sjmuny.us-east-1.es.amazonaws.com/_plugin/kibana/#/discover/Steve-Slow-Train-Analysis-(2080s-and-2083s)?_g=(refreshInterval:(display:Off,section:0,value:0),time:(from:'2016-06-06 11:36:06-0600',mode:absolute,to:'2016-06-06 12:22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68" s="73" t="str">
        <f t="shared" si="34"/>
        <v>N</v>
      </c>
      <c r="V68" s="73">
        <f t="shared" si="10"/>
        <v>1</v>
      </c>
      <c r="W68" s="73">
        <f t="shared" si="35"/>
        <v>4.5100000000000001E-2</v>
      </c>
      <c r="X68" s="73">
        <f t="shared" si="36"/>
        <v>23.3432</v>
      </c>
      <c r="Y68" s="73">
        <f t="shared" si="37"/>
        <v>23.298099999999998</v>
      </c>
      <c r="Z68" s="74">
        <f>VLOOKUP(A68,Enforcements!$C$3:$J$57,8,0)</f>
        <v>27333</v>
      </c>
      <c r="AA68" s="74" t="str">
        <f>VLOOKUP(A68,Enforcements!$C$3:$J$57,3,0)</f>
        <v>PERMANENT SPEED RESTRICTION</v>
      </c>
    </row>
    <row r="69" spans="1:27" s="2" customFormat="1" x14ac:dyDescent="0.25">
      <c r="A69" s="60" t="s">
        <v>359</v>
      </c>
      <c r="B69" s="60">
        <v>4019</v>
      </c>
      <c r="C69" s="60" t="s">
        <v>62</v>
      </c>
      <c r="D69" s="60" t="s">
        <v>360</v>
      </c>
      <c r="E69" s="30">
        <v>42527.527037037034</v>
      </c>
      <c r="F69" s="30">
        <v>42527.528009259258</v>
      </c>
      <c r="G69" s="38">
        <v>1</v>
      </c>
      <c r="H69" s="30" t="s">
        <v>150</v>
      </c>
      <c r="I69" s="30">
        <v>42527.554895833331</v>
      </c>
      <c r="J69" s="60">
        <v>0</v>
      </c>
      <c r="K69" s="60" t="str">
        <f t="shared" si="31"/>
        <v>4019/4020</v>
      </c>
      <c r="L69" s="60" t="str">
        <f>VLOOKUP(A69,'Trips&amp;Operators'!$C$1:$E$9999,3,FALSE)</f>
        <v>LOCKLEAR</v>
      </c>
      <c r="M69" s="12">
        <f t="shared" si="32"/>
        <v>2.6886574072705116E-2</v>
      </c>
      <c r="N69" s="13">
        <f t="shared" si="30"/>
        <v>38.716666664695367</v>
      </c>
      <c r="O69" s="13"/>
      <c r="P69" s="13"/>
      <c r="Q69" s="61"/>
      <c r="R69" s="61"/>
      <c r="T69" s="73" t="str">
        <f t="shared" si="33"/>
        <v>https://search-rtdc-monitor-bjffxe2xuh6vdkpspy63sjmuny.us-east-1.es.amazonaws.com/_plugin/kibana/#/discover/Steve-Slow-Train-Analysis-(2080s-and-2083s)?_g=(refreshInterval:(display:Off,section:0,value:0),time:(from:'2016-06-06 12:37:56-0600',mode:absolute,to:'2016-06-06 13:20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69" s="73" t="str">
        <f t="shared" si="34"/>
        <v>N</v>
      </c>
      <c r="V69" s="73">
        <f t="shared" ref="V69:V132" si="38">VALUE(LEFT(A69,3))-VALUE(LEFT(A68,3))</f>
        <v>1</v>
      </c>
      <c r="W69" s="73">
        <f t="shared" si="35"/>
        <v>23.3123</v>
      </c>
      <c r="X69" s="73">
        <f t="shared" si="36"/>
        <v>1.67E-2</v>
      </c>
      <c r="Y69" s="73">
        <f t="shared" si="37"/>
        <v>23.2956</v>
      </c>
      <c r="Z69" s="74" t="e">
        <f>VLOOKUP(A69,Enforcements!$C$3:$J$57,8,0)</f>
        <v>#N/A</v>
      </c>
      <c r="AA69" s="74" t="e">
        <f>VLOOKUP(A69,Enforcements!$C$3:$J$57,3,0)</f>
        <v>#N/A</v>
      </c>
    </row>
    <row r="70" spans="1:27" s="2" customFormat="1" x14ac:dyDescent="0.25">
      <c r="A70" s="60" t="s">
        <v>361</v>
      </c>
      <c r="B70" s="60">
        <v>4018</v>
      </c>
      <c r="C70" s="60" t="s">
        <v>62</v>
      </c>
      <c r="D70" s="60" t="s">
        <v>88</v>
      </c>
      <c r="E70" s="30">
        <v>42527.496157407404</v>
      </c>
      <c r="F70" s="30">
        <v>42527.497118055559</v>
      </c>
      <c r="G70" s="38">
        <v>1</v>
      </c>
      <c r="H70" s="30" t="s">
        <v>129</v>
      </c>
      <c r="I70" s="30">
        <v>42527.525312500002</v>
      </c>
      <c r="J70" s="60">
        <v>0</v>
      </c>
      <c r="K70" s="60" t="str">
        <f t="shared" si="31"/>
        <v>4017/4018</v>
      </c>
      <c r="L70" s="60" t="str">
        <f>VLOOKUP(A70,'Trips&amp;Operators'!$C$1:$E$9999,3,FALSE)</f>
        <v>ACKERMAN</v>
      </c>
      <c r="M70" s="12">
        <f t="shared" si="32"/>
        <v>2.8194444443215616E-2</v>
      </c>
      <c r="N70" s="13">
        <f t="shared" si="30"/>
        <v>40.599999998230487</v>
      </c>
      <c r="O70" s="13"/>
      <c r="P70" s="13"/>
      <c r="Q70" s="61"/>
      <c r="R70" s="61"/>
      <c r="T70" s="73" t="str">
        <f t="shared" si="33"/>
        <v>https://search-rtdc-monitor-bjffxe2xuh6vdkpspy63sjmuny.us-east-1.es.amazonaws.com/_plugin/kibana/#/discover/Steve-Slow-Train-Analysis-(2080s-and-2083s)?_g=(refreshInterval:(display:Off,section:0,value:0),time:(from:'2016-06-06 11:53:28-0600',mode:absolute,to:'2016-06-06 12:37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U70" s="73" t="str">
        <f t="shared" si="34"/>
        <v>N</v>
      </c>
      <c r="V70" s="73">
        <f t="shared" si="38"/>
        <v>1</v>
      </c>
      <c r="W70" s="73">
        <f t="shared" si="35"/>
        <v>4.6199999999999998E-2</v>
      </c>
      <c r="X70" s="73">
        <f t="shared" si="36"/>
        <v>23.329899999999999</v>
      </c>
      <c r="Y70" s="73">
        <f t="shared" si="37"/>
        <v>23.2837</v>
      </c>
      <c r="Z70" s="74" t="e">
        <f>VLOOKUP(A70,Enforcements!$C$3:$J$57,8,0)</f>
        <v>#N/A</v>
      </c>
      <c r="AA70" s="74" t="e">
        <f>VLOOKUP(A70,Enforcements!$C$3:$J$57,3,0)</f>
        <v>#N/A</v>
      </c>
    </row>
    <row r="71" spans="1:27" s="2" customFormat="1" x14ac:dyDescent="0.25">
      <c r="A71" s="60" t="s">
        <v>362</v>
      </c>
      <c r="B71" s="60">
        <v>4017</v>
      </c>
      <c r="C71" s="60" t="s">
        <v>62</v>
      </c>
      <c r="D71" s="60" t="s">
        <v>363</v>
      </c>
      <c r="E71" s="30">
        <v>42527.532349537039</v>
      </c>
      <c r="F71" s="30">
        <v>42527.533356481479</v>
      </c>
      <c r="G71" s="38">
        <v>1</v>
      </c>
      <c r="H71" s="30" t="s">
        <v>86</v>
      </c>
      <c r="I71" s="30">
        <v>42527.565925925926</v>
      </c>
      <c r="J71" s="60">
        <v>0</v>
      </c>
      <c r="K71" s="60" t="str">
        <f t="shared" si="31"/>
        <v>4017/4018</v>
      </c>
      <c r="L71" s="60" t="str">
        <f>VLOOKUP(A71,'Trips&amp;Operators'!$C$1:$E$9999,3,FALSE)</f>
        <v>ACKERMAN</v>
      </c>
      <c r="M71" s="12">
        <f t="shared" si="32"/>
        <v>3.2569444447290152E-2</v>
      </c>
      <c r="N71" s="13">
        <f t="shared" si="30"/>
        <v>46.900000004097819</v>
      </c>
      <c r="O71" s="13"/>
      <c r="P71" s="13"/>
      <c r="Q71" s="61"/>
      <c r="R71" s="61"/>
      <c r="T71" s="73" t="str">
        <f t="shared" si="33"/>
        <v>https://search-rtdc-monitor-bjffxe2xuh6vdkpspy63sjmuny.us-east-1.es.amazonaws.com/_plugin/kibana/#/discover/Steve-Slow-Train-Analysis-(2080s-and-2083s)?_g=(refreshInterval:(display:Off,section:0,value:0),time:(from:'2016-06-06 12:45:35-0600',mode:absolute,to:'2016-06-06 13:35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U71" s="73" t="str">
        <f t="shared" si="34"/>
        <v>N</v>
      </c>
      <c r="V71" s="73">
        <f t="shared" si="38"/>
        <v>1</v>
      </c>
      <c r="W71" s="73">
        <f t="shared" si="35"/>
        <v>23.296700000000001</v>
      </c>
      <c r="X71" s="73">
        <f t="shared" si="36"/>
        <v>1.43E-2</v>
      </c>
      <c r="Y71" s="73">
        <f t="shared" si="37"/>
        <v>23.282400000000003</v>
      </c>
      <c r="Z71" s="74" t="e">
        <f>VLOOKUP(A71,Enforcements!$C$3:$J$57,8,0)</f>
        <v>#N/A</v>
      </c>
      <c r="AA71" s="74" t="e">
        <f>VLOOKUP(A71,Enforcements!$C$3:$J$57,3,0)</f>
        <v>#N/A</v>
      </c>
    </row>
    <row r="72" spans="1:27" s="2" customFormat="1" x14ac:dyDescent="0.25">
      <c r="A72" s="60" t="s">
        <v>364</v>
      </c>
      <c r="B72" s="60">
        <v>4016</v>
      </c>
      <c r="C72" s="60" t="s">
        <v>62</v>
      </c>
      <c r="D72" s="60" t="s">
        <v>108</v>
      </c>
      <c r="E72" s="30">
        <v>42527.506944444445</v>
      </c>
      <c r="F72" s="30">
        <v>42527.510775462964</v>
      </c>
      <c r="G72" s="38">
        <v>5</v>
      </c>
      <c r="H72" s="30" t="s">
        <v>318</v>
      </c>
      <c r="I72" s="30">
        <v>42527.535856481481</v>
      </c>
      <c r="J72" s="60">
        <v>0</v>
      </c>
      <c r="K72" s="60" t="str">
        <f t="shared" si="31"/>
        <v>4015/4016</v>
      </c>
      <c r="L72" s="60" t="str">
        <f>VLOOKUP(A72,'Trips&amp;Operators'!$C$1:$E$9999,3,FALSE)</f>
        <v>LOZA</v>
      </c>
      <c r="M72" s="12">
        <f t="shared" si="32"/>
        <v>2.5081018517084885E-2</v>
      </c>
      <c r="N72" s="13">
        <f t="shared" si="30"/>
        <v>36.116666664602235</v>
      </c>
      <c r="O72" s="13"/>
      <c r="P72" s="13"/>
      <c r="Q72" s="61"/>
      <c r="R72" s="61"/>
      <c r="T72" s="73" t="str">
        <f t="shared" si="33"/>
        <v>https://search-rtdc-monitor-bjffxe2xuh6vdkpspy63sjmuny.us-east-1.es.amazonaws.com/_plugin/kibana/#/discover/Steve-Slow-Train-Analysis-(2080s-and-2083s)?_g=(refreshInterval:(display:Off,section:0,value:0),time:(from:'2016-06-06 12:09:00-0600',mode:absolute,to:'2016-06-06 12:52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72" s="73" t="str">
        <f t="shared" si="34"/>
        <v>N</v>
      </c>
      <c r="V72" s="73">
        <f t="shared" si="38"/>
        <v>1</v>
      </c>
      <c r="W72" s="73">
        <f t="shared" si="35"/>
        <v>4.7699999999999999E-2</v>
      </c>
      <c r="X72" s="73">
        <f t="shared" si="36"/>
        <v>23.333600000000001</v>
      </c>
      <c r="Y72" s="73">
        <f t="shared" si="37"/>
        <v>23.285900000000002</v>
      </c>
      <c r="Z72" s="74" t="e">
        <f>VLOOKUP(A72,Enforcements!$C$3:$J$57,8,0)</f>
        <v>#N/A</v>
      </c>
      <c r="AA72" s="74" t="e">
        <f>VLOOKUP(A72,Enforcements!$C$3:$J$57,3,0)</f>
        <v>#N/A</v>
      </c>
    </row>
    <row r="73" spans="1:27" s="2" customFormat="1" x14ac:dyDescent="0.25">
      <c r="A73" s="60" t="s">
        <v>365</v>
      </c>
      <c r="B73" s="60">
        <v>4015</v>
      </c>
      <c r="C73" s="60" t="s">
        <v>62</v>
      </c>
      <c r="D73" s="60" t="s">
        <v>366</v>
      </c>
      <c r="E73" s="30">
        <v>42527.546030092592</v>
      </c>
      <c r="F73" s="30">
        <v>42527.547488425924</v>
      </c>
      <c r="G73" s="38">
        <v>2</v>
      </c>
      <c r="H73" s="30" t="s">
        <v>184</v>
      </c>
      <c r="I73" s="30">
        <v>42527.576550925929</v>
      </c>
      <c r="J73" s="60">
        <v>0</v>
      </c>
      <c r="K73" s="60" t="str">
        <f t="shared" si="31"/>
        <v>4015/4016</v>
      </c>
      <c r="L73" s="60" t="str">
        <f>VLOOKUP(A73,'Trips&amp;Operators'!$C$1:$E$9999,3,FALSE)</f>
        <v>LOZA</v>
      </c>
      <c r="M73" s="12">
        <f t="shared" si="32"/>
        <v>2.9062500005238689E-2</v>
      </c>
      <c r="N73" s="13">
        <f t="shared" si="30"/>
        <v>41.850000007543713</v>
      </c>
      <c r="O73" s="13"/>
      <c r="P73" s="13"/>
      <c r="Q73" s="61"/>
      <c r="R73" s="61"/>
      <c r="T73" s="73" t="str">
        <f t="shared" si="33"/>
        <v>https://search-rtdc-monitor-bjffxe2xuh6vdkpspy63sjmuny.us-east-1.es.amazonaws.com/_plugin/kibana/#/discover/Steve-Slow-Train-Analysis-(2080s-and-2083s)?_g=(refreshInterval:(display:Off,section:0,value:0),time:(from:'2016-06-06 13:05:17-0600',mode:absolute,to:'2016-06-06 13:51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73" s="73" t="str">
        <f t="shared" si="34"/>
        <v>N</v>
      </c>
      <c r="V73" s="73">
        <f t="shared" si="38"/>
        <v>1</v>
      </c>
      <c r="W73" s="73">
        <f t="shared" si="35"/>
        <v>23.303000000000001</v>
      </c>
      <c r="X73" s="73">
        <f t="shared" si="36"/>
        <v>1.23E-2</v>
      </c>
      <c r="Y73" s="73">
        <f t="shared" si="37"/>
        <v>23.290700000000001</v>
      </c>
      <c r="Z73" s="74" t="e">
        <f>VLOOKUP(A73,Enforcements!$C$3:$J$57,8,0)</f>
        <v>#N/A</v>
      </c>
      <c r="AA73" s="74" t="e">
        <f>VLOOKUP(A73,Enforcements!$C$3:$J$57,3,0)</f>
        <v>#N/A</v>
      </c>
    </row>
    <row r="74" spans="1:27" s="2" customFormat="1" x14ac:dyDescent="0.25">
      <c r="A74" s="60" t="s">
        <v>367</v>
      </c>
      <c r="B74" s="60">
        <v>4025</v>
      </c>
      <c r="C74" s="60" t="s">
        <v>62</v>
      </c>
      <c r="D74" s="60" t="s">
        <v>104</v>
      </c>
      <c r="E74" s="30">
        <v>42527.516365740739</v>
      </c>
      <c r="F74" s="30">
        <v>42527.51734953704</v>
      </c>
      <c r="G74" s="38">
        <v>1</v>
      </c>
      <c r="H74" s="30" t="s">
        <v>98</v>
      </c>
      <c r="I74" s="30">
        <v>42527.547673611109</v>
      </c>
      <c r="J74" s="60">
        <v>0</v>
      </c>
      <c r="K74" s="60" t="str">
        <f t="shared" si="31"/>
        <v>4025/4026</v>
      </c>
      <c r="L74" s="60" t="str">
        <f>VLOOKUP(A74,'Trips&amp;Operators'!$C$1:$E$9999,3,FALSE)</f>
        <v>COCA</v>
      </c>
      <c r="M74" s="12">
        <f t="shared" si="32"/>
        <v>3.032407406863058E-2</v>
      </c>
      <c r="N74" s="13">
        <f t="shared" si="30"/>
        <v>43.666666658828035</v>
      </c>
      <c r="O74" s="13"/>
      <c r="P74" s="13"/>
      <c r="Q74" s="61"/>
      <c r="R74" s="61"/>
      <c r="T74" s="73" t="str">
        <f t="shared" si="33"/>
        <v>https://search-rtdc-monitor-bjffxe2xuh6vdkpspy63sjmuny.us-east-1.es.amazonaws.com/_plugin/kibana/#/discover/Steve-Slow-Train-Analysis-(2080s-and-2083s)?_g=(refreshInterval:(display:Off,section:0,value:0),time:(from:'2016-06-06 12:22:34-0600',mode:absolute,to:'2016-06-06 13:09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U74" s="73" t="str">
        <f t="shared" si="34"/>
        <v>N</v>
      </c>
      <c r="V74" s="73">
        <f t="shared" si="38"/>
        <v>1</v>
      </c>
      <c r="W74" s="73">
        <f t="shared" si="35"/>
        <v>4.53E-2</v>
      </c>
      <c r="X74" s="73">
        <f t="shared" si="36"/>
        <v>23.329699999999999</v>
      </c>
      <c r="Y74" s="73">
        <f t="shared" si="37"/>
        <v>23.284399999999998</v>
      </c>
      <c r="Z74" s="74" t="e">
        <f>VLOOKUP(A74,Enforcements!$C$3:$J$57,8,0)</f>
        <v>#N/A</v>
      </c>
      <c r="AA74" s="74" t="e">
        <f>VLOOKUP(A74,Enforcements!$C$3:$J$57,3,0)</f>
        <v>#N/A</v>
      </c>
    </row>
    <row r="75" spans="1:27" s="2" customFormat="1" x14ac:dyDescent="0.25">
      <c r="A75" s="60" t="s">
        <v>235</v>
      </c>
      <c r="B75" s="60">
        <v>4026</v>
      </c>
      <c r="C75" s="60" t="s">
        <v>62</v>
      </c>
      <c r="D75" s="60" t="s">
        <v>177</v>
      </c>
      <c r="E75" s="30">
        <v>42527.552893518521</v>
      </c>
      <c r="F75" s="30">
        <v>42527.553680555553</v>
      </c>
      <c r="G75" s="38">
        <v>1</v>
      </c>
      <c r="H75" s="30" t="s">
        <v>74</v>
      </c>
      <c r="I75" s="30">
        <v>42527.598796296297</v>
      </c>
      <c r="J75" s="60">
        <v>2</v>
      </c>
      <c r="K75" s="60" t="str">
        <f t="shared" si="31"/>
        <v>4025/4026</v>
      </c>
      <c r="L75" s="60" t="str">
        <f>VLOOKUP(A75,'Trips&amp;Operators'!$C$1:$E$9999,3,FALSE)</f>
        <v>COCA</v>
      </c>
      <c r="M75" s="12">
        <f t="shared" si="32"/>
        <v>4.5115740744222421E-2</v>
      </c>
      <c r="N75" s="13">
        <f t="shared" si="30"/>
        <v>64.966666671680287</v>
      </c>
      <c r="O75" s="13"/>
      <c r="P75" s="13"/>
      <c r="Q75" s="61"/>
      <c r="R75" s="61"/>
      <c r="T75" s="73" t="str">
        <f t="shared" si="33"/>
        <v>https://search-rtdc-monitor-bjffxe2xuh6vdkpspy63sjmuny.us-east-1.es.amazonaws.com/_plugin/kibana/#/discover/Steve-Slow-Train-Analysis-(2080s-and-2083s)?_g=(refreshInterval:(display:Off,section:0,value:0),time:(from:'2016-06-06 13:15:10-0600',mode:absolute,to:'2016-06-06 14:23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U75" s="73" t="str">
        <f t="shared" si="34"/>
        <v>N</v>
      </c>
      <c r="V75" s="73">
        <f t="shared" si="38"/>
        <v>1</v>
      </c>
      <c r="W75" s="73">
        <f t="shared" si="35"/>
        <v>23.298999999999999</v>
      </c>
      <c r="X75" s="73">
        <f t="shared" si="36"/>
        <v>1.47E-2</v>
      </c>
      <c r="Y75" s="73">
        <f t="shared" si="37"/>
        <v>23.284299999999998</v>
      </c>
      <c r="Z75" s="74">
        <f>VLOOKUP(A75,Enforcements!$C$3:$J$57,8,0)</f>
        <v>30970</v>
      </c>
      <c r="AA75" s="74" t="str">
        <f>VLOOKUP(A75,Enforcements!$C$3:$J$57,3,0)</f>
        <v>GRADE CROSSING</v>
      </c>
    </row>
    <row r="76" spans="1:27" s="2" customFormat="1" x14ac:dyDescent="0.25">
      <c r="A76" s="60" t="s">
        <v>368</v>
      </c>
      <c r="B76" s="60">
        <v>4014</v>
      </c>
      <c r="C76" s="60" t="s">
        <v>62</v>
      </c>
      <c r="D76" s="60" t="s">
        <v>181</v>
      </c>
      <c r="E76" s="30">
        <v>42527.52716435185</v>
      </c>
      <c r="F76" s="30">
        <v>42527.5315162037</v>
      </c>
      <c r="G76" s="38">
        <v>6</v>
      </c>
      <c r="H76" s="30" t="s">
        <v>164</v>
      </c>
      <c r="I76" s="30">
        <v>42527.557152777779</v>
      </c>
      <c r="J76" s="60">
        <v>0</v>
      </c>
      <c r="K76" s="60" t="str">
        <f t="shared" si="31"/>
        <v>4013/4014</v>
      </c>
      <c r="L76" s="60" t="str">
        <f>VLOOKUP(A76,'Trips&amp;Operators'!$C$1:$E$9999,3,FALSE)</f>
        <v>REBOLETTI</v>
      </c>
      <c r="M76" s="12">
        <f t="shared" si="32"/>
        <v>2.5636574078816921E-2</v>
      </c>
      <c r="N76" s="13">
        <f t="shared" si="30"/>
        <v>36.916666673496366</v>
      </c>
      <c r="O76" s="13"/>
      <c r="P76" s="13"/>
      <c r="Q76" s="61"/>
      <c r="R76" s="61"/>
      <c r="T76" s="73" t="str">
        <f t="shared" si="33"/>
        <v>https://search-rtdc-monitor-bjffxe2xuh6vdkpspy63sjmuny.us-east-1.es.amazonaws.com/_plugin/kibana/#/discover/Steve-Slow-Train-Analysis-(2080s-and-2083s)?_g=(refreshInterval:(display:Off,section:0,value:0),time:(from:'2016-06-06 12:38:07-0600',mode:absolute,to:'2016-06-06 13:23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U76" s="73" t="str">
        <f t="shared" si="34"/>
        <v>N</v>
      </c>
      <c r="V76" s="73">
        <f t="shared" si="38"/>
        <v>1</v>
      </c>
      <c r="W76" s="73">
        <f t="shared" si="35"/>
        <v>4.8000000000000001E-2</v>
      </c>
      <c r="X76" s="73">
        <f t="shared" si="36"/>
        <v>23.33</v>
      </c>
      <c r="Y76" s="73">
        <f t="shared" si="37"/>
        <v>23.282</v>
      </c>
      <c r="Z76" s="74" t="e">
        <f>VLOOKUP(A76,Enforcements!$C$3:$J$57,8,0)</f>
        <v>#N/A</v>
      </c>
      <c r="AA76" s="74" t="e">
        <f>VLOOKUP(A76,Enforcements!$C$3:$J$57,3,0)</f>
        <v>#N/A</v>
      </c>
    </row>
    <row r="77" spans="1:27" s="2" customFormat="1" x14ac:dyDescent="0.25">
      <c r="A77" s="60" t="s">
        <v>369</v>
      </c>
      <c r="B77" s="60">
        <v>4013</v>
      </c>
      <c r="C77" s="60" t="s">
        <v>62</v>
      </c>
      <c r="D77" s="60" t="s">
        <v>144</v>
      </c>
      <c r="E77" s="30">
        <v>42527.564375000002</v>
      </c>
      <c r="F77" s="30">
        <v>42527.565370370372</v>
      </c>
      <c r="G77" s="38">
        <v>1</v>
      </c>
      <c r="H77" s="30" t="s">
        <v>78</v>
      </c>
      <c r="I77" s="30">
        <v>42527.602997685186</v>
      </c>
      <c r="J77" s="60">
        <v>0</v>
      </c>
      <c r="K77" s="60" t="str">
        <f t="shared" si="31"/>
        <v>4013/4014</v>
      </c>
      <c r="L77" s="60" t="str">
        <f>VLOOKUP(A77,'Trips&amp;Operators'!$C$1:$E$9999,3,FALSE)</f>
        <v>REBOLETTI</v>
      </c>
      <c r="M77" s="12">
        <f t="shared" si="32"/>
        <v>3.7627314814017154E-2</v>
      </c>
      <c r="N77" s="13">
        <f t="shared" si="30"/>
        <v>54.183333332184702</v>
      </c>
      <c r="O77" s="13"/>
      <c r="P77" s="13"/>
      <c r="Q77" s="61"/>
      <c r="R77" s="61"/>
      <c r="T77" s="73" t="str">
        <f t="shared" si="33"/>
        <v>https://search-rtdc-monitor-bjffxe2xuh6vdkpspy63sjmuny.us-east-1.es.amazonaws.com/_plugin/kibana/#/discover/Steve-Slow-Train-Analysis-(2080s-and-2083s)?_g=(refreshInterval:(display:Off,section:0,value:0),time:(from:'2016-06-06 13:31:42-0600',mode:absolute,to:'2016-06-06 14:29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U77" s="73" t="str">
        <f t="shared" si="34"/>
        <v>N</v>
      </c>
      <c r="V77" s="73">
        <f t="shared" si="38"/>
        <v>1</v>
      </c>
      <c r="W77" s="73">
        <f t="shared" si="35"/>
        <v>23.298300000000001</v>
      </c>
      <c r="X77" s="73">
        <f t="shared" si="36"/>
        <v>1.6E-2</v>
      </c>
      <c r="Y77" s="73">
        <f t="shared" si="37"/>
        <v>23.282300000000003</v>
      </c>
      <c r="Z77" s="74" t="e">
        <f>VLOOKUP(A77,Enforcements!$C$3:$J$57,8,0)</f>
        <v>#N/A</v>
      </c>
      <c r="AA77" s="74" t="e">
        <f>VLOOKUP(A77,Enforcements!$C$3:$J$57,3,0)</f>
        <v>#N/A</v>
      </c>
    </row>
    <row r="78" spans="1:27" s="2" customFormat="1" x14ac:dyDescent="0.25">
      <c r="A78" s="60" t="s">
        <v>370</v>
      </c>
      <c r="B78" s="60">
        <v>4011</v>
      </c>
      <c r="C78" s="60" t="s">
        <v>62</v>
      </c>
      <c r="D78" s="60" t="s">
        <v>65</v>
      </c>
      <c r="E78" s="30">
        <v>42527.536157407405</v>
      </c>
      <c r="F78" s="30">
        <v>42527.536932870367</v>
      </c>
      <c r="G78" s="38">
        <v>1</v>
      </c>
      <c r="H78" s="30" t="s">
        <v>371</v>
      </c>
      <c r="I78" s="30">
        <v>42527.545717592591</v>
      </c>
      <c r="J78" s="60">
        <v>0</v>
      </c>
      <c r="K78" s="60" t="str">
        <f t="shared" si="31"/>
        <v>4011/4012</v>
      </c>
      <c r="L78" s="60" t="str">
        <f>VLOOKUP(A78,'Trips&amp;Operators'!$C$1:$E$9999,3,FALSE)</f>
        <v>RIVERA</v>
      </c>
      <c r="M78" s="12">
        <f t="shared" si="32"/>
        <v>8.7847222239361145E-3</v>
      </c>
      <c r="N78" s="13"/>
      <c r="O78" s="13"/>
      <c r="P78" s="13">
        <f>24*60*SUM($M78:$M78)</f>
        <v>12.650000002468005</v>
      </c>
      <c r="Q78" s="61"/>
      <c r="R78" s="61" t="s">
        <v>450</v>
      </c>
      <c r="T78" s="73" t="str">
        <f t="shared" si="33"/>
        <v>https://search-rtdc-monitor-bjffxe2xuh6vdkpspy63sjmuny.us-east-1.es.amazonaws.com/_plugin/kibana/#/discover/Steve-Slow-Train-Analysis-(2080s-and-2083s)?_g=(refreshInterval:(display:Off,section:0,value:0),time:(from:'2016-06-06 12:51:04-0600',mode:absolute,to:'2016-06-06 13:06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78" s="73" t="str">
        <f t="shared" si="34"/>
        <v>Y</v>
      </c>
      <c r="V78" s="73">
        <f t="shared" si="38"/>
        <v>1</v>
      </c>
      <c r="W78" s="73">
        <f t="shared" si="35"/>
        <v>4.5100000000000001E-2</v>
      </c>
      <c r="X78" s="73">
        <f t="shared" si="36"/>
        <v>1.9565999999999999</v>
      </c>
      <c r="Y78" s="73">
        <f t="shared" si="37"/>
        <v>1.9115</v>
      </c>
      <c r="Z78" s="74" t="e">
        <f>VLOOKUP(A78,Enforcements!$C$3:$J$57,8,0)</f>
        <v>#N/A</v>
      </c>
      <c r="AA78" s="74" t="e">
        <f>VLOOKUP(A78,Enforcements!$C$3:$J$57,3,0)</f>
        <v>#N/A</v>
      </c>
    </row>
    <row r="79" spans="1:27" s="2" customFormat="1" x14ac:dyDescent="0.25">
      <c r="A79" s="60" t="s">
        <v>372</v>
      </c>
      <c r="B79" s="60">
        <v>4012</v>
      </c>
      <c r="C79" s="60" t="s">
        <v>62</v>
      </c>
      <c r="D79" s="60" t="s">
        <v>373</v>
      </c>
      <c r="E79" s="30">
        <v>42527.577094907407</v>
      </c>
      <c r="F79" s="30">
        <v>42527.577893518515</v>
      </c>
      <c r="G79" s="38">
        <v>1</v>
      </c>
      <c r="H79" s="30" t="s">
        <v>110</v>
      </c>
      <c r="I79" s="30">
        <v>42527.581354166665</v>
      </c>
      <c r="J79" s="60">
        <v>0</v>
      </c>
      <c r="K79" s="60" t="str">
        <f t="shared" si="31"/>
        <v>4011/4012</v>
      </c>
      <c r="L79" s="60" t="str">
        <f>VLOOKUP(A79,'Trips&amp;Operators'!$C$1:$E$9999,3,FALSE)</f>
        <v>RIVERA</v>
      </c>
      <c r="M79" s="12">
        <f t="shared" si="32"/>
        <v>3.4606481494847685E-3</v>
      </c>
      <c r="N79" s="13"/>
      <c r="O79" s="13"/>
      <c r="P79" s="13">
        <f>24*60*SUM($M79:$M79)</f>
        <v>4.9833333352580667</v>
      </c>
      <c r="Q79" s="61"/>
      <c r="R79" s="61" t="s">
        <v>450</v>
      </c>
      <c r="T79" s="73" t="str">
        <f t="shared" si="33"/>
        <v>https://search-rtdc-monitor-bjffxe2xuh6vdkpspy63sjmuny.us-east-1.es.amazonaws.com/_plugin/kibana/#/discover/Steve-Slow-Train-Analysis-(2080s-and-2083s)?_g=(refreshInterval:(display:Off,section:0,value:0),time:(from:'2016-06-06 13:50:01-0600',mode:absolute,to:'2016-06-06 13:58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79" s="73" t="str">
        <f t="shared" si="34"/>
        <v>Y</v>
      </c>
      <c r="V79" s="73">
        <f t="shared" si="38"/>
        <v>1</v>
      </c>
      <c r="W79" s="73">
        <f t="shared" si="35"/>
        <v>23.298200000000001</v>
      </c>
      <c r="X79" s="73">
        <f t="shared" si="36"/>
        <v>23.2986</v>
      </c>
      <c r="Y79" s="73">
        <f t="shared" si="37"/>
        <v>3.9999999999906777E-4</v>
      </c>
      <c r="Z79" s="74" t="e">
        <f>VLOOKUP(A79,Enforcements!$C$3:$J$57,8,0)</f>
        <v>#N/A</v>
      </c>
      <c r="AA79" s="74" t="e">
        <f>VLOOKUP(A79,Enforcements!$C$3:$J$57,3,0)</f>
        <v>#N/A</v>
      </c>
    </row>
    <row r="80" spans="1:27" s="2" customFormat="1" x14ac:dyDescent="0.25">
      <c r="A80" s="60" t="s">
        <v>234</v>
      </c>
      <c r="B80" s="60">
        <v>4040</v>
      </c>
      <c r="C80" s="60" t="s">
        <v>62</v>
      </c>
      <c r="D80" s="60" t="s">
        <v>130</v>
      </c>
      <c r="E80" s="30">
        <v>42527.547986111109</v>
      </c>
      <c r="F80" s="30">
        <v>42527.548888888887</v>
      </c>
      <c r="G80" s="38">
        <v>1</v>
      </c>
      <c r="H80" s="30" t="s">
        <v>98</v>
      </c>
      <c r="I80" s="30">
        <v>42527.581423611111</v>
      </c>
      <c r="J80" s="60">
        <v>2</v>
      </c>
      <c r="K80" s="60" t="str">
        <f t="shared" si="31"/>
        <v>4039/4040</v>
      </c>
      <c r="L80" s="60" t="str">
        <f>VLOOKUP(A80,'Trips&amp;Operators'!$C$1:$E$9999,3,FALSE)</f>
        <v>BONDS</v>
      </c>
      <c r="M80" s="12">
        <f t="shared" si="32"/>
        <v>3.2534722224227153E-2</v>
      </c>
      <c r="N80" s="13">
        <f t="shared" ref="N80:N111" si="39">24*60*SUM($M80:$M80)</f>
        <v>46.8500000028871</v>
      </c>
      <c r="O80" s="13"/>
      <c r="P80" s="13"/>
      <c r="Q80" s="61"/>
      <c r="R80" s="61"/>
      <c r="T80" s="73" t="str">
        <f t="shared" si="33"/>
        <v>https://search-rtdc-monitor-bjffxe2xuh6vdkpspy63sjmuny.us-east-1.es.amazonaws.com/_plugin/kibana/#/discover/Steve-Slow-Train-Analysis-(2080s-and-2083s)?_g=(refreshInterval:(display:Off,section:0,value:0),time:(from:'2016-06-06 13:08:06-0600',mode:absolute,to:'2016-06-06 13:58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80" s="73" t="str">
        <f t="shared" si="34"/>
        <v>N</v>
      </c>
      <c r="V80" s="73">
        <f t="shared" si="38"/>
        <v>1</v>
      </c>
      <c r="W80" s="73">
        <f t="shared" si="35"/>
        <v>4.3499999999999997E-2</v>
      </c>
      <c r="X80" s="73">
        <f t="shared" si="36"/>
        <v>23.329699999999999</v>
      </c>
      <c r="Y80" s="73">
        <f t="shared" si="37"/>
        <v>23.286199999999997</v>
      </c>
      <c r="Z80" s="74">
        <f>VLOOKUP(A80,Enforcements!$C$3:$J$57,8,0)</f>
        <v>233491</v>
      </c>
      <c r="AA80" s="74" t="str">
        <f>VLOOKUP(A80,Enforcements!$C$3:$J$57,3,0)</f>
        <v>TRACK WARRANT AUTHORITY</v>
      </c>
    </row>
    <row r="81" spans="1:27" s="2" customFormat="1" x14ac:dyDescent="0.25">
      <c r="A81" s="60" t="s">
        <v>237</v>
      </c>
      <c r="B81" s="60">
        <v>4039</v>
      </c>
      <c r="C81" s="60" t="s">
        <v>62</v>
      </c>
      <c r="D81" s="60" t="s">
        <v>144</v>
      </c>
      <c r="E81" s="30">
        <v>42527.584814814814</v>
      </c>
      <c r="F81" s="30">
        <v>42527.5856712963</v>
      </c>
      <c r="G81" s="38">
        <v>1</v>
      </c>
      <c r="H81" s="30" t="s">
        <v>264</v>
      </c>
      <c r="I81" s="30">
        <v>42527.621319444443</v>
      </c>
      <c r="J81" s="60">
        <v>3</v>
      </c>
      <c r="K81" s="60" t="str">
        <f t="shared" si="31"/>
        <v>4039/4040</v>
      </c>
      <c r="L81" s="60" t="str">
        <f>VLOOKUP(A81,'Trips&amp;Operators'!$C$1:$E$9999,3,FALSE)</f>
        <v>BONDS</v>
      </c>
      <c r="M81" s="12">
        <f t="shared" si="32"/>
        <v>3.5648148143081926E-2</v>
      </c>
      <c r="N81" s="13">
        <f t="shared" si="39"/>
        <v>51.333333326037973</v>
      </c>
      <c r="O81" s="13"/>
      <c r="P81" s="13"/>
      <c r="Q81" s="61"/>
      <c r="R81" s="61"/>
      <c r="T81" s="73" t="str">
        <f t="shared" si="33"/>
        <v>https://search-rtdc-monitor-bjffxe2xuh6vdkpspy63sjmuny.us-east-1.es.amazonaws.com/_plugin/kibana/#/discover/Steve-Slow-Train-Analysis-(2080s-and-2083s)?_g=(refreshInterval:(display:Off,section:0,value:0),time:(from:'2016-06-06 14:01:08-0600',mode:absolute,to:'2016-06-06 14:55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81" s="73" t="str">
        <f t="shared" si="34"/>
        <v>N</v>
      </c>
      <c r="V81" s="73">
        <f t="shared" si="38"/>
        <v>1</v>
      </c>
      <c r="W81" s="73">
        <f t="shared" si="35"/>
        <v>23.298300000000001</v>
      </c>
      <c r="X81" s="73">
        <f t="shared" si="36"/>
        <v>1.34E-2</v>
      </c>
      <c r="Y81" s="73">
        <f t="shared" si="37"/>
        <v>23.2849</v>
      </c>
      <c r="Z81" s="74">
        <f>VLOOKUP(A81,Enforcements!$C$3:$J$57,8,0)</f>
        <v>78469</v>
      </c>
      <c r="AA81" s="74" t="str">
        <f>VLOOKUP(A81,Enforcements!$C$3:$J$57,3,0)</f>
        <v>GRADE CROSSING</v>
      </c>
    </row>
    <row r="82" spans="1:27" s="2" customFormat="1" x14ac:dyDescent="0.25">
      <c r="A82" s="60" t="s">
        <v>236</v>
      </c>
      <c r="B82" s="60">
        <v>4020</v>
      </c>
      <c r="C82" s="60" t="s">
        <v>62</v>
      </c>
      <c r="D82" s="60" t="s">
        <v>179</v>
      </c>
      <c r="E82" s="30">
        <v>42527.559201388889</v>
      </c>
      <c r="F82" s="30">
        <v>42527.560150462959</v>
      </c>
      <c r="G82" s="38">
        <v>1</v>
      </c>
      <c r="H82" s="30" t="s">
        <v>374</v>
      </c>
      <c r="I82" s="30">
        <v>42527.592233796298</v>
      </c>
      <c r="J82" s="60">
        <v>1</v>
      </c>
      <c r="K82" s="60" t="str">
        <f t="shared" si="31"/>
        <v>4019/4020</v>
      </c>
      <c r="L82" s="60" t="str">
        <f>VLOOKUP(A82,'Trips&amp;Operators'!$C$1:$E$9999,3,FALSE)</f>
        <v>LOCKLEAR</v>
      </c>
      <c r="M82" s="12">
        <f t="shared" si="32"/>
        <v>3.2083333338960074E-2</v>
      </c>
      <c r="N82" s="13">
        <f t="shared" si="39"/>
        <v>46.200000008102506</v>
      </c>
      <c r="O82" s="13"/>
      <c r="P82" s="13"/>
      <c r="Q82" s="61"/>
      <c r="R82" s="61"/>
      <c r="T82" s="73" t="str">
        <f t="shared" ref="T82:T141" si="40">"https://search-rtdc-monitor-bjffxe2xuh6vdkpspy63sjmuny.us-east-1.es.amazonaws.com/_plugin/kibana/#/discover/Steve-Slow-Train-Analysis-(2080s-and-2083s)?_g=(refreshInterval:(display:Off,section:0,value:0),time:(from:'"&amp;TEXT(E82-1/24/60,"yyyy-MM-DD hh:mm:ss")&amp;"-0600',mode:absolute,to:'"&amp;TEXT(I82+1/24/60,"yyyy-MM-DD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82&amp;"%22')),sort:!(Time,asc))"</f>
        <v>https://search-rtdc-monitor-bjffxe2xuh6vdkpspy63sjmuny.us-east-1.es.amazonaws.com/_plugin/kibana/#/discover/Steve-Slow-Train-Analysis-(2080s-and-2083s)?_g=(refreshInterval:(display:Off,section:0,value:0),time:(from:'2016-06-06 13:24:15-0600',mode:absolute,to:'2016-06-06 14:13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82" s="73" t="str">
        <f t="shared" ref="U82:U141" si="41">IF(Y82&lt;23,"Y","N")</f>
        <v>N</v>
      </c>
      <c r="V82" s="73">
        <f t="shared" si="38"/>
        <v>1</v>
      </c>
      <c r="W82" s="73">
        <f t="shared" ref="W82:W141" si="42">RIGHT(D82,LEN(D82)-4)/10000</f>
        <v>4.7800000000000002E-2</v>
      </c>
      <c r="X82" s="73">
        <f t="shared" ref="X82:X141" si="43">RIGHT(H82,LEN(H82)-4)/10000</f>
        <v>23.343299999999999</v>
      </c>
      <c r="Y82" s="73">
        <f t="shared" ref="Y82:Y141" si="44">ABS(X82-W82)</f>
        <v>23.295500000000001</v>
      </c>
      <c r="Z82" s="74">
        <f>VLOOKUP(A82,Enforcements!$C$3:$J$57,8,0)</f>
        <v>233491</v>
      </c>
      <c r="AA82" s="74" t="str">
        <f>VLOOKUP(A82,Enforcements!$C$3:$J$57,3,0)</f>
        <v>TRACK WARRANT AUTHORITY</v>
      </c>
    </row>
    <row r="83" spans="1:27" s="2" customFormat="1" x14ac:dyDescent="0.25">
      <c r="A83" s="60" t="s">
        <v>238</v>
      </c>
      <c r="B83" s="60">
        <v>4019</v>
      </c>
      <c r="C83" s="60" t="s">
        <v>62</v>
      </c>
      <c r="D83" s="60" t="s">
        <v>375</v>
      </c>
      <c r="E83" s="30">
        <v>42527.593726851854</v>
      </c>
      <c r="F83" s="30">
        <v>42527.595879629633</v>
      </c>
      <c r="G83" s="38">
        <v>3</v>
      </c>
      <c r="H83" s="30" t="s">
        <v>105</v>
      </c>
      <c r="I83" s="30">
        <v>42527.631331018521</v>
      </c>
      <c r="J83" s="60">
        <v>2</v>
      </c>
      <c r="K83" s="60" t="str">
        <f t="shared" si="31"/>
        <v>4019/4020</v>
      </c>
      <c r="L83" s="60" t="str">
        <f>VLOOKUP(A83,'Trips&amp;Operators'!$C$1:$E$9999,3,FALSE)</f>
        <v>LOCKLEAR</v>
      </c>
      <c r="M83" s="12">
        <f t="shared" si="32"/>
        <v>3.5451388888759539E-2</v>
      </c>
      <c r="N83" s="13">
        <f t="shared" si="39"/>
        <v>51.049999999813735</v>
      </c>
      <c r="O83" s="13"/>
      <c r="P83" s="13"/>
      <c r="Q83" s="61"/>
      <c r="R83" s="61"/>
      <c r="T83" s="73" t="str">
        <f t="shared" si="40"/>
        <v>https://search-rtdc-monitor-bjffxe2xuh6vdkpspy63sjmuny.us-east-1.es.amazonaws.com/_plugin/kibana/#/discover/Steve-Slow-Train-Analysis-(2080s-and-2083s)?_g=(refreshInterval:(display:Off,section:0,value:0),time:(from:'2016-06-06 14:13:58-0600',mode:absolute,to:'2016-06-06 15:10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83" s="73" t="str">
        <f t="shared" si="41"/>
        <v>N</v>
      </c>
      <c r="V83" s="73">
        <f t="shared" si="38"/>
        <v>1</v>
      </c>
      <c r="W83" s="73">
        <f t="shared" si="42"/>
        <v>23.309899999999999</v>
      </c>
      <c r="X83" s="73">
        <f t="shared" si="43"/>
        <v>1.61E-2</v>
      </c>
      <c r="Y83" s="73">
        <f t="shared" si="44"/>
        <v>23.293799999999997</v>
      </c>
      <c r="Z83" s="74">
        <f>VLOOKUP(A83,Enforcements!$C$3:$J$57,8,0)</f>
        <v>190834</v>
      </c>
      <c r="AA83" s="74" t="str">
        <f>VLOOKUP(A83,Enforcements!$C$3:$J$57,3,0)</f>
        <v>PERMANENT SPEED RESTRICTION</v>
      </c>
    </row>
    <row r="84" spans="1:27" s="2" customFormat="1" x14ac:dyDescent="0.25">
      <c r="A84" s="60" t="s">
        <v>376</v>
      </c>
      <c r="B84" s="60">
        <v>4018</v>
      </c>
      <c r="C84" s="60" t="s">
        <v>62</v>
      </c>
      <c r="D84" s="60" t="s">
        <v>65</v>
      </c>
      <c r="E84" s="30">
        <v>42527.568310185183</v>
      </c>
      <c r="F84" s="30">
        <v>42527.569363425922</v>
      </c>
      <c r="G84" s="38">
        <v>1</v>
      </c>
      <c r="H84" s="30" t="s">
        <v>111</v>
      </c>
      <c r="I84" s="30">
        <v>42527.60052083333</v>
      </c>
      <c r="J84" s="60">
        <v>0</v>
      </c>
      <c r="K84" s="60" t="str">
        <f t="shared" si="31"/>
        <v>4017/4018</v>
      </c>
      <c r="L84" s="60" t="str">
        <f>VLOOKUP(A84,'Trips&amp;Operators'!$C$1:$E$9999,3,FALSE)</f>
        <v>ACKERMAN</v>
      </c>
      <c r="M84" s="12">
        <f t="shared" si="32"/>
        <v>3.1157407407590654E-2</v>
      </c>
      <c r="N84" s="13">
        <f t="shared" si="39"/>
        <v>44.866666666930541</v>
      </c>
      <c r="O84" s="13"/>
      <c r="P84" s="13"/>
      <c r="Q84" s="61"/>
      <c r="R84" s="61"/>
      <c r="T84" s="73" t="str">
        <f t="shared" si="40"/>
        <v>https://search-rtdc-monitor-bjffxe2xuh6vdkpspy63sjmuny.us-east-1.es.amazonaws.com/_plugin/kibana/#/discover/Steve-Slow-Train-Analysis-(2080s-and-2083s)?_g=(refreshInterval:(display:Off,section:0,value:0),time:(from:'2016-06-06 13:37:22-0600',mode:absolute,to:'2016-06-06 14:25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U84" s="73" t="str">
        <f t="shared" si="41"/>
        <v>N</v>
      </c>
      <c r="V84" s="73">
        <f t="shared" si="38"/>
        <v>1</v>
      </c>
      <c r="W84" s="73">
        <f t="shared" si="42"/>
        <v>4.5100000000000001E-2</v>
      </c>
      <c r="X84" s="73">
        <f t="shared" si="43"/>
        <v>23.3291</v>
      </c>
      <c r="Y84" s="73">
        <f t="shared" si="44"/>
        <v>23.283999999999999</v>
      </c>
      <c r="Z84" s="74" t="e">
        <f>VLOOKUP(A84,Enforcements!$C$3:$J$57,8,0)</f>
        <v>#N/A</v>
      </c>
      <c r="AA84" s="74" t="e">
        <f>VLOOKUP(A84,Enforcements!$C$3:$J$57,3,0)</f>
        <v>#N/A</v>
      </c>
    </row>
    <row r="85" spans="1:27" s="2" customFormat="1" x14ac:dyDescent="0.25">
      <c r="A85" s="60" t="s">
        <v>377</v>
      </c>
      <c r="B85" s="60">
        <v>4017</v>
      </c>
      <c r="C85" s="60" t="s">
        <v>62</v>
      </c>
      <c r="D85" s="60" t="s">
        <v>291</v>
      </c>
      <c r="E85" s="30">
        <v>42527.60696759259</v>
      </c>
      <c r="F85" s="30">
        <v>42527.607847222222</v>
      </c>
      <c r="G85" s="38">
        <v>1</v>
      </c>
      <c r="H85" s="30" t="s">
        <v>94</v>
      </c>
      <c r="I85" s="30">
        <v>42527.63962962963</v>
      </c>
      <c r="J85" s="60">
        <v>0</v>
      </c>
      <c r="K85" s="60" t="str">
        <f t="shared" si="31"/>
        <v>4017/4018</v>
      </c>
      <c r="L85" s="60" t="str">
        <f>VLOOKUP(A85,'Trips&amp;Operators'!$C$1:$E$9999,3,FALSE)</f>
        <v>ACKERMAN</v>
      </c>
      <c r="M85" s="12">
        <f t="shared" si="32"/>
        <v>3.178240740817273E-2</v>
      </c>
      <c r="N85" s="13">
        <f t="shared" si="39"/>
        <v>45.766666667768732</v>
      </c>
      <c r="O85" s="13"/>
      <c r="P85" s="13"/>
      <c r="Q85" s="61"/>
      <c r="R85" s="61"/>
      <c r="T85" s="73" t="str">
        <f t="shared" si="40"/>
        <v>https://search-rtdc-monitor-bjffxe2xuh6vdkpspy63sjmuny.us-east-1.es.amazonaws.com/_plugin/kibana/#/discover/Steve-Slow-Train-Analysis-(2080s-and-2083s)?_g=(refreshInterval:(display:Off,section:0,value:0),time:(from:'2016-06-06 14:33:02-0600',mode:absolute,to:'2016-06-06 15:22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U85" s="73" t="str">
        <f t="shared" si="41"/>
        <v>N</v>
      </c>
      <c r="V85" s="73">
        <f t="shared" si="38"/>
        <v>1</v>
      </c>
      <c r="W85" s="73">
        <f t="shared" si="42"/>
        <v>23.2974</v>
      </c>
      <c r="X85" s="73">
        <f t="shared" si="43"/>
        <v>1.41E-2</v>
      </c>
      <c r="Y85" s="73">
        <f t="shared" si="44"/>
        <v>23.283300000000001</v>
      </c>
      <c r="Z85" s="74" t="e">
        <f>VLOOKUP(A85,Enforcements!$C$3:$J$57,8,0)</f>
        <v>#N/A</v>
      </c>
      <c r="AA85" s="74" t="e">
        <f>VLOOKUP(A85,Enforcements!$C$3:$J$57,3,0)</f>
        <v>#N/A</v>
      </c>
    </row>
    <row r="86" spans="1:27" s="2" customFormat="1" x14ac:dyDescent="0.25">
      <c r="A86" s="60" t="s">
        <v>378</v>
      </c>
      <c r="B86" s="60">
        <v>4016</v>
      </c>
      <c r="C86" s="60" t="s">
        <v>62</v>
      </c>
      <c r="D86" s="60" t="s">
        <v>191</v>
      </c>
      <c r="E86" s="30">
        <v>42527.579409722224</v>
      </c>
      <c r="F86" s="30">
        <v>42527.580763888887</v>
      </c>
      <c r="G86" s="38">
        <v>1</v>
      </c>
      <c r="H86" s="30" t="s">
        <v>379</v>
      </c>
      <c r="I86" s="30">
        <v>42527.610601851855</v>
      </c>
      <c r="J86" s="60">
        <v>0</v>
      </c>
      <c r="K86" s="60" t="str">
        <f t="shared" si="31"/>
        <v>4015/4016</v>
      </c>
      <c r="L86" s="60" t="str">
        <f>VLOOKUP(A86,'Trips&amp;Operators'!$C$1:$E$9999,3,FALSE)</f>
        <v>LOZA</v>
      </c>
      <c r="M86" s="12">
        <f t="shared" si="32"/>
        <v>2.9837962967576459E-2</v>
      </c>
      <c r="N86" s="13">
        <f t="shared" si="39"/>
        <v>42.966666673310101</v>
      </c>
      <c r="O86" s="13"/>
      <c r="P86" s="13"/>
      <c r="Q86" s="61"/>
      <c r="R86" s="61"/>
      <c r="T86" s="73" t="str">
        <f t="shared" si="40"/>
        <v>https://search-rtdc-monitor-bjffxe2xuh6vdkpspy63sjmuny.us-east-1.es.amazonaws.com/_plugin/kibana/#/discover/Steve-Slow-Train-Analysis-(2080s-and-2083s)?_g=(refreshInterval:(display:Off,section:0,value:0),time:(from:'2016-06-06 13:53:21-0600',mode:absolute,to:'2016-06-06 14:40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86" s="73" t="str">
        <f t="shared" si="41"/>
        <v>Y</v>
      </c>
      <c r="V86" s="73">
        <f t="shared" si="38"/>
        <v>1</v>
      </c>
      <c r="W86" s="73">
        <v>23.311699999999998</v>
      </c>
      <c r="X86" s="73">
        <v>0.33550000000000002</v>
      </c>
      <c r="Y86" s="73">
        <f t="shared" ref="Y86:Y87" si="45">ABS(X86-W86)</f>
        <v>22.976199999999999</v>
      </c>
      <c r="Z86" s="74" t="e">
        <f>VLOOKUP(A86,Enforcements!$C$3:$J$57,8,0)</f>
        <v>#N/A</v>
      </c>
      <c r="AA86" s="74"/>
    </row>
    <row r="87" spans="1:27" s="2" customFormat="1" x14ac:dyDescent="0.25">
      <c r="A87" s="60" t="s">
        <v>380</v>
      </c>
      <c r="B87" s="60">
        <v>4015</v>
      </c>
      <c r="C87" s="60" t="s">
        <v>62</v>
      </c>
      <c r="D87" s="60" t="s">
        <v>381</v>
      </c>
      <c r="E87" s="30">
        <v>42527.618344907409</v>
      </c>
      <c r="F87" s="30">
        <v>42527.619675925926</v>
      </c>
      <c r="G87" s="38">
        <v>1</v>
      </c>
      <c r="H87" s="30" t="s">
        <v>150</v>
      </c>
      <c r="I87" s="30">
        <v>42527.649895833332</v>
      </c>
      <c r="J87" s="60">
        <v>0</v>
      </c>
      <c r="K87" s="60" t="str">
        <f t="shared" si="31"/>
        <v>4015/4016</v>
      </c>
      <c r="L87" s="60" t="str">
        <f>VLOOKUP(A87,'Trips&amp;Operators'!$C$1:$E$9999,3,FALSE)</f>
        <v>LOZA</v>
      </c>
      <c r="M87" s="12">
        <f t="shared" si="32"/>
        <v>3.0219907406717539E-2</v>
      </c>
      <c r="N87" s="13">
        <f t="shared" si="39"/>
        <v>43.516666665673256</v>
      </c>
      <c r="O87" s="13"/>
      <c r="P87" s="13"/>
      <c r="Q87" s="61"/>
      <c r="R87" s="61"/>
      <c r="T87" s="73" t="str">
        <f t="shared" si="40"/>
        <v>https://search-rtdc-monitor-bjffxe2xuh6vdkpspy63sjmuny.us-east-1.es.amazonaws.com/_plugin/kibana/#/discover/Steve-Slow-Train-Analysis-(2080s-and-2083s)?_g=(refreshInterval:(display:Off,section:0,value:0),time:(from:'2016-06-06 14:49:25-0600',mode:absolute,to:'2016-06-06 15:36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87" s="73" t="str">
        <f t="shared" si="41"/>
        <v>N</v>
      </c>
      <c r="V87" s="73">
        <f t="shared" si="38"/>
        <v>1</v>
      </c>
      <c r="W87" s="73">
        <f t="shared" si="42"/>
        <v>23.3065</v>
      </c>
      <c r="X87" s="73">
        <f t="shared" si="43"/>
        <v>1.67E-2</v>
      </c>
      <c r="Y87" s="73">
        <f t="shared" si="45"/>
        <v>23.2898</v>
      </c>
      <c r="Z87" s="74" t="e">
        <f>VLOOKUP(A87,Enforcements!$C$3:$J$57,8,0)</f>
        <v>#N/A</v>
      </c>
      <c r="AA87" s="74" t="e">
        <f>VLOOKUP(A87,Enforcements!$C$3:$J$57,3,0)</f>
        <v>#N/A</v>
      </c>
    </row>
    <row r="88" spans="1:27" s="2" customFormat="1" x14ac:dyDescent="0.25">
      <c r="A88" s="60" t="s">
        <v>239</v>
      </c>
      <c r="B88" s="60">
        <v>4025</v>
      </c>
      <c r="C88" s="60" t="s">
        <v>62</v>
      </c>
      <c r="D88" s="60" t="s">
        <v>141</v>
      </c>
      <c r="E88" s="30">
        <v>42527.600590277776</v>
      </c>
      <c r="F88" s="30">
        <v>42527.601620370369</v>
      </c>
      <c r="G88" s="38">
        <v>1</v>
      </c>
      <c r="H88" s="30" t="s">
        <v>164</v>
      </c>
      <c r="I88" s="30">
        <v>42527.628865740742</v>
      </c>
      <c r="J88" s="60">
        <v>1</v>
      </c>
      <c r="K88" s="60" t="str">
        <f t="shared" si="31"/>
        <v>4025/4026</v>
      </c>
      <c r="L88" s="60" t="str">
        <f>VLOOKUP(A88,'Trips&amp;Operators'!$C$1:$E$9999,3,FALSE)</f>
        <v>COCA</v>
      </c>
      <c r="M88" s="12">
        <f t="shared" si="32"/>
        <v>2.7245370372838806E-2</v>
      </c>
      <c r="N88" s="13">
        <f t="shared" si="39"/>
        <v>39.233333336887881</v>
      </c>
      <c r="O88" s="13"/>
      <c r="P88" s="13"/>
      <c r="Q88" s="61"/>
      <c r="R88" s="61"/>
      <c r="T88" s="73" t="str">
        <f t="shared" si="40"/>
        <v>https://search-rtdc-monitor-bjffxe2xuh6vdkpspy63sjmuny.us-east-1.es.amazonaws.com/_plugin/kibana/#/discover/Steve-Slow-Train-Analysis-(2080s-and-2083s)?_g=(refreshInterval:(display:Off,section:0,value:0),time:(from:'2016-06-06 14:23:51-0600',mode:absolute,to:'2016-06-06 15:06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U88" s="73" t="str">
        <f t="shared" si="41"/>
        <v>N</v>
      </c>
      <c r="V88" s="73">
        <f t="shared" si="38"/>
        <v>1</v>
      </c>
      <c r="W88" s="73">
        <f t="shared" si="42"/>
        <v>4.58E-2</v>
      </c>
      <c r="X88" s="73">
        <f t="shared" si="43"/>
        <v>23.33</v>
      </c>
      <c r="Y88" s="73">
        <f t="shared" si="44"/>
        <v>23.284199999999998</v>
      </c>
      <c r="Z88" s="74">
        <f>VLOOKUP(A88,Enforcements!$C$3:$J$57,8,0)</f>
        <v>233491</v>
      </c>
      <c r="AA88" s="74" t="str">
        <f>VLOOKUP(A88,Enforcements!$C$3:$J$57,3,0)</f>
        <v>TRACK WARRANT AUTHORITY</v>
      </c>
    </row>
    <row r="89" spans="1:27" s="2" customFormat="1" x14ac:dyDescent="0.25">
      <c r="A89" s="60" t="s">
        <v>382</v>
      </c>
      <c r="B89" s="60">
        <v>4026</v>
      </c>
      <c r="C89" s="60" t="s">
        <v>62</v>
      </c>
      <c r="D89" s="60" t="s">
        <v>84</v>
      </c>
      <c r="E89" s="30">
        <v>42527.631412037037</v>
      </c>
      <c r="F89" s="30">
        <v>42527.632314814815</v>
      </c>
      <c r="G89" s="38">
        <v>1</v>
      </c>
      <c r="H89" s="30" t="s">
        <v>75</v>
      </c>
      <c r="I89" s="30">
        <v>42527.659733796296</v>
      </c>
      <c r="J89" s="60">
        <v>0</v>
      </c>
      <c r="K89" s="60" t="str">
        <f t="shared" ref="K89:K120" si="46">IF(ISEVEN(B89),(B89-1)&amp;"/"&amp;B89,B89&amp;"/"&amp;(B89+1))</f>
        <v>4025/4026</v>
      </c>
      <c r="L89" s="60" t="str">
        <f>VLOOKUP(A89,'Trips&amp;Operators'!$C$1:$E$9999,3,FALSE)</f>
        <v>COCA</v>
      </c>
      <c r="M89" s="12">
        <f t="shared" ref="M89:M120" si="47">I89-F89</f>
        <v>2.7418981480877846E-2</v>
      </c>
      <c r="N89" s="13">
        <f t="shared" si="39"/>
        <v>39.483333332464099</v>
      </c>
      <c r="O89" s="13"/>
      <c r="P89" s="13"/>
      <c r="Q89" s="61"/>
      <c r="R89" s="61"/>
      <c r="T89" s="73" t="str">
        <f t="shared" si="40"/>
        <v>https://search-rtdc-monitor-bjffxe2xuh6vdkpspy63sjmuny.us-east-1.es.amazonaws.com/_plugin/kibana/#/discover/Steve-Slow-Train-Analysis-(2080s-and-2083s)?_g=(refreshInterval:(display:Off,section:0,value:0),time:(from:'2016-06-06 15:08:14-0600',mode:absolute,to:'2016-06-06 15:51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U89" s="73" t="str">
        <f t="shared" si="41"/>
        <v>N</v>
      </c>
      <c r="V89" s="73">
        <f t="shared" si="38"/>
        <v>1</v>
      </c>
      <c r="W89" s="73">
        <f t="shared" si="42"/>
        <v>23.297699999999999</v>
      </c>
      <c r="X89" s="73">
        <f t="shared" si="43"/>
        <v>1.5800000000000002E-2</v>
      </c>
      <c r="Y89" s="73">
        <f t="shared" si="44"/>
        <v>23.2819</v>
      </c>
      <c r="Z89" s="74" t="e">
        <f>VLOOKUP(A89,Enforcements!$C$3:$J$57,8,0)</f>
        <v>#N/A</v>
      </c>
      <c r="AA89" s="74" t="e">
        <f>VLOOKUP(A89,Enforcements!$C$3:$J$57,3,0)</f>
        <v>#N/A</v>
      </c>
    </row>
    <row r="90" spans="1:27" s="2" customFormat="1" x14ac:dyDescent="0.25">
      <c r="A90" s="60" t="s">
        <v>383</v>
      </c>
      <c r="B90" s="60">
        <v>4014</v>
      </c>
      <c r="C90" s="60" t="s">
        <v>62</v>
      </c>
      <c r="D90" s="60" t="s">
        <v>85</v>
      </c>
      <c r="E90" s="30">
        <v>42527.604421296295</v>
      </c>
      <c r="F90" s="30">
        <v>42527.605740740742</v>
      </c>
      <c r="G90" s="38">
        <v>1</v>
      </c>
      <c r="H90" s="30" t="s">
        <v>129</v>
      </c>
      <c r="I90" s="30">
        <v>42527.630960648145</v>
      </c>
      <c r="J90" s="60">
        <v>0</v>
      </c>
      <c r="K90" s="60" t="str">
        <f t="shared" si="46"/>
        <v>4013/4014</v>
      </c>
      <c r="L90" s="60" t="str">
        <f>VLOOKUP(A90,'Trips&amp;Operators'!$C$1:$E$9999,3,FALSE)</f>
        <v>REBOLETTI</v>
      </c>
      <c r="M90" s="12">
        <f t="shared" si="47"/>
        <v>2.5219907402060926E-2</v>
      </c>
      <c r="N90" s="13">
        <f t="shared" si="39"/>
        <v>36.316666658967733</v>
      </c>
      <c r="O90" s="13"/>
      <c r="P90" s="13"/>
      <c r="Q90" s="61"/>
      <c r="R90" s="61"/>
      <c r="T90" s="73" t="str">
        <f t="shared" si="40"/>
        <v>https://search-rtdc-monitor-bjffxe2xuh6vdkpspy63sjmuny.us-east-1.es.amazonaws.com/_plugin/kibana/#/discover/Steve-Slow-Train-Analysis-(2080s-and-2083s)?_g=(refreshInterval:(display:Off,section:0,value:0),time:(from:'2016-06-06 14:29:22-0600',mode:absolute,to:'2016-06-06 15:09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U90" s="73" t="str">
        <f t="shared" si="41"/>
        <v>N</v>
      </c>
      <c r="V90" s="73">
        <f t="shared" si="38"/>
        <v>1</v>
      </c>
      <c r="W90" s="73">
        <f t="shared" si="42"/>
        <v>4.6600000000000003E-2</v>
      </c>
      <c r="X90" s="73">
        <f t="shared" si="43"/>
        <v>23.329899999999999</v>
      </c>
      <c r="Y90" s="73">
        <f t="shared" si="44"/>
        <v>23.283299999999997</v>
      </c>
      <c r="Z90" s="74" t="e">
        <f>VLOOKUP(A90,Enforcements!$C$3:$J$57,8,0)</f>
        <v>#N/A</v>
      </c>
      <c r="AA90" s="74" t="e">
        <f>VLOOKUP(A90,Enforcements!$C$3:$J$57,3,0)</f>
        <v>#N/A</v>
      </c>
    </row>
    <row r="91" spans="1:27" s="2" customFormat="1" x14ac:dyDescent="0.25">
      <c r="A91" s="60" t="s">
        <v>241</v>
      </c>
      <c r="B91" s="60">
        <v>4013</v>
      </c>
      <c r="C91" s="60" t="s">
        <v>62</v>
      </c>
      <c r="D91" s="60" t="s">
        <v>354</v>
      </c>
      <c r="E91" s="30">
        <v>42527.639710648145</v>
      </c>
      <c r="F91" s="30">
        <v>42527.640775462962</v>
      </c>
      <c r="G91" s="38">
        <v>1</v>
      </c>
      <c r="H91" s="30" t="s">
        <v>105</v>
      </c>
      <c r="I91" s="30">
        <v>42527.670034722221</v>
      </c>
      <c r="J91" s="60">
        <v>1</v>
      </c>
      <c r="K91" s="60" t="str">
        <f t="shared" si="46"/>
        <v>4013/4014</v>
      </c>
      <c r="L91" s="60" t="str">
        <f>VLOOKUP(A91,'Trips&amp;Operators'!$C$1:$E$9999,3,FALSE)</f>
        <v>REBOLETTI</v>
      </c>
      <c r="M91" s="12">
        <f t="shared" si="47"/>
        <v>2.9259259259561077E-2</v>
      </c>
      <c r="N91" s="13">
        <f t="shared" si="39"/>
        <v>42.133333333767951</v>
      </c>
      <c r="O91" s="13"/>
      <c r="P91" s="13"/>
      <c r="Q91" s="61"/>
      <c r="R91" s="61"/>
      <c r="T91" s="73" t="str">
        <f t="shared" si="40"/>
        <v>https://search-rtdc-monitor-bjffxe2xuh6vdkpspy63sjmuny.us-east-1.es.amazonaws.com/_plugin/kibana/#/discover/Steve-Slow-Train-Analysis-(2080s-and-2083s)?_g=(refreshInterval:(display:Off,section:0,value:0),time:(from:'2016-06-06 15:20:11-0600',mode:absolute,to:'2016-06-06 16:05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U91" s="73" t="str">
        <f t="shared" si="41"/>
        <v>N</v>
      </c>
      <c r="V91" s="73">
        <f t="shared" si="38"/>
        <v>1</v>
      </c>
      <c r="W91" s="73">
        <f t="shared" si="42"/>
        <v>23.296500000000002</v>
      </c>
      <c r="X91" s="73">
        <f t="shared" si="43"/>
        <v>1.61E-2</v>
      </c>
      <c r="Y91" s="73">
        <f t="shared" si="44"/>
        <v>23.2804</v>
      </c>
      <c r="Z91" s="74">
        <f>VLOOKUP(A91,Enforcements!$C$3:$J$57,8,0)</f>
        <v>228668</v>
      </c>
      <c r="AA91" s="74" t="str">
        <f>VLOOKUP(A91,Enforcements!$C$3:$J$57,3,0)</f>
        <v>PERMANENT SPEED RESTRICTION</v>
      </c>
    </row>
    <row r="92" spans="1:27" s="2" customFormat="1" x14ac:dyDescent="0.25">
      <c r="A92" s="60" t="s">
        <v>243</v>
      </c>
      <c r="B92" s="60">
        <v>4044</v>
      </c>
      <c r="C92" s="60" t="s">
        <v>62</v>
      </c>
      <c r="D92" s="60" t="s">
        <v>79</v>
      </c>
      <c r="E92" s="30">
        <v>42527.622384259259</v>
      </c>
      <c r="F92" s="30">
        <v>42527.623506944445</v>
      </c>
      <c r="G92" s="38">
        <v>1</v>
      </c>
      <c r="H92" s="30" t="s">
        <v>93</v>
      </c>
      <c r="I92" s="30">
        <v>42527.649861111109</v>
      </c>
      <c r="J92" s="60">
        <v>1</v>
      </c>
      <c r="K92" s="60" t="str">
        <f t="shared" si="46"/>
        <v>4043/4044</v>
      </c>
      <c r="L92" s="60" t="str">
        <f>VLOOKUP(A92,'Trips&amp;Operators'!$C$1:$E$9999,3,FALSE)</f>
        <v>RIVERA</v>
      </c>
      <c r="M92" s="12">
        <f t="shared" si="47"/>
        <v>2.6354166664532386E-2</v>
      </c>
      <c r="N92" s="13">
        <f t="shared" si="39"/>
        <v>37.949999996926636</v>
      </c>
      <c r="O92" s="13"/>
      <c r="P92" s="13"/>
      <c r="Q92" s="61"/>
      <c r="R92" s="61"/>
      <c r="T92" s="73" t="str">
        <f t="shared" si="40"/>
        <v>https://search-rtdc-monitor-bjffxe2xuh6vdkpspy63sjmuny.us-east-1.es.amazonaws.com/_plugin/kibana/#/discover/Steve-Slow-Train-Analysis-(2080s-and-2083s)?_g=(refreshInterval:(display:Off,section:0,value:0),time:(from:'2016-06-06 14:55:14-0600',mode:absolute,to:'2016-06-06 15:36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92" s="73" t="str">
        <f t="shared" si="41"/>
        <v>N</v>
      </c>
      <c r="V92" s="73">
        <f t="shared" si="38"/>
        <v>1</v>
      </c>
      <c r="W92" s="73">
        <f t="shared" si="42"/>
        <v>4.5999999999999999E-2</v>
      </c>
      <c r="X92" s="73">
        <f t="shared" si="43"/>
        <v>23.331199999999999</v>
      </c>
      <c r="Y92" s="73">
        <f t="shared" si="44"/>
        <v>23.2852</v>
      </c>
      <c r="Z92" s="74">
        <f>VLOOKUP(A92,Enforcements!$C$3:$J$57,8,0)</f>
        <v>232107</v>
      </c>
      <c r="AA92" s="74" t="str">
        <f>VLOOKUP(A92,Enforcements!$C$3:$J$57,3,0)</f>
        <v>PERMANENT SPEED RESTRICTION</v>
      </c>
    </row>
    <row r="93" spans="1:27" s="2" customFormat="1" x14ac:dyDescent="0.25">
      <c r="A93" s="60" t="s">
        <v>384</v>
      </c>
      <c r="B93" s="60">
        <v>4043</v>
      </c>
      <c r="C93" s="60" t="s">
        <v>62</v>
      </c>
      <c r="D93" s="60" t="s">
        <v>146</v>
      </c>
      <c r="E93" s="30">
        <v>42527.651678240742</v>
      </c>
      <c r="F93" s="30">
        <v>42527.652766203704</v>
      </c>
      <c r="G93" s="38">
        <v>1</v>
      </c>
      <c r="H93" s="30" t="s">
        <v>105</v>
      </c>
      <c r="I93" s="30">
        <v>42527.680520833332</v>
      </c>
      <c r="J93" s="60">
        <v>0</v>
      </c>
      <c r="K93" s="60" t="str">
        <f t="shared" si="46"/>
        <v>4043/4044</v>
      </c>
      <c r="L93" s="60" t="str">
        <f>VLOOKUP(A93,'Trips&amp;Operators'!$C$1:$E$9999,3,FALSE)</f>
        <v>RIVERA</v>
      </c>
      <c r="M93" s="12">
        <f t="shared" si="47"/>
        <v>2.7754629627452232E-2</v>
      </c>
      <c r="N93" s="13">
        <f t="shared" si="39"/>
        <v>39.966666663531214</v>
      </c>
      <c r="O93" s="13"/>
      <c r="P93" s="13"/>
      <c r="Q93" s="61"/>
      <c r="R93" s="61"/>
      <c r="T93" s="73" t="str">
        <f t="shared" si="40"/>
        <v>https://search-rtdc-monitor-bjffxe2xuh6vdkpspy63sjmuny.us-east-1.es.amazonaws.com/_plugin/kibana/#/discover/Steve-Slow-Train-Analysis-(2080s-and-2083s)?_g=(refreshInterval:(display:Off,section:0,value:0),time:(from:'2016-06-06 15:37:25-0600',mode:absolute,to:'2016-06-06 16:20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93" s="73" t="str">
        <f t="shared" si="41"/>
        <v>N</v>
      </c>
      <c r="V93" s="73">
        <f t="shared" si="38"/>
        <v>1</v>
      </c>
      <c r="W93" s="73">
        <f t="shared" si="42"/>
        <v>23.299800000000001</v>
      </c>
      <c r="X93" s="73">
        <f t="shared" si="43"/>
        <v>1.61E-2</v>
      </c>
      <c r="Y93" s="73">
        <f t="shared" si="44"/>
        <v>23.2837</v>
      </c>
      <c r="Z93" s="74" t="e">
        <f>VLOOKUP(A93,Enforcements!$C$3:$J$57,8,0)</f>
        <v>#N/A</v>
      </c>
      <c r="AA93" s="74" t="e">
        <f>VLOOKUP(A93,Enforcements!$C$3:$J$57,3,0)</f>
        <v>#N/A</v>
      </c>
    </row>
    <row r="94" spans="1:27" s="2" customFormat="1" x14ac:dyDescent="0.25">
      <c r="A94" s="60" t="s">
        <v>240</v>
      </c>
      <c r="B94" s="60">
        <v>4040</v>
      </c>
      <c r="C94" s="60" t="s">
        <v>62</v>
      </c>
      <c r="D94" s="60" t="s">
        <v>90</v>
      </c>
      <c r="E94" s="30">
        <v>42527.622557870367</v>
      </c>
      <c r="F94" s="30">
        <v>42527.623506944445</v>
      </c>
      <c r="G94" s="38">
        <v>1</v>
      </c>
      <c r="H94" s="30" t="s">
        <v>109</v>
      </c>
      <c r="I94" s="30">
        <v>42527.658194444448</v>
      </c>
      <c r="J94" s="60">
        <v>1</v>
      </c>
      <c r="K94" s="60" t="str">
        <f t="shared" si="46"/>
        <v>4039/4040</v>
      </c>
      <c r="L94" s="60" t="str">
        <f>VLOOKUP(A94,'Trips&amp;Operators'!$C$1:$E$9999,3,FALSE)</f>
        <v>BONDS</v>
      </c>
      <c r="M94" s="12">
        <f t="shared" si="47"/>
        <v>3.4687500003201421E-2</v>
      </c>
      <c r="N94" s="13">
        <f t="shared" si="39"/>
        <v>49.950000004610047</v>
      </c>
      <c r="O94" s="13"/>
      <c r="P94" s="13"/>
      <c r="Q94" s="61"/>
      <c r="R94" s="61"/>
      <c r="T94" s="73" t="str">
        <f t="shared" si="40"/>
        <v>https://search-rtdc-monitor-bjffxe2xuh6vdkpspy63sjmuny.us-east-1.es.amazonaws.com/_plugin/kibana/#/discover/Steve-Slow-Train-Analysis-(2080s-and-2083s)?_g=(refreshInterval:(display:Off,section:0,value:0),time:(from:'2016-06-06 14:55:29-0600',mode:absolute,to:'2016-06-06 15:48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94" s="73" t="str">
        <f t="shared" si="41"/>
        <v>N</v>
      </c>
      <c r="V94" s="73">
        <f t="shared" si="38"/>
        <v>1</v>
      </c>
      <c r="W94" s="73">
        <f t="shared" si="42"/>
        <v>4.5699999999999998E-2</v>
      </c>
      <c r="X94" s="73">
        <f t="shared" si="43"/>
        <v>23.331099999999999</v>
      </c>
      <c r="Y94" s="73">
        <f t="shared" si="44"/>
        <v>23.285399999999999</v>
      </c>
      <c r="Z94" s="74">
        <f>VLOOKUP(A94,Enforcements!$C$3:$J$57,8,0)</f>
        <v>30830</v>
      </c>
      <c r="AA94" s="74" t="str">
        <f>VLOOKUP(A94,Enforcements!$C$3:$J$57,3,0)</f>
        <v>GRADE CROSSING</v>
      </c>
    </row>
    <row r="95" spans="1:27" s="2" customFormat="1" x14ac:dyDescent="0.25">
      <c r="A95" s="60" t="s">
        <v>247</v>
      </c>
      <c r="B95" s="60">
        <v>4039</v>
      </c>
      <c r="C95" s="60" t="s">
        <v>62</v>
      </c>
      <c r="D95" s="60" t="s">
        <v>385</v>
      </c>
      <c r="E95" s="30">
        <v>42527.661712962959</v>
      </c>
      <c r="F95" s="30">
        <v>42527.662430555552</v>
      </c>
      <c r="G95" s="38">
        <v>1</v>
      </c>
      <c r="H95" s="30" t="s">
        <v>78</v>
      </c>
      <c r="I95" s="30">
        <v>42527.69258101852</v>
      </c>
      <c r="J95" s="60">
        <v>2</v>
      </c>
      <c r="K95" s="60" t="str">
        <f t="shared" si="46"/>
        <v>4039/4040</v>
      </c>
      <c r="L95" s="60" t="str">
        <f>VLOOKUP(A95,'Trips&amp;Operators'!$C$1:$E$9999,3,FALSE)</f>
        <v>BONDS</v>
      </c>
      <c r="M95" s="12">
        <f t="shared" si="47"/>
        <v>3.0150462967867497E-2</v>
      </c>
      <c r="N95" s="13">
        <f t="shared" si="39"/>
        <v>43.416666673729196</v>
      </c>
      <c r="O95" s="13"/>
      <c r="P95" s="13"/>
      <c r="Q95" s="61"/>
      <c r="R95" s="61"/>
      <c r="T95" s="73" t="str">
        <f t="shared" si="40"/>
        <v>https://search-rtdc-monitor-bjffxe2xuh6vdkpspy63sjmuny.us-east-1.es.amazonaws.com/_plugin/kibana/#/discover/Steve-Slow-Train-Analysis-(2080s-and-2083s)?_g=(refreshInterval:(display:Off,section:0,value:0),time:(from:'2016-06-06 15:51:52-0600',mode:absolute,to:'2016-06-06 16:38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95" s="73" t="str">
        <f t="shared" si="41"/>
        <v>N</v>
      </c>
      <c r="V95" s="73">
        <f t="shared" si="38"/>
        <v>1</v>
      </c>
      <c r="W95" s="73">
        <f t="shared" si="42"/>
        <v>23.2988</v>
      </c>
      <c r="X95" s="73">
        <f t="shared" si="43"/>
        <v>1.6E-2</v>
      </c>
      <c r="Y95" s="73">
        <f t="shared" si="44"/>
        <v>23.282800000000002</v>
      </c>
      <c r="Z95" s="74">
        <f>VLOOKUP(A95,Enforcements!$C$3:$J$57,8,0)</f>
        <v>30970</v>
      </c>
      <c r="AA95" s="74" t="str">
        <f>VLOOKUP(A95,Enforcements!$C$3:$J$57,3,0)</f>
        <v>GRADE CROSSING</v>
      </c>
    </row>
    <row r="96" spans="1:27" s="2" customFormat="1" x14ac:dyDescent="0.25">
      <c r="A96" s="60" t="s">
        <v>244</v>
      </c>
      <c r="B96" s="60">
        <v>4020</v>
      </c>
      <c r="C96" s="60" t="s">
        <v>62</v>
      </c>
      <c r="D96" s="60" t="s">
        <v>113</v>
      </c>
      <c r="E96" s="30">
        <v>42527.634016203701</v>
      </c>
      <c r="F96" s="30">
        <v>42527.634988425925</v>
      </c>
      <c r="G96" s="38">
        <v>1</v>
      </c>
      <c r="H96" s="30" t="s">
        <v>98</v>
      </c>
      <c r="I96" s="30">
        <v>42527.660092592596</v>
      </c>
      <c r="J96" s="60">
        <v>1</v>
      </c>
      <c r="K96" s="60" t="str">
        <f t="shared" si="46"/>
        <v>4019/4020</v>
      </c>
      <c r="L96" s="60" t="str">
        <f>VLOOKUP(A96,'Trips&amp;Operators'!$C$1:$E$9999,3,FALSE)</f>
        <v>LOCKLEAR</v>
      </c>
      <c r="M96" s="12">
        <f t="shared" si="47"/>
        <v>2.510416667064419E-2</v>
      </c>
      <c r="N96" s="13">
        <f t="shared" si="39"/>
        <v>36.150000005727634</v>
      </c>
      <c r="O96" s="13"/>
      <c r="P96" s="13"/>
      <c r="Q96" s="61"/>
      <c r="R96" s="61"/>
      <c r="T96" s="73" t="str">
        <f t="shared" si="40"/>
        <v>https://search-rtdc-monitor-bjffxe2xuh6vdkpspy63sjmuny.us-east-1.es.amazonaws.com/_plugin/kibana/#/discover/Steve-Slow-Train-Analysis-(2080s-and-2083s)?_g=(refreshInterval:(display:Off,section:0,value:0),time:(from:'2016-06-06 15:11:59-0600',mode:absolute,to:'2016-06-06 15:51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96" s="73" t="str">
        <f t="shared" si="41"/>
        <v>N</v>
      </c>
      <c r="V96" s="73">
        <f t="shared" si="38"/>
        <v>1</v>
      </c>
      <c r="W96" s="73">
        <f t="shared" si="42"/>
        <v>4.6899999999999997E-2</v>
      </c>
      <c r="X96" s="73">
        <f t="shared" si="43"/>
        <v>23.329699999999999</v>
      </c>
      <c r="Y96" s="73">
        <f t="shared" si="44"/>
        <v>23.282799999999998</v>
      </c>
      <c r="Z96" s="74">
        <f>VLOOKUP(A96,Enforcements!$C$3:$J$57,8,0)</f>
        <v>233491</v>
      </c>
      <c r="AA96" s="74" t="str">
        <f>VLOOKUP(A96,Enforcements!$C$3:$J$57,3,0)</f>
        <v>TRACK WARRANT AUTHORITY</v>
      </c>
    </row>
    <row r="97" spans="1:27" s="2" customFormat="1" x14ac:dyDescent="0.25">
      <c r="A97" s="60" t="s">
        <v>386</v>
      </c>
      <c r="B97" s="60">
        <v>4019</v>
      </c>
      <c r="C97" s="60" t="s">
        <v>62</v>
      </c>
      <c r="D97" s="60" t="s">
        <v>182</v>
      </c>
      <c r="E97" s="30">
        <v>42527.672488425924</v>
      </c>
      <c r="F97" s="30">
        <v>42527.673391203702</v>
      </c>
      <c r="G97" s="38">
        <v>1</v>
      </c>
      <c r="H97" s="30" t="s">
        <v>387</v>
      </c>
      <c r="I97" s="30">
        <v>42527.700949074075</v>
      </c>
      <c r="J97" s="60">
        <v>0</v>
      </c>
      <c r="K97" s="60" t="str">
        <f t="shared" si="46"/>
        <v>4019/4020</v>
      </c>
      <c r="L97" s="60" t="str">
        <f>VLOOKUP(A97,'Trips&amp;Operators'!$C$1:$E$9999,3,FALSE)</f>
        <v>LOCKLEAR</v>
      </c>
      <c r="M97" s="12">
        <f t="shared" si="47"/>
        <v>2.7557870373129845E-2</v>
      </c>
      <c r="N97" s="13">
        <f t="shared" si="39"/>
        <v>39.683333337306976</v>
      </c>
      <c r="O97" s="13"/>
      <c r="P97" s="13"/>
      <c r="Q97" s="61"/>
      <c r="R97" s="61"/>
      <c r="T97" s="73" t="str">
        <f t="shared" si="40"/>
        <v>https://search-rtdc-monitor-bjffxe2xuh6vdkpspy63sjmuny.us-east-1.es.amazonaws.com/_plugin/kibana/#/discover/Steve-Slow-Train-Analysis-(2080s-and-2083s)?_g=(refreshInterval:(display:Off,section:0,value:0),time:(from:'2016-06-06 16:07:23-0600',mode:absolute,to:'2016-06-06 16:50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97" s="73" t="str">
        <f t="shared" si="41"/>
        <v>N</v>
      </c>
      <c r="V97" s="73">
        <f t="shared" si="38"/>
        <v>1</v>
      </c>
      <c r="W97" s="73">
        <f t="shared" si="42"/>
        <v>23.297000000000001</v>
      </c>
      <c r="X97" s="73">
        <f t="shared" si="43"/>
        <v>1.6299999999999999E-2</v>
      </c>
      <c r="Y97" s="73">
        <f t="shared" si="44"/>
        <v>23.2807</v>
      </c>
      <c r="Z97" s="74" t="e">
        <f>VLOOKUP(A97,Enforcements!$C$3:$J$57,8,0)</f>
        <v>#N/A</v>
      </c>
      <c r="AA97" s="74" t="e">
        <f>VLOOKUP(A97,Enforcements!$C$3:$J$57,3,0)</f>
        <v>#N/A</v>
      </c>
    </row>
    <row r="98" spans="1:27" s="2" customFormat="1" x14ac:dyDescent="0.25">
      <c r="A98" s="60" t="s">
        <v>388</v>
      </c>
      <c r="B98" s="60">
        <v>4018</v>
      </c>
      <c r="C98" s="60" t="s">
        <v>62</v>
      </c>
      <c r="D98" s="60" t="s">
        <v>342</v>
      </c>
      <c r="E98" s="30">
        <v>42527.641296296293</v>
      </c>
      <c r="F98" s="30">
        <v>42527.642291666663</v>
      </c>
      <c r="G98" s="38">
        <v>1</v>
      </c>
      <c r="H98" s="30" t="s">
        <v>322</v>
      </c>
      <c r="I98" s="30">
        <v>42527.672361111108</v>
      </c>
      <c r="J98" s="60">
        <v>0</v>
      </c>
      <c r="K98" s="60" t="str">
        <f t="shared" si="46"/>
        <v>4017/4018</v>
      </c>
      <c r="L98" s="60" t="str">
        <f>VLOOKUP(A98,'Trips&amp;Operators'!$C$1:$E$9999,3,FALSE)</f>
        <v>ACKERMAN</v>
      </c>
      <c r="M98" s="12">
        <f t="shared" si="47"/>
        <v>3.0069444444961846E-2</v>
      </c>
      <c r="N98" s="13">
        <f t="shared" si="39"/>
        <v>43.300000000745058</v>
      </c>
      <c r="O98" s="13"/>
      <c r="P98" s="13"/>
      <c r="Q98" s="61"/>
      <c r="R98" s="61"/>
      <c r="T98" s="73" t="str">
        <f t="shared" si="40"/>
        <v>https://search-rtdc-monitor-bjffxe2xuh6vdkpspy63sjmuny.us-east-1.es.amazonaws.com/_plugin/kibana/#/discover/Steve-Slow-Train-Analysis-(2080s-and-2083s)?_g=(refreshInterval:(display:Off,section:0,value:0),time:(from:'2016-06-06 15:22:28-0600',mode:absolute,to:'2016-06-06 16:09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U98" s="73" t="str">
        <f t="shared" si="41"/>
        <v>N</v>
      </c>
      <c r="V98" s="73">
        <f t="shared" si="38"/>
        <v>1</v>
      </c>
      <c r="W98" s="73">
        <f t="shared" si="42"/>
        <v>4.4200000000000003E-2</v>
      </c>
      <c r="X98" s="73">
        <f t="shared" si="43"/>
        <v>23.330500000000001</v>
      </c>
      <c r="Y98" s="73">
        <f t="shared" si="44"/>
        <v>23.286300000000001</v>
      </c>
      <c r="Z98" s="74" t="e">
        <f>VLOOKUP(A98,Enforcements!$C$3:$J$57,8,0)</f>
        <v>#N/A</v>
      </c>
      <c r="AA98" s="74" t="e">
        <f>VLOOKUP(A98,Enforcements!$C$3:$J$57,3,0)</f>
        <v>#N/A</v>
      </c>
    </row>
    <row r="99" spans="1:27" s="2" customFormat="1" x14ac:dyDescent="0.25">
      <c r="A99" s="60" t="s">
        <v>389</v>
      </c>
      <c r="B99" s="60">
        <v>4017</v>
      </c>
      <c r="C99" s="60" t="s">
        <v>62</v>
      </c>
      <c r="D99" s="60" t="s">
        <v>153</v>
      </c>
      <c r="E99" s="30">
        <v>42527.680578703701</v>
      </c>
      <c r="F99" s="30">
        <v>42527.681377314817</v>
      </c>
      <c r="G99" s="38">
        <v>1</v>
      </c>
      <c r="H99" s="30" t="s">
        <v>92</v>
      </c>
      <c r="I99" s="30">
        <v>42527.711840277778</v>
      </c>
      <c r="J99" s="60">
        <v>0</v>
      </c>
      <c r="K99" s="60" t="str">
        <f t="shared" si="46"/>
        <v>4017/4018</v>
      </c>
      <c r="L99" s="60" t="str">
        <f>VLOOKUP(A99,'Trips&amp;Operators'!$C$1:$E$9999,3,FALSE)</f>
        <v>ACKERMAN</v>
      </c>
      <c r="M99" s="12">
        <f t="shared" si="47"/>
        <v>3.0462962960882578E-2</v>
      </c>
      <c r="N99" s="13">
        <f t="shared" si="39"/>
        <v>43.866666663670912</v>
      </c>
      <c r="O99" s="13"/>
      <c r="P99" s="13"/>
      <c r="Q99" s="61"/>
      <c r="R99" s="61"/>
      <c r="T99" s="73" t="str">
        <f t="shared" si="40"/>
        <v>https://search-rtdc-monitor-bjffxe2xuh6vdkpspy63sjmuny.us-east-1.es.amazonaws.com/_plugin/kibana/#/discover/Steve-Slow-Train-Analysis-(2080s-and-2083s)?_g=(refreshInterval:(display:Off,section:0,value:0),time:(from:'2016-06-06 16:19:02-0600',mode:absolute,to:'2016-06-06 17:06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U99" s="73" t="str">
        <f t="shared" si="41"/>
        <v>N</v>
      </c>
      <c r="V99" s="73">
        <f t="shared" si="38"/>
        <v>1</v>
      </c>
      <c r="W99" s="73">
        <f t="shared" si="42"/>
        <v>23.2971</v>
      </c>
      <c r="X99" s="73">
        <f t="shared" si="43"/>
        <v>1.3899999999999999E-2</v>
      </c>
      <c r="Y99" s="73">
        <f t="shared" si="44"/>
        <v>23.283200000000001</v>
      </c>
      <c r="Z99" s="74" t="e">
        <f>VLOOKUP(A99,Enforcements!$C$3:$J$57,8,0)</f>
        <v>#N/A</v>
      </c>
      <c r="AA99" s="74" t="e">
        <f>VLOOKUP(A99,Enforcements!$C$3:$J$57,3,0)</f>
        <v>#N/A</v>
      </c>
    </row>
    <row r="100" spans="1:27" s="2" customFormat="1" x14ac:dyDescent="0.25">
      <c r="A100" s="60" t="s">
        <v>246</v>
      </c>
      <c r="B100" s="60">
        <v>4016</v>
      </c>
      <c r="C100" s="60" t="s">
        <v>62</v>
      </c>
      <c r="D100" s="60" t="s">
        <v>87</v>
      </c>
      <c r="E100" s="30">
        <v>42527.65215277778</v>
      </c>
      <c r="F100" s="30">
        <v>42527.656226851854</v>
      </c>
      <c r="G100" s="38">
        <v>5</v>
      </c>
      <c r="H100" s="30" t="s">
        <v>390</v>
      </c>
      <c r="I100" s="30">
        <v>42527.681504629632</v>
      </c>
      <c r="J100" s="60">
        <v>0</v>
      </c>
      <c r="K100" s="60" t="str">
        <f t="shared" si="46"/>
        <v>4015/4016</v>
      </c>
      <c r="L100" s="60" t="str">
        <f>VLOOKUP(A100,'Trips&amp;Operators'!$C$1:$E$9999,3,FALSE)</f>
        <v>LOZA</v>
      </c>
      <c r="M100" s="12">
        <f t="shared" si="47"/>
        <v>2.527777777868323E-2</v>
      </c>
      <c r="N100" s="13">
        <f t="shared" si="39"/>
        <v>36.400000001303852</v>
      </c>
      <c r="O100" s="13"/>
      <c r="P100" s="13"/>
      <c r="Q100" s="61"/>
      <c r="R100" s="61"/>
      <c r="T100" s="73" t="str">
        <f t="shared" si="40"/>
        <v>https://search-rtdc-monitor-bjffxe2xuh6vdkpspy63sjmuny.us-east-1.es.amazonaws.com/_plugin/kibana/#/discover/Steve-Slow-Train-Analysis-(2080s-and-2083s)?_g=(refreshInterval:(display:Off,section:0,value:0),time:(from:'2016-06-06 15:38:06-0600',mode:absolute,to:'2016-06-06 16:22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100" s="73" t="str">
        <f t="shared" si="41"/>
        <v>N</v>
      </c>
      <c r="V100" s="73">
        <f t="shared" si="38"/>
        <v>1</v>
      </c>
      <c r="W100" s="73">
        <f t="shared" si="42"/>
        <v>4.3999999999999997E-2</v>
      </c>
      <c r="X100" s="73">
        <f t="shared" si="43"/>
        <v>23.338699999999999</v>
      </c>
      <c r="Y100" s="73">
        <f t="shared" si="44"/>
        <v>23.294699999999999</v>
      </c>
      <c r="Z100" s="74">
        <f>VLOOKUP(A100,Enforcements!$C$3:$J$57,8,0)</f>
        <v>233491</v>
      </c>
      <c r="AA100" s="74" t="str">
        <f>VLOOKUP(A100,Enforcements!$C$3:$J$57,3,0)</f>
        <v>TRACK WARRANT AUTHORITY</v>
      </c>
    </row>
    <row r="101" spans="1:27" s="2" customFormat="1" x14ac:dyDescent="0.25">
      <c r="A101" s="60" t="s">
        <v>391</v>
      </c>
      <c r="B101" s="60">
        <v>4015</v>
      </c>
      <c r="C101" s="60" t="s">
        <v>62</v>
      </c>
      <c r="D101" s="60" t="s">
        <v>392</v>
      </c>
      <c r="E101" s="30">
        <v>42527.692685185182</v>
      </c>
      <c r="F101" s="30">
        <v>42527.693831018521</v>
      </c>
      <c r="G101" s="38">
        <v>1</v>
      </c>
      <c r="H101" s="30" t="s">
        <v>393</v>
      </c>
      <c r="I101" s="30">
        <v>42527.720567129632</v>
      </c>
      <c r="J101" s="60">
        <v>0</v>
      </c>
      <c r="K101" s="60" t="str">
        <f t="shared" si="46"/>
        <v>4015/4016</v>
      </c>
      <c r="L101" s="60" t="str">
        <f>VLOOKUP(A101,'Trips&amp;Operators'!$C$1:$E$9999,3,FALSE)</f>
        <v>LOZA</v>
      </c>
      <c r="M101" s="12">
        <f t="shared" si="47"/>
        <v>2.6736111110949423E-2</v>
      </c>
      <c r="N101" s="13">
        <f t="shared" si="39"/>
        <v>38.499999999767169</v>
      </c>
      <c r="O101" s="13"/>
      <c r="P101" s="13"/>
      <c r="Q101" s="61"/>
      <c r="R101" s="61"/>
      <c r="T101" s="73" t="str">
        <f t="shared" si="40"/>
        <v>https://search-rtdc-monitor-bjffxe2xuh6vdkpspy63sjmuny.us-east-1.es.amazonaws.com/_plugin/kibana/#/discover/Steve-Slow-Train-Analysis-(2080s-and-2083s)?_g=(refreshInterval:(display:Off,section:0,value:0),time:(from:'2016-06-06 16:36:28-0600',mode:absolute,to:'2016-06-06 17:18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101" s="73" t="str">
        <f t="shared" si="41"/>
        <v>N</v>
      </c>
      <c r="V101" s="73">
        <f t="shared" si="38"/>
        <v>1</v>
      </c>
      <c r="W101" s="73">
        <f t="shared" si="42"/>
        <v>23.307700000000001</v>
      </c>
      <c r="X101" s="73">
        <f t="shared" si="43"/>
        <v>1.0699999999999999E-2</v>
      </c>
      <c r="Y101" s="73">
        <f t="shared" si="44"/>
        <v>23.297000000000001</v>
      </c>
      <c r="Z101" s="74" t="e">
        <f>VLOOKUP(A101,Enforcements!$C$3:$J$57,8,0)</f>
        <v>#N/A</v>
      </c>
      <c r="AA101" s="74" t="e">
        <f>VLOOKUP(A101,Enforcements!$C$3:$J$57,3,0)</f>
        <v>#N/A</v>
      </c>
    </row>
    <row r="102" spans="1:27" s="2" customFormat="1" x14ac:dyDescent="0.25">
      <c r="A102" s="60" t="s">
        <v>394</v>
      </c>
      <c r="B102" s="60">
        <v>4025</v>
      </c>
      <c r="C102" s="60" t="s">
        <v>62</v>
      </c>
      <c r="D102" s="60" t="s">
        <v>87</v>
      </c>
      <c r="E102" s="30">
        <v>42527.663321759261</v>
      </c>
      <c r="F102" s="30">
        <v>42527.66443287037</v>
      </c>
      <c r="G102" s="38">
        <v>1</v>
      </c>
      <c r="H102" s="30" t="s">
        <v>294</v>
      </c>
      <c r="I102" s="30">
        <v>42527.693252314813</v>
      </c>
      <c r="J102" s="60">
        <v>0</v>
      </c>
      <c r="K102" s="60" t="str">
        <f t="shared" si="46"/>
        <v>4025/4026</v>
      </c>
      <c r="L102" s="60" t="str">
        <f>VLOOKUP(A102,'Trips&amp;Operators'!$C$1:$E$9999,3,FALSE)</f>
        <v>COCA</v>
      </c>
      <c r="M102" s="12">
        <f t="shared" si="47"/>
        <v>2.8819444443797693E-2</v>
      </c>
      <c r="N102" s="13">
        <f t="shared" si="39"/>
        <v>41.499999999068677</v>
      </c>
      <c r="O102" s="13"/>
      <c r="P102" s="13"/>
      <c r="Q102" s="61"/>
      <c r="R102" s="61"/>
      <c r="T102" s="73" t="str">
        <f t="shared" si="40"/>
        <v>https://search-rtdc-monitor-bjffxe2xuh6vdkpspy63sjmuny.us-east-1.es.amazonaws.com/_plugin/kibana/#/discover/Steve-Slow-Train-Analysis-(2080s-and-2083s)?_g=(refreshInterval:(display:Off,section:0,value:0),time:(from:'2016-06-06 15:54:11-0600',mode:absolute,to:'2016-06-06 16:39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U102" s="73" t="str">
        <f t="shared" si="41"/>
        <v>N</v>
      </c>
      <c r="V102" s="73">
        <f t="shared" si="38"/>
        <v>1</v>
      </c>
      <c r="W102" s="73">
        <f t="shared" si="42"/>
        <v>4.3999999999999997E-2</v>
      </c>
      <c r="X102" s="73">
        <f t="shared" si="43"/>
        <v>23.327999999999999</v>
      </c>
      <c r="Y102" s="73">
        <f t="shared" si="44"/>
        <v>23.283999999999999</v>
      </c>
      <c r="Z102" s="74" t="e">
        <f>VLOOKUP(A102,Enforcements!$C$3:$J$57,8,0)</f>
        <v>#N/A</v>
      </c>
      <c r="AA102" s="74" t="e">
        <f>VLOOKUP(A102,Enforcements!$C$3:$J$57,3,0)</f>
        <v>#N/A</v>
      </c>
    </row>
    <row r="103" spans="1:27" s="2" customFormat="1" x14ac:dyDescent="0.25">
      <c r="A103" s="60" t="s">
        <v>395</v>
      </c>
      <c r="B103" s="60">
        <v>4026</v>
      </c>
      <c r="C103" s="60" t="s">
        <v>62</v>
      </c>
      <c r="D103" s="60" t="s">
        <v>102</v>
      </c>
      <c r="E103" s="30">
        <v>42527.69840277778</v>
      </c>
      <c r="F103" s="30">
        <v>42527.699212962965</v>
      </c>
      <c r="G103" s="38">
        <v>1</v>
      </c>
      <c r="H103" s="30" t="s">
        <v>115</v>
      </c>
      <c r="I103" s="30">
        <v>42527.732615740744</v>
      </c>
      <c r="J103" s="60">
        <v>0</v>
      </c>
      <c r="K103" s="60" t="str">
        <f t="shared" si="46"/>
        <v>4025/4026</v>
      </c>
      <c r="L103" s="60" t="str">
        <f>VLOOKUP(A103,'Trips&amp;Operators'!$C$1:$E$9999,3,FALSE)</f>
        <v>COCA</v>
      </c>
      <c r="M103" s="12">
        <f t="shared" si="47"/>
        <v>3.3402777778974269E-2</v>
      </c>
      <c r="N103" s="13">
        <f t="shared" si="39"/>
        <v>48.100000001722947</v>
      </c>
      <c r="O103" s="13"/>
      <c r="P103" s="13"/>
      <c r="Q103" s="61"/>
      <c r="R103" s="61"/>
      <c r="T103" s="73" t="str">
        <f t="shared" si="40"/>
        <v>https://search-rtdc-monitor-bjffxe2xuh6vdkpspy63sjmuny.us-east-1.es.amazonaws.com/_plugin/kibana/#/discover/Steve-Slow-Train-Analysis-(2080s-and-2083s)?_g=(refreshInterval:(display:Off,section:0,value:0),time:(from:'2016-06-06 16:44:42-0600',mode:absolute,to:'2016-06-06 17:35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U103" s="73" t="str">
        <f t="shared" si="41"/>
        <v>N</v>
      </c>
      <c r="V103" s="73">
        <f t="shared" si="38"/>
        <v>1</v>
      </c>
      <c r="W103" s="73">
        <f t="shared" si="42"/>
        <v>23.2973</v>
      </c>
      <c r="X103" s="73">
        <f t="shared" si="43"/>
        <v>1.54E-2</v>
      </c>
      <c r="Y103" s="73">
        <f t="shared" si="44"/>
        <v>23.2819</v>
      </c>
      <c r="Z103" s="74" t="e">
        <f>VLOOKUP(A103,Enforcements!$C$3:$J$57,8,0)</f>
        <v>#N/A</v>
      </c>
      <c r="AA103" s="74" t="e">
        <f>VLOOKUP(A103,Enforcements!$C$3:$J$57,3,0)</f>
        <v>#N/A</v>
      </c>
    </row>
    <row r="104" spans="1:27" s="2" customFormat="1" x14ac:dyDescent="0.25">
      <c r="A104" s="60" t="s">
        <v>396</v>
      </c>
      <c r="B104" s="60">
        <v>4014</v>
      </c>
      <c r="C104" s="60" t="s">
        <v>62</v>
      </c>
      <c r="D104" s="60" t="s">
        <v>90</v>
      </c>
      <c r="E104" s="30">
        <v>42527.672650462962</v>
      </c>
      <c r="F104" s="30">
        <v>42527.673761574071</v>
      </c>
      <c r="G104" s="38">
        <v>1</v>
      </c>
      <c r="H104" s="30" t="s">
        <v>172</v>
      </c>
      <c r="I104" s="30">
        <v>42527.702708333331</v>
      </c>
      <c r="J104" s="60">
        <v>0</v>
      </c>
      <c r="K104" s="60" t="str">
        <f t="shared" si="46"/>
        <v>4013/4014</v>
      </c>
      <c r="L104" s="60" t="str">
        <f>VLOOKUP(A104,'Trips&amp;Operators'!$C$1:$E$9999,3,FALSE)</f>
        <v>REBOLETTI</v>
      </c>
      <c r="M104" s="12">
        <f t="shared" si="47"/>
        <v>2.8946759259270038E-2</v>
      </c>
      <c r="N104" s="13">
        <f t="shared" si="39"/>
        <v>41.683333333348855</v>
      </c>
      <c r="O104" s="13"/>
      <c r="P104" s="13"/>
      <c r="Q104" s="61"/>
      <c r="R104" s="61"/>
      <c r="T104" s="73" t="str">
        <f t="shared" si="40"/>
        <v>https://search-rtdc-monitor-bjffxe2xuh6vdkpspy63sjmuny.us-east-1.es.amazonaws.com/_plugin/kibana/#/discover/Steve-Slow-Train-Analysis-(2080s-and-2083s)?_g=(refreshInterval:(display:Off,section:0,value:0),time:(from:'2016-06-06 16:07:37-0600',mode:absolute,to:'2016-06-06 16:52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U104" s="73" t="str">
        <f t="shared" si="41"/>
        <v>N</v>
      </c>
      <c r="V104" s="73">
        <f t="shared" si="38"/>
        <v>1</v>
      </c>
      <c r="W104" s="73">
        <f t="shared" si="42"/>
        <v>4.5699999999999998E-2</v>
      </c>
      <c r="X104" s="73">
        <f t="shared" si="43"/>
        <v>23.328700000000001</v>
      </c>
      <c r="Y104" s="73">
        <f t="shared" si="44"/>
        <v>23.283000000000001</v>
      </c>
      <c r="Z104" s="74" t="e">
        <f>VLOOKUP(A104,Enforcements!$C$3:$J$57,8,0)</f>
        <v>#N/A</v>
      </c>
      <c r="AA104" s="74" t="e">
        <f>VLOOKUP(A104,Enforcements!$C$3:$J$57,3,0)</f>
        <v>#N/A</v>
      </c>
    </row>
    <row r="105" spans="1:27" s="2" customFormat="1" x14ac:dyDescent="0.25">
      <c r="A105" s="60" t="s">
        <v>248</v>
      </c>
      <c r="B105" s="60">
        <v>4013</v>
      </c>
      <c r="C105" s="60" t="s">
        <v>62</v>
      </c>
      <c r="D105" s="60" t="s">
        <v>291</v>
      </c>
      <c r="E105" s="30">
        <v>42527.71166666667</v>
      </c>
      <c r="F105" s="30">
        <v>42527.712418981479</v>
      </c>
      <c r="G105" s="38">
        <v>1</v>
      </c>
      <c r="H105" s="30" t="s">
        <v>66</v>
      </c>
      <c r="I105" s="30">
        <v>42527.743819444448</v>
      </c>
      <c r="J105" s="60">
        <v>1</v>
      </c>
      <c r="K105" s="60" t="str">
        <f t="shared" si="46"/>
        <v>4013/4014</v>
      </c>
      <c r="L105" s="60" t="str">
        <f>VLOOKUP(A105,'Trips&amp;Operators'!$C$1:$E$9999,3,FALSE)</f>
        <v>REBOLETTI</v>
      </c>
      <c r="M105" s="12">
        <f t="shared" si="47"/>
        <v>3.1400462969031651E-2</v>
      </c>
      <c r="N105" s="13">
        <f t="shared" si="39"/>
        <v>45.216666675405577</v>
      </c>
      <c r="O105" s="13"/>
      <c r="P105" s="13"/>
      <c r="Q105" s="61"/>
      <c r="R105" s="61"/>
      <c r="T105" s="73" t="str">
        <f t="shared" si="40"/>
        <v>https://search-rtdc-monitor-bjffxe2xuh6vdkpspy63sjmuny.us-east-1.es.amazonaws.com/_plugin/kibana/#/discover/Steve-Slow-Train-Analysis-(2080s-and-2083s)?_g=(refreshInterval:(display:Off,section:0,value:0),time:(from:'2016-06-06 17:03:48-0600',mode:absolute,to:'2016-06-06 17:52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U105" s="73" t="str">
        <f t="shared" si="41"/>
        <v>N</v>
      </c>
      <c r="V105" s="73">
        <f t="shared" si="38"/>
        <v>1</v>
      </c>
      <c r="W105" s="73">
        <f t="shared" si="42"/>
        <v>23.2974</v>
      </c>
      <c r="X105" s="73">
        <f t="shared" si="43"/>
        <v>1.52E-2</v>
      </c>
      <c r="Y105" s="73">
        <f t="shared" si="44"/>
        <v>23.2822</v>
      </c>
      <c r="Z105" s="74">
        <f>VLOOKUP(A105,Enforcements!$C$3:$J$57,8,0)</f>
        <v>1</v>
      </c>
      <c r="AA105" s="74" t="str">
        <f>VLOOKUP(A105,Enforcements!$C$3:$J$57,3,0)</f>
        <v>TRACK WARRANT AUTHORITY</v>
      </c>
    </row>
    <row r="106" spans="1:27" s="2" customFormat="1" x14ac:dyDescent="0.25">
      <c r="A106" s="60" t="s">
        <v>397</v>
      </c>
      <c r="B106" s="60">
        <v>4044</v>
      </c>
      <c r="C106" s="60" t="s">
        <v>62</v>
      </c>
      <c r="D106" s="60" t="s">
        <v>173</v>
      </c>
      <c r="E106" s="30">
        <v>42527.683865740742</v>
      </c>
      <c r="F106" s="30">
        <v>42527.684999999998</v>
      </c>
      <c r="G106" s="38">
        <v>1</v>
      </c>
      <c r="H106" s="30" t="s">
        <v>82</v>
      </c>
      <c r="I106" s="30">
        <v>42527.712581018517</v>
      </c>
      <c r="J106" s="60">
        <v>0</v>
      </c>
      <c r="K106" s="60" t="str">
        <f t="shared" si="46"/>
        <v>4043/4044</v>
      </c>
      <c r="L106" s="60" t="str">
        <f>VLOOKUP(A106,'Trips&amp;Operators'!$C$1:$E$9999,3,FALSE)</f>
        <v>RIVERA</v>
      </c>
      <c r="M106" s="12">
        <f t="shared" si="47"/>
        <v>2.7581018519413192E-2</v>
      </c>
      <c r="N106" s="13">
        <f t="shared" si="39"/>
        <v>39.716666667954996</v>
      </c>
      <c r="O106" s="13"/>
      <c r="P106" s="13"/>
      <c r="Q106" s="61"/>
      <c r="R106" s="61"/>
      <c r="T106" s="73" t="str">
        <f t="shared" si="40"/>
        <v>https://search-rtdc-monitor-bjffxe2xuh6vdkpspy63sjmuny.us-east-1.es.amazonaws.com/_plugin/kibana/#/discover/Steve-Slow-Train-Analysis-(2080s-and-2083s)?_g=(refreshInterval:(display:Off,section:0,value:0),time:(from:'2016-06-06 16:23:46-0600',mode:absolute,to:'2016-06-06 17:07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106" s="73" t="str">
        <f t="shared" si="41"/>
        <v>N</v>
      </c>
      <c r="V106" s="73">
        <f t="shared" si="38"/>
        <v>1</v>
      </c>
      <c r="W106" s="73">
        <f t="shared" si="42"/>
        <v>4.8599999999999997E-2</v>
      </c>
      <c r="X106" s="73">
        <f t="shared" si="43"/>
        <v>23.3293</v>
      </c>
      <c r="Y106" s="73">
        <f t="shared" si="44"/>
        <v>23.2807</v>
      </c>
      <c r="Z106" s="74" t="e">
        <f>VLOOKUP(A106,Enforcements!$C$3:$J$57,8,0)</f>
        <v>#N/A</v>
      </c>
      <c r="AA106" s="74" t="e">
        <f>VLOOKUP(A106,Enforcements!$C$3:$J$57,3,0)</f>
        <v>#N/A</v>
      </c>
    </row>
    <row r="107" spans="1:27" s="2" customFormat="1" ht="16.5" customHeight="1" x14ac:dyDescent="0.25">
      <c r="A107" s="60" t="s">
        <v>398</v>
      </c>
      <c r="B107" s="60">
        <v>4043</v>
      </c>
      <c r="C107" s="60" t="s">
        <v>62</v>
      </c>
      <c r="D107" s="60" t="s">
        <v>110</v>
      </c>
      <c r="E107" s="30">
        <v>42527.72179398148</v>
      </c>
      <c r="F107" s="30">
        <v>42527.722685185188</v>
      </c>
      <c r="G107" s="38">
        <v>1</v>
      </c>
      <c r="H107" s="30" t="s">
        <v>63</v>
      </c>
      <c r="I107" s="30">
        <v>42527.755046296297</v>
      </c>
      <c r="J107" s="60">
        <v>0</v>
      </c>
      <c r="K107" s="60" t="str">
        <f t="shared" si="46"/>
        <v>4043/4044</v>
      </c>
      <c r="L107" s="60" t="str">
        <f>VLOOKUP(A107,'Trips&amp;Operators'!$C$1:$E$9999,3,FALSE)</f>
        <v>RIVERA</v>
      </c>
      <c r="M107" s="12">
        <f t="shared" si="47"/>
        <v>3.2361111108912155E-2</v>
      </c>
      <c r="N107" s="13">
        <f t="shared" si="39"/>
        <v>46.599999996833503</v>
      </c>
      <c r="O107" s="13"/>
      <c r="P107" s="13"/>
      <c r="Q107" s="61"/>
      <c r="R107" s="61"/>
      <c r="T107" s="73" t="str">
        <f t="shared" si="40"/>
        <v>https://search-rtdc-monitor-bjffxe2xuh6vdkpspy63sjmuny.us-east-1.es.amazonaws.com/_plugin/kibana/#/discover/Steve-Slow-Train-Analysis-(2080s-and-2083s)?_g=(refreshInterval:(display:Off,section:0,value:0),time:(from:'2016-06-06 17:18:23-0600',mode:absolute,to:'2016-06-06 18:08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107" s="73" t="str">
        <f t="shared" si="41"/>
        <v>N</v>
      </c>
      <c r="V107" s="73">
        <f t="shared" si="38"/>
        <v>1</v>
      </c>
      <c r="W107" s="73">
        <f t="shared" si="42"/>
        <v>23.2986</v>
      </c>
      <c r="X107" s="73">
        <f t="shared" si="43"/>
        <v>1.4500000000000001E-2</v>
      </c>
      <c r="Y107" s="73">
        <f t="shared" si="44"/>
        <v>23.284099999999999</v>
      </c>
      <c r="Z107" s="74" t="e">
        <f>VLOOKUP(A107,Enforcements!$C$3:$J$57,8,0)</f>
        <v>#N/A</v>
      </c>
      <c r="AA107" s="74" t="e">
        <f>VLOOKUP(A107,Enforcements!$C$3:$J$57,3,0)</f>
        <v>#N/A</v>
      </c>
    </row>
    <row r="108" spans="1:27" s="2" customFormat="1" x14ac:dyDescent="0.25">
      <c r="A108" s="60" t="s">
        <v>399</v>
      </c>
      <c r="B108" s="60">
        <v>4040</v>
      </c>
      <c r="C108" s="60" t="s">
        <v>62</v>
      </c>
      <c r="D108" s="60" t="s">
        <v>64</v>
      </c>
      <c r="E108" s="30">
        <v>42527.693923611114</v>
      </c>
      <c r="F108" s="30">
        <v>42527.697997685187</v>
      </c>
      <c r="G108" s="38">
        <v>5</v>
      </c>
      <c r="H108" s="30" t="s">
        <v>140</v>
      </c>
      <c r="I108" s="30">
        <v>42527.724085648151</v>
      </c>
      <c r="J108" s="60">
        <v>0</v>
      </c>
      <c r="K108" s="60" t="str">
        <f t="shared" si="46"/>
        <v>4039/4040</v>
      </c>
      <c r="L108" s="60" t="str">
        <f>VLOOKUP(A108,'Trips&amp;Operators'!$C$1:$E$9999,3,FALSE)</f>
        <v>BONDS</v>
      </c>
      <c r="M108" s="12">
        <f t="shared" si="47"/>
        <v>2.6087962964083999E-2</v>
      </c>
      <c r="N108" s="13">
        <f t="shared" si="39"/>
        <v>37.566666668280959</v>
      </c>
      <c r="O108" s="13"/>
      <c r="P108" s="13"/>
      <c r="Q108" s="61"/>
      <c r="R108" s="61"/>
      <c r="T108" s="73" t="str">
        <f>"https://search-rtdc-monitor-bjffxe2xuh6vdkpspy63sjmuny.us-east-1.es.amazonaws.com/_plugin/kibana/#/discover/Steve-Slow-Train-Analysis-(2080s-and-2083s)?_g=(refreshInterval:(display:Off,section:0,value:0),time:(from:'"&amp;TEXT(E108-1/24/60,"yyyy-MM-DD hh:mm:ss")&amp;"-0600',mode:absolute,to:'"&amp;TEXT(I108+1/24/60,"yyyy-MM-DD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108&amp;"%22')),sort:!(Time,asc))"</f>
        <v>https://search-rtdc-monitor-bjffxe2xuh6vdkpspy63sjmuny.us-east-1.es.amazonaws.com/_plugin/kibana/#/discover/Steve-Slow-Train-Analysis-(2080s-and-2083s)?_g=(refreshInterval:(display:Off,section:0,value:0),time:(from:'2016-06-06 16:38:15-0600',mode:absolute,to:'2016-06-06 17:23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108" s="73" t="str">
        <f>IF(Y108&lt;23,"Y","N")</f>
        <v>N</v>
      </c>
      <c r="V108" s="73">
        <f t="shared" si="38"/>
        <v>1</v>
      </c>
      <c r="W108" s="73">
        <f>RIGHT(D108,LEN(D108)-4)/10000</f>
        <v>4.5499999999999999E-2</v>
      </c>
      <c r="X108" s="73">
        <f>RIGHT(H108,LEN(H108)-4)/10000</f>
        <v>23.332100000000001</v>
      </c>
      <c r="Y108" s="73">
        <f>ABS(X108-W108)</f>
        <v>23.2866</v>
      </c>
      <c r="Z108" s="74" t="e">
        <f>VLOOKUP(A108,Enforcements!$C$3:$J$57,8,0)</f>
        <v>#N/A</v>
      </c>
      <c r="AA108" s="74" t="e">
        <f>VLOOKUP(A108,Enforcements!$C$3:$J$57,3,0)</f>
        <v>#N/A</v>
      </c>
    </row>
    <row r="109" spans="1:27" s="2" customFormat="1" x14ac:dyDescent="0.25">
      <c r="A109" s="60" t="s">
        <v>250</v>
      </c>
      <c r="B109" s="60">
        <v>4039</v>
      </c>
      <c r="C109" s="60" t="s">
        <v>62</v>
      </c>
      <c r="D109" s="60" t="s">
        <v>400</v>
      </c>
      <c r="E109" s="30">
        <v>42527.733055555553</v>
      </c>
      <c r="F109" s="30">
        <v>42527.734305555554</v>
      </c>
      <c r="G109" s="38">
        <v>1</v>
      </c>
      <c r="H109" s="30" t="s">
        <v>120</v>
      </c>
      <c r="I109" s="30">
        <v>42527.76866898148</v>
      </c>
      <c r="J109" s="60">
        <v>1</v>
      </c>
      <c r="K109" s="60" t="str">
        <f t="shared" si="46"/>
        <v>4039/4040</v>
      </c>
      <c r="L109" s="60" t="str">
        <f>VLOOKUP(A109,'Trips&amp;Operators'!$C$1:$E$9999,3,FALSE)</f>
        <v>BONDS</v>
      </c>
      <c r="M109" s="12">
        <f t="shared" si="47"/>
        <v>3.4363425926130731E-2</v>
      </c>
      <c r="N109" s="13">
        <f t="shared" si="39"/>
        <v>49.483333333628252</v>
      </c>
      <c r="O109" s="13"/>
      <c r="P109" s="13"/>
      <c r="Q109" s="61"/>
      <c r="R109" s="61"/>
      <c r="T109" s="73" t="str">
        <f t="shared" si="40"/>
        <v>https://search-rtdc-monitor-bjffxe2xuh6vdkpspy63sjmuny.us-east-1.es.amazonaws.com/_plugin/kibana/#/discover/Steve-Slow-Train-Analysis-(2080s-and-2083s)?_g=(refreshInterval:(display:Off,section:0,value:0),time:(from:'2016-06-06 17:34:36-0600',mode:absolute,to:'2016-06-06 18:27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109" s="73" t="str">
        <f t="shared" si="41"/>
        <v>N</v>
      </c>
      <c r="V109" s="73">
        <f t="shared" si="38"/>
        <v>1</v>
      </c>
      <c r="W109" s="73">
        <f t="shared" si="42"/>
        <v>23.300999999999998</v>
      </c>
      <c r="X109" s="73">
        <f t="shared" si="43"/>
        <v>1.6500000000000001E-2</v>
      </c>
      <c r="Y109" s="73">
        <f t="shared" si="44"/>
        <v>23.284499999999998</v>
      </c>
      <c r="Z109" s="74">
        <f>VLOOKUP(A109,Enforcements!$C$3:$J$57,8,0)</f>
        <v>33257</v>
      </c>
      <c r="AA109" s="74" t="str">
        <f>VLOOKUP(A109,Enforcements!$C$3:$J$57,3,0)</f>
        <v>GRADE CROSSING</v>
      </c>
    </row>
    <row r="110" spans="1:27" s="2" customFormat="1" x14ac:dyDescent="0.25">
      <c r="A110" s="60" t="s">
        <v>401</v>
      </c>
      <c r="B110" s="60">
        <v>4020</v>
      </c>
      <c r="C110" s="60" t="s">
        <v>62</v>
      </c>
      <c r="D110" s="60" t="s">
        <v>85</v>
      </c>
      <c r="E110" s="30">
        <v>42527.706203703703</v>
      </c>
      <c r="F110" s="30">
        <v>42527.707129629627</v>
      </c>
      <c r="G110" s="38">
        <v>1</v>
      </c>
      <c r="H110" s="30" t="s">
        <v>165</v>
      </c>
      <c r="I110" s="30">
        <v>42527.733344907407</v>
      </c>
      <c r="J110" s="60">
        <v>0</v>
      </c>
      <c r="K110" s="60" t="str">
        <f t="shared" si="46"/>
        <v>4019/4020</v>
      </c>
      <c r="L110" s="60" t="str">
        <f>VLOOKUP(A110,'Trips&amp;Operators'!$C$1:$E$9999,3,FALSE)</f>
        <v>LOCKLEAR</v>
      </c>
      <c r="M110" s="12">
        <f t="shared" si="47"/>
        <v>2.6215277779556345E-2</v>
      </c>
      <c r="N110" s="13">
        <f t="shared" si="39"/>
        <v>37.750000002561137</v>
      </c>
      <c r="O110" s="13"/>
      <c r="P110" s="13"/>
      <c r="Q110" s="61"/>
      <c r="R110" s="61"/>
      <c r="T110" s="73" t="str">
        <f t="shared" si="40"/>
        <v>https://search-rtdc-monitor-bjffxe2xuh6vdkpspy63sjmuny.us-east-1.es.amazonaws.com/_plugin/kibana/#/discover/Steve-Slow-Train-Analysis-(2080s-and-2083s)?_g=(refreshInterval:(display:Off,section:0,value:0),time:(from:'2016-06-06 16:55:56-0600',mode:absolute,to:'2016-06-06 17:37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110" s="73" t="str">
        <f t="shared" si="41"/>
        <v>N</v>
      </c>
      <c r="V110" s="73">
        <f t="shared" si="38"/>
        <v>1</v>
      </c>
      <c r="W110" s="73">
        <f t="shared" si="42"/>
        <v>4.6600000000000003E-2</v>
      </c>
      <c r="X110" s="73">
        <f t="shared" si="43"/>
        <v>23.3399</v>
      </c>
      <c r="Y110" s="73">
        <f t="shared" si="44"/>
        <v>23.293299999999999</v>
      </c>
      <c r="Z110" s="74" t="e">
        <f>VLOOKUP(A110,Enforcements!$C$3:$J$57,8,0)</f>
        <v>#N/A</v>
      </c>
      <c r="AA110" s="74" t="e">
        <f>VLOOKUP(A110,Enforcements!$C$3:$J$57,3,0)</f>
        <v>#N/A</v>
      </c>
    </row>
    <row r="111" spans="1:27" s="2" customFormat="1" x14ac:dyDescent="0.25">
      <c r="A111" s="60" t="s">
        <v>402</v>
      </c>
      <c r="B111" s="60">
        <v>4019</v>
      </c>
      <c r="C111" s="60" t="s">
        <v>62</v>
      </c>
      <c r="D111" s="60" t="s">
        <v>403</v>
      </c>
      <c r="E111" s="30">
        <v>42527.745347222219</v>
      </c>
      <c r="F111" s="30">
        <v>42527.746261574073</v>
      </c>
      <c r="G111" s="38">
        <v>1</v>
      </c>
      <c r="H111" s="30" t="s">
        <v>155</v>
      </c>
      <c r="I111" s="30">
        <v>42527.779409722221</v>
      </c>
      <c r="J111" s="60">
        <v>0</v>
      </c>
      <c r="K111" s="60" t="str">
        <f t="shared" si="46"/>
        <v>4019/4020</v>
      </c>
      <c r="L111" s="60" t="str">
        <f>VLOOKUP(A111,'Trips&amp;Operators'!$C$1:$E$9999,3,FALSE)</f>
        <v>LOCKLEAR</v>
      </c>
      <c r="M111" s="12">
        <f t="shared" si="47"/>
        <v>3.3148148148029577E-2</v>
      </c>
      <c r="N111" s="13">
        <f t="shared" si="39"/>
        <v>47.733333333162591</v>
      </c>
      <c r="O111" s="13"/>
      <c r="P111" s="13"/>
      <c r="Q111" s="61"/>
      <c r="R111" s="61"/>
      <c r="T111" s="73" t="str">
        <f t="shared" si="40"/>
        <v>https://search-rtdc-monitor-bjffxe2xuh6vdkpspy63sjmuny.us-east-1.es.amazonaws.com/_plugin/kibana/#/discover/Steve-Slow-Train-Analysis-(2080s-and-2083s)?_g=(refreshInterval:(display:Off,section:0,value:0),time:(from:'2016-06-06 17:52:18-0600',mode:absolute,to:'2016-06-06 18:43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111" s="73" t="str">
        <f t="shared" si="41"/>
        <v>N</v>
      </c>
      <c r="V111" s="73">
        <f t="shared" si="38"/>
        <v>1</v>
      </c>
      <c r="W111" s="73">
        <f t="shared" si="42"/>
        <v>23.3155</v>
      </c>
      <c r="X111" s="73">
        <f t="shared" si="43"/>
        <v>1.6899999999999998E-2</v>
      </c>
      <c r="Y111" s="73">
        <f t="shared" si="44"/>
        <v>23.2986</v>
      </c>
      <c r="Z111" s="74" t="e">
        <f>VLOOKUP(A111,Enforcements!$C$3:$J$57,8,0)</f>
        <v>#N/A</v>
      </c>
      <c r="AA111" s="74" t="e">
        <f>VLOOKUP(A111,Enforcements!$C$3:$J$57,3,0)</f>
        <v>#N/A</v>
      </c>
    </row>
    <row r="112" spans="1:27" s="2" customFormat="1" x14ac:dyDescent="0.25">
      <c r="A112" s="60" t="s">
        <v>404</v>
      </c>
      <c r="B112" s="60">
        <v>4018</v>
      </c>
      <c r="C112" s="60" t="s">
        <v>62</v>
      </c>
      <c r="D112" s="60" t="s">
        <v>65</v>
      </c>
      <c r="E112" s="30">
        <v>42527.71570601852</v>
      </c>
      <c r="F112" s="30">
        <v>42527.716840277775</v>
      </c>
      <c r="G112" s="38">
        <v>1</v>
      </c>
      <c r="H112" s="30" t="s">
        <v>131</v>
      </c>
      <c r="I112" s="30">
        <v>42527.746412037035</v>
      </c>
      <c r="J112" s="60">
        <v>0</v>
      </c>
      <c r="K112" s="60" t="str">
        <f t="shared" si="46"/>
        <v>4017/4018</v>
      </c>
      <c r="L112" s="60" t="str">
        <f>VLOOKUP(A112,'Trips&amp;Operators'!$C$1:$E$9999,3,FALSE)</f>
        <v>YOUNG</v>
      </c>
      <c r="M112" s="12">
        <f t="shared" si="47"/>
        <v>2.9571759259852115E-2</v>
      </c>
      <c r="N112" s="13">
        <f t="shared" ref="N112:N131" si="48">24*60*SUM($M112:$M112)</f>
        <v>42.583333334187046</v>
      </c>
      <c r="O112" s="13"/>
      <c r="P112" s="13"/>
      <c r="Q112" s="61"/>
      <c r="R112" s="61"/>
      <c r="T112" s="73" t="str">
        <f t="shared" si="40"/>
        <v>https://search-rtdc-monitor-bjffxe2xuh6vdkpspy63sjmuny.us-east-1.es.amazonaws.com/_plugin/kibana/#/discover/Steve-Slow-Train-Analysis-(2080s-and-2083s)?_g=(refreshInterval:(display:Off,section:0,value:0),time:(from:'2016-06-06 17:09:37-0600',mode:absolute,to:'2016-06-06 17:55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U112" s="73" t="str">
        <f t="shared" si="41"/>
        <v>N</v>
      </c>
      <c r="V112" s="73">
        <f t="shared" si="38"/>
        <v>1</v>
      </c>
      <c r="W112" s="73">
        <f t="shared" si="42"/>
        <v>4.5100000000000001E-2</v>
      </c>
      <c r="X112" s="73">
        <f t="shared" si="43"/>
        <v>23.3276</v>
      </c>
      <c r="Y112" s="73">
        <f t="shared" si="44"/>
        <v>23.282499999999999</v>
      </c>
      <c r="Z112" s="74" t="e">
        <f>VLOOKUP(A112,Enforcements!$C$3:$J$57,8,0)</f>
        <v>#N/A</v>
      </c>
      <c r="AA112" s="74" t="e">
        <f>VLOOKUP(A112,Enforcements!$C$3:$J$57,3,0)</f>
        <v>#N/A</v>
      </c>
    </row>
    <row r="113" spans="1:27" s="2" customFormat="1" x14ac:dyDescent="0.25">
      <c r="A113" s="60" t="s">
        <v>405</v>
      </c>
      <c r="B113" s="60">
        <v>4017</v>
      </c>
      <c r="C113" s="60" t="s">
        <v>62</v>
      </c>
      <c r="D113" s="60" t="s">
        <v>178</v>
      </c>
      <c r="E113" s="30">
        <v>42527.753391203703</v>
      </c>
      <c r="F113" s="30">
        <v>42527.756678240738</v>
      </c>
      <c r="G113" s="38">
        <v>4</v>
      </c>
      <c r="H113" s="30" t="s">
        <v>92</v>
      </c>
      <c r="I113" s="30">
        <v>42527.788622685184</v>
      </c>
      <c r="J113" s="60">
        <v>0</v>
      </c>
      <c r="K113" s="60" t="str">
        <f t="shared" si="46"/>
        <v>4017/4018</v>
      </c>
      <c r="L113" s="60" t="str">
        <f>VLOOKUP(A113,'Trips&amp;Operators'!$C$1:$E$9999,3,FALSE)</f>
        <v>YOUNG</v>
      </c>
      <c r="M113" s="12">
        <f t="shared" si="47"/>
        <v>3.1944444446708076E-2</v>
      </c>
      <c r="N113" s="13">
        <f t="shared" si="48"/>
        <v>46.000000003259629</v>
      </c>
      <c r="O113" s="13"/>
      <c r="P113" s="13"/>
      <c r="Q113" s="61"/>
      <c r="R113" s="61"/>
      <c r="T113" s="73" t="str">
        <f t="shared" si="40"/>
        <v>https://search-rtdc-monitor-bjffxe2xuh6vdkpspy63sjmuny.us-east-1.es.amazonaws.com/_plugin/kibana/#/discover/Steve-Slow-Train-Analysis-(2080s-and-2083s)?_g=(refreshInterval:(display:Off,section:0,value:0),time:(from:'2016-06-06 18:03:53-0600',mode:absolute,to:'2016-06-06 18:56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U113" s="73" t="str">
        <f t="shared" si="41"/>
        <v>N</v>
      </c>
      <c r="V113" s="73">
        <f t="shared" si="38"/>
        <v>1</v>
      </c>
      <c r="W113" s="73">
        <f t="shared" si="42"/>
        <v>23.3002</v>
      </c>
      <c r="X113" s="73">
        <f t="shared" si="43"/>
        <v>1.3899999999999999E-2</v>
      </c>
      <c r="Y113" s="73">
        <f t="shared" si="44"/>
        <v>23.286300000000001</v>
      </c>
      <c r="Z113" s="74" t="e">
        <f>VLOOKUP(A113,Enforcements!$C$3:$J$57,8,0)</f>
        <v>#N/A</v>
      </c>
      <c r="AA113" s="74" t="e">
        <f>VLOOKUP(A113,Enforcements!$C$3:$J$57,3,0)</f>
        <v>#N/A</v>
      </c>
    </row>
    <row r="114" spans="1:27" s="2" customFormat="1" x14ac:dyDescent="0.25">
      <c r="A114" s="60" t="s">
        <v>406</v>
      </c>
      <c r="B114" s="60">
        <v>4016</v>
      </c>
      <c r="C114" s="60" t="s">
        <v>62</v>
      </c>
      <c r="D114" s="60" t="s">
        <v>407</v>
      </c>
      <c r="E114" s="30">
        <v>42527.723391203705</v>
      </c>
      <c r="F114" s="30">
        <v>42527.724710648145</v>
      </c>
      <c r="G114" s="38">
        <v>1</v>
      </c>
      <c r="H114" s="30" t="s">
        <v>313</v>
      </c>
      <c r="I114" s="30">
        <v>42527.759293981479</v>
      </c>
      <c r="J114" s="60">
        <v>0</v>
      </c>
      <c r="K114" s="60" t="str">
        <f t="shared" si="46"/>
        <v>4015/4016</v>
      </c>
      <c r="L114" s="60" t="str">
        <f>VLOOKUP(A114,'Trips&amp;Operators'!$C$1:$E$9999,3,FALSE)</f>
        <v>LOZA</v>
      </c>
      <c r="M114" s="12">
        <f t="shared" si="47"/>
        <v>3.4583333334012423E-2</v>
      </c>
      <c r="N114" s="13">
        <f t="shared" si="48"/>
        <v>49.800000000977889</v>
      </c>
      <c r="O114" s="13"/>
      <c r="P114" s="13"/>
      <c r="Q114" s="61"/>
      <c r="R114" s="61"/>
      <c r="T114" s="73" t="str">
        <f t="shared" si="40"/>
        <v>https://search-rtdc-monitor-bjffxe2xuh6vdkpspy63sjmuny.us-east-1.es.amazonaws.com/_plugin/kibana/#/discover/Steve-Slow-Train-Analysis-(2080s-and-2083s)?_g=(refreshInterval:(display:Off,section:0,value:0),time:(from:'2016-06-06 17:20:41-0600',mode:absolute,to:'2016-06-06 18:14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114" s="73" t="str">
        <f t="shared" si="41"/>
        <v>N</v>
      </c>
      <c r="V114" s="73">
        <f t="shared" si="38"/>
        <v>1</v>
      </c>
      <c r="W114" s="73">
        <f t="shared" si="42"/>
        <v>4.1300000000000003E-2</v>
      </c>
      <c r="X114" s="73">
        <f t="shared" si="43"/>
        <v>23.326599999999999</v>
      </c>
      <c r="Y114" s="73">
        <f t="shared" si="44"/>
        <v>23.285299999999999</v>
      </c>
      <c r="Z114" s="74" t="e">
        <f>VLOOKUP(A114,Enforcements!$C$3:$J$57,8,0)</f>
        <v>#N/A</v>
      </c>
      <c r="AA114" s="74" t="e">
        <f>VLOOKUP(A114,Enforcements!$C$3:$J$57,3,0)</f>
        <v>#N/A</v>
      </c>
    </row>
    <row r="115" spans="1:27" s="2" customFormat="1" x14ac:dyDescent="0.25">
      <c r="A115" s="60" t="s">
        <v>408</v>
      </c>
      <c r="B115" s="60">
        <v>4015</v>
      </c>
      <c r="C115" s="60" t="s">
        <v>62</v>
      </c>
      <c r="D115" s="60" t="s">
        <v>149</v>
      </c>
      <c r="E115" s="30">
        <v>42527.76326388889</v>
      </c>
      <c r="F115" s="30">
        <v>42527.765162037038</v>
      </c>
      <c r="G115" s="38">
        <v>2</v>
      </c>
      <c r="H115" s="30" t="s">
        <v>409</v>
      </c>
      <c r="I115" s="30">
        <v>42527.799259259256</v>
      </c>
      <c r="J115" s="60">
        <v>0</v>
      </c>
      <c r="K115" s="60" t="str">
        <f t="shared" si="46"/>
        <v>4015/4016</v>
      </c>
      <c r="L115" s="60" t="str">
        <f>VLOOKUP(A115,'Trips&amp;Operators'!$C$1:$E$9999,3,FALSE)</f>
        <v>LOZA</v>
      </c>
      <c r="M115" s="12">
        <f t="shared" si="47"/>
        <v>3.4097222218406387E-2</v>
      </c>
      <c r="N115" s="13">
        <f t="shared" si="48"/>
        <v>49.099999994505197</v>
      </c>
      <c r="O115" s="13"/>
      <c r="P115" s="13"/>
      <c r="Q115" s="61"/>
      <c r="R115" s="61"/>
      <c r="T115" s="73" t="str">
        <f t="shared" si="40"/>
        <v>https://search-rtdc-monitor-bjffxe2xuh6vdkpspy63sjmuny.us-east-1.es.amazonaws.com/_plugin/kibana/#/discover/Steve-Slow-Train-Analysis-(2080s-and-2083s)?_g=(refreshInterval:(display:Off,section:0,value:0),time:(from:'2016-06-06 18:18:06-0600',mode:absolute,to:'2016-06-06 19:11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115" s="73" t="str">
        <f t="shared" si="41"/>
        <v>N</v>
      </c>
      <c r="V115" s="73">
        <f t="shared" si="38"/>
        <v>1</v>
      </c>
      <c r="W115" s="73">
        <f t="shared" si="42"/>
        <v>23.3</v>
      </c>
      <c r="X115" s="73">
        <f t="shared" si="43"/>
        <v>1.8700000000000001E-2</v>
      </c>
      <c r="Y115" s="73">
        <f t="shared" si="44"/>
        <v>23.281300000000002</v>
      </c>
      <c r="Z115" s="74" t="e">
        <f>VLOOKUP(A115,Enforcements!$C$3:$J$57,8,0)</f>
        <v>#N/A</v>
      </c>
      <c r="AA115" s="74" t="e">
        <f>VLOOKUP(A115,Enforcements!$C$3:$J$57,3,0)</f>
        <v>#N/A</v>
      </c>
    </row>
    <row r="116" spans="1:27" s="2" customFormat="1" x14ac:dyDescent="0.25">
      <c r="A116" s="60" t="s">
        <v>249</v>
      </c>
      <c r="B116" s="60">
        <v>4025</v>
      </c>
      <c r="C116" s="60" t="s">
        <v>62</v>
      </c>
      <c r="D116" s="60" t="s">
        <v>181</v>
      </c>
      <c r="E116" s="30">
        <v>42527.737407407411</v>
      </c>
      <c r="F116" s="30">
        <v>42527.738668981481</v>
      </c>
      <c r="G116" s="38">
        <v>1</v>
      </c>
      <c r="H116" s="30" t="s">
        <v>123</v>
      </c>
      <c r="I116" s="30">
        <v>42527.772233796299</v>
      </c>
      <c r="J116" s="60">
        <v>1</v>
      </c>
      <c r="K116" s="60" t="str">
        <f t="shared" si="46"/>
        <v>4025/4026</v>
      </c>
      <c r="L116" s="60" t="str">
        <f>VLOOKUP(A116,'Trips&amp;Operators'!$C$1:$E$9999,3,FALSE)</f>
        <v>CHANDLER</v>
      </c>
      <c r="M116" s="12">
        <f t="shared" si="47"/>
        <v>3.3564814817509614E-2</v>
      </c>
      <c r="N116" s="13">
        <f t="shared" si="48"/>
        <v>48.333333337213844</v>
      </c>
      <c r="O116" s="13"/>
      <c r="P116" s="13"/>
      <c r="Q116" s="61"/>
      <c r="R116" s="61"/>
      <c r="T116" s="73" t="str">
        <f t="shared" si="40"/>
        <v>https://search-rtdc-monitor-bjffxe2xuh6vdkpspy63sjmuny.us-east-1.es.amazonaws.com/_plugin/kibana/#/discover/Steve-Slow-Train-Analysis-(2080s-and-2083s)?_g=(refreshInterval:(display:Off,section:0,value:0),time:(from:'2016-06-06 17:40:52-0600',mode:absolute,to:'2016-06-06 18:33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U116" s="73" t="str">
        <f t="shared" si="41"/>
        <v>N</v>
      </c>
      <c r="V116" s="73">
        <f t="shared" si="38"/>
        <v>1</v>
      </c>
      <c r="W116" s="73">
        <f t="shared" si="42"/>
        <v>4.8000000000000001E-2</v>
      </c>
      <c r="X116" s="73">
        <f t="shared" si="43"/>
        <v>23.330200000000001</v>
      </c>
      <c r="Y116" s="73">
        <f t="shared" si="44"/>
        <v>23.282200000000003</v>
      </c>
      <c r="Z116" s="74">
        <f>VLOOKUP(A116,Enforcements!$C$3:$J$57,8,0)</f>
        <v>33136</v>
      </c>
      <c r="AA116" s="74" t="str">
        <f>VLOOKUP(A116,Enforcements!$C$3:$J$57,3,0)</f>
        <v>GRADE CROSSING</v>
      </c>
    </row>
    <row r="117" spans="1:27" s="2" customFormat="1" x14ac:dyDescent="0.25">
      <c r="A117" s="60" t="s">
        <v>410</v>
      </c>
      <c r="B117" s="60">
        <v>4026</v>
      </c>
      <c r="C117" s="60" t="s">
        <v>62</v>
      </c>
      <c r="D117" s="60" t="s">
        <v>95</v>
      </c>
      <c r="E117" s="30">
        <v>42527.775648148148</v>
      </c>
      <c r="F117" s="30">
        <v>42527.776701388888</v>
      </c>
      <c r="G117" s="38">
        <v>1</v>
      </c>
      <c r="H117" s="30" t="s">
        <v>86</v>
      </c>
      <c r="I117" s="30">
        <v>42527.808888888889</v>
      </c>
      <c r="J117" s="60">
        <v>0</v>
      </c>
      <c r="K117" s="60" t="str">
        <f t="shared" si="46"/>
        <v>4025/4026</v>
      </c>
      <c r="L117" s="60" t="str">
        <f>VLOOKUP(A117,'Trips&amp;Operators'!$C$1:$E$9999,3,FALSE)</f>
        <v>CHANDLER</v>
      </c>
      <c r="M117" s="12">
        <f t="shared" si="47"/>
        <v>3.2187500000873115E-2</v>
      </c>
      <c r="N117" s="13">
        <f t="shared" si="48"/>
        <v>46.350000001257285</v>
      </c>
      <c r="O117" s="13"/>
      <c r="P117" s="13"/>
      <c r="Q117" s="61"/>
      <c r="R117" s="61"/>
      <c r="T117" s="73" t="str">
        <f t="shared" si="40"/>
        <v>https://search-rtdc-monitor-bjffxe2xuh6vdkpspy63sjmuny.us-east-1.es.amazonaws.com/_plugin/kibana/#/discover/Steve-Slow-Train-Analysis-(2080s-and-2083s)?_g=(refreshInterval:(display:Off,section:0,value:0),time:(from:'2016-06-06 18:35:56-0600',mode:absolute,to:'2016-06-06 19:25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U117" s="73" t="str">
        <f t="shared" si="41"/>
        <v>N</v>
      </c>
      <c r="V117" s="73">
        <f t="shared" si="38"/>
        <v>1</v>
      </c>
      <c r="W117" s="73">
        <f t="shared" si="42"/>
        <v>23.298500000000001</v>
      </c>
      <c r="X117" s="73">
        <f t="shared" si="43"/>
        <v>1.43E-2</v>
      </c>
      <c r="Y117" s="73">
        <f t="shared" si="44"/>
        <v>23.284200000000002</v>
      </c>
      <c r="Z117" s="74" t="e">
        <f>VLOOKUP(A117,Enforcements!$C$3:$J$57,8,0)</f>
        <v>#N/A</v>
      </c>
      <c r="AA117" s="74" t="e">
        <f>VLOOKUP(A117,Enforcements!$C$3:$J$57,3,0)</f>
        <v>#N/A</v>
      </c>
    </row>
    <row r="118" spans="1:27" s="2" customFormat="1" x14ac:dyDescent="0.25">
      <c r="A118" s="60" t="s">
        <v>411</v>
      </c>
      <c r="B118" s="60">
        <v>4014</v>
      </c>
      <c r="C118" s="60" t="s">
        <v>62</v>
      </c>
      <c r="D118" s="60" t="s">
        <v>79</v>
      </c>
      <c r="E118" s="30">
        <v>42527.746145833335</v>
      </c>
      <c r="F118" s="30">
        <v>42527.750277777777</v>
      </c>
      <c r="G118" s="38">
        <v>5</v>
      </c>
      <c r="H118" s="30" t="s">
        <v>343</v>
      </c>
      <c r="I118" s="30">
        <v>42527.776817129627</v>
      </c>
      <c r="J118" s="60">
        <v>0</v>
      </c>
      <c r="K118" s="60" t="str">
        <f t="shared" si="46"/>
        <v>4013/4014</v>
      </c>
      <c r="L118" s="60" t="str">
        <f>VLOOKUP(A118,'Trips&amp;Operators'!$C$1:$E$9999,3,FALSE)</f>
        <v>REBOLETTI</v>
      </c>
      <c r="M118" s="12">
        <f t="shared" si="47"/>
        <v>2.6539351849351078E-2</v>
      </c>
      <c r="N118" s="13">
        <f t="shared" si="48"/>
        <v>38.216666663065553</v>
      </c>
      <c r="O118" s="13"/>
      <c r="P118" s="13"/>
      <c r="Q118" s="61"/>
      <c r="R118" s="61"/>
      <c r="T118" s="73" t="str">
        <f t="shared" si="40"/>
        <v>https://search-rtdc-monitor-bjffxe2xuh6vdkpspy63sjmuny.us-east-1.es.amazonaws.com/_plugin/kibana/#/discover/Steve-Slow-Train-Analysis-(2080s-and-2083s)?_g=(refreshInterval:(display:Off,section:0,value:0),time:(from:'2016-06-06 17:53:27-0600',mode:absolute,to:'2016-06-06 18:39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U118" s="73" t="str">
        <f t="shared" si="41"/>
        <v>N</v>
      </c>
      <c r="V118" s="73">
        <f t="shared" si="38"/>
        <v>1</v>
      </c>
      <c r="W118" s="73">
        <f t="shared" si="42"/>
        <v>4.5999999999999999E-2</v>
      </c>
      <c r="X118" s="73">
        <f t="shared" si="43"/>
        <v>23.331800000000001</v>
      </c>
      <c r="Y118" s="73">
        <f t="shared" si="44"/>
        <v>23.285800000000002</v>
      </c>
      <c r="Z118" s="74" t="e">
        <f>VLOOKUP(A118,Enforcements!$C$3:$J$57,8,0)</f>
        <v>#N/A</v>
      </c>
      <c r="AA118" s="74" t="e">
        <f>VLOOKUP(A118,Enforcements!$C$3:$J$57,3,0)</f>
        <v>#N/A</v>
      </c>
    </row>
    <row r="119" spans="1:27" s="2" customFormat="1" x14ac:dyDescent="0.25">
      <c r="A119" s="60" t="s">
        <v>412</v>
      </c>
      <c r="B119" s="60">
        <v>4013</v>
      </c>
      <c r="C119" s="60" t="s">
        <v>62</v>
      </c>
      <c r="D119" s="60" t="s">
        <v>152</v>
      </c>
      <c r="E119" s="30">
        <v>42527.783414351848</v>
      </c>
      <c r="F119" s="30">
        <v>42527.784780092596</v>
      </c>
      <c r="G119" s="38">
        <v>1</v>
      </c>
      <c r="H119" s="30" t="s">
        <v>155</v>
      </c>
      <c r="I119" s="30">
        <v>42527.816018518519</v>
      </c>
      <c r="J119" s="60">
        <v>0</v>
      </c>
      <c r="K119" s="60" t="str">
        <f t="shared" si="46"/>
        <v>4013/4014</v>
      </c>
      <c r="L119" s="60" t="str">
        <f>VLOOKUP(A119,'Trips&amp;Operators'!$C$1:$E$9999,3,FALSE)</f>
        <v>REBOLETTI</v>
      </c>
      <c r="M119" s="12">
        <f t="shared" si="47"/>
        <v>3.1238425923220348E-2</v>
      </c>
      <c r="N119" s="13">
        <f t="shared" si="48"/>
        <v>44.983333329437301</v>
      </c>
      <c r="O119" s="13"/>
      <c r="P119" s="13"/>
      <c r="Q119" s="61"/>
      <c r="R119" s="61"/>
      <c r="T119" s="73" t="str">
        <f t="shared" si="40"/>
        <v>https://search-rtdc-monitor-bjffxe2xuh6vdkpspy63sjmuny.us-east-1.es.amazonaws.com/_plugin/kibana/#/discover/Steve-Slow-Train-Analysis-(2080s-and-2083s)?_g=(refreshInterval:(display:Off,section:0,value:0),time:(from:'2016-06-06 18:47:07-0600',mode:absolute,to:'2016-06-06 19:36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U119" s="73" t="str">
        <f t="shared" si="41"/>
        <v>N</v>
      </c>
      <c r="V119" s="73">
        <f t="shared" si="38"/>
        <v>1</v>
      </c>
      <c r="W119" s="73">
        <f t="shared" si="42"/>
        <v>23.297999999999998</v>
      </c>
      <c r="X119" s="73">
        <f t="shared" si="43"/>
        <v>1.6899999999999998E-2</v>
      </c>
      <c r="Y119" s="73">
        <f t="shared" si="44"/>
        <v>23.281099999999999</v>
      </c>
      <c r="Z119" s="74" t="e">
        <f>VLOOKUP(A119,Enforcements!$C$3:$J$57,8,0)</f>
        <v>#N/A</v>
      </c>
      <c r="AA119" s="74" t="e">
        <f>VLOOKUP(A119,Enforcements!$C$3:$J$57,3,0)</f>
        <v>#N/A</v>
      </c>
    </row>
    <row r="120" spans="1:27" s="2" customFormat="1" x14ac:dyDescent="0.25">
      <c r="A120" s="60" t="s">
        <v>413</v>
      </c>
      <c r="B120" s="60">
        <v>4044</v>
      </c>
      <c r="C120" s="60" t="s">
        <v>62</v>
      </c>
      <c r="D120" s="60" t="s">
        <v>79</v>
      </c>
      <c r="E120" s="30">
        <v>42527.757395833331</v>
      </c>
      <c r="F120" s="30">
        <v>42527.758703703701</v>
      </c>
      <c r="G120" s="38">
        <v>1</v>
      </c>
      <c r="H120" s="30" t="s">
        <v>116</v>
      </c>
      <c r="I120" s="30">
        <v>42527.787870370368</v>
      </c>
      <c r="J120" s="60">
        <v>0</v>
      </c>
      <c r="K120" s="60" t="str">
        <f t="shared" si="46"/>
        <v>4043/4044</v>
      </c>
      <c r="L120" s="60" t="str">
        <f>VLOOKUP(A120,'Trips&amp;Operators'!$C$1:$E$9999,3,FALSE)</f>
        <v>HONTZ</v>
      </c>
      <c r="M120" s="12">
        <f t="shared" si="47"/>
        <v>2.9166666667151731E-2</v>
      </c>
      <c r="N120" s="13">
        <f t="shared" si="48"/>
        <v>42.000000000698492</v>
      </c>
      <c r="O120" s="13"/>
      <c r="P120" s="13"/>
      <c r="Q120" s="61"/>
      <c r="R120" s="61"/>
      <c r="T120" s="73" t="str">
        <f t="shared" si="40"/>
        <v>https://search-rtdc-monitor-bjffxe2xuh6vdkpspy63sjmuny.us-east-1.es.amazonaws.com/_plugin/kibana/#/discover/Steve-Slow-Train-Analysis-(2080s-and-2083s)?_g=(refreshInterval:(display:Off,section:0,value:0),time:(from:'2016-06-06 18:09:39-0600',mode:absolute,to:'2016-06-06 18:55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120" s="73" t="str">
        <f t="shared" si="41"/>
        <v>N</v>
      </c>
      <c r="V120" s="73">
        <f t="shared" si="38"/>
        <v>1</v>
      </c>
      <c r="W120" s="73">
        <f t="shared" si="42"/>
        <v>4.5999999999999999E-2</v>
      </c>
      <c r="X120" s="73">
        <f t="shared" si="43"/>
        <v>23.3308</v>
      </c>
      <c r="Y120" s="73">
        <f t="shared" si="44"/>
        <v>23.284800000000001</v>
      </c>
      <c r="Z120" s="74" t="e">
        <f>VLOOKUP(A120,Enforcements!$C$3:$J$57,8,0)</f>
        <v>#N/A</v>
      </c>
      <c r="AA120" s="74" t="e">
        <f>VLOOKUP(A120,Enforcements!$C$3:$J$57,3,0)</f>
        <v>#N/A</v>
      </c>
    </row>
    <row r="121" spans="1:27" s="2" customFormat="1" x14ac:dyDescent="0.25">
      <c r="A121" s="60" t="s">
        <v>414</v>
      </c>
      <c r="B121" s="60">
        <v>4043</v>
      </c>
      <c r="C121" s="60" t="s">
        <v>62</v>
      </c>
      <c r="D121" s="60" t="s">
        <v>77</v>
      </c>
      <c r="E121" s="30">
        <v>42527.791863425926</v>
      </c>
      <c r="F121" s="30">
        <v>42527.792766203704</v>
      </c>
      <c r="G121" s="38">
        <v>1</v>
      </c>
      <c r="H121" s="30" t="s">
        <v>78</v>
      </c>
      <c r="I121" s="30">
        <v>42527.826793981483</v>
      </c>
      <c r="J121" s="60">
        <v>0</v>
      </c>
      <c r="K121" s="60" t="str">
        <f t="shared" ref="K121:K147" si="49">IF(ISEVEN(B121),(B121-1)&amp;"/"&amp;B121,B121&amp;"/"&amp;(B121+1))</f>
        <v>4043/4044</v>
      </c>
      <c r="L121" s="60" t="str">
        <f>VLOOKUP(A121,'Trips&amp;Operators'!$C$1:$E$9999,3,FALSE)</f>
        <v>HONTZ</v>
      </c>
      <c r="M121" s="12">
        <f t="shared" ref="M121:M147" si="50">I121-F121</f>
        <v>3.4027777779556345E-2</v>
      </c>
      <c r="N121" s="13">
        <f t="shared" si="48"/>
        <v>49.000000002561137</v>
      </c>
      <c r="O121" s="13"/>
      <c r="P121" s="13"/>
      <c r="Q121" s="61"/>
      <c r="R121" s="61"/>
      <c r="T121" s="73" t="str">
        <f t="shared" si="40"/>
        <v>https://search-rtdc-monitor-bjffxe2xuh6vdkpspy63sjmuny.us-east-1.es.amazonaws.com/_plugin/kibana/#/discover/Steve-Slow-Train-Analysis-(2080s-and-2083s)?_g=(refreshInterval:(display:Off,section:0,value:0),time:(from:'2016-06-06 18:59:17-0600',mode:absolute,to:'2016-06-06 19:51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121" s="73" t="str">
        <f t="shared" si="41"/>
        <v>N</v>
      </c>
      <c r="V121" s="73">
        <f t="shared" si="38"/>
        <v>1</v>
      </c>
      <c r="W121" s="73">
        <f t="shared" si="42"/>
        <v>23.299600000000002</v>
      </c>
      <c r="X121" s="73">
        <f t="shared" si="43"/>
        <v>1.6E-2</v>
      </c>
      <c r="Y121" s="73">
        <f t="shared" si="44"/>
        <v>23.283600000000003</v>
      </c>
      <c r="Z121" s="74" t="e">
        <f>VLOOKUP(A121,Enforcements!$C$3:$J$57,8,0)</f>
        <v>#N/A</v>
      </c>
      <c r="AA121" s="74" t="e">
        <f>VLOOKUP(A121,Enforcements!$C$3:$J$57,3,0)</f>
        <v>#N/A</v>
      </c>
    </row>
    <row r="122" spans="1:27" s="2" customFormat="1" x14ac:dyDescent="0.25">
      <c r="A122" s="60" t="s">
        <v>415</v>
      </c>
      <c r="B122" s="60">
        <v>4040</v>
      </c>
      <c r="C122" s="60" t="s">
        <v>62</v>
      </c>
      <c r="D122" s="60" t="s">
        <v>147</v>
      </c>
      <c r="E122" s="30">
        <v>42527.770601851851</v>
      </c>
      <c r="F122" s="30">
        <v>42527.771689814814</v>
      </c>
      <c r="G122" s="38">
        <v>1</v>
      </c>
      <c r="H122" s="30" t="s">
        <v>111</v>
      </c>
      <c r="I122" s="30">
        <v>42527.803032407406</v>
      </c>
      <c r="J122" s="60">
        <v>0</v>
      </c>
      <c r="K122" s="60" t="str">
        <f t="shared" si="49"/>
        <v>4039/4040</v>
      </c>
      <c r="L122" s="60" t="str">
        <f>VLOOKUP(A122,'Trips&amp;Operators'!$C$1:$E$9999,3,FALSE)</f>
        <v>BARTLETT</v>
      </c>
      <c r="M122" s="12">
        <f t="shared" si="50"/>
        <v>3.1342592592409346E-2</v>
      </c>
      <c r="N122" s="13">
        <f t="shared" si="48"/>
        <v>45.133333333069459</v>
      </c>
      <c r="O122" s="13"/>
      <c r="P122" s="13"/>
      <c r="Q122" s="61"/>
      <c r="R122" s="61"/>
      <c r="T122" s="73" t="str">
        <f t="shared" si="40"/>
        <v>https://search-rtdc-monitor-bjffxe2xuh6vdkpspy63sjmuny.us-east-1.es.amazonaws.com/_plugin/kibana/#/discover/Steve-Slow-Train-Analysis-(2080s-and-2083s)?_g=(refreshInterval:(display:Off,section:0,value:0),time:(from:'2016-06-06 18:28:40-0600',mode:absolute,to:'2016-06-06 19:17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122" s="73" t="str">
        <f t="shared" si="41"/>
        <v>N</v>
      </c>
      <c r="V122" s="73">
        <f t="shared" si="38"/>
        <v>1</v>
      </c>
      <c r="W122" s="73">
        <f t="shared" si="42"/>
        <v>4.9700000000000001E-2</v>
      </c>
      <c r="X122" s="73">
        <f t="shared" si="43"/>
        <v>23.3291</v>
      </c>
      <c r="Y122" s="73">
        <f t="shared" si="44"/>
        <v>23.279399999999999</v>
      </c>
      <c r="Z122" s="74" t="e">
        <f>VLOOKUP(A122,Enforcements!$C$3:$J$57,8,0)</f>
        <v>#N/A</v>
      </c>
      <c r="AA122" s="74" t="e">
        <f>VLOOKUP(A122,Enforcements!$C$3:$J$57,3,0)</f>
        <v>#N/A</v>
      </c>
    </row>
    <row r="123" spans="1:27" s="2" customFormat="1" x14ac:dyDescent="0.25">
      <c r="A123" s="60" t="s">
        <v>416</v>
      </c>
      <c r="B123" s="60">
        <v>4039</v>
      </c>
      <c r="C123" s="60" t="s">
        <v>62</v>
      </c>
      <c r="D123" s="60" t="s">
        <v>128</v>
      </c>
      <c r="E123" s="30">
        <v>42527.806215277778</v>
      </c>
      <c r="F123" s="30">
        <v>42527.808483796296</v>
      </c>
      <c r="G123" s="38">
        <v>3</v>
      </c>
      <c r="H123" s="30" t="s">
        <v>86</v>
      </c>
      <c r="I123" s="30">
        <v>42527.839155092595</v>
      </c>
      <c r="J123" s="60">
        <v>0</v>
      </c>
      <c r="K123" s="60" t="str">
        <f t="shared" si="49"/>
        <v>4039/4040</v>
      </c>
      <c r="L123" s="60" t="str">
        <f>VLOOKUP(A123,'Trips&amp;Operators'!$C$1:$E$9999,3,FALSE)</f>
        <v>BARTLETT</v>
      </c>
      <c r="M123" s="12">
        <f t="shared" si="50"/>
        <v>3.0671296299260575E-2</v>
      </c>
      <c r="N123" s="13">
        <f t="shared" si="48"/>
        <v>44.166666670935228</v>
      </c>
      <c r="O123" s="13"/>
      <c r="P123" s="13"/>
      <c r="Q123" s="61"/>
      <c r="R123" s="61"/>
      <c r="T123" s="73" t="str">
        <f t="shared" si="40"/>
        <v>https://search-rtdc-monitor-bjffxe2xuh6vdkpspy63sjmuny.us-east-1.es.amazonaws.com/_plugin/kibana/#/discover/Steve-Slow-Train-Analysis-(2080s-and-2083s)?_g=(refreshInterval:(display:Off,section:0,value:0),time:(from:'2016-06-06 19:19:57-0600',mode:absolute,to:'2016-06-06 20:09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123" s="73" t="str">
        <f t="shared" si="41"/>
        <v>N</v>
      </c>
      <c r="V123" s="73">
        <f t="shared" si="38"/>
        <v>1</v>
      </c>
      <c r="W123" s="73">
        <f t="shared" si="42"/>
        <v>23.295300000000001</v>
      </c>
      <c r="X123" s="73">
        <f t="shared" si="43"/>
        <v>1.43E-2</v>
      </c>
      <c r="Y123" s="73">
        <f t="shared" si="44"/>
        <v>23.281000000000002</v>
      </c>
      <c r="Z123" s="74" t="e">
        <f>VLOOKUP(A123,Enforcements!$C$3:$J$57,8,0)</f>
        <v>#N/A</v>
      </c>
      <c r="AA123" s="74" t="e">
        <f>VLOOKUP(A123,Enforcements!$C$3:$J$57,3,0)</f>
        <v>#N/A</v>
      </c>
    </row>
    <row r="124" spans="1:27" s="2" customFormat="1" x14ac:dyDescent="0.25">
      <c r="A124" s="60" t="s">
        <v>251</v>
      </c>
      <c r="B124" s="60">
        <v>4018</v>
      </c>
      <c r="C124" s="60" t="s">
        <v>62</v>
      </c>
      <c r="D124" s="60" t="s">
        <v>113</v>
      </c>
      <c r="E124" s="30">
        <v>42527.790046296293</v>
      </c>
      <c r="F124" s="30">
        <v>42527.790844907409</v>
      </c>
      <c r="G124" s="38">
        <v>1</v>
      </c>
      <c r="H124" s="30" t="s">
        <v>142</v>
      </c>
      <c r="I124" s="30">
        <v>42527.820648148147</v>
      </c>
      <c r="J124" s="60">
        <v>1</v>
      </c>
      <c r="K124" s="60" t="str">
        <f t="shared" si="49"/>
        <v>4017/4018</v>
      </c>
      <c r="L124" s="60" t="str">
        <f>VLOOKUP(A124,'Trips&amp;Operators'!$C$1:$E$9999,3,FALSE)</f>
        <v>YOUNG</v>
      </c>
      <c r="M124" s="12">
        <f t="shared" si="50"/>
        <v>2.9803240737237502E-2</v>
      </c>
      <c r="N124" s="13">
        <f t="shared" si="48"/>
        <v>42.916666661622003</v>
      </c>
      <c r="O124" s="13"/>
      <c r="P124" s="13"/>
      <c r="Q124" s="61"/>
      <c r="R124" s="61"/>
      <c r="T124" s="73" t="str">
        <f t="shared" si="40"/>
        <v>https://search-rtdc-monitor-bjffxe2xuh6vdkpspy63sjmuny.us-east-1.es.amazonaws.com/_plugin/kibana/#/discover/Steve-Slow-Train-Analysis-(2080s-and-2083s)?_g=(refreshInterval:(display:Off,section:0,value:0),time:(from:'2016-06-06 18:56:40-0600',mode:absolute,to:'2016-06-06 19:42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U124" s="73" t="str">
        <f t="shared" si="41"/>
        <v>N</v>
      </c>
      <c r="V124" s="73">
        <f t="shared" si="38"/>
        <v>1</v>
      </c>
      <c r="W124" s="73">
        <f t="shared" si="42"/>
        <v>4.6899999999999997E-2</v>
      </c>
      <c r="X124" s="73">
        <f t="shared" si="43"/>
        <v>23.3325</v>
      </c>
      <c r="Y124" s="73">
        <f t="shared" si="44"/>
        <v>23.285599999999999</v>
      </c>
      <c r="Z124" s="74">
        <f>VLOOKUP(A124,Enforcements!$C$3:$J$57,8,0)</f>
        <v>233491</v>
      </c>
      <c r="AA124" s="74" t="str">
        <f>VLOOKUP(A124,Enforcements!$C$3:$J$57,3,0)</f>
        <v>TRACK WARRANT AUTHORITY</v>
      </c>
    </row>
    <row r="125" spans="1:27" s="2" customFormat="1" x14ac:dyDescent="0.25">
      <c r="A125" s="60" t="s">
        <v>417</v>
      </c>
      <c r="B125" s="60">
        <v>4017</v>
      </c>
      <c r="C125" s="60" t="s">
        <v>62</v>
      </c>
      <c r="D125" s="60" t="s">
        <v>146</v>
      </c>
      <c r="E125" s="30">
        <v>42527.825879629629</v>
      </c>
      <c r="F125" s="30">
        <v>42527.82671296296</v>
      </c>
      <c r="G125" s="38">
        <v>1</v>
      </c>
      <c r="H125" s="30" t="s">
        <v>97</v>
      </c>
      <c r="I125" s="30">
        <v>42527.859363425923</v>
      </c>
      <c r="J125" s="60">
        <v>0</v>
      </c>
      <c r="K125" s="60" t="str">
        <f t="shared" si="49"/>
        <v>4017/4018</v>
      </c>
      <c r="L125" s="60" t="str">
        <f>VLOOKUP(A125,'Trips&amp;Operators'!$C$1:$E$9999,3,FALSE)</f>
        <v>YOUNG</v>
      </c>
      <c r="M125" s="12">
        <f t="shared" si="50"/>
        <v>3.2650462962919846E-2</v>
      </c>
      <c r="N125" s="13">
        <f t="shared" si="48"/>
        <v>47.016666666604578</v>
      </c>
      <c r="O125" s="13"/>
      <c r="P125" s="13"/>
      <c r="Q125" s="61"/>
      <c r="R125" s="61"/>
      <c r="T125" s="73" t="str">
        <f t="shared" si="40"/>
        <v>https://search-rtdc-monitor-bjffxe2xuh6vdkpspy63sjmuny.us-east-1.es.amazonaws.com/_plugin/kibana/#/discover/Steve-Slow-Train-Analysis-(2080s-and-2083s)?_g=(refreshInterval:(display:Off,section:0,value:0),time:(from:'2016-06-06 19:48:16-0600',mode:absolute,to:'2016-06-06 20:38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U125" s="73" t="str">
        <f t="shared" si="41"/>
        <v>N</v>
      </c>
      <c r="V125" s="73">
        <f t="shared" si="38"/>
        <v>1</v>
      </c>
      <c r="W125" s="73">
        <f t="shared" si="42"/>
        <v>23.299800000000001</v>
      </c>
      <c r="X125" s="73">
        <f t="shared" si="43"/>
        <v>1.49E-2</v>
      </c>
      <c r="Y125" s="73">
        <f t="shared" si="44"/>
        <v>23.2849</v>
      </c>
      <c r="Z125" s="74" t="e">
        <f>VLOOKUP(A125,Enforcements!$C$3:$J$57,8,0)</f>
        <v>#N/A</v>
      </c>
      <c r="AA125" s="74" t="e">
        <f>VLOOKUP(A125,Enforcements!$C$3:$J$57,3,0)</f>
        <v>#N/A</v>
      </c>
    </row>
    <row r="126" spans="1:27" s="2" customFormat="1" x14ac:dyDescent="0.25">
      <c r="A126" s="60" t="s">
        <v>252</v>
      </c>
      <c r="B126" s="60">
        <v>4025</v>
      </c>
      <c r="C126" s="60" t="s">
        <v>62</v>
      </c>
      <c r="D126" s="60" t="s">
        <v>143</v>
      </c>
      <c r="E126" s="30">
        <v>42527.811539351853</v>
      </c>
      <c r="F126" s="30">
        <v>42527.812800925924</v>
      </c>
      <c r="G126" s="38">
        <v>1</v>
      </c>
      <c r="H126" s="30" t="s">
        <v>148</v>
      </c>
      <c r="I126" s="30">
        <v>42527.838275462964</v>
      </c>
      <c r="J126" s="60">
        <v>1</v>
      </c>
      <c r="K126" s="60" t="str">
        <f t="shared" si="49"/>
        <v>4025/4026</v>
      </c>
      <c r="L126" s="60" t="str">
        <f>VLOOKUP(A126,'Trips&amp;Operators'!$C$1:$E$9999,3,FALSE)</f>
        <v>CHANDLER</v>
      </c>
      <c r="M126" s="12">
        <f t="shared" si="50"/>
        <v>2.5474537040281575E-2</v>
      </c>
      <c r="N126" s="13">
        <f t="shared" si="48"/>
        <v>36.683333338005468</v>
      </c>
      <c r="O126" s="13"/>
      <c r="P126" s="13"/>
      <c r="Q126" s="61"/>
      <c r="R126" s="61"/>
      <c r="T126" s="73" t="str">
        <f t="shared" si="40"/>
        <v>https://search-rtdc-monitor-bjffxe2xuh6vdkpspy63sjmuny.us-east-1.es.amazonaws.com/_plugin/kibana/#/discover/Steve-Slow-Train-Analysis-(2080s-and-2083s)?_g=(refreshInterval:(display:Off,section:0,value:0),time:(from:'2016-06-06 19:27:37-0600',mode:absolute,to:'2016-06-06 20:08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U126" s="73" t="str">
        <f t="shared" si="41"/>
        <v>N</v>
      </c>
      <c r="V126" s="73">
        <f t="shared" si="38"/>
        <v>1</v>
      </c>
      <c r="W126" s="73">
        <f t="shared" si="42"/>
        <v>4.7100000000000003E-2</v>
      </c>
      <c r="X126" s="73">
        <f t="shared" si="43"/>
        <v>23.329799999999999</v>
      </c>
      <c r="Y126" s="73">
        <f t="shared" si="44"/>
        <v>23.282699999999998</v>
      </c>
      <c r="Z126" s="74">
        <f>VLOOKUP(A126,Enforcements!$C$3:$J$57,8,0)</f>
        <v>233491</v>
      </c>
      <c r="AA126" s="74" t="str">
        <f>VLOOKUP(A126,Enforcements!$C$3:$J$57,3,0)</f>
        <v>TRACK WARRANT AUTHORITY</v>
      </c>
    </row>
    <row r="127" spans="1:27" s="2" customFormat="1" x14ac:dyDescent="0.25">
      <c r="A127" s="60" t="s">
        <v>254</v>
      </c>
      <c r="B127" s="60">
        <v>4026</v>
      </c>
      <c r="C127" s="60" t="s">
        <v>62</v>
      </c>
      <c r="D127" s="60" t="s">
        <v>121</v>
      </c>
      <c r="E127" s="30">
        <v>42527.84883101852</v>
      </c>
      <c r="F127" s="30">
        <v>42527.84983796296</v>
      </c>
      <c r="G127" s="38">
        <v>1</v>
      </c>
      <c r="H127" s="30" t="s">
        <v>120</v>
      </c>
      <c r="I127" s="30">
        <v>42527.878032407411</v>
      </c>
      <c r="J127" s="60">
        <v>1</v>
      </c>
      <c r="K127" s="60" t="str">
        <f t="shared" si="49"/>
        <v>4025/4026</v>
      </c>
      <c r="L127" s="60" t="str">
        <f>VLOOKUP(A127,'Trips&amp;Operators'!$C$1:$E$9999,3,FALSE)</f>
        <v>CHANDLER</v>
      </c>
      <c r="M127" s="12">
        <f t="shared" si="50"/>
        <v>2.8194444450491574E-2</v>
      </c>
      <c r="N127" s="13">
        <f t="shared" si="48"/>
        <v>40.600000008707866</v>
      </c>
      <c r="O127" s="13"/>
      <c r="P127" s="13"/>
      <c r="Q127" s="61"/>
      <c r="R127" s="61"/>
      <c r="T127" s="73" t="str">
        <f t="shared" si="40"/>
        <v>https://search-rtdc-monitor-bjffxe2xuh6vdkpspy63sjmuny.us-east-1.es.amazonaws.com/_plugin/kibana/#/discover/Steve-Slow-Train-Analysis-(2080s-and-2083s)?_g=(refreshInterval:(display:Off,section:0,value:0),time:(from:'2016-06-06 20:21:19-0600',mode:absolute,to:'2016-06-06 21:05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U127" s="73" t="str">
        <f t="shared" si="41"/>
        <v>N</v>
      </c>
      <c r="V127" s="73">
        <f t="shared" si="38"/>
        <v>1</v>
      </c>
      <c r="W127" s="73">
        <f t="shared" si="42"/>
        <v>23.2989</v>
      </c>
      <c r="X127" s="73">
        <f t="shared" si="43"/>
        <v>1.6500000000000001E-2</v>
      </c>
      <c r="Y127" s="73">
        <f t="shared" si="44"/>
        <v>23.282399999999999</v>
      </c>
      <c r="Z127" s="74">
        <f>VLOOKUP(A127,Enforcements!$C$3:$J$57,8,0)</f>
        <v>1</v>
      </c>
      <c r="AA127" s="74" t="str">
        <f>VLOOKUP(A127,Enforcements!$C$3:$J$57,3,0)</f>
        <v>TRACK WARRANT AUTHORITY</v>
      </c>
    </row>
    <row r="128" spans="1:27" s="2" customFormat="1" x14ac:dyDescent="0.25">
      <c r="A128" s="60" t="s">
        <v>253</v>
      </c>
      <c r="B128" s="60">
        <v>4011</v>
      </c>
      <c r="C128" s="60" t="s">
        <v>62</v>
      </c>
      <c r="D128" s="60" t="s">
        <v>418</v>
      </c>
      <c r="E128" s="30">
        <v>42527.83084490741</v>
      </c>
      <c r="F128" s="30">
        <v>42527.831967592596</v>
      </c>
      <c r="G128" s="38">
        <v>1</v>
      </c>
      <c r="H128" s="30" t="s">
        <v>164</v>
      </c>
      <c r="I128" s="30">
        <v>42527.858055555553</v>
      </c>
      <c r="J128" s="60">
        <v>1</v>
      </c>
      <c r="K128" s="60" t="str">
        <f t="shared" si="49"/>
        <v>4011/4012</v>
      </c>
      <c r="L128" s="60" t="str">
        <f>VLOOKUP(A128,'Trips&amp;Operators'!$C$1:$E$9999,3,FALSE)</f>
        <v>HONTZ</v>
      </c>
      <c r="M128" s="12">
        <f t="shared" si="50"/>
        <v>2.6087962956808042E-2</v>
      </c>
      <c r="N128" s="13">
        <f t="shared" si="48"/>
        <v>37.56666665780358</v>
      </c>
      <c r="O128" s="13"/>
      <c r="P128" s="13"/>
      <c r="Q128" s="61"/>
      <c r="R128" s="61"/>
      <c r="T128" s="73" t="str">
        <f t="shared" si="40"/>
        <v>https://search-rtdc-monitor-bjffxe2xuh6vdkpspy63sjmuny.us-east-1.es.amazonaws.com/_plugin/kibana/#/discover/Steve-Slow-Train-Analysis-(2080s-and-2083s)?_g=(refreshInterval:(display:Off,section:0,value:0),time:(from:'2016-06-06 19:55:25-0600',mode:absolute,to:'2016-06-06 20:36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128" s="73" t="str">
        <f t="shared" si="41"/>
        <v>N</v>
      </c>
      <c r="V128" s="73">
        <f t="shared" si="38"/>
        <v>1</v>
      </c>
      <c r="W128" s="73">
        <f t="shared" si="42"/>
        <v>0.1158</v>
      </c>
      <c r="X128" s="73">
        <f t="shared" si="43"/>
        <v>23.33</v>
      </c>
      <c r="Y128" s="73">
        <f t="shared" si="44"/>
        <v>23.214199999999998</v>
      </c>
      <c r="Z128" s="74">
        <f>VLOOKUP(A128,Enforcements!$C$3:$J$57,8,0)</f>
        <v>233491</v>
      </c>
      <c r="AA128" s="74" t="str">
        <f>VLOOKUP(A128,Enforcements!$C$3:$J$57,3,0)</f>
        <v>TRACK WARRANT AUTHORITY</v>
      </c>
    </row>
    <row r="129" spans="1:27" s="2" customFormat="1" x14ac:dyDescent="0.25">
      <c r="A129" s="60" t="s">
        <v>419</v>
      </c>
      <c r="B129" s="60">
        <v>4012</v>
      </c>
      <c r="C129" s="60" t="s">
        <v>62</v>
      </c>
      <c r="D129" s="60" t="s">
        <v>352</v>
      </c>
      <c r="E129" s="30">
        <v>42527.860162037039</v>
      </c>
      <c r="F129" s="30">
        <v>42527.861574074072</v>
      </c>
      <c r="G129" s="38">
        <v>2</v>
      </c>
      <c r="H129" s="30" t="s">
        <v>78</v>
      </c>
      <c r="I129" s="30">
        <v>42527.898020833331</v>
      </c>
      <c r="J129" s="60">
        <v>0</v>
      </c>
      <c r="K129" s="60" t="str">
        <f t="shared" si="49"/>
        <v>4011/4012</v>
      </c>
      <c r="L129" s="60" t="str">
        <f>VLOOKUP(A129,'Trips&amp;Operators'!$C$1:$E$9999,3,FALSE)</f>
        <v>HONTZ</v>
      </c>
      <c r="M129" s="12">
        <f t="shared" si="50"/>
        <v>3.6446759258979E-2</v>
      </c>
      <c r="N129" s="13">
        <f t="shared" si="48"/>
        <v>52.48333333292976</v>
      </c>
      <c r="O129" s="13"/>
      <c r="P129" s="13"/>
      <c r="Q129" s="61"/>
      <c r="R129" s="61"/>
      <c r="T129" s="73" t="str">
        <f t="shared" si="40"/>
        <v>https://search-rtdc-monitor-bjffxe2xuh6vdkpspy63sjmuny.us-east-1.es.amazonaws.com/_plugin/kibana/#/discover/Steve-Slow-Train-Analysis-(2080s-and-2083s)?_g=(refreshInterval:(display:Off,section:0,value:0),time:(from:'2016-06-06 20:37:38-0600',mode:absolute,to:'2016-06-06 21:34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129" s="73" t="str">
        <f t="shared" si="41"/>
        <v>N</v>
      </c>
      <c r="V129" s="73">
        <f t="shared" si="38"/>
        <v>1</v>
      </c>
      <c r="W129" s="73">
        <f t="shared" si="42"/>
        <v>23.297899999999998</v>
      </c>
      <c r="X129" s="73">
        <f t="shared" si="43"/>
        <v>1.6E-2</v>
      </c>
      <c r="Y129" s="73">
        <f t="shared" si="44"/>
        <v>23.2819</v>
      </c>
      <c r="Z129" s="74" t="e">
        <f>VLOOKUP(A129,Enforcements!$C$3:$J$57,8,0)</f>
        <v>#N/A</v>
      </c>
      <c r="AA129" s="74" t="e">
        <f>VLOOKUP(A129,Enforcements!$C$3:$J$57,3,0)</f>
        <v>#N/A</v>
      </c>
    </row>
    <row r="130" spans="1:27" s="2" customFormat="1" x14ac:dyDescent="0.25">
      <c r="A130" s="60" t="s">
        <v>420</v>
      </c>
      <c r="B130" s="60">
        <v>4040</v>
      </c>
      <c r="C130" s="60" t="s">
        <v>62</v>
      </c>
      <c r="D130" s="60" t="s">
        <v>64</v>
      </c>
      <c r="E130" s="30">
        <v>42527.842199074075</v>
      </c>
      <c r="F130" s="30">
        <v>42527.847222222219</v>
      </c>
      <c r="G130" s="38">
        <v>7</v>
      </c>
      <c r="H130" s="30" t="s">
        <v>127</v>
      </c>
      <c r="I130" s="30">
        <v>42527.88009259259</v>
      </c>
      <c r="J130" s="60">
        <v>0</v>
      </c>
      <c r="K130" s="60" t="str">
        <f t="shared" si="49"/>
        <v>4039/4040</v>
      </c>
      <c r="L130" s="60" t="str">
        <f>VLOOKUP(A130,'Trips&amp;Operators'!$C$1:$E$9999,3,FALSE)</f>
        <v>BARTLETT</v>
      </c>
      <c r="M130" s="12">
        <f t="shared" si="50"/>
        <v>3.2870370370801538E-2</v>
      </c>
      <c r="N130" s="13">
        <f t="shared" si="48"/>
        <v>47.333333333954215</v>
      </c>
      <c r="O130" s="13"/>
      <c r="P130" s="13"/>
      <c r="Q130" s="61"/>
      <c r="R130" s="61"/>
      <c r="T130" s="73" t="str">
        <f t="shared" si="40"/>
        <v>https://search-rtdc-monitor-bjffxe2xuh6vdkpspy63sjmuny.us-east-1.es.amazonaws.com/_plugin/kibana/#/discover/Steve-Slow-Train-Analysis-(2080s-and-2083s)?_g=(refreshInterval:(display:Off,section:0,value:0),time:(from:'2016-06-06 20:11:46-0600',mode:absolute,to:'2016-06-06 21:08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130" s="73" t="str">
        <f t="shared" si="41"/>
        <v>N</v>
      </c>
      <c r="V130" s="73">
        <f t="shared" si="38"/>
        <v>1</v>
      </c>
      <c r="W130" s="73">
        <f t="shared" si="42"/>
        <v>4.5499999999999999E-2</v>
      </c>
      <c r="X130" s="73">
        <f t="shared" si="43"/>
        <v>23.327400000000001</v>
      </c>
      <c r="Y130" s="73">
        <f t="shared" si="44"/>
        <v>23.2819</v>
      </c>
      <c r="Z130" s="74" t="e">
        <f>VLOOKUP(A130,Enforcements!$C$3:$J$57,8,0)</f>
        <v>#N/A</v>
      </c>
      <c r="AA130" s="74" t="e">
        <f>VLOOKUP(A130,Enforcements!$C$3:$J$57,3,0)</f>
        <v>#N/A</v>
      </c>
    </row>
    <row r="131" spans="1:27" s="2" customFormat="1" ht="15.75" customHeight="1" x14ac:dyDescent="0.25">
      <c r="A131" s="60" t="s">
        <v>421</v>
      </c>
      <c r="B131" s="60">
        <v>4039</v>
      </c>
      <c r="C131" s="60" t="s">
        <v>62</v>
      </c>
      <c r="D131" s="60" t="s">
        <v>139</v>
      </c>
      <c r="E131" s="30">
        <v>42527.890115740738</v>
      </c>
      <c r="F131" s="30">
        <v>42527.890902777777</v>
      </c>
      <c r="G131" s="38">
        <v>1</v>
      </c>
      <c r="H131" s="30" t="s">
        <v>66</v>
      </c>
      <c r="I131" s="30">
        <v>42527.922303240739</v>
      </c>
      <c r="J131" s="60">
        <v>0</v>
      </c>
      <c r="K131" s="60" t="str">
        <f t="shared" si="49"/>
        <v>4039/4040</v>
      </c>
      <c r="L131" s="60" t="str">
        <f>VLOOKUP(A131,'Trips&amp;Operators'!$C$1:$E$9999,3,FALSE)</f>
        <v>BARTLETT</v>
      </c>
      <c r="M131" s="12">
        <f t="shared" si="50"/>
        <v>3.1400462961755693E-2</v>
      </c>
      <c r="N131" s="13">
        <f t="shared" si="48"/>
        <v>45.216666664928198</v>
      </c>
      <c r="O131" s="13"/>
      <c r="P131" s="13"/>
      <c r="Q131" s="61"/>
      <c r="R131" s="61"/>
      <c r="T131" s="73" t="str">
        <f t="shared" si="40"/>
        <v>https://search-rtdc-monitor-bjffxe2xuh6vdkpspy63sjmuny.us-east-1.es.amazonaws.com/_plugin/kibana/#/discover/Steve-Slow-Train-Analysis-(2080s-and-2083s)?_g=(refreshInterval:(display:Off,section:0,value:0),time:(from:'2016-06-06 21:20:46-0600',mode:absolute,to:'2016-06-06 22:09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131" s="73" t="str">
        <f t="shared" si="41"/>
        <v>N</v>
      </c>
      <c r="V131" s="73">
        <f t="shared" si="38"/>
        <v>1</v>
      </c>
      <c r="W131" s="73">
        <f t="shared" si="42"/>
        <v>23.296600000000002</v>
      </c>
      <c r="X131" s="73">
        <f t="shared" si="43"/>
        <v>1.52E-2</v>
      </c>
      <c r="Y131" s="73">
        <f t="shared" si="44"/>
        <v>23.281400000000001</v>
      </c>
      <c r="Z131" s="74" t="e">
        <f>VLOOKUP(A131,Enforcements!$C$3:$J$57,8,0)</f>
        <v>#N/A</v>
      </c>
      <c r="AA131" s="74" t="e">
        <f>VLOOKUP(A131,Enforcements!$C$3:$J$57,3,0)</f>
        <v>#N/A</v>
      </c>
    </row>
    <row r="132" spans="1:27" s="2" customFormat="1" x14ac:dyDescent="0.25">
      <c r="A132" s="60" t="s">
        <v>422</v>
      </c>
      <c r="B132" s="60">
        <v>4018</v>
      </c>
      <c r="C132" s="60" t="s">
        <v>62</v>
      </c>
      <c r="D132" s="60" t="s">
        <v>356</v>
      </c>
      <c r="E132" s="30">
        <v>42527.861979166664</v>
      </c>
      <c r="F132" s="30">
        <v>42527.86414351852</v>
      </c>
      <c r="G132" s="38">
        <v>3</v>
      </c>
      <c r="H132" s="30" t="s">
        <v>423</v>
      </c>
      <c r="I132" s="30">
        <v>42527.883877314816</v>
      </c>
      <c r="J132" s="60">
        <v>0</v>
      </c>
      <c r="K132" s="60" t="str">
        <f t="shared" si="49"/>
        <v>4017/4018</v>
      </c>
      <c r="L132" s="60" t="str">
        <f>VLOOKUP(A132,'Trips&amp;Operators'!$C$1:$E$9999,3,FALSE)</f>
        <v>YOUNG</v>
      </c>
      <c r="M132" s="12">
        <f t="shared" si="50"/>
        <v>1.9733796296350192E-2</v>
      </c>
      <c r="N132" s="13"/>
      <c r="O132" s="13"/>
      <c r="P132" s="13">
        <f>24*60*SUM($M132:$M132)</f>
        <v>28.416666666744277</v>
      </c>
      <c r="Q132" s="61" t="s">
        <v>205</v>
      </c>
      <c r="R132" s="61" t="s">
        <v>451</v>
      </c>
      <c r="T132" s="73" t="str">
        <f t="shared" si="40"/>
        <v>https://search-rtdc-monitor-bjffxe2xuh6vdkpspy63sjmuny.us-east-1.es.amazonaws.com/_plugin/kibana/#/discover/Steve-Slow-Train-Analysis-(2080s-and-2083s)?_g=(refreshInterval:(display:Off,section:0,value:0),time:(from:'2016-06-06 20:40:15-0600',mode:absolute,to:'2016-06-06 21:13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U132" s="73" t="str">
        <f t="shared" si="41"/>
        <v>Y</v>
      </c>
      <c r="V132" s="73">
        <f t="shared" si="38"/>
        <v>1</v>
      </c>
      <c r="W132" s="73">
        <f t="shared" si="42"/>
        <v>4.4600000000000001E-2</v>
      </c>
      <c r="X132" s="73">
        <f t="shared" si="43"/>
        <v>4.0842999999999998</v>
      </c>
      <c r="Y132" s="73">
        <f t="shared" si="44"/>
        <v>4.0396999999999998</v>
      </c>
      <c r="Z132" s="74" t="e">
        <f>VLOOKUP(A132,Enforcements!$C$3:$J$57,8,0)</f>
        <v>#N/A</v>
      </c>
      <c r="AA132" s="74" t="e">
        <f>VLOOKUP(A132,Enforcements!$C$3:$J$57,3,0)</f>
        <v>#N/A</v>
      </c>
    </row>
    <row r="133" spans="1:27" s="2" customFormat="1" x14ac:dyDescent="0.25">
      <c r="A133" s="60" t="s">
        <v>424</v>
      </c>
      <c r="B133" s="60">
        <v>4017</v>
      </c>
      <c r="C133" s="60" t="s">
        <v>62</v>
      </c>
      <c r="D133" s="60" t="s">
        <v>121</v>
      </c>
      <c r="E133" s="30">
        <v>42527.90697916667</v>
      </c>
      <c r="F133" s="30">
        <v>42527.907754629632</v>
      </c>
      <c r="G133" s="38">
        <v>1</v>
      </c>
      <c r="H133" s="30" t="s">
        <v>63</v>
      </c>
      <c r="I133" s="30">
        <v>42527.94462962963</v>
      </c>
      <c r="J133" s="60">
        <v>0</v>
      </c>
      <c r="K133" s="60" t="str">
        <f t="shared" si="49"/>
        <v>4017/4018</v>
      </c>
      <c r="L133" s="60" t="str">
        <f>VLOOKUP(A133,'Trips&amp;Operators'!$C$1:$E$9999,3,FALSE)</f>
        <v>YOUNG</v>
      </c>
      <c r="M133" s="12">
        <f t="shared" si="50"/>
        <v>3.6874999997962732E-2</v>
      </c>
      <c r="N133" s="13">
        <f>24*60*SUM($M133:$M133)</f>
        <v>53.099999997066334</v>
      </c>
      <c r="O133" s="13"/>
      <c r="P133" s="13"/>
      <c r="Q133" s="61"/>
      <c r="R133" s="61"/>
      <c r="T133" s="73" t="str">
        <f t="shared" si="40"/>
        <v>https://search-rtdc-monitor-bjffxe2xuh6vdkpspy63sjmuny.us-east-1.es.amazonaws.com/_plugin/kibana/#/discover/Steve-Slow-Train-Analysis-(2080s-and-2083s)?_g=(refreshInterval:(display:Off,section:0,value:0),time:(from:'2016-06-06 21:45:03-0600',mode:absolute,to:'2016-06-06 22:41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U133" s="73" t="str">
        <f t="shared" si="41"/>
        <v>N</v>
      </c>
      <c r="V133" s="73">
        <f t="shared" ref="V133:V135" si="51">VALUE(LEFT(A133,3))-VALUE(LEFT(A132,3))</f>
        <v>1</v>
      </c>
      <c r="W133" s="73">
        <f t="shared" si="42"/>
        <v>23.2989</v>
      </c>
      <c r="X133" s="73">
        <f t="shared" si="43"/>
        <v>1.4500000000000001E-2</v>
      </c>
      <c r="Y133" s="73">
        <f t="shared" si="44"/>
        <v>23.284399999999998</v>
      </c>
      <c r="Z133" s="74" t="e">
        <f>VLOOKUP(A133,Enforcements!$C$3:$J$57,8,0)</f>
        <v>#N/A</v>
      </c>
      <c r="AA133" s="74" t="e">
        <f>VLOOKUP(A133,Enforcements!$C$3:$J$57,3,0)</f>
        <v>#N/A</v>
      </c>
    </row>
    <row r="134" spans="1:27" s="2" customFormat="1" x14ac:dyDescent="0.25">
      <c r="A134" s="60" t="s">
        <v>425</v>
      </c>
      <c r="B134" s="60">
        <v>4025</v>
      </c>
      <c r="C134" s="60" t="s">
        <v>62</v>
      </c>
      <c r="D134" s="60" t="s">
        <v>179</v>
      </c>
      <c r="E134" s="30">
        <v>42527.897534722222</v>
      </c>
      <c r="F134" s="30">
        <v>42527.898518518516</v>
      </c>
      <c r="G134" s="38">
        <v>1</v>
      </c>
      <c r="H134" s="30" t="s">
        <v>118</v>
      </c>
      <c r="I134" s="30">
        <v>42527.923460648148</v>
      </c>
      <c r="J134" s="60">
        <v>0</v>
      </c>
      <c r="K134" s="60" t="str">
        <f t="shared" si="49"/>
        <v>4025/4026</v>
      </c>
      <c r="L134" s="60" t="str">
        <f>VLOOKUP(A134,'Trips&amp;Operators'!$C$1:$E$9999,3,FALSE)</f>
        <v>CHANDLER</v>
      </c>
      <c r="M134" s="12">
        <f t="shared" si="50"/>
        <v>2.4942129632108845E-2</v>
      </c>
      <c r="N134" s="13">
        <f>24*60*SUM($M134:$M134)</f>
        <v>35.916666670236737</v>
      </c>
      <c r="O134" s="13"/>
      <c r="P134" s="13"/>
      <c r="Q134" s="61"/>
      <c r="R134" s="61"/>
      <c r="T134" s="73" t="str">
        <f t="shared" si="40"/>
        <v>https://search-rtdc-monitor-bjffxe2xuh6vdkpspy63sjmuny.us-east-1.es.amazonaws.com/_plugin/kibana/#/discover/Steve-Slow-Train-Analysis-(2080s-and-2083s)?_g=(refreshInterval:(display:Off,section:0,value:0),time:(from:'2016-06-06 21:31:27-0600',mode:absolute,to:'2016-06-06 22:10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U134" s="73" t="str">
        <f t="shared" si="41"/>
        <v>N</v>
      </c>
      <c r="V134" s="73" t="e">
        <f>VALUE(LEFT(A134,3))-VALUE(LEFT(#REF!,3))</f>
        <v>#REF!</v>
      </c>
      <c r="W134" s="73">
        <f t="shared" si="42"/>
        <v>4.7800000000000002E-2</v>
      </c>
      <c r="X134" s="73">
        <f t="shared" si="43"/>
        <v>23.330400000000001</v>
      </c>
      <c r="Y134" s="73">
        <f t="shared" si="44"/>
        <v>23.282600000000002</v>
      </c>
      <c r="Z134" s="74" t="e">
        <f>VLOOKUP(A134,Enforcements!$C$3:$J$57,8,0)</f>
        <v>#N/A</v>
      </c>
      <c r="AA134" s="74" t="e">
        <f>VLOOKUP(A134,Enforcements!$C$3:$J$57,3,0)</f>
        <v>#N/A</v>
      </c>
    </row>
    <row r="135" spans="1:27" s="2" customFormat="1" x14ac:dyDescent="0.25">
      <c r="A135" s="60" t="s">
        <v>426</v>
      </c>
      <c r="B135" s="60">
        <v>4026</v>
      </c>
      <c r="C135" s="60" t="s">
        <v>62</v>
      </c>
      <c r="D135" s="60" t="s">
        <v>144</v>
      </c>
      <c r="E135" s="30">
        <v>42527.930601851855</v>
      </c>
      <c r="F135" s="30">
        <v>42527.931493055556</v>
      </c>
      <c r="G135" s="38">
        <v>1</v>
      </c>
      <c r="H135" s="30" t="s">
        <v>427</v>
      </c>
      <c r="I135" s="30">
        <v>42527.987743055557</v>
      </c>
      <c r="J135" s="60">
        <v>0</v>
      </c>
      <c r="K135" s="60" t="str">
        <f t="shared" si="49"/>
        <v>4025/4026</v>
      </c>
      <c r="L135" s="60" t="str">
        <f>VLOOKUP(A135,'Trips&amp;Operators'!$C$1:$E$9999,3,FALSE)</f>
        <v>CHANDLER</v>
      </c>
      <c r="M135" s="12">
        <f t="shared" si="50"/>
        <v>5.6250000001455192E-2</v>
      </c>
      <c r="N135" s="13">
        <f>24*60*SUM($M135:$M135)</f>
        <v>81.000000002095476</v>
      </c>
      <c r="O135" s="13"/>
      <c r="P135" s="13"/>
      <c r="Q135" s="61"/>
      <c r="R135" s="61"/>
      <c r="T135" s="73" t="str">
        <f t="shared" si="40"/>
        <v>https://search-rtdc-monitor-bjffxe2xuh6vdkpspy63sjmuny.us-east-1.es.amazonaws.com/_plugin/kibana/#/discover/Steve-Slow-Train-Analysis-(2080s-and-2083s)?_g=(refreshInterval:(display:Off,section:0,value:0),time:(from:'2016-06-06 22:19:04-0600',mode:absolute,to:'2016-06-06 23:43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U135" s="73" t="str">
        <f t="shared" si="41"/>
        <v>Y</v>
      </c>
      <c r="V135" s="73">
        <f t="shared" si="51"/>
        <v>1</v>
      </c>
      <c r="W135" s="73">
        <f t="shared" si="42"/>
        <v>23.298300000000001</v>
      </c>
      <c r="X135" s="73">
        <f t="shared" si="43"/>
        <v>0.32550000000000001</v>
      </c>
      <c r="Y135" s="73">
        <f t="shared" si="44"/>
        <v>22.972799999999999</v>
      </c>
      <c r="Z135" s="74" t="e">
        <f>VLOOKUP(A135,Enforcements!$C$3:$J$57,8,0)</f>
        <v>#N/A</v>
      </c>
      <c r="AA135" s="74" t="e">
        <f>VLOOKUP(A135,Enforcements!$C$3:$J$57,3,0)</f>
        <v>#N/A</v>
      </c>
    </row>
    <row r="136" spans="1:27" s="2" customFormat="1" x14ac:dyDescent="0.25">
      <c r="A136" s="60" t="s">
        <v>428</v>
      </c>
      <c r="B136" s="60">
        <v>4011</v>
      </c>
      <c r="C136" s="60" t="s">
        <v>62</v>
      </c>
      <c r="D136" s="60" t="s">
        <v>112</v>
      </c>
      <c r="E136" s="30">
        <v>42527.901678240742</v>
      </c>
      <c r="F136" s="30">
        <v>42527.902766203704</v>
      </c>
      <c r="G136" s="38">
        <v>1</v>
      </c>
      <c r="H136" s="30" t="s">
        <v>322</v>
      </c>
      <c r="I136" s="30">
        <v>42527.94121527778</v>
      </c>
      <c r="J136" s="60">
        <v>0</v>
      </c>
      <c r="K136" s="60" t="str">
        <f t="shared" si="49"/>
        <v>4011/4012</v>
      </c>
      <c r="L136" s="60" t="str">
        <f>VLOOKUP(A136,'Trips&amp;Operators'!$C$1:$E$9999,3,FALSE)</f>
        <v>HONTZ</v>
      </c>
      <c r="M136" s="12">
        <f t="shared" si="50"/>
        <v>3.8449074076197576E-2</v>
      </c>
      <c r="N136" s="13">
        <f t="shared" ref="N136:N147" si="52">24*60*SUM($M136:$M136)</f>
        <v>55.366666669724509</v>
      </c>
      <c r="O136" s="13"/>
      <c r="P136" s="13"/>
      <c r="Q136" s="61"/>
      <c r="R136" s="61"/>
      <c r="T136" s="73" t="str">
        <f t="shared" si="40"/>
        <v>https://search-rtdc-monitor-bjffxe2xuh6vdkpspy63sjmuny.us-east-1.es.amazonaws.com/_plugin/kibana/#/discover/Steve-Slow-Train-Analysis-(2080s-and-2083s)?_g=(refreshInterval:(display:Off,section:0,value:0),time:(from:'2016-06-06 21:37:25-0600',mode:absolute,to:'2016-06-06 22:36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136" s="73" t="str">
        <f t="shared" si="41"/>
        <v>N</v>
      </c>
      <c r="V136" s="73" t="e">
        <f>VALUE(LEFT(A136,3))-VALUE(LEFT(#REF!,3))</f>
        <v>#REF!</v>
      </c>
      <c r="W136" s="73">
        <f t="shared" si="42"/>
        <v>4.6699999999999998E-2</v>
      </c>
      <c r="X136" s="73">
        <f t="shared" si="43"/>
        <v>23.330500000000001</v>
      </c>
      <c r="Y136" s="73">
        <f t="shared" si="44"/>
        <v>23.283799999999999</v>
      </c>
      <c r="Z136" s="74" t="e">
        <f>VLOOKUP(A136,Enforcements!$C$3:$J$57,8,0)</f>
        <v>#N/A</v>
      </c>
      <c r="AA136" s="74" t="e">
        <f>VLOOKUP(A136,Enforcements!$C$3:$J$57,3,0)</f>
        <v>#N/A</v>
      </c>
    </row>
    <row r="137" spans="1:27" s="2" customFormat="1" ht="14.25" customHeight="1" x14ac:dyDescent="0.25">
      <c r="A137" s="60" t="s">
        <v>429</v>
      </c>
      <c r="B137" s="60">
        <v>4012</v>
      </c>
      <c r="C137" s="60" t="s">
        <v>62</v>
      </c>
      <c r="D137" s="60" t="s">
        <v>107</v>
      </c>
      <c r="E137" s="30">
        <v>42527.94394675926</v>
      </c>
      <c r="F137" s="30">
        <v>42527.944988425923</v>
      </c>
      <c r="G137" s="38">
        <v>1</v>
      </c>
      <c r="H137" s="30" t="s">
        <v>66</v>
      </c>
      <c r="I137" s="30">
        <v>42527.98778935185</v>
      </c>
      <c r="J137" s="60">
        <v>0</v>
      </c>
      <c r="K137" s="60" t="str">
        <f t="shared" si="49"/>
        <v>4011/4012</v>
      </c>
      <c r="L137" s="60" t="str">
        <f>VLOOKUP(A137,'Trips&amp;Operators'!$C$1:$E$9999,3,FALSE)</f>
        <v>HONTZ</v>
      </c>
      <c r="M137" s="12">
        <f t="shared" si="50"/>
        <v>4.2800925926712807E-2</v>
      </c>
      <c r="N137" s="13">
        <f t="shared" si="52"/>
        <v>61.633333334466442</v>
      </c>
      <c r="O137" s="13"/>
      <c r="P137" s="13"/>
      <c r="Q137" s="61"/>
      <c r="R137" s="61"/>
      <c r="T137" s="73" t="str">
        <f t="shared" si="40"/>
        <v>https://search-rtdc-monitor-bjffxe2xuh6vdkpspy63sjmuny.us-east-1.es.amazonaws.com/_plugin/kibana/#/discover/Steve-Slow-Train-Analysis-(2080s-and-2083s)?_g=(refreshInterval:(display:Off,section:0,value:0),time:(from:'2016-06-06 22:38:17-0600',mode:absolute,to:'2016-06-06 23:43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137" s="73" t="str">
        <f t="shared" si="41"/>
        <v>N</v>
      </c>
      <c r="V137" s="73">
        <f t="shared" ref="V137:V145" si="53">VALUE(LEFT(A137,3))-VALUE(LEFT(A136,3))</f>
        <v>1</v>
      </c>
      <c r="W137" s="73">
        <f t="shared" si="42"/>
        <v>23.297799999999999</v>
      </c>
      <c r="X137" s="73">
        <f t="shared" si="43"/>
        <v>1.52E-2</v>
      </c>
      <c r="Y137" s="73">
        <f t="shared" si="44"/>
        <v>23.282599999999999</v>
      </c>
      <c r="Z137" s="74" t="e">
        <f>VLOOKUP(A137,Enforcements!$C$3:$J$57,8,0)</f>
        <v>#N/A</v>
      </c>
      <c r="AA137" s="74" t="e">
        <f>VLOOKUP(A137,Enforcements!$C$3:$J$57,3,0)</f>
        <v>#N/A</v>
      </c>
    </row>
    <row r="138" spans="1:27" s="2" customFormat="1" ht="14.25" customHeight="1" x14ac:dyDescent="0.25">
      <c r="A138" s="60" t="s">
        <v>430</v>
      </c>
      <c r="B138" s="60">
        <v>4040</v>
      </c>
      <c r="C138" s="60" t="s">
        <v>62</v>
      </c>
      <c r="D138" s="60" t="s">
        <v>190</v>
      </c>
      <c r="E138" s="30">
        <v>42527.928877314815</v>
      </c>
      <c r="F138" s="30">
        <v>42527.930208333331</v>
      </c>
      <c r="G138" s="38">
        <v>1</v>
      </c>
      <c r="H138" s="30" t="s">
        <v>164</v>
      </c>
      <c r="I138" s="30">
        <v>42527.964270833334</v>
      </c>
      <c r="J138" s="60">
        <v>0</v>
      </c>
      <c r="K138" s="60" t="str">
        <f t="shared" si="49"/>
        <v>4039/4040</v>
      </c>
      <c r="L138" s="60" t="str">
        <f>VLOOKUP(A138,'Trips&amp;Operators'!$C$1:$E$9999,3,FALSE)</f>
        <v>BARTLETT</v>
      </c>
      <c r="M138" s="12">
        <f t="shared" si="50"/>
        <v>3.4062500002619345E-2</v>
      </c>
      <c r="N138" s="13">
        <f t="shared" si="52"/>
        <v>49.050000003771856</v>
      </c>
      <c r="O138" s="13"/>
      <c r="P138" s="13"/>
      <c r="Q138" s="61"/>
      <c r="R138" s="61"/>
      <c r="T138" s="73" t="str">
        <f t="shared" si="40"/>
        <v>https://search-rtdc-monitor-bjffxe2xuh6vdkpspy63sjmuny.us-east-1.es.amazonaws.com/_plugin/kibana/#/discover/Steve-Slow-Train-Analysis-(2080s-and-2083s)?_g=(refreshInterval:(display:Off,section:0,value:0),time:(from:'2016-06-06 22:16:35-0600',mode:absolute,to:'2016-06-06 23:09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138" s="73" t="str">
        <f t="shared" si="41"/>
        <v>N</v>
      </c>
      <c r="V138" s="73">
        <f t="shared" si="53"/>
        <v>1</v>
      </c>
      <c r="W138" s="73">
        <f t="shared" si="42"/>
        <v>4.8899999999999999E-2</v>
      </c>
      <c r="X138" s="73">
        <f t="shared" si="43"/>
        <v>23.33</v>
      </c>
      <c r="Y138" s="73">
        <f t="shared" si="44"/>
        <v>23.281099999999999</v>
      </c>
      <c r="Z138" s="74" t="e">
        <f>VLOOKUP(A138,Enforcements!$C$3:$J$57,8,0)</f>
        <v>#N/A</v>
      </c>
      <c r="AA138" s="74" t="e">
        <f>VLOOKUP(A138,Enforcements!$C$3:$J$57,3,0)</f>
        <v>#N/A</v>
      </c>
    </row>
    <row r="139" spans="1:27" s="2" customFormat="1" x14ac:dyDescent="0.25">
      <c r="A139" s="60" t="s">
        <v>431</v>
      </c>
      <c r="B139" s="60">
        <v>4039</v>
      </c>
      <c r="C139" s="60" t="s">
        <v>62</v>
      </c>
      <c r="D139" s="60" t="s">
        <v>169</v>
      </c>
      <c r="E139" s="30">
        <v>42527.970555555556</v>
      </c>
      <c r="F139" s="30">
        <v>42527.971562500003</v>
      </c>
      <c r="G139" s="38">
        <v>1</v>
      </c>
      <c r="H139" s="30" t="s">
        <v>387</v>
      </c>
      <c r="I139" s="30">
        <v>42528.007118055553</v>
      </c>
      <c r="J139" s="60">
        <v>0</v>
      </c>
      <c r="K139" s="60" t="str">
        <f t="shared" si="49"/>
        <v>4039/4040</v>
      </c>
      <c r="L139" s="60" t="str">
        <f>VLOOKUP(A139,'Trips&amp;Operators'!$C$1:$E$9999,3,FALSE)</f>
        <v>BARTLETT</v>
      </c>
      <c r="M139" s="12">
        <f t="shared" si="50"/>
        <v>3.555555555067258E-2</v>
      </c>
      <c r="N139" s="13">
        <f t="shared" si="52"/>
        <v>51.199999992968515</v>
      </c>
      <c r="O139" s="13"/>
      <c r="P139" s="13"/>
      <c r="Q139" s="61"/>
      <c r="R139" s="61"/>
      <c r="T139" s="73" t="str">
        <f t="shared" si="40"/>
        <v>https://search-rtdc-monitor-bjffxe2xuh6vdkpspy63sjmuny.us-east-1.es.amazonaws.com/_plugin/kibana/#/discover/Steve-Slow-Train-Analysis-(2080s-and-2083s)?_g=(refreshInterval:(display:Off,section:0,value:0),time:(from:'2016-06-06 23:16:36-0600',mode:absolute,to:'2016-06-07 00:11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139" s="73" t="str">
        <f t="shared" si="41"/>
        <v>N</v>
      </c>
      <c r="V139" s="73">
        <f t="shared" si="53"/>
        <v>1</v>
      </c>
      <c r="W139" s="73">
        <f t="shared" si="42"/>
        <v>23.297599999999999</v>
      </c>
      <c r="X139" s="73">
        <f t="shared" si="43"/>
        <v>1.6299999999999999E-2</v>
      </c>
      <c r="Y139" s="73">
        <f t="shared" si="44"/>
        <v>23.281299999999998</v>
      </c>
      <c r="Z139" s="74" t="e">
        <f>VLOOKUP(A139,Enforcements!$C$3:$J$57,8,0)</f>
        <v>#N/A</v>
      </c>
      <c r="AA139" s="74" t="e">
        <f>VLOOKUP(A139,Enforcements!$C$3:$J$57,3,0)</f>
        <v>#N/A</v>
      </c>
    </row>
    <row r="140" spans="1:27" s="2" customFormat="1" x14ac:dyDescent="0.25">
      <c r="A140" s="60" t="s">
        <v>255</v>
      </c>
      <c r="B140" s="60">
        <v>4018</v>
      </c>
      <c r="C140" s="60" t="s">
        <v>62</v>
      </c>
      <c r="D140" s="60" t="s">
        <v>130</v>
      </c>
      <c r="E140" s="30">
        <v>42527.94736111111</v>
      </c>
      <c r="F140" s="30">
        <v>42527.948449074072</v>
      </c>
      <c r="G140" s="38">
        <v>1</v>
      </c>
      <c r="H140" s="30" t="s">
        <v>145</v>
      </c>
      <c r="I140" s="30">
        <v>42527.988020833334</v>
      </c>
      <c r="J140" s="60">
        <v>1</v>
      </c>
      <c r="K140" s="60" t="str">
        <f t="shared" si="49"/>
        <v>4017/4018</v>
      </c>
      <c r="L140" s="60" t="str">
        <f>VLOOKUP(A140,'Trips&amp;Operators'!$C$1:$E$9999,3,FALSE)</f>
        <v>YOUNG</v>
      </c>
      <c r="M140" s="12">
        <f t="shared" si="50"/>
        <v>3.9571759261889383E-2</v>
      </c>
      <c r="N140" s="13">
        <f t="shared" si="52"/>
        <v>56.983333337120712</v>
      </c>
      <c r="O140" s="13"/>
      <c r="P140" s="13"/>
      <c r="Q140" s="61"/>
      <c r="R140" s="61"/>
      <c r="T140" s="73" t="str">
        <f t="shared" si="40"/>
        <v>https://search-rtdc-monitor-bjffxe2xuh6vdkpspy63sjmuny.us-east-1.es.amazonaws.com/_plugin/kibana/#/discover/Steve-Slow-Train-Analysis-(2080s-and-2083s)?_g=(refreshInterval:(display:Off,section:0,value:0),time:(from:'2016-06-06 22:43:12-0600',mode:absolute,to:'2016-06-06 23:43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U140" s="73" t="str">
        <f t="shared" si="41"/>
        <v>N</v>
      </c>
      <c r="V140" s="73">
        <f t="shared" si="53"/>
        <v>1</v>
      </c>
      <c r="W140" s="73">
        <f t="shared" si="42"/>
        <v>4.3499999999999997E-2</v>
      </c>
      <c r="X140" s="73">
        <f t="shared" si="43"/>
        <v>23.330100000000002</v>
      </c>
      <c r="Y140" s="73">
        <f t="shared" si="44"/>
        <v>23.2866</v>
      </c>
      <c r="Z140" s="74">
        <f>VLOOKUP(A140,Enforcements!$C$3:$J$57,8,0)</f>
        <v>20338</v>
      </c>
      <c r="AA140" s="74" t="str">
        <f>VLOOKUP(A140,Enforcements!$C$3:$J$57,3,0)</f>
        <v>PERMANENT SPEED RESTRICTION</v>
      </c>
    </row>
    <row r="141" spans="1:27" s="2" customFormat="1" x14ac:dyDescent="0.25">
      <c r="A141" s="60" t="s">
        <v>432</v>
      </c>
      <c r="B141" s="60">
        <v>4017</v>
      </c>
      <c r="C141" s="60" t="s">
        <v>62</v>
      </c>
      <c r="D141" s="60" t="s">
        <v>110</v>
      </c>
      <c r="E141" s="30">
        <v>42527.990532407406</v>
      </c>
      <c r="F141" s="30">
        <v>42527.991388888891</v>
      </c>
      <c r="G141" s="38">
        <v>1</v>
      </c>
      <c r="H141" s="30" t="s">
        <v>96</v>
      </c>
      <c r="I141" s="30">
        <v>42528.029490740744</v>
      </c>
      <c r="J141" s="60">
        <v>0</v>
      </c>
      <c r="K141" s="60" t="str">
        <f t="shared" si="49"/>
        <v>4017/4018</v>
      </c>
      <c r="L141" s="60" t="str">
        <f>VLOOKUP(A141,'Trips&amp;Operators'!$C$1:$E$9999,3,FALSE)</f>
        <v>YOUNG</v>
      </c>
      <c r="M141" s="12">
        <f t="shared" si="50"/>
        <v>3.8101851852843538E-2</v>
      </c>
      <c r="N141" s="13">
        <f t="shared" si="52"/>
        <v>54.866666668094695</v>
      </c>
      <c r="O141" s="13"/>
      <c r="P141" s="13"/>
      <c r="Q141" s="61"/>
      <c r="R141" s="61"/>
      <c r="T141" s="73" t="str">
        <f t="shared" si="40"/>
        <v>https://search-rtdc-monitor-bjffxe2xuh6vdkpspy63sjmuny.us-east-1.es.amazonaws.com/_plugin/kibana/#/discover/Steve-Slow-Train-Analysis-(2080s-and-2083s)?_g=(refreshInterval:(display:Off,section:0,value:0),time:(from:'2016-06-06 23:45:22-0600',mode:absolute,to:'2016-06-07 00:43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U141" s="73" t="str">
        <f t="shared" si="41"/>
        <v>N</v>
      </c>
      <c r="V141" s="73">
        <f t="shared" si="53"/>
        <v>1</v>
      </c>
      <c r="W141" s="73">
        <f t="shared" si="42"/>
        <v>23.2986</v>
      </c>
      <c r="X141" s="73">
        <f t="shared" si="43"/>
        <v>1.5599999999999999E-2</v>
      </c>
      <c r="Y141" s="73">
        <f t="shared" si="44"/>
        <v>23.283000000000001</v>
      </c>
      <c r="Z141" s="74" t="e">
        <f>VLOOKUP(A141,Enforcements!$C$3:$J$57,8,0)</f>
        <v>#N/A</v>
      </c>
      <c r="AA141" s="74" t="e">
        <f>VLOOKUP(A141,Enforcements!$C$3:$J$57,3,0)</f>
        <v>#N/A</v>
      </c>
    </row>
    <row r="142" spans="1:27" s="2" customFormat="1" x14ac:dyDescent="0.25">
      <c r="A142" s="60" t="s">
        <v>256</v>
      </c>
      <c r="B142" s="60">
        <v>4009</v>
      </c>
      <c r="C142" s="60" t="s">
        <v>62</v>
      </c>
      <c r="D142" s="60" t="s">
        <v>104</v>
      </c>
      <c r="E142" s="30">
        <v>42527.963831018518</v>
      </c>
      <c r="F142" s="30">
        <v>42527.965983796297</v>
      </c>
      <c r="G142" s="38">
        <v>3</v>
      </c>
      <c r="H142" s="30" t="s">
        <v>98</v>
      </c>
      <c r="I142" s="30">
        <v>42528.005474537036</v>
      </c>
      <c r="J142" s="60">
        <v>1</v>
      </c>
      <c r="K142" s="60" t="str">
        <f t="shared" si="49"/>
        <v>4009/4010</v>
      </c>
      <c r="L142" s="60" t="str">
        <f>VLOOKUP(A142,'Trips&amp;Operators'!$C$1:$E$9999,3,FALSE)</f>
        <v>NEWELL</v>
      </c>
      <c r="M142" s="12">
        <f t="shared" si="50"/>
        <v>3.9490740738983732E-2</v>
      </c>
      <c r="N142" s="13">
        <f t="shared" si="52"/>
        <v>56.866666664136574</v>
      </c>
      <c r="O142" s="13"/>
      <c r="P142" s="13"/>
      <c r="Q142" s="61"/>
      <c r="R142" s="61"/>
      <c r="T142" s="73" t="str">
        <f t="shared" ref="T142:T144" si="54">"https://search-rtdc-monitor-bjffxe2xuh6vdkpspy63sjmuny.us-east-1.es.amazonaws.com/_plugin/kibana/#/discover/Steve-Slow-Train-Analysis-(2080s-and-2083s)?_g=(refreshInterval:(display:Off,section:0,value:0),time:(from:'"&amp;TEXT(E142-1/24/60,"yyyy-MM-DD hh:mm:ss")&amp;"-0600',mode:absolute,to:'"&amp;TEXT(I142+1/24/60,"yyyy-MM-DD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142&amp;"%22')),sort:!(Time,asc))"</f>
        <v>https://search-rtdc-monitor-bjffxe2xuh6vdkpspy63sjmuny.us-east-1.es.amazonaws.com/_plugin/kibana/#/discover/Steve-Slow-Train-Analysis-(2080s-and-2083s)?_g=(refreshInterval:(display:Off,section:0,value:0),time:(from:'2016-06-06 23:06:55-0600',mode:absolute,to:'2016-06-07 00:08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U142" s="73" t="str">
        <f t="shared" ref="U142:U144" si="55">IF(Y142&lt;23,"Y","N")</f>
        <v>N</v>
      </c>
      <c r="V142" s="73">
        <f t="shared" si="53"/>
        <v>1</v>
      </c>
      <c r="W142" s="73">
        <f t="shared" ref="W142:W144" si="56">RIGHT(D142,LEN(D142)-4)/10000</f>
        <v>4.53E-2</v>
      </c>
      <c r="X142" s="73">
        <f t="shared" ref="X142:X144" si="57">RIGHT(H142,LEN(H142)-4)/10000</f>
        <v>23.329699999999999</v>
      </c>
      <c r="Y142" s="73">
        <f t="shared" ref="Y142:Y144" si="58">ABS(X142-W142)</f>
        <v>23.284399999999998</v>
      </c>
      <c r="Z142" s="74">
        <f>VLOOKUP(A142,Enforcements!$C$3:$J$57,8,0)</f>
        <v>233491</v>
      </c>
      <c r="AA142" s="74" t="str">
        <f>VLOOKUP(A142,Enforcements!$C$3:$J$57,3,0)</f>
        <v>TRACK WARRANT AUTHORITY</v>
      </c>
    </row>
    <row r="143" spans="1:27" s="2" customFormat="1" x14ac:dyDescent="0.25">
      <c r="A143" s="60" t="s">
        <v>257</v>
      </c>
      <c r="B143" s="60">
        <v>4010</v>
      </c>
      <c r="C143" s="60" t="s">
        <v>62</v>
      </c>
      <c r="D143" s="60" t="s">
        <v>119</v>
      </c>
      <c r="E143" s="30">
        <v>42528.013993055552</v>
      </c>
      <c r="F143" s="30">
        <v>42528.014988425923</v>
      </c>
      <c r="G143" s="38">
        <v>1</v>
      </c>
      <c r="H143" s="30" t="s">
        <v>433</v>
      </c>
      <c r="I143" s="30">
        <v>42528.043576388889</v>
      </c>
      <c r="J143" s="60">
        <v>1</v>
      </c>
      <c r="K143" s="60" t="str">
        <f t="shared" si="49"/>
        <v>4009/4010</v>
      </c>
      <c r="L143" s="60" t="str">
        <f>VLOOKUP(A143,'Trips&amp;Operators'!$C$1:$E$9999,3,FALSE)</f>
        <v>NEWELL</v>
      </c>
      <c r="M143" s="12">
        <f t="shared" si="50"/>
        <v>2.8587962966412306E-2</v>
      </c>
      <c r="N143" s="13">
        <f t="shared" si="52"/>
        <v>41.16666667163372</v>
      </c>
      <c r="O143" s="13"/>
      <c r="P143" s="13"/>
      <c r="Q143" s="61"/>
      <c r="R143" s="61"/>
      <c r="T143" s="73" t="str">
        <f t="shared" si="54"/>
        <v>https://search-rtdc-monitor-bjffxe2xuh6vdkpspy63sjmuny.us-east-1.es.amazonaws.com/_plugin/kibana/#/discover/Steve-Slow-Train-Analysis-(2080s-and-2083s)?_g=(refreshInterval:(display:Off,section:0,value:0),time:(from:'2016-06-07 00:19:09-0600',mode:absolute,to:'2016-06-07 01:03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U143" s="73" t="str">
        <f t="shared" si="55"/>
        <v>N</v>
      </c>
      <c r="V143" s="73">
        <f t="shared" si="53"/>
        <v>1</v>
      </c>
      <c r="W143" s="73">
        <f t="shared" si="56"/>
        <v>23.2987</v>
      </c>
      <c r="X143" s="73">
        <f t="shared" si="57"/>
        <v>8.7499999999999994E-2</v>
      </c>
      <c r="Y143" s="73">
        <f t="shared" si="58"/>
        <v>23.211200000000002</v>
      </c>
      <c r="Z143" s="74">
        <f>VLOOKUP(A143,Enforcements!$C$3:$J$57,8,0)</f>
        <v>839</v>
      </c>
      <c r="AA143" s="74" t="str">
        <f>VLOOKUP(A143,Enforcements!$C$3:$J$57,3,0)</f>
        <v>TRACK WARRANT AUTHORITY</v>
      </c>
    </row>
    <row r="144" spans="1:27" s="2" customFormat="1" x14ac:dyDescent="0.25">
      <c r="A144" s="60" t="s">
        <v>434</v>
      </c>
      <c r="B144" s="60">
        <v>4011</v>
      </c>
      <c r="C144" s="60" t="s">
        <v>62</v>
      </c>
      <c r="D144" s="60" t="s">
        <v>141</v>
      </c>
      <c r="E144" s="30">
        <v>42527.990543981483</v>
      </c>
      <c r="F144" s="30">
        <v>42527.99150462963</v>
      </c>
      <c r="G144" s="38">
        <v>1</v>
      </c>
      <c r="H144" s="30" t="s">
        <v>151</v>
      </c>
      <c r="I144" s="30">
        <v>42528.024548611109</v>
      </c>
      <c r="J144" s="60">
        <v>0</v>
      </c>
      <c r="K144" s="60" t="str">
        <f t="shared" si="49"/>
        <v>4011/4012</v>
      </c>
      <c r="L144" s="60" t="str">
        <f>VLOOKUP(A144,'Trips&amp;Operators'!$C$1:$E$9999,3,FALSE)</f>
        <v>HONTZ</v>
      </c>
      <c r="M144" s="12">
        <f t="shared" si="50"/>
        <v>3.3043981478840578E-2</v>
      </c>
      <c r="N144" s="13">
        <f t="shared" si="52"/>
        <v>47.583333329530433</v>
      </c>
      <c r="O144" s="13"/>
      <c r="P144" s="13"/>
      <c r="Q144" s="61"/>
      <c r="R144" s="61"/>
      <c r="T144" s="73" t="str">
        <f t="shared" si="54"/>
        <v>https://search-rtdc-monitor-bjffxe2xuh6vdkpspy63sjmuny.us-east-1.es.amazonaws.com/_plugin/kibana/#/discover/Steve-Slow-Train-Analysis-(2080s-and-2083s)?_g=(refreshInterval:(display:Off,section:0,value:0),time:(from:'2016-06-06 23:45:23-0600',mode:absolute,to:'2016-06-07 00:36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144" s="73" t="str">
        <f t="shared" si="55"/>
        <v>N</v>
      </c>
      <c r="V144" s="73">
        <f t="shared" si="53"/>
        <v>1</v>
      </c>
      <c r="W144" s="73">
        <f t="shared" si="56"/>
        <v>4.58E-2</v>
      </c>
      <c r="X144" s="73">
        <f t="shared" si="57"/>
        <v>23.330300000000001</v>
      </c>
      <c r="Y144" s="73">
        <f t="shared" si="58"/>
        <v>23.284500000000001</v>
      </c>
      <c r="Z144" s="74" t="e">
        <f>VLOOKUP(A144,Enforcements!$C$3:$J$57,8,0)</f>
        <v>#N/A</v>
      </c>
      <c r="AA144" s="74" t="e">
        <f>VLOOKUP(A144,Enforcements!$C$3:$J$57,3,0)</f>
        <v>#N/A</v>
      </c>
    </row>
    <row r="145" spans="1:27" s="2" customFormat="1" x14ac:dyDescent="0.25">
      <c r="A145" s="60" t="s">
        <v>435</v>
      </c>
      <c r="B145" s="60">
        <v>4012</v>
      </c>
      <c r="C145" s="60" t="s">
        <v>62</v>
      </c>
      <c r="D145" s="60" t="s">
        <v>122</v>
      </c>
      <c r="E145" s="30">
        <v>42528.026053240741</v>
      </c>
      <c r="F145" s="30">
        <v>42528.027013888888</v>
      </c>
      <c r="G145" s="38">
        <v>1</v>
      </c>
      <c r="H145" s="30" t="s">
        <v>78</v>
      </c>
      <c r="I145" s="30">
        <v>42528.066620370373</v>
      </c>
      <c r="J145" s="60">
        <v>0</v>
      </c>
      <c r="K145" s="60" t="str">
        <f t="shared" si="49"/>
        <v>4011/4012</v>
      </c>
      <c r="L145" s="60" t="str">
        <f>VLOOKUP(A145,'Trips&amp;Operators'!$C$1:$E$9999,3,FALSE)</f>
        <v>HONTZ</v>
      </c>
      <c r="M145" s="12">
        <f t="shared" si="50"/>
        <v>3.9606481484952383E-2</v>
      </c>
      <c r="N145" s="13">
        <f t="shared" si="52"/>
        <v>57.033333338331431</v>
      </c>
      <c r="O145" s="13"/>
      <c r="P145" s="13"/>
      <c r="Q145" s="61"/>
      <c r="R145" s="61"/>
      <c r="T145" s="73" t="str">
        <f t="shared" ref="T145:T146" si="59">"https://search-rtdc-monitor-bjffxe2xuh6vdkpspy63sjmuny.us-east-1.es.amazonaws.com/_plugin/kibana/#/discover/Steve-Slow-Train-Analysis-(2080s-and-2083s)?_g=(refreshInterval:(display:Off,section:0,value:0),time:(from:'"&amp;TEXT(E145-1/24/60,"yyyy-MM-DD hh:mm:ss")&amp;"-0600',mode:absolute,to:'"&amp;TEXT(I145+1/24/60,"yyyy-MM-DD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145&amp;"%22')),sort:!(Time,asc))"</f>
        <v>https://search-rtdc-monitor-bjffxe2xuh6vdkpspy63sjmuny.us-east-1.es.amazonaws.com/_plugin/kibana/#/discover/Steve-Slow-Train-Analysis-(2080s-and-2083s)?_g=(refreshInterval:(display:Off,section:0,value:0),time:(from:'2016-06-07 00:36:31-0600',mode:absolute,to:'2016-06-07 01:36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145" s="73" t="str">
        <f t="shared" ref="U145:U146" si="60">IF(Y145&lt;23,"Y","N")</f>
        <v>N</v>
      </c>
      <c r="V145" s="73">
        <f t="shared" si="53"/>
        <v>1</v>
      </c>
      <c r="W145" s="73">
        <f t="shared" ref="W145:W146" si="61">RIGHT(D145,LEN(D145)-4)/10000</f>
        <v>23.298400000000001</v>
      </c>
      <c r="X145" s="73">
        <f t="shared" ref="X145:X146" si="62">RIGHT(H145,LEN(H145)-4)/10000</f>
        <v>1.6E-2</v>
      </c>
      <c r="Y145" s="73">
        <f t="shared" ref="Y145:Y146" si="63">ABS(X145-W145)</f>
        <v>23.282400000000003</v>
      </c>
      <c r="Z145" s="74" t="e">
        <f>VLOOKUP(A145,Enforcements!$C$3:$J$57,8,0)</f>
        <v>#N/A</v>
      </c>
      <c r="AA145" s="74" t="e">
        <f>VLOOKUP(A145,Enforcements!$C$3:$J$57,3,0)</f>
        <v>#N/A</v>
      </c>
    </row>
    <row r="146" spans="1:27" s="2" customFormat="1" x14ac:dyDescent="0.25">
      <c r="A146" s="60" t="s">
        <v>436</v>
      </c>
      <c r="B146" s="60">
        <v>4040</v>
      </c>
      <c r="C146" s="60" t="s">
        <v>62</v>
      </c>
      <c r="D146" s="60" t="s">
        <v>79</v>
      </c>
      <c r="E146" s="30">
        <v>42528.00980324074</v>
      </c>
      <c r="F146" s="30">
        <v>42528.01122685185</v>
      </c>
      <c r="G146" s="38">
        <v>2</v>
      </c>
      <c r="H146" s="30" t="s">
        <v>98</v>
      </c>
      <c r="I146" s="30">
        <v>42528.047025462962</v>
      </c>
      <c r="J146" s="60">
        <v>0</v>
      </c>
      <c r="K146" s="60" t="str">
        <f t="shared" si="49"/>
        <v>4039/4040</v>
      </c>
      <c r="L146" s="60" t="str">
        <f>VLOOKUP(A146,'Trips&amp;Operators'!$C$1:$E$9999,3,FALSE)</f>
        <v>BARTLETT</v>
      </c>
      <c r="M146" s="12">
        <f t="shared" si="50"/>
        <v>3.5798611112113576E-2</v>
      </c>
      <c r="N146" s="13">
        <f t="shared" si="52"/>
        <v>51.55000000144355</v>
      </c>
      <c r="O146" s="13"/>
      <c r="P146" s="13"/>
      <c r="Q146" s="61"/>
      <c r="R146" s="61"/>
      <c r="T146" s="73" t="str">
        <f t="shared" si="59"/>
        <v>https://search-rtdc-monitor-bjffxe2xuh6vdkpspy63sjmuny.us-east-1.es.amazonaws.com/_plugin/kibana/#/discover/Steve-Slow-Train-Analysis-(2080s-and-2083s)?_g=(refreshInterval:(display:Off,section:0,value:0),time:(from:'2016-06-07 00:13:07-0600',mode:absolute,to:'2016-06-07 01:08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146" s="73" t="str">
        <f t="shared" si="60"/>
        <v>N</v>
      </c>
      <c r="V146" s="73">
        <f>VALUE(LEFT(A146,3))-VALUE(LEFT(A145,3))</f>
        <v>1</v>
      </c>
      <c r="W146" s="73">
        <f t="shared" si="61"/>
        <v>4.5999999999999999E-2</v>
      </c>
      <c r="X146" s="73">
        <f t="shared" si="62"/>
        <v>23.329699999999999</v>
      </c>
      <c r="Y146" s="73">
        <f t="shared" si="63"/>
        <v>23.2837</v>
      </c>
      <c r="Z146" s="74" t="e">
        <f>VLOOKUP(A146,Enforcements!$C$3:$J$57,8,0)</f>
        <v>#N/A</v>
      </c>
      <c r="AA146" s="74" t="e">
        <f>VLOOKUP(A146,Enforcements!$C$3:$J$57,3,0)</f>
        <v>#N/A</v>
      </c>
    </row>
    <row r="147" spans="1:27" s="2" customFormat="1" x14ac:dyDescent="0.25">
      <c r="A147" s="60" t="s">
        <v>437</v>
      </c>
      <c r="B147" s="60">
        <v>4039</v>
      </c>
      <c r="C147" s="60"/>
      <c r="D147" s="60"/>
      <c r="E147" s="30"/>
      <c r="F147" s="30">
        <v>42528.05568287037</v>
      </c>
      <c r="G147" s="38"/>
      <c r="H147" s="30"/>
      <c r="I147" s="30">
        <v>42528.08734953704</v>
      </c>
      <c r="J147" s="60">
        <v>0</v>
      </c>
      <c r="K147" s="60" t="str">
        <f t="shared" si="49"/>
        <v>4039/4040</v>
      </c>
      <c r="L147" s="60" t="str">
        <f>VLOOKUP(A147,'Trips&amp;Operators'!$C$1:$E$9999,3,FALSE)</f>
        <v>BARTLETT</v>
      </c>
      <c r="M147" s="12">
        <f t="shared" si="50"/>
        <v>3.1666666669480037E-2</v>
      </c>
      <c r="N147" s="13">
        <f t="shared" si="52"/>
        <v>45.600000004051253</v>
      </c>
      <c r="O147" s="13"/>
      <c r="P147" s="13"/>
      <c r="Q147" s="61"/>
      <c r="R147" s="61"/>
      <c r="T147" s="73" t="e">
        <f t="shared" ref="T147" si="64">"https://search-rtdc-monitor-bjffxe2xuh6vdkpspy63sjmuny.us-east-1.es.amazonaws.com/_plugin/kibana/#/discover/Steve-Slow-Train-Analysis-(2080s-and-2083s)?_g=(refreshInterval:(display:Off,section:0,value:0),time:(from:'"&amp;TEXT(E147-1/24/60,"yyyy-MM-DD hh:mm:ss")&amp;"-0600',mode:absolute,to:'"&amp;TEXT(I147+1/24/60,"yyyy-MM-DD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147&amp;"%22')),sort:!(Time,asc))"</f>
        <v>#VALUE!</v>
      </c>
      <c r="U147" s="73" t="str">
        <f t="shared" ref="U147" si="65">IF(Y147&lt;23,"Y","N")</f>
        <v>N</v>
      </c>
      <c r="V147" s="73">
        <f>VALUE(LEFT(A147,3))-VALUE(LEFT(A146,3))</f>
        <v>1</v>
      </c>
      <c r="W147" s="73">
        <v>23.297599999999999</v>
      </c>
      <c r="X147" s="73">
        <v>1.6299999999999999E-2</v>
      </c>
      <c r="Y147" s="73">
        <f t="shared" ref="Y147" si="66">ABS(X147-W147)</f>
        <v>23.281299999999998</v>
      </c>
      <c r="Z147" s="74" t="e">
        <f>VLOOKUP(A147,Enforcements!$C$3:$J$57,8,0)</f>
        <v>#N/A</v>
      </c>
      <c r="AA147" s="74"/>
    </row>
    <row r="148" spans="1:27" s="2" customFormat="1" x14ac:dyDescent="0.25">
      <c r="A148" s="62"/>
      <c r="B148" s="62"/>
      <c r="C148" s="62"/>
      <c r="D148" s="62"/>
      <c r="E148" s="63"/>
      <c r="F148" s="63"/>
      <c r="G148" s="64"/>
      <c r="H148" s="63"/>
      <c r="I148" s="63"/>
      <c r="J148" s="62"/>
      <c r="K148" s="62"/>
      <c r="L148" s="62"/>
      <c r="M148" s="65"/>
      <c r="N148" s="66"/>
      <c r="O148" s="66"/>
      <c r="P148" s="66"/>
      <c r="Q148" s="67"/>
      <c r="R148" s="67"/>
      <c r="T148" s="73"/>
      <c r="U148" s="73"/>
      <c r="V148" s="73"/>
      <c r="W148" s="73"/>
      <c r="X148" s="73"/>
      <c r="Y148" s="73"/>
      <c r="Z148" s="74"/>
      <c r="AA148" s="74"/>
    </row>
    <row r="149" spans="1:27" s="2" customFormat="1" ht="15.75" thickBot="1" x14ac:dyDescent="0.3">
      <c r="A149" s="62"/>
      <c r="B149" s="62"/>
      <c r="C149" s="62"/>
      <c r="D149" s="62"/>
      <c r="E149" s="63"/>
      <c r="F149" s="63"/>
      <c r="G149" s="64"/>
      <c r="H149" s="63"/>
      <c r="I149" s="63"/>
      <c r="J149" s="62"/>
      <c r="K149" s="62"/>
      <c r="L149" s="62"/>
      <c r="M149" s="65"/>
      <c r="N149" s="66"/>
      <c r="O149" s="66"/>
      <c r="P149" s="66"/>
      <c r="Q149" s="67"/>
      <c r="R149" s="67"/>
      <c r="T149" s="68"/>
      <c r="U149" s="68"/>
      <c r="V149" s="68"/>
      <c r="W149" s="68"/>
      <c r="X149" s="68"/>
      <c r="Y149" s="68"/>
      <c r="Z149" s="69"/>
      <c r="AA149" s="69"/>
    </row>
    <row r="150" spans="1:27" s="2" customFormat="1" ht="15.75" thickBot="1" x14ac:dyDescent="0.3">
      <c r="E150" s="31"/>
      <c r="F150" s="31"/>
      <c r="G150" s="39"/>
      <c r="H150" s="31"/>
      <c r="I150" s="85">
        <f>Variables!A2</f>
        <v>42527</v>
      </c>
      <c r="J150" s="86"/>
      <c r="K150" s="75"/>
      <c r="L150" s="75"/>
      <c r="M150" s="87" t="s">
        <v>8</v>
      </c>
      <c r="N150" s="88"/>
      <c r="O150" s="89"/>
      <c r="P150" s="5"/>
      <c r="T150" s="56"/>
      <c r="U150" s="56"/>
      <c r="V150" s="56"/>
      <c r="W150" s="56"/>
      <c r="X150" s="56"/>
      <c r="Y150" s="56"/>
      <c r="Z150" s="57"/>
      <c r="AA150" s="57"/>
    </row>
    <row r="151" spans="1:27" s="2" customFormat="1" ht="15.75" thickBot="1" x14ac:dyDescent="0.3">
      <c r="E151" s="31"/>
      <c r="F151" s="31"/>
      <c r="G151" s="39"/>
      <c r="H151" s="31"/>
      <c r="I151" s="90" t="s">
        <v>10</v>
      </c>
      <c r="J151" s="91"/>
      <c r="K151" s="35"/>
      <c r="L151" s="58"/>
      <c r="M151" s="9" t="s">
        <v>11</v>
      </c>
      <c r="N151" s="6" t="s">
        <v>12</v>
      </c>
      <c r="O151" s="7" t="s">
        <v>13</v>
      </c>
      <c r="P151" s="5"/>
      <c r="T151" s="56"/>
      <c r="U151" s="56"/>
      <c r="V151" s="56"/>
      <c r="W151" s="56"/>
      <c r="X151" s="56"/>
      <c r="Y151" s="56"/>
      <c r="Z151" s="57"/>
      <c r="AA151" s="57"/>
    </row>
    <row r="152" spans="1:27" s="2" customFormat="1" ht="15.75" thickBot="1" x14ac:dyDescent="0.3">
      <c r="E152" s="31"/>
      <c r="F152" s="31"/>
      <c r="G152" s="39"/>
      <c r="H152" s="31"/>
      <c r="I152" s="32" t="s">
        <v>14</v>
      </c>
      <c r="J152" s="3">
        <f>COUNT(N3:P147)</f>
        <v>144</v>
      </c>
      <c r="K152" s="3"/>
      <c r="L152" s="3"/>
      <c r="M152" s="70" t="s">
        <v>15</v>
      </c>
      <c r="N152" s="6" t="s">
        <v>15</v>
      </c>
      <c r="O152" s="7" t="s">
        <v>15</v>
      </c>
      <c r="P152" s="5"/>
      <c r="T152" s="56"/>
      <c r="U152" s="56"/>
      <c r="V152" s="56"/>
      <c r="W152" s="56"/>
      <c r="X152" s="56"/>
      <c r="Y152" s="56"/>
      <c r="Z152" s="57"/>
      <c r="AA152" s="57"/>
    </row>
    <row r="153" spans="1:27" s="2" customFormat="1" ht="15.75" thickBot="1" x14ac:dyDescent="0.3">
      <c r="E153" s="31"/>
      <c r="F153" s="31"/>
      <c r="G153" s="39"/>
      <c r="H153" s="31"/>
      <c r="I153" s="32" t="s">
        <v>17</v>
      </c>
      <c r="J153" s="3">
        <f>COUNT(N3:N146)</f>
        <v>136</v>
      </c>
      <c r="K153" s="3"/>
      <c r="L153" s="3"/>
      <c r="M153" s="70">
        <f>AVERAGE(N3:N146)</f>
        <v>44.415441176953372</v>
      </c>
      <c r="N153" s="6">
        <f>MIN(N3:N146)</f>
        <v>35.283333335537463</v>
      </c>
      <c r="O153" s="7">
        <f>MAX(N3:N146)</f>
        <v>81.000000002095476</v>
      </c>
      <c r="P153" s="5"/>
      <c r="T153" s="56"/>
      <c r="U153" s="56"/>
      <c r="V153" s="56"/>
      <c r="W153" s="56"/>
      <c r="X153" s="56"/>
      <c r="Y153" s="56"/>
      <c r="Z153" s="57"/>
      <c r="AA153" s="57"/>
    </row>
    <row r="154" spans="1:27" s="2" customFormat="1" ht="15.75" thickBot="1" x14ac:dyDescent="0.3">
      <c r="B154" s="59"/>
      <c r="C154" s="59"/>
      <c r="D154" s="59"/>
      <c r="E154" s="14"/>
      <c r="F154" s="14"/>
      <c r="G154" s="40"/>
      <c r="H154" s="14"/>
      <c r="I154" s="33" t="s">
        <v>45</v>
      </c>
      <c r="J154" s="3">
        <f>COUNT(O3:O146)</f>
        <v>0</v>
      </c>
      <c r="K154" s="3"/>
      <c r="L154" s="3"/>
      <c r="M154" s="70">
        <f>IFERROR(AVERAGE(O3:O146),0)</f>
        <v>0</v>
      </c>
      <c r="N154" s="6">
        <f>MIN(O3:O146)</f>
        <v>0</v>
      </c>
      <c r="O154" s="7">
        <f>MAX(O3:O146)</f>
        <v>0</v>
      </c>
      <c r="P154" s="4"/>
      <c r="Q154"/>
      <c r="R154"/>
      <c r="S154"/>
      <c r="T154" s="54"/>
      <c r="U154" s="54"/>
      <c r="V154" s="54"/>
      <c r="W154" s="54"/>
      <c r="X154" s="54"/>
      <c r="Y154" s="54"/>
      <c r="Z154" s="55"/>
      <c r="AA154" s="55"/>
    </row>
    <row r="155" spans="1:27" s="2" customFormat="1" ht="15.75" thickBot="1" x14ac:dyDescent="0.3">
      <c r="B155" s="59"/>
      <c r="C155" s="59"/>
      <c r="D155" s="59"/>
      <c r="E155" s="14"/>
      <c r="F155" s="14"/>
      <c r="G155" s="40"/>
      <c r="H155" s="14"/>
      <c r="I155" s="34" t="s">
        <v>9</v>
      </c>
      <c r="J155" s="3">
        <f>COUNT(P3:P146)</f>
        <v>7</v>
      </c>
      <c r="K155" s="3"/>
      <c r="L155" s="3"/>
      <c r="M155" s="70" t="s">
        <v>15</v>
      </c>
      <c r="N155" s="6" t="s">
        <v>15</v>
      </c>
      <c r="O155" s="7" t="s">
        <v>15</v>
      </c>
      <c r="P155" s="4"/>
      <c r="Q155"/>
      <c r="R155"/>
      <c r="S155"/>
      <c r="T155" s="54"/>
      <c r="U155" s="54"/>
      <c r="V155" s="54"/>
      <c r="W155" s="54"/>
      <c r="X155" s="54"/>
      <c r="Y155" s="54"/>
      <c r="Z155" s="55"/>
      <c r="AA155" s="55"/>
    </row>
    <row r="156" spans="1:27" s="2" customFormat="1" ht="30.75" thickBot="1" x14ac:dyDescent="0.3">
      <c r="E156" s="31"/>
      <c r="F156" s="31"/>
      <c r="G156" s="39"/>
      <c r="H156" s="31"/>
      <c r="I156" s="32" t="s">
        <v>16</v>
      </c>
      <c r="J156" s="3">
        <f>COUNT(N3:O146)</f>
        <v>136</v>
      </c>
      <c r="K156" s="3"/>
      <c r="L156" s="3"/>
      <c r="M156" s="70">
        <f>AVERAGE(N3:P146)</f>
        <v>42.864685315051005</v>
      </c>
      <c r="N156" s="6">
        <f>MIN(N3:O146)</f>
        <v>35.283333335537463</v>
      </c>
      <c r="O156" s="7">
        <f>MAX(N3:O146)</f>
        <v>81.000000002095476</v>
      </c>
      <c r="P156" s="5"/>
      <c r="T156" s="56"/>
      <c r="U156" s="56"/>
      <c r="V156" s="56"/>
      <c r="W156" s="56"/>
      <c r="X156" s="56"/>
      <c r="Y156" s="56"/>
      <c r="Z156" s="57"/>
      <c r="AA156" s="57"/>
    </row>
    <row r="157" spans="1:27" s="2" customFormat="1" ht="30.75" thickBot="1" x14ac:dyDescent="0.3">
      <c r="B157" s="59"/>
      <c r="C157" s="59"/>
      <c r="D157" s="59"/>
      <c r="E157" s="14"/>
      <c r="F157" s="14"/>
      <c r="G157" s="40"/>
      <c r="H157" s="14"/>
      <c r="I157" s="32" t="s">
        <v>19</v>
      </c>
      <c r="J157" s="8">
        <f>J156/J152</f>
        <v>0.94444444444444442</v>
      </c>
      <c r="K157" s="8"/>
      <c r="L157" s="8"/>
      <c r="M157" s="1"/>
      <c r="N157" s="4"/>
      <c r="O157" s="4"/>
      <c r="P157" s="4"/>
      <c r="Q157"/>
      <c r="R157"/>
      <c r="S157"/>
      <c r="T157" s="54"/>
      <c r="U157" s="54"/>
      <c r="V157" s="54"/>
      <c r="W157" s="54"/>
      <c r="X157" s="54"/>
      <c r="Y157" s="54"/>
      <c r="Z157" s="55"/>
      <c r="AA157" s="55"/>
    </row>
    <row r="158" spans="1:27" s="2" customFormat="1" x14ac:dyDescent="0.25">
      <c r="B158" s="59"/>
      <c r="C158" s="59"/>
      <c r="D158" s="59"/>
      <c r="E158" s="14"/>
      <c r="F158" s="14"/>
      <c r="G158" s="40"/>
      <c r="H158" s="14"/>
      <c r="I158" s="14"/>
      <c r="J158" s="59"/>
      <c r="K158"/>
      <c r="L158" s="59"/>
      <c r="M158" s="1"/>
      <c r="N158" s="4"/>
      <c r="O158" s="4"/>
      <c r="P158" s="4"/>
      <c r="Q158"/>
      <c r="R158"/>
      <c r="S158"/>
      <c r="T158" s="54"/>
      <c r="U158" s="54"/>
      <c r="V158" s="54"/>
      <c r="W158" s="54"/>
      <c r="X158" s="54"/>
      <c r="Y158" s="54"/>
      <c r="Z158" s="55"/>
      <c r="AA158" s="55"/>
    </row>
    <row r="159" spans="1:27" s="2" customFormat="1" x14ac:dyDescent="0.25">
      <c r="B159" s="59"/>
      <c r="C159" s="59"/>
      <c r="D159" s="59"/>
      <c r="E159" s="14"/>
      <c r="F159" s="14"/>
      <c r="G159" s="40"/>
      <c r="H159" s="14"/>
      <c r="I159" s="14"/>
      <c r="J159" s="59"/>
      <c r="K159"/>
      <c r="L159" s="59"/>
      <c r="M159" s="1"/>
      <c r="N159" s="4"/>
      <c r="O159" s="4"/>
      <c r="P159" s="4"/>
      <c r="Q159"/>
      <c r="R159"/>
      <c r="S159"/>
      <c r="T159" s="54"/>
      <c r="U159" s="54"/>
      <c r="V159" s="54"/>
      <c r="W159" s="54"/>
      <c r="X159" s="54"/>
      <c r="Y159" s="54"/>
      <c r="Z159" s="55"/>
      <c r="AA159" s="55"/>
    </row>
    <row r="160" spans="1:27" s="2" customFormat="1" x14ac:dyDescent="0.25">
      <c r="B160" s="59"/>
      <c r="C160" s="59"/>
      <c r="D160" s="59"/>
      <c r="E160" s="14"/>
      <c r="F160" s="14"/>
      <c r="G160" s="40"/>
      <c r="H160" s="14"/>
      <c r="I160" s="14"/>
      <c r="J160" s="59"/>
      <c r="K160"/>
      <c r="L160" s="59"/>
      <c r="M160" s="1"/>
      <c r="N160" s="4"/>
      <c r="O160" s="4"/>
      <c r="P160" s="4"/>
      <c r="Q160"/>
      <c r="R160"/>
      <c r="S160"/>
      <c r="T160" s="54"/>
      <c r="U160" s="54"/>
      <c r="V160" s="54"/>
      <c r="W160" s="54"/>
      <c r="X160" s="54"/>
      <c r="Y160" s="54"/>
      <c r="Z160" s="55"/>
      <c r="AA160" s="55"/>
    </row>
    <row r="161" spans="2:27" s="2" customFormat="1" x14ac:dyDescent="0.25">
      <c r="B161" s="59"/>
      <c r="C161" s="59"/>
      <c r="D161" s="59"/>
      <c r="E161" s="14"/>
      <c r="F161" s="14"/>
      <c r="G161" s="40"/>
      <c r="H161" s="14"/>
      <c r="I161" s="14"/>
      <c r="J161" s="59"/>
      <c r="K161"/>
      <c r="L161" s="59"/>
      <c r="M161" s="1"/>
      <c r="N161" s="4"/>
      <c r="O161" s="4"/>
      <c r="P161" s="4"/>
      <c r="Q161"/>
      <c r="R161"/>
      <c r="S161"/>
      <c r="T161" s="54"/>
      <c r="U161" s="54"/>
      <c r="V161" s="54"/>
      <c r="W161" s="54"/>
      <c r="X161" s="54"/>
      <c r="Y161" s="54"/>
      <c r="Z161" s="55"/>
      <c r="AA161" s="55"/>
    </row>
    <row r="162" spans="2:27" s="2" customFormat="1" x14ac:dyDescent="0.25">
      <c r="B162" s="59"/>
      <c r="C162" s="59"/>
      <c r="D162" s="59"/>
      <c r="E162" s="14"/>
      <c r="F162" s="14"/>
      <c r="G162" s="40"/>
      <c r="H162" s="14"/>
      <c r="I162" s="14"/>
      <c r="J162" s="59"/>
      <c r="K162"/>
      <c r="L162" s="59"/>
      <c r="M162" s="1"/>
      <c r="N162" s="4"/>
      <c r="O162" s="4"/>
      <c r="P162" s="4"/>
      <c r="Q162"/>
      <c r="R162"/>
      <c r="S162"/>
      <c r="T162" s="54"/>
      <c r="U162" s="54"/>
      <c r="V162" s="54"/>
      <c r="W162" s="54"/>
      <c r="X162" s="54"/>
      <c r="Y162" s="54"/>
      <c r="Z162" s="55"/>
      <c r="AA162" s="55"/>
    </row>
    <row r="165" spans="2:27" s="2" customFormat="1" x14ac:dyDescent="0.25">
      <c r="B165" s="59"/>
      <c r="C165" s="59"/>
      <c r="D165" s="59"/>
      <c r="E165" s="14"/>
      <c r="F165" s="14"/>
      <c r="G165" s="40"/>
      <c r="H165" s="14"/>
      <c r="I165" s="14"/>
      <c r="J165" s="59"/>
      <c r="K165"/>
      <c r="L165" s="59"/>
      <c r="M165" s="1"/>
      <c r="N165" s="4"/>
      <c r="O165" s="4"/>
      <c r="P165" s="4"/>
      <c r="Q165"/>
      <c r="R165"/>
      <c r="S165"/>
      <c r="T165" s="54"/>
      <c r="U165" s="54"/>
      <c r="V165" s="54"/>
      <c r="W165" s="54"/>
      <c r="X165" s="54"/>
      <c r="Y165" s="54"/>
      <c r="Z165" s="55"/>
      <c r="AA165" s="55"/>
    </row>
  </sheetData>
  <autoFilter ref="A2:AA146">
    <sortState ref="A3:AA151">
      <sortCondition ref="A2:A151"/>
    </sortState>
  </autoFilter>
  <sortState ref="A3:R150">
    <sortCondition ref="A3:A150"/>
    <sortCondition ref="E3:E150"/>
  </sortState>
  <mergeCells count="4">
    <mergeCell ref="I150:J150"/>
    <mergeCell ref="M150:O150"/>
    <mergeCell ref="I151:J151"/>
    <mergeCell ref="A1:P1"/>
  </mergeCells>
  <conditionalFormatting sqref="U1:U2 U3:V1048576">
    <cfRule type="cellIs" dxfId="19" priority="27" operator="equal">
      <formula>"Y"</formula>
    </cfRule>
  </conditionalFormatting>
  <conditionalFormatting sqref="V3:V1048576">
    <cfRule type="cellIs" dxfId="18" priority="10" operator="greaterThan">
      <formula>1</formula>
    </cfRule>
  </conditionalFormatting>
  <conditionalFormatting sqref="V2:V1048576">
    <cfRule type="cellIs" dxfId="17" priority="7" operator="equal">
      <formula>0</formula>
    </cfRule>
  </conditionalFormatting>
  <conditionalFormatting sqref="A3:R148">
    <cfRule type="expression" dxfId="16" priority="2">
      <formula>$P3&gt;0</formula>
    </cfRule>
    <cfRule type="expression" dxfId="15" priority="3">
      <formula>$O3&gt;0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07B64F47-9FD1-48B1-84DC-90BBCF0B8697}">
            <xm:f>$N3&gt;Variables!$C$2</xm:f>
            <x14:dxf>
              <fill>
                <patternFill>
                  <bgColor theme="5" tint="0.79998168889431442"/>
                </patternFill>
              </fill>
            </x14:dxf>
          </x14:cfRule>
          <xm:sqref>A3:R148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0"/>
  <sheetViews>
    <sheetView showGridLines="0" zoomScale="85" zoomScaleNormal="85" workbookViewId="0">
      <selection activeCell="F16" sqref="F16"/>
    </sheetView>
  </sheetViews>
  <sheetFormatPr defaultRowHeight="15" x14ac:dyDescent="0.25"/>
  <cols>
    <col min="1" max="1" width="18.42578125" style="14" customWidth="1"/>
    <col min="2" max="2" width="17.5703125" customWidth="1"/>
    <col min="3" max="3" width="9.140625" customWidth="1"/>
    <col min="4" max="4" width="26.5703125" customWidth="1"/>
    <col min="5" max="5" width="30.5703125" bestFit="1" customWidth="1"/>
    <col min="6" max="6" width="7.5703125" customWidth="1"/>
    <col min="7" max="7" width="7.140625" customWidth="1"/>
    <col min="8" max="8" width="9" customWidth="1"/>
    <col min="9" max="9" width="23.85546875" bestFit="1" customWidth="1"/>
    <col min="10" max="10" width="10.85546875" customWidth="1"/>
    <col min="11" max="11" width="24" customWidth="1"/>
    <col min="12" max="12" width="13.5703125" bestFit="1" customWidth="1"/>
    <col min="13" max="13" width="6.7109375" customWidth="1"/>
    <col min="14" max="14" width="67.7109375" bestFit="1" customWidth="1"/>
    <col min="16" max="16" width="9.140625" style="81"/>
  </cols>
  <sheetData>
    <row r="1" spans="1:17" s="26" customFormat="1" ht="15" customHeight="1" x14ac:dyDescent="0.25">
      <c r="A1" s="93" t="str">
        <f>"Eagle P3 Braking Events - "&amp;TEXT(Variables!$A$2,"YYYY-mm-dd")</f>
        <v>Eagle P3 Braking Events - 2016-06-06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27"/>
      <c r="P1" s="79"/>
    </row>
    <row r="2" spans="1:17" s="2" customFormat="1" ht="75" x14ac:dyDescent="0.25">
      <c r="A2" s="25" t="s">
        <v>40</v>
      </c>
      <c r="B2" s="24" t="s">
        <v>39</v>
      </c>
      <c r="C2" s="24" t="s">
        <v>38</v>
      </c>
      <c r="D2" s="24" t="s">
        <v>37</v>
      </c>
      <c r="E2" s="24" t="s">
        <v>36</v>
      </c>
      <c r="F2" s="24" t="s">
        <v>35</v>
      </c>
      <c r="G2" s="24" t="s">
        <v>34</v>
      </c>
      <c r="H2" s="24" t="s">
        <v>33</v>
      </c>
      <c r="I2" s="24" t="s">
        <v>32</v>
      </c>
      <c r="J2" s="24" t="s">
        <v>31</v>
      </c>
      <c r="K2" s="24" t="s">
        <v>30</v>
      </c>
      <c r="L2" s="24" t="s">
        <v>50</v>
      </c>
      <c r="M2" s="24" t="s">
        <v>29</v>
      </c>
      <c r="N2" s="24" t="s">
        <v>24</v>
      </c>
      <c r="P2" s="82" t="s">
        <v>89</v>
      </c>
    </row>
    <row r="3" spans="1:17" s="19" customFormat="1" x14ac:dyDescent="0.25">
      <c r="A3" s="23">
        <v>42527.283402777779</v>
      </c>
      <c r="B3" s="22" t="s">
        <v>136</v>
      </c>
      <c r="C3" s="22" t="s">
        <v>213</v>
      </c>
      <c r="D3" s="22" t="s">
        <v>57</v>
      </c>
      <c r="E3" s="22" t="s">
        <v>198</v>
      </c>
      <c r="F3" s="22">
        <v>790</v>
      </c>
      <c r="G3" s="22">
        <v>841</v>
      </c>
      <c r="H3" s="22">
        <v>74101</v>
      </c>
      <c r="I3" s="22" t="s">
        <v>61</v>
      </c>
      <c r="J3" s="22">
        <v>103864</v>
      </c>
      <c r="K3" s="21" t="s">
        <v>56</v>
      </c>
      <c r="L3" s="21" t="str">
        <f>VLOOKUP(C3,'Trips&amp;Operators'!$C$1:$E$9999,3,FALSE)</f>
        <v>MALAVE</v>
      </c>
      <c r="M3" s="20" t="s">
        <v>81</v>
      </c>
      <c r="N3" s="21"/>
      <c r="P3" s="80" t="str">
        <f>VLOOKUP(C3,'Train Runs'!$A$3:$T$257,20,0)</f>
        <v>https://search-rtdc-monitor-bjffxe2xuh6vdkpspy63sjmuny.us-east-1.es.amazonaws.com/_plugin/kibana/#/discover/Steve-Slow-Train-Analysis-(2080s-and-2083s)?_g=(refreshInterval:(display:Off,section:0,value:0),time:(from:'2016-06-06 06:11:12-0600',mode:absolute,to:'2016-06-06 07:04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Q3" s="19" t="str">
        <f t="shared" ref="Q3:Q32" si="0">MID(B3,13,4)</f>
        <v>4039</v>
      </c>
    </row>
    <row r="4" spans="1:17" s="19" customFormat="1" x14ac:dyDescent="0.25">
      <c r="A4" s="23">
        <v>42527.53125</v>
      </c>
      <c r="B4" s="22" t="s">
        <v>136</v>
      </c>
      <c r="C4" s="22" t="s">
        <v>232</v>
      </c>
      <c r="D4" s="22" t="s">
        <v>57</v>
      </c>
      <c r="E4" s="22" t="s">
        <v>198</v>
      </c>
      <c r="F4" s="22">
        <v>790</v>
      </c>
      <c r="G4" s="22">
        <v>853</v>
      </c>
      <c r="H4" s="22">
        <v>98346</v>
      </c>
      <c r="I4" s="22" t="s">
        <v>61</v>
      </c>
      <c r="J4" s="22">
        <v>126678</v>
      </c>
      <c r="K4" s="21" t="s">
        <v>56</v>
      </c>
      <c r="L4" s="21" t="str">
        <f>VLOOKUP(C4,'Trips&amp;Operators'!$C$1:$E$9999,3,FALSE)</f>
        <v>BONDS</v>
      </c>
      <c r="M4" s="20" t="s">
        <v>81</v>
      </c>
      <c r="N4" s="21"/>
      <c r="P4" s="80" t="str">
        <f>VLOOKUP(C4,'Train Runs'!$A$3:$T$257,20,0)</f>
        <v>https://search-rtdc-monitor-bjffxe2xuh6vdkpspy63sjmuny.us-east-1.es.amazonaws.com/_plugin/kibana/#/discover/Steve-Slow-Train-Analysis-(2080s-and-2083s)?_g=(refreshInterval:(display:Off,section:0,value:0),time:(from:'2016-06-06 12:17:23-0600',mode:absolute,to:'2016-06-06 13:06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Q4" s="19" t="str">
        <f t="shared" ref="Q4:Q18" si="1">MID(B4,13,4)</f>
        <v>4039</v>
      </c>
    </row>
    <row r="5" spans="1:17" s="19" customFormat="1" x14ac:dyDescent="0.25">
      <c r="A5" s="23">
        <v>42527.348090277781</v>
      </c>
      <c r="B5" s="22" t="s">
        <v>76</v>
      </c>
      <c r="C5" s="22" t="s">
        <v>217</v>
      </c>
      <c r="D5" s="22" t="s">
        <v>52</v>
      </c>
      <c r="E5" s="22" t="s">
        <v>99</v>
      </c>
      <c r="F5" s="22">
        <v>380</v>
      </c>
      <c r="G5" s="22">
        <v>590</v>
      </c>
      <c r="H5" s="22">
        <v>125336</v>
      </c>
      <c r="I5" s="22" t="s">
        <v>100</v>
      </c>
      <c r="J5" s="22">
        <v>127562</v>
      </c>
      <c r="K5" s="21" t="s">
        <v>55</v>
      </c>
      <c r="L5" s="21" t="str">
        <f>VLOOKUP(C5,'Trips&amp;Operators'!$C$1:$E$9999,3,FALSE)</f>
        <v>YANAI</v>
      </c>
      <c r="M5" s="20" t="s">
        <v>68</v>
      </c>
      <c r="N5" s="21"/>
      <c r="P5" s="80" t="str">
        <f>VLOOKUP(C5,'Train Runs'!$A$3:$T$257,20,0)</f>
        <v>https://search-rtdc-monitor-bjffxe2xuh6vdkpspy63sjmuny.us-east-1.es.amazonaws.com/_plugin/kibana/#/discover/Steve-Slow-Train-Analysis-(2080s-and-2083s)?_g=(refreshInterval:(display:Off,section:0,value:0),time:(from:'2016-06-06 07:49:47-0600',mode:absolute,to:'2016-06-06 08:36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Q5" s="19" t="str">
        <f t="shared" si="1"/>
        <v>4031</v>
      </c>
    </row>
    <row r="6" spans="1:17" s="19" customFormat="1" x14ac:dyDescent="0.25">
      <c r="A6" s="23">
        <v>42527.485613425924</v>
      </c>
      <c r="B6" s="22" t="s">
        <v>134</v>
      </c>
      <c r="C6" s="22" t="s">
        <v>229</v>
      </c>
      <c r="D6" s="22" t="s">
        <v>52</v>
      </c>
      <c r="E6" s="22" t="s">
        <v>99</v>
      </c>
      <c r="F6" s="22">
        <v>0</v>
      </c>
      <c r="G6" s="22">
        <v>41</v>
      </c>
      <c r="H6" s="22">
        <v>26954</v>
      </c>
      <c r="I6" s="22" t="s">
        <v>100</v>
      </c>
      <c r="J6" s="22">
        <v>27052</v>
      </c>
      <c r="K6" s="21" t="s">
        <v>55</v>
      </c>
      <c r="L6" s="21" t="str">
        <f>VLOOKUP(C6,'Trips&amp;Operators'!$C$1:$E$9999,3,FALSE)</f>
        <v>BONDS</v>
      </c>
      <c r="M6" s="20" t="s">
        <v>68</v>
      </c>
      <c r="N6" s="21" t="s">
        <v>258</v>
      </c>
      <c r="P6" s="80" t="str">
        <f>VLOOKUP(C6,'Train Runs'!$A$3:$T$257,20,0)</f>
        <v>https://search-rtdc-monitor-bjffxe2xuh6vdkpspy63sjmuny.us-east-1.es.amazonaws.com/_plugin/kibana/#/discover/Steve-Slow-Train-Analysis-(2080s-and-2083s)?_g=(refreshInterval:(display:Off,section:0,value:0),time:(from:'2016-06-06 11:15:13-0600',mode:absolute,to:'2016-06-06 12:09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Q6" s="19" t="str">
        <f t="shared" si="1"/>
        <v>4040</v>
      </c>
    </row>
    <row r="7" spans="1:17" s="19" customFormat="1" x14ac:dyDescent="0.25">
      <c r="A7" s="23">
        <v>42527.591527777775</v>
      </c>
      <c r="B7" s="22" t="s">
        <v>208</v>
      </c>
      <c r="C7" s="22" t="s">
        <v>235</v>
      </c>
      <c r="D7" s="22" t="s">
        <v>52</v>
      </c>
      <c r="E7" s="22" t="s">
        <v>99</v>
      </c>
      <c r="F7" s="22">
        <v>0</v>
      </c>
      <c r="G7" s="22">
        <v>24</v>
      </c>
      <c r="H7" s="22">
        <v>31031</v>
      </c>
      <c r="I7" s="22" t="s">
        <v>100</v>
      </c>
      <c r="J7" s="22">
        <v>30970</v>
      </c>
      <c r="K7" s="21" t="s">
        <v>56</v>
      </c>
      <c r="L7" s="21" t="str">
        <f>VLOOKUP(C7,'Trips&amp;Operators'!$C$1:$E$9999,3,FALSE)</f>
        <v>COCA</v>
      </c>
      <c r="M7" s="20" t="s">
        <v>68</v>
      </c>
      <c r="N7" s="21" t="s">
        <v>258</v>
      </c>
      <c r="P7" s="80" t="str">
        <f>VLOOKUP(C7,'Train Runs'!$A$3:$T$257,20,0)</f>
        <v>https://search-rtdc-monitor-bjffxe2xuh6vdkpspy63sjmuny.us-east-1.es.amazonaws.com/_plugin/kibana/#/discover/Steve-Slow-Train-Analysis-(2080s-and-2083s)?_g=(refreshInterval:(display:Off,section:0,value:0),time:(from:'2016-06-06 13:15:10-0600',mode:absolute,to:'2016-06-06 14:23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Q7" s="19" t="str">
        <f t="shared" si="1"/>
        <v>4026</v>
      </c>
    </row>
    <row r="8" spans="1:17" s="19" customFormat="1" x14ac:dyDescent="0.25">
      <c r="A8" s="23">
        <v>42527.609178240738</v>
      </c>
      <c r="B8" s="22" t="s">
        <v>136</v>
      </c>
      <c r="C8" s="22" t="s">
        <v>237</v>
      </c>
      <c r="D8" s="22" t="s">
        <v>52</v>
      </c>
      <c r="E8" s="22" t="s">
        <v>99</v>
      </c>
      <c r="F8" s="22">
        <v>420</v>
      </c>
      <c r="G8" s="22">
        <v>513</v>
      </c>
      <c r="H8" s="22">
        <v>78710</v>
      </c>
      <c r="I8" s="22" t="s">
        <v>100</v>
      </c>
      <c r="J8" s="22">
        <v>78469</v>
      </c>
      <c r="K8" s="21" t="s">
        <v>56</v>
      </c>
      <c r="L8" s="21" t="str">
        <f>VLOOKUP(C8,'Trips&amp;Operators'!$C$1:$E$9999,3,FALSE)</f>
        <v>BONDS</v>
      </c>
      <c r="M8" s="20" t="s">
        <v>68</v>
      </c>
      <c r="N8" s="21"/>
      <c r="P8" s="80" t="str">
        <f>VLOOKUP(C8,'Train Runs'!$A$3:$T$257,20,0)</f>
        <v>https://search-rtdc-monitor-bjffxe2xuh6vdkpspy63sjmuny.us-east-1.es.amazonaws.com/_plugin/kibana/#/discover/Steve-Slow-Train-Analysis-(2080s-and-2083s)?_g=(refreshInterval:(display:Off,section:0,value:0),time:(from:'2016-06-06 14:01:08-0600',mode:absolute,to:'2016-06-06 14:55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Q8" s="19" t="str">
        <f t="shared" si="1"/>
        <v>4039</v>
      </c>
    </row>
    <row r="9" spans="1:17" s="19" customFormat="1" x14ac:dyDescent="0.25">
      <c r="A9" s="23">
        <v>42527.615312499998</v>
      </c>
      <c r="B9" s="22" t="s">
        <v>136</v>
      </c>
      <c r="C9" s="22" t="s">
        <v>237</v>
      </c>
      <c r="D9" s="22" t="s">
        <v>52</v>
      </c>
      <c r="E9" s="22" t="s">
        <v>99</v>
      </c>
      <c r="F9" s="22">
        <v>0</v>
      </c>
      <c r="G9" s="22">
        <v>51</v>
      </c>
      <c r="H9" s="22">
        <v>31115</v>
      </c>
      <c r="I9" s="22" t="s">
        <v>100</v>
      </c>
      <c r="J9" s="22">
        <v>30970</v>
      </c>
      <c r="K9" s="21" t="s">
        <v>56</v>
      </c>
      <c r="L9" s="21" t="str">
        <f>VLOOKUP(C9,'Trips&amp;Operators'!$C$1:$E$9999,3,FALSE)</f>
        <v>BONDS</v>
      </c>
      <c r="M9" s="20" t="s">
        <v>68</v>
      </c>
      <c r="N9" s="21" t="s">
        <v>258</v>
      </c>
      <c r="P9" s="80" t="str">
        <f>VLOOKUP(C9,'Train Runs'!$A$3:$T$257,20,0)</f>
        <v>https://search-rtdc-monitor-bjffxe2xuh6vdkpspy63sjmuny.us-east-1.es.amazonaws.com/_plugin/kibana/#/discover/Steve-Slow-Train-Analysis-(2080s-and-2083s)?_g=(refreshInterval:(display:Off,section:0,value:0),time:(from:'2016-06-06 14:01:08-0600',mode:absolute,to:'2016-06-06 14:55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Q9" s="19" t="str">
        <f t="shared" si="1"/>
        <v>4039</v>
      </c>
    </row>
    <row r="10" spans="1:17" s="19" customFormat="1" x14ac:dyDescent="0.25">
      <c r="A10" s="23">
        <v>42527.635497685187</v>
      </c>
      <c r="B10" s="22" t="s">
        <v>134</v>
      </c>
      <c r="C10" s="22" t="s">
        <v>240</v>
      </c>
      <c r="D10" s="22" t="s">
        <v>52</v>
      </c>
      <c r="E10" s="22" t="s">
        <v>99</v>
      </c>
      <c r="F10" s="22">
        <v>0</v>
      </c>
      <c r="G10" s="22">
        <v>64</v>
      </c>
      <c r="H10" s="22">
        <v>30627</v>
      </c>
      <c r="I10" s="22" t="s">
        <v>100</v>
      </c>
      <c r="J10" s="22">
        <v>30830</v>
      </c>
      <c r="K10" s="21" t="s">
        <v>55</v>
      </c>
      <c r="L10" s="21" t="str">
        <f>VLOOKUP(C10,'Trips&amp;Operators'!$C$1:$E$9999,3,FALSE)</f>
        <v>BONDS</v>
      </c>
      <c r="M10" s="20" t="s">
        <v>68</v>
      </c>
      <c r="N10" s="21" t="s">
        <v>258</v>
      </c>
      <c r="P10" s="80" t="str">
        <f>VLOOKUP(C10,'Train Runs'!$A$3:$T$257,20,0)</f>
        <v>https://search-rtdc-monitor-bjffxe2xuh6vdkpspy63sjmuny.us-east-1.es.amazonaws.com/_plugin/kibana/#/discover/Steve-Slow-Train-Analysis-(2080s-and-2083s)?_g=(refreshInterval:(display:Off,section:0,value:0),time:(from:'2016-06-06 14:55:29-0600',mode:absolute,to:'2016-06-06 15:48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Q10" s="19" t="str">
        <f t="shared" si="1"/>
        <v>4040</v>
      </c>
    </row>
    <row r="11" spans="1:17" s="19" customFormat="1" x14ac:dyDescent="0.25">
      <c r="A11" s="23">
        <v>42527.685706018521</v>
      </c>
      <c r="B11" s="22" t="s">
        <v>136</v>
      </c>
      <c r="C11" s="22" t="s">
        <v>247</v>
      </c>
      <c r="D11" s="22" t="s">
        <v>52</v>
      </c>
      <c r="E11" s="22" t="s">
        <v>99</v>
      </c>
      <c r="F11" s="22">
        <v>0</v>
      </c>
      <c r="G11" s="22">
        <v>49</v>
      </c>
      <c r="H11" s="22">
        <v>31066</v>
      </c>
      <c r="I11" s="22" t="s">
        <v>100</v>
      </c>
      <c r="J11" s="22">
        <v>30970</v>
      </c>
      <c r="K11" s="21" t="s">
        <v>56</v>
      </c>
      <c r="L11" s="21" t="str">
        <f>VLOOKUP(C11,'Trips&amp;Operators'!$C$1:$E$9999,3,FALSE)</f>
        <v>BONDS</v>
      </c>
      <c r="M11" s="20" t="s">
        <v>68</v>
      </c>
      <c r="N11" s="21" t="s">
        <v>258</v>
      </c>
      <c r="P11" s="80" t="str">
        <f>VLOOKUP(C11,'Train Runs'!$A$3:$T$257,20,0)</f>
        <v>https://search-rtdc-monitor-bjffxe2xuh6vdkpspy63sjmuny.us-east-1.es.amazonaws.com/_plugin/kibana/#/discover/Steve-Slow-Train-Analysis-(2080s-and-2083s)?_g=(refreshInterval:(display:Off,section:0,value:0),time:(from:'2016-06-06 15:51:52-0600',mode:absolute,to:'2016-06-06 16:38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Q11" s="19" t="str">
        <f t="shared" si="1"/>
        <v>4039</v>
      </c>
    </row>
    <row r="12" spans="1:17" s="19" customFormat="1" x14ac:dyDescent="0.25">
      <c r="A12" s="23">
        <v>42527.747986111113</v>
      </c>
      <c r="B12" s="22" t="s">
        <v>227</v>
      </c>
      <c r="C12" s="22" t="s">
        <v>249</v>
      </c>
      <c r="D12" s="22" t="s">
        <v>52</v>
      </c>
      <c r="E12" s="22" t="s">
        <v>99</v>
      </c>
      <c r="F12" s="22">
        <v>0</v>
      </c>
      <c r="G12" s="22">
        <v>40</v>
      </c>
      <c r="H12" s="22">
        <v>33026</v>
      </c>
      <c r="I12" s="22" t="s">
        <v>100</v>
      </c>
      <c r="J12" s="22">
        <v>33136</v>
      </c>
      <c r="K12" s="21" t="s">
        <v>55</v>
      </c>
      <c r="L12" s="21" t="str">
        <f>VLOOKUP(C12,'Trips&amp;Operators'!$C$1:$E$9999,3,FALSE)</f>
        <v>CHANDLER</v>
      </c>
      <c r="M12" s="20" t="s">
        <v>68</v>
      </c>
      <c r="N12" s="21" t="s">
        <v>258</v>
      </c>
      <c r="P12" s="80" t="str">
        <f>VLOOKUP(C12,'Train Runs'!$A$3:$T$257,20,0)</f>
        <v>https://search-rtdc-monitor-bjffxe2xuh6vdkpspy63sjmuny.us-east-1.es.amazonaws.com/_plugin/kibana/#/discover/Steve-Slow-Train-Analysis-(2080s-and-2083s)?_g=(refreshInterval:(display:Off,section:0,value:0),time:(from:'2016-06-06 17:40:52-0600',mode:absolute,to:'2016-06-06 18:33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Q12" s="19" t="str">
        <f t="shared" si="1"/>
        <v>4025</v>
      </c>
    </row>
    <row r="13" spans="1:17" s="19" customFormat="1" x14ac:dyDescent="0.25">
      <c r="A13" s="23">
        <v>42527.761863425927</v>
      </c>
      <c r="B13" s="22" t="s">
        <v>136</v>
      </c>
      <c r="C13" s="22" t="s">
        <v>250</v>
      </c>
      <c r="D13" s="22" t="s">
        <v>52</v>
      </c>
      <c r="E13" s="22" t="s">
        <v>99</v>
      </c>
      <c r="F13" s="22">
        <v>0</v>
      </c>
      <c r="G13" s="22">
        <v>51</v>
      </c>
      <c r="H13" s="22">
        <v>33401</v>
      </c>
      <c r="I13" s="22" t="s">
        <v>100</v>
      </c>
      <c r="J13" s="22">
        <v>33257</v>
      </c>
      <c r="K13" s="21" t="s">
        <v>56</v>
      </c>
      <c r="L13" s="21" t="str">
        <f>VLOOKUP(C13,'Trips&amp;Operators'!$C$1:$E$9999,3,FALSE)</f>
        <v>BONDS</v>
      </c>
      <c r="M13" s="20" t="s">
        <v>68</v>
      </c>
      <c r="N13" s="21" t="s">
        <v>258</v>
      </c>
      <c r="P13" s="80" t="str">
        <f>VLOOKUP(C13,'Train Runs'!$A$3:$T$257,20,0)</f>
        <v>https://search-rtdc-monitor-bjffxe2xuh6vdkpspy63sjmuny.us-east-1.es.amazonaws.com/_plugin/kibana/#/discover/Steve-Slow-Train-Analysis-(2080s-and-2083s)?_g=(refreshInterval:(display:Off,section:0,value:0),time:(from:'2016-06-06 17:34:36-0600',mode:absolute,to:'2016-06-06 18:27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Q13" s="19" t="str">
        <f t="shared" si="1"/>
        <v>4039</v>
      </c>
    </row>
    <row r="14" spans="1:17" s="19" customFormat="1" x14ac:dyDescent="0.25">
      <c r="A14" s="23">
        <v>42527.396481481483</v>
      </c>
      <c r="B14" s="22" t="s">
        <v>192</v>
      </c>
      <c r="C14" s="22" t="s">
        <v>222</v>
      </c>
      <c r="D14" s="22" t="s">
        <v>52</v>
      </c>
      <c r="E14" s="22" t="s">
        <v>60</v>
      </c>
      <c r="F14" s="22">
        <v>150</v>
      </c>
      <c r="G14" s="22">
        <v>39</v>
      </c>
      <c r="H14" s="22">
        <v>633</v>
      </c>
      <c r="I14" s="22" t="s">
        <v>61</v>
      </c>
      <c r="J14" s="22">
        <v>0</v>
      </c>
      <c r="K14" s="21" t="s">
        <v>55</v>
      </c>
      <c r="L14" s="21" t="str">
        <f>VLOOKUP(C14,'Trips&amp;Operators'!$C$1:$E$9999,3,FALSE)</f>
        <v>BRABO</v>
      </c>
      <c r="M14" s="20" t="s">
        <v>68</v>
      </c>
      <c r="N14" s="21"/>
      <c r="P14" s="80" t="str">
        <f>VLOOKUP(C14,'Train Runs'!$A$3:$T$257,20,0)</f>
        <v>https://search-rtdc-monitor-bjffxe2xuh6vdkpspy63sjmuny.us-east-1.es.amazonaws.com/_plugin/kibana/#/discover/Steve-Slow-Train-Analysis-(2080s-and-2083s)?_g=(refreshInterval:(display:Off,section:0,value:0),time:(from:'2016-06-06 09:21:43-0600',mode:absolute,to:'2016-06-06 09:31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Q14" s="19" t="str">
        <f t="shared" si="1"/>
        <v>4011</v>
      </c>
    </row>
    <row r="15" spans="1:17" s="19" customFormat="1" x14ac:dyDescent="0.25">
      <c r="A15" s="23">
        <v>42527.396481481483</v>
      </c>
      <c r="B15" s="22" t="s">
        <v>192</v>
      </c>
      <c r="C15" s="22" t="s">
        <v>222</v>
      </c>
      <c r="D15" s="22" t="s">
        <v>52</v>
      </c>
      <c r="E15" s="22" t="s">
        <v>60</v>
      </c>
      <c r="F15" s="22">
        <v>150</v>
      </c>
      <c r="G15" s="22">
        <v>39</v>
      </c>
      <c r="H15" s="22">
        <v>633</v>
      </c>
      <c r="I15" s="22" t="s">
        <v>61</v>
      </c>
      <c r="J15" s="22">
        <v>0</v>
      </c>
      <c r="K15" s="21" t="s">
        <v>55</v>
      </c>
      <c r="L15" s="21" t="str">
        <f>VLOOKUP(C15,'Trips&amp;Operators'!$C$1:$E$9999,3,FALSE)</f>
        <v>BRABO</v>
      </c>
      <c r="M15" s="20" t="s">
        <v>68</v>
      </c>
      <c r="N15" s="21"/>
      <c r="P15" s="80" t="str">
        <f>VLOOKUP(C15,'Train Runs'!$A$3:$T$257,20,0)</f>
        <v>https://search-rtdc-monitor-bjffxe2xuh6vdkpspy63sjmuny.us-east-1.es.amazonaws.com/_plugin/kibana/#/discover/Steve-Slow-Train-Analysis-(2080s-and-2083s)?_g=(refreshInterval:(display:Off,section:0,value:0),time:(from:'2016-06-06 09:21:43-0600',mode:absolute,to:'2016-06-06 09:31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Q15" s="19" t="str">
        <f t="shared" si="1"/>
        <v>4011</v>
      </c>
    </row>
    <row r="16" spans="1:17" s="19" customFormat="1" x14ac:dyDescent="0.25">
      <c r="A16" s="23">
        <v>42527.420405092591</v>
      </c>
      <c r="B16" s="22" t="s">
        <v>192</v>
      </c>
      <c r="C16" s="22" t="s">
        <v>222</v>
      </c>
      <c r="D16" s="22" t="s">
        <v>52</v>
      </c>
      <c r="E16" s="22" t="s">
        <v>60</v>
      </c>
      <c r="F16" s="22">
        <v>550</v>
      </c>
      <c r="G16" s="22">
        <v>781</v>
      </c>
      <c r="H16" s="22">
        <v>218899</v>
      </c>
      <c r="I16" s="22" t="s">
        <v>61</v>
      </c>
      <c r="J16" s="22">
        <v>222090</v>
      </c>
      <c r="K16" s="21" t="s">
        <v>55</v>
      </c>
      <c r="L16" s="21" t="str">
        <f>VLOOKUP(C16,'Trips&amp;Operators'!$C$1:$E$9999,3,FALSE)</f>
        <v>BRABO</v>
      </c>
      <c r="M16" s="20" t="s">
        <v>68</v>
      </c>
      <c r="N16" s="21"/>
      <c r="P16" s="80" t="str">
        <f>VLOOKUP(C16,'Train Runs'!$A$3:$T$257,20,0)</f>
        <v>https://search-rtdc-monitor-bjffxe2xuh6vdkpspy63sjmuny.us-east-1.es.amazonaws.com/_plugin/kibana/#/discover/Steve-Slow-Train-Analysis-(2080s-and-2083s)?_g=(refreshInterval:(display:Off,section:0,value:0),time:(from:'2016-06-06 09:21:43-0600',mode:absolute,to:'2016-06-06 09:31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Q16" s="19" t="str">
        <f t="shared" si="1"/>
        <v>4011</v>
      </c>
    </row>
    <row r="17" spans="1:17" s="19" customFormat="1" x14ac:dyDescent="0.25">
      <c r="A17" s="23">
        <v>42527.494814814818</v>
      </c>
      <c r="B17" s="22" t="s">
        <v>135</v>
      </c>
      <c r="C17" s="22" t="s">
        <v>230</v>
      </c>
      <c r="D17" s="22" t="s">
        <v>52</v>
      </c>
      <c r="E17" s="22" t="s">
        <v>60</v>
      </c>
      <c r="F17" s="22">
        <v>200</v>
      </c>
      <c r="G17" s="22">
        <v>167</v>
      </c>
      <c r="H17" s="22">
        <v>27189</v>
      </c>
      <c r="I17" s="22" t="s">
        <v>61</v>
      </c>
      <c r="J17" s="22">
        <v>27333</v>
      </c>
      <c r="K17" s="21" t="s">
        <v>55</v>
      </c>
      <c r="L17" s="21" t="str">
        <f>VLOOKUP(C17,'Trips&amp;Operators'!$C$1:$E$9999,3,FALSE)</f>
        <v>LOCKLEAR</v>
      </c>
      <c r="M17" s="20" t="s">
        <v>68</v>
      </c>
      <c r="N17" s="21"/>
      <c r="P17" s="80" t="str">
        <f>VLOOKUP(C17,'Train Runs'!$A$3:$T$257,20,0)</f>
        <v>https://search-rtdc-monitor-bjffxe2xuh6vdkpspy63sjmuny.us-east-1.es.amazonaws.com/_plugin/kibana/#/discover/Steve-Slow-Train-Analysis-(2080s-and-2083s)?_g=(refreshInterval:(display:Off,section:0,value:0),time:(from:'2016-06-06 11:36:06-0600',mode:absolute,to:'2016-06-06 12:22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Q17" s="19" t="str">
        <f t="shared" si="1"/>
        <v>4020</v>
      </c>
    </row>
    <row r="18" spans="1:17" s="19" customFormat="1" x14ac:dyDescent="0.25">
      <c r="A18" s="23">
        <v>42527.608622685184</v>
      </c>
      <c r="B18" s="22" t="s">
        <v>133</v>
      </c>
      <c r="C18" s="22" t="s">
        <v>238</v>
      </c>
      <c r="D18" s="22" t="s">
        <v>57</v>
      </c>
      <c r="E18" s="22" t="s">
        <v>60</v>
      </c>
      <c r="F18" s="22">
        <v>600</v>
      </c>
      <c r="G18" s="22">
        <v>652</v>
      </c>
      <c r="H18" s="22">
        <v>184667</v>
      </c>
      <c r="I18" s="22" t="s">
        <v>61</v>
      </c>
      <c r="J18" s="22">
        <v>190834</v>
      </c>
      <c r="K18" s="21" t="s">
        <v>56</v>
      </c>
      <c r="L18" s="21" t="str">
        <f>VLOOKUP(C18,'Trips&amp;Operators'!$C$1:$E$9999,3,FALSE)</f>
        <v>LOCKLEAR</v>
      </c>
      <c r="M18" s="20" t="s">
        <v>68</v>
      </c>
      <c r="N18" s="21"/>
      <c r="P18" s="80" t="str">
        <f>VLOOKUP(C18,'Train Runs'!$A$3:$T$257,20,0)</f>
        <v>https://search-rtdc-monitor-bjffxe2xuh6vdkpspy63sjmuny.us-east-1.es.amazonaws.com/_plugin/kibana/#/discover/Steve-Slow-Train-Analysis-(2080s-and-2083s)?_g=(refreshInterval:(display:Off,section:0,value:0),time:(from:'2016-06-06 14:13:58-0600',mode:absolute,to:'2016-06-06 15:10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Q18" s="19" t="str">
        <f t="shared" si="1"/>
        <v>4019</v>
      </c>
    </row>
    <row r="19" spans="1:17" s="19" customFormat="1" x14ac:dyDescent="0.25">
      <c r="A19" s="23">
        <v>42527.62400462963</v>
      </c>
      <c r="B19" s="22" t="s">
        <v>133</v>
      </c>
      <c r="C19" s="22" t="s">
        <v>238</v>
      </c>
      <c r="D19" s="22" t="s">
        <v>52</v>
      </c>
      <c r="E19" s="22" t="s">
        <v>60</v>
      </c>
      <c r="F19" s="22">
        <v>200</v>
      </c>
      <c r="G19" s="22">
        <v>145</v>
      </c>
      <c r="H19" s="22">
        <v>30909</v>
      </c>
      <c r="I19" s="22" t="s">
        <v>61</v>
      </c>
      <c r="J19" s="22">
        <v>30562</v>
      </c>
      <c r="K19" s="21" t="s">
        <v>56</v>
      </c>
      <c r="L19" s="21" t="str">
        <f>VLOOKUP(C19,'Trips&amp;Operators'!$C$1:$E$9999,3,FALSE)</f>
        <v>LOCKLEAR</v>
      </c>
      <c r="M19" s="20" t="s">
        <v>68</v>
      </c>
      <c r="N19" s="21"/>
      <c r="P19" s="80" t="str">
        <f>VLOOKUP(C19,'Train Runs'!$A$3:$T$257,20,0)</f>
        <v>https://search-rtdc-monitor-bjffxe2xuh6vdkpspy63sjmuny.us-east-1.es.amazonaws.com/_plugin/kibana/#/discover/Steve-Slow-Train-Analysis-(2080s-and-2083s)?_g=(refreshInterval:(display:Off,section:0,value:0),time:(from:'2016-06-06 14:13:58-0600',mode:absolute,to:'2016-06-06 15:10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Q19" s="19" t="str">
        <f t="shared" si="0"/>
        <v>4019</v>
      </c>
    </row>
    <row r="20" spans="1:17" s="19" customFormat="1" x14ac:dyDescent="0.25">
      <c r="A20" s="23">
        <v>42527.645648148151</v>
      </c>
      <c r="B20" s="22" t="s">
        <v>214</v>
      </c>
      <c r="C20" s="22" t="s">
        <v>241</v>
      </c>
      <c r="D20" s="22" t="s">
        <v>57</v>
      </c>
      <c r="E20" s="22" t="s">
        <v>60</v>
      </c>
      <c r="F20" s="22">
        <v>350</v>
      </c>
      <c r="G20" s="22">
        <v>401</v>
      </c>
      <c r="H20" s="22">
        <v>225671</v>
      </c>
      <c r="I20" s="22" t="s">
        <v>61</v>
      </c>
      <c r="J20" s="22">
        <v>228668</v>
      </c>
      <c r="K20" s="21" t="s">
        <v>56</v>
      </c>
      <c r="L20" s="21" t="str">
        <f>VLOOKUP(C20,'Trips&amp;Operators'!$C$1:$E$9999,3,FALSE)</f>
        <v>REBOLETTI</v>
      </c>
      <c r="M20" s="20" t="s">
        <v>68</v>
      </c>
      <c r="N20" s="21"/>
      <c r="P20" s="80" t="str">
        <f>VLOOKUP(C20,'Train Runs'!$A$3:$T$257,20,0)</f>
        <v>https://search-rtdc-monitor-bjffxe2xuh6vdkpspy63sjmuny.us-east-1.es.amazonaws.com/_plugin/kibana/#/discover/Steve-Slow-Train-Analysis-(2080s-and-2083s)?_g=(refreshInterval:(display:Off,section:0,value:0),time:(from:'2016-06-06 15:20:11-0600',mode:absolute,to:'2016-06-06 16:05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Q20" s="19" t="str">
        <f t="shared" si="0"/>
        <v>4013</v>
      </c>
    </row>
    <row r="21" spans="1:17" s="19" customFormat="1" x14ac:dyDescent="0.25">
      <c r="A21" s="23">
        <v>42527.649756944447</v>
      </c>
      <c r="B21" s="22" t="s">
        <v>242</v>
      </c>
      <c r="C21" s="22" t="s">
        <v>243</v>
      </c>
      <c r="D21" s="22" t="s">
        <v>52</v>
      </c>
      <c r="E21" s="22" t="s">
        <v>60</v>
      </c>
      <c r="F21" s="22">
        <v>150</v>
      </c>
      <c r="G21" s="22">
        <v>136</v>
      </c>
      <c r="H21" s="22">
        <v>231527</v>
      </c>
      <c r="I21" s="22" t="s">
        <v>61</v>
      </c>
      <c r="J21" s="22">
        <v>232107</v>
      </c>
      <c r="K21" s="21" t="s">
        <v>55</v>
      </c>
      <c r="L21" s="21" t="str">
        <f>VLOOKUP(C21,'Trips&amp;Operators'!$C$1:$E$9999,3,FALSE)</f>
        <v>RIVERA</v>
      </c>
      <c r="M21" s="20" t="s">
        <v>68</v>
      </c>
      <c r="N21" s="21"/>
      <c r="P21" s="80" t="str">
        <f>VLOOKUP(C21,'Train Runs'!$A$3:$T$257,20,0)</f>
        <v>https://search-rtdc-monitor-bjffxe2xuh6vdkpspy63sjmuny.us-east-1.es.amazonaws.com/_plugin/kibana/#/discover/Steve-Slow-Train-Analysis-(2080s-and-2083s)?_g=(refreshInterval:(display:Off,section:0,value:0),time:(from:'2016-06-06 14:55:14-0600',mode:absolute,to:'2016-06-06 15:36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Q21" s="19" t="str">
        <f t="shared" si="0"/>
        <v>4044</v>
      </c>
    </row>
    <row r="22" spans="1:17" s="19" customFormat="1" x14ac:dyDescent="0.25">
      <c r="A22" s="23">
        <v>42527.686180555553</v>
      </c>
      <c r="B22" s="22" t="s">
        <v>136</v>
      </c>
      <c r="C22" s="22" t="s">
        <v>247</v>
      </c>
      <c r="D22" s="22" t="s">
        <v>52</v>
      </c>
      <c r="E22" s="22" t="s">
        <v>60</v>
      </c>
      <c r="F22" s="22">
        <v>200</v>
      </c>
      <c r="G22" s="22">
        <v>176</v>
      </c>
      <c r="H22" s="22">
        <v>30863</v>
      </c>
      <c r="I22" s="22" t="s">
        <v>61</v>
      </c>
      <c r="J22" s="22">
        <v>30562</v>
      </c>
      <c r="K22" s="21" t="s">
        <v>56</v>
      </c>
      <c r="L22" s="21" t="str">
        <f>VLOOKUP(C22,'Trips&amp;Operators'!$C$1:$E$9999,3,FALSE)</f>
        <v>BONDS</v>
      </c>
      <c r="M22" s="20" t="s">
        <v>68</v>
      </c>
      <c r="N22" s="21"/>
      <c r="P22" s="80" t="str">
        <f>VLOOKUP(C22,'Train Runs'!$A$3:$T$257,20,0)</f>
        <v>https://search-rtdc-monitor-bjffxe2xuh6vdkpspy63sjmuny.us-east-1.es.amazonaws.com/_plugin/kibana/#/discover/Steve-Slow-Train-Analysis-(2080s-and-2083s)?_g=(refreshInterval:(display:Off,section:0,value:0),time:(from:'2016-06-06 15:51:52-0600',mode:absolute,to:'2016-06-06 16:38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Q22" s="19" t="str">
        <f t="shared" si="0"/>
        <v>4039</v>
      </c>
    </row>
    <row r="23" spans="1:17" s="19" customFormat="1" x14ac:dyDescent="0.25">
      <c r="A23" s="23">
        <v>42527.962789351855</v>
      </c>
      <c r="B23" s="22" t="s">
        <v>193</v>
      </c>
      <c r="C23" s="22" t="s">
        <v>255</v>
      </c>
      <c r="D23" s="22" t="s">
        <v>52</v>
      </c>
      <c r="E23" s="22" t="s">
        <v>60</v>
      </c>
      <c r="F23" s="22">
        <v>300</v>
      </c>
      <c r="G23" s="22">
        <v>280</v>
      </c>
      <c r="H23" s="22">
        <v>20179</v>
      </c>
      <c r="I23" s="22" t="s">
        <v>61</v>
      </c>
      <c r="J23" s="22">
        <v>20338</v>
      </c>
      <c r="K23" s="21" t="s">
        <v>55</v>
      </c>
      <c r="L23" s="21" t="str">
        <f>VLOOKUP(C23,'Trips&amp;Operators'!$C$1:$E$9999,3,FALSE)</f>
        <v>YOUNG</v>
      </c>
      <c r="M23" s="20" t="s">
        <v>68</v>
      </c>
      <c r="N23" s="21"/>
      <c r="P23" s="80" t="str">
        <f>VLOOKUP(C23,'Train Runs'!$A$3:$T$257,20,0)</f>
        <v>https://search-rtdc-monitor-bjffxe2xuh6vdkpspy63sjmuny.us-east-1.es.amazonaws.com/_plugin/kibana/#/discover/Steve-Slow-Train-Analysis-(2080s-and-2083s)?_g=(refreshInterval:(display:Off,section:0,value:0),time:(from:'2016-06-06 22:43:12-0600',mode:absolute,to:'2016-06-06 23:43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Q23" s="19" t="str">
        <f t="shared" si="0"/>
        <v>4018</v>
      </c>
    </row>
    <row r="24" spans="1:17" s="19" customFormat="1" x14ac:dyDescent="0.25">
      <c r="A24" s="23">
        <v>42527.21979166667</v>
      </c>
      <c r="B24" s="22" t="s">
        <v>208</v>
      </c>
      <c r="C24" s="22" t="s">
        <v>209</v>
      </c>
      <c r="D24" s="22" t="s">
        <v>52</v>
      </c>
      <c r="E24" s="22" t="s">
        <v>58</v>
      </c>
      <c r="F24" s="22">
        <v>0</v>
      </c>
      <c r="G24" s="22">
        <v>584</v>
      </c>
      <c r="H24" s="22">
        <v>195465</v>
      </c>
      <c r="I24" s="22" t="s">
        <v>59</v>
      </c>
      <c r="J24" s="22">
        <v>191723</v>
      </c>
      <c r="K24" s="21" t="s">
        <v>56</v>
      </c>
      <c r="L24" s="21" t="str">
        <f>VLOOKUP(C24,'Trips&amp;Operators'!$C$1:$E$9999,3,FALSE)</f>
        <v>BRABO</v>
      </c>
      <c r="M24" s="20" t="s">
        <v>68</v>
      </c>
      <c r="N24" s="21" t="s">
        <v>449</v>
      </c>
      <c r="P24" s="80" t="str">
        <f>VLOOKUP(C24,'Train Runs'!$A$3:$T$257,20,0)</f>
        <v>https://search-rtdc-monitor-bjffxe2xuh6vdkpspy63sjmuny.us-east-1.es.amazonaws.com/_plugin/kibana/#/discover/Steve-Slow-Train-Analysis-(2080s-and-2083s)?_g=(refreshInterval:(display:Off,section:0,value:0),time:(from:'2016-06-06 05:05:15-0600',mode:absolute,to:'2016-06-06 05:51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Q24" s="19" t="str">
        <f t="shared" si="0"/>
        <v>4026</v>
      </c>
    </row>
    <row r="25" spans="1:17" s="19" customFormat="1" x14ac:dyDescent="0.25">
      <c r="A25" s="23">
        <v>42527.602685185186</v>
      </c>
      <c r="B25" s="22" t="s">
        <v>136</v>
      </c>
      <c r="C25" s="22" t="s">
        <v>237</v>
      </c>
      <c r="D25" s="22" t="s">
        <v>52</v>
      </c>
      <c r="E25" s="22" t="s">
        <v>58</v>
      </c>
      <c r="F25" s="22">
        <v>0</v>
      </c>
      <c r="G25" s="22">
        <v>126</v>
      </c>
      <c r="H25" s="22">
        <v>128020</v>
      </c>
      <c r="I25" s="22" t="s">
        <v>59</v>
      </c>
      <c r="J25" s="22">
        <v>127587</v>
      </c>
      <c r="K25" s="21" t="s">
        <v>56</v>
      </c>
      <c r="L25" s="21" t="str">
        <f>VLOOKUP(C25,'Trips&amp;Operators'!$C$1:$E$9999,3,FALSE)</f>
        <v>BONDS</v>
      </c>
      <c r="M25" s="20" t="s">
        <v>68</v>
      </c>
      <c r="N25" s="21" t="s">
        <v>449</v>
      </c>
      <c r="P25" s="80" t="str">
        <f>VLOOKUP(C25,'Train Runs'!$A$3:$T$257,20,0)</f>
        <v>https://search-rtdc-monitor-bjffxe2xuh6vdkpspy63sjmuny.us-east-1.es.amazonaws.com/_plugin/kibana/#/discover/Steve-Slow-Train-Analysis-(2080s-and-2083s)?_g=(refreshInterval:(display:Off,section:0,value:0),time:(from:'2016-06-06 14:01:08-0600',mode:absolute,to:'2016-06-06 14:55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Q25" s="19" t="str">
        <f t="shared" si="0"/>
        <v>4039</v>
      </c>
    </row>
    <row r="26" spans="1:17" s="19" customFormat="1" x14ac:dyDescent="0.25">
      <c r="A26" s="23">
        <v>42527.199374999997</v>
      </c>
      <c r="B26" s="22" t="s">
        <v>192</v>
      </c>
      <c r="C26" s="22" t="s">
        <v>206</v>
      </c>
      <c r="D26" s="22" t="s">
        <v>52</v>
      </c>
      <c r="E26" s="22" t="s">
        <v>207</v>
      </c>
      <c r="F26" s="22">
        <v>300</v>
      </c>
      <c r="G26" s="22">
        <v>330</v>
      </c>
      <c r="H26" s="22">
        <v>196415</v>
      </c>
      <c r="I26" s="22" t="s">
        <v>100</v>
      </c>
      <c r="J26" s="22">
        <v>197000</v>
      </c>
      <c r="K26" s="21" t="s">
        <v>55</v>
      </c>
      <c r="L26" s="21" t="str">
        <f>VLOOKUP(C26,'Trips&amp;Operators'!$C$1:$E$9999,3,FALSE)</f>
        <v>BRABO</v>
      </c>
      <c r="M26" s="20" t="s">
        <v>68</v>
      </c>
      <c r="N26" s="21"/>
      <c r="P26" s="80" t="str">
        <f>VLOOKUP(C26,'Train Runs'!$A$3:$T$257,20,0)</f>
        <v>https://search-rtdc-monitor-bjffxe2xuh6vdkpspy63sjmuny.us-east-1.es.amazonaws.com/_plugin/kibana/#/discover/Steve-Slow-Train-Analysis-(2080s-and-2083s)?_g=(refreshInterval:(display:Off,section:0,value:0),time:(from:'2016-06-06 04:07:17-0600',mode:absolute,to:'2016-06-06 04:55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Q26" s="19" t="str">
        <f t="shared" si="0"/>
        <v>4011</v>
      </c>
    </row>
    <row r="27" spans="1:17" s="19" customFormat="1" x14ac:dyDescent="0.25">
      <c r="A27" s="23">
        <v>42527.253576388888</v>
      </c>
      <c r="B27" s="22" t="s">
        <v>134</v>
      </c>
      <c r="C27" s="22" t="s">
        <v>210</v>
      </c>
      <c r="D27" s="22" t="s">
        <v>52</v>
      </c>
      <c r="E27" s="22" t="s">
        <v>53</v>
      </c>
      <c r="F27" s="22">
        <v>0</v>
      </c>
      <c r="G27" s="22">
        <v>5</v>
      </c>
      <c r="H27" s="22">
        <v>233332</v>
      </c>
      <c r="I27" s="22" t="s">
        <v>54</v>
      </c>
      <c r="J27" s="22">
        <v>233491</v>
      </c>
      <c r="K27" s="21" t="s">
        <v>55</v>
      </c>
      <c r="L27" s="21" t="str">
        <f>VLOOKUP(C27,'Trips&amp;Operators'!$C$1:$E$9999,3,FALSE)</f>
        <v>MALAVE</v>
      </c>
      <c r="M27" s="20" t="s">
        <v>68</v>
      </c>
      <c r="N27" s="21"/>
      <c r="P27" s="80" t="str">
        <f>VLOOKUP(C27,'Train Runs'!$A$3:$T$257,20,0)</f>
        <v>https://search-rtdc-monitor-bjffxe2xuh6vdkpspy63sjmuny.us-east-1.es.amazonaws.com/_plugin/kibana/#/discover/Steve-Slow-Train-Analysis-(2080s-and-2083s)?_g=(refreshInterval:(display:Off,section:0,value:0),time:(from:'2016-06-06 05:27:01-0600',mode:absolute,to:'2016-06-06 06:06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Q27" s="19" t="str">
        <f t="shared" si="0"/>
        <v>4040</v>
      </c>
    </row>
    <row r="28" spans="1:17" s="19" customFormat="1" x14ac:dyDescent="0.25">
      <c r="A28" s="23">
        <v>42527.283310185187</v>
      </c>
      <c r="B28" s="22" t="s">
        <v>211</v>
      </c>
      <c r="C28" s="22" t="s">
        <v>212</v>
      </c>
      <c r="D28" s="22" t="s">
        <v>52</v>
      </c>
      <c r="E28" s="22" t="s">
        <v>53</v>
      </c>
      <c r="F28" s="22">
        <v>0</v>
      </c>
      <c r="G28" s="22">
        <v>32</v>
      </c>
      <c r="H28" s="22">
        <v>107</v>
      </c>
      <c r="I28" s="22" t="s">
        <v>54</v>
      </c>
      <c r="J28" s="22">
        <v>1</v>
      </c>
      <c r="K28" s="21" t="s">
        <v>56</v>
      </c>
      <c r="L28" s="21" t="str">
        <f>VLOOKUP(C28,'Trips&amp;Operators'!$C$1:$E$9999,3,FALSE)</f>
        <v>COOLAHAN</v>
      </c>
      <c r="M28" s="20" t="s">
        <v>68</v>
      </c>
      <c r="N28" s="21"/>
      <c r="P28" s="80" t="str">
        <f>VLOOKUP(C28,'Train Runs'!$A$3:$T$257,20,0)</f>
        <v>https://search-rtdc-monitor-bjffxe2xuh6vdkpspy63sjmuny.us-east-1.es.amazonaws.com/_plugin/kibana/#/discover/Steve-Slow-Train-Analysis-(2080s-and-2083s)?_g=(refreshInterval:(display:Off,section:0,value:0),time:(from:'2016-06-06 06:02:36-0600',mode:absolute,to:'2016-06-06 06:49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Q28" s="19" t="str">
        <f t="shared" si="0"/>
        <v>4015</v>
      </c>
    </row>
    <row r="29" spans="1:17" s="19" customFormat="1" x14ac:dyDescent="0.25">
      <c r="A29" s="23">
        <v>42527.294027777774</v>
      </c>
      <c r="B29" s="22" t="s">
        <v>136</v>
      </c>
      <c r="C29" s="22" t="s">
        <v>213</v>
      </c>
      <c r="D29" s="22" t="s">
        <v>52</v>
      </c>
      <c r="E29" s="22" t="s">
        <v>53</v>
      </c>
      <c r="F29" s="22">
        <v>0</v>
      </c>
      <c r="G29" s="22">
        <v>9</v>
      </c>
      <c r="H29" s="22">
        <v>127</v>
      </c>
      <c r="I29" s="22" t="s">
        <v>54</v>
      </c>
      <c r="J29" s="22">
        <v>1</v>
      </c>
      <c r="K29" s="21" t="s">
        <v>56</v>
      </c>
      <c r="L29" s="21" t="str">
        <f>VLOOKUP(C29,'Trips&amp;Operators'!$C$1:$E$9999,3,FALSE)</f>
        <v>MALAVE</v>
      </c>
      <c r="M29" s="20" t="s">
        <v>68</v>
      </c>
      <c r="N29" s="21"/>
      <c r="P29" s="80" t="str">
        <f>VLOOKUP(C29,'Train Runs'!$A$3:$T$257,20,0)</f>
        <v>https://search-rtdc-monitor-bjffxe2xuh6vdkpspy63sjmuny.us-east-1.es.amazonaws.com/_plugin/kibana/#/discover/Steve-Slow-Train-Analysis-(2080s-and-2083s)?_g=(refreshInterval:(display:Off,section:0,value:0),time:(from:'2016-06-06 06:11:12-0600',mode:absolute,to:'2016-06-06 07:04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Q29" s="19" t="str">
        <f t="shared" si="0"/>
        <v>4039</v>
      </c>
    </row>
    <row r="30" spans="1:17" s="19" customFormat="1" x14ac:dyDescent="0.25">
      <c r="A30" s="23">
        <v>42527.304513888892</v>
      </c>
      <c r="B30" s="22" t="s">
        <v>214</v>
      </c>
      <c r="C30" s="22" t="s">
        <v>215</v>
      </c>
      <c r="D30" s="22" t="s">
        <v>52</v>
      </c>
      <c r="E30" s="22" t="s">
        <v>53</v>
      </c>
      <c r="F30" s="22">
        <v>0</v>
      </c>
      <c r="G30" s="22">
        <v>9</v>
      </c>
      <c r="H30" s="22">
        <v>121</v>
      </c>
      <c r="I30" s="22" t="s">
        <v>54</v>
      </c>
      <c r="J30" s="22">
        <v>1</v>
      </c>
      <c r="K30" s="21" t="s">
        <v>56</v>
      </c>
      <c r="L30" s="21" t="str">
        <f>VLOOKUP(C30,'Trips&amp;Operators'!$C$1:$E$9999,3,FALSE)</f>
        <v>STURGEON</v>
      </c>
      <c r="M30" s="20" t="s">
        <v>68</v>
      </c>
      <c r="N30" s="21"/>
      <c r="P30" s="80" t="str">
        <f>VLOOKUP(C30,'Train Runs'!$A$3:$T$257,20,0)</f>
        <v>https://search-rtdc-monitor-bjffxe2xuh6vdkpspy63sjmuny.us-east-1.es.amazonaws.com/_plugin/kibana/#/discover/Steve-Slow-Train-Analysis-(2080s-and-2083s)?_g=(refreshInterval:(display:Off,section:0,value:0),time:(from:'2016-06-06 06:33:02-0600',mode:absolute,to:'2016-06-06 07:19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Q30" s="19" t="str">
        <f t="shared" si="0"/>
        <v>4013</v>
      </c>
    </row>
    <row r="31" spans="1:17" s="19" customFormat="1" x14ac:dyDescent="0.25">
      <c r="A31" s="23">
        <v>42527.326782407406</v>
      </c>
      <c r="B31" s="22" t="s">
        <v>134</v>
      </c>
      <c r="C31" s="22" t="s">
        <v>216</v>
      </c>
      <c r="D31" s="22" t="s">
        <v>52</v>
      </c>
      <c r="E31" s="22" t="s">
        <v>53</v>
      </c>
      <c r="F31" s="22">
        <v>0</v>
      </c>
      <c r="G31" s="22">
        <v>6</v>
      </c>
      <c r="H31" s="22">
        <v>233340</v>
      </c>
      <c r="I31" s="22" t="s">
        <v>54</v>
      </c>
      <c r="J31" s="22">
        <v>233491</v>
      </c>
      <c r="K31" s="21" t="s">
        <v>55</v>
      </c>
      <c r="L31" s="21" t="str">
        <f>VLOOKUP(C31,'Trips&amp;Operators'!$C$1:$E$9999,3,FALSE)</f>
        <v>MALAVE</v>
      </c>
      <c r="M31" s="20" t="s">
        <v>68</v>
      </c>
      <c r="N31" s="21"/>
      <c r="P31" s="80" t="str">
        <f>VLOOKUP(C31,'Train Runs'!$A$3:$T$257,20,0)</f>
        <v>https://search-rtdc-monitor-bjffxe2xuh6vdkpspy63sjmuny.us-east-1.es.amazonaws.com/_plugin/kibana/#/discover/Steve-Slow-Train-Analysis-(2080s-and-2083s)?_g=(refreshInterval:(display:Off,section:0,value:0),time:(from:'2016-06-06 07:09:52-0600',mode:absolute,to:'2016-06-06 07:51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Q31" s="19" t="str">
        <f t="shared" si="0"/>
        <v>4040</v>
      </c>
    </row>
    <row r="32" spans="1:17" s="19" customFormat="1" x14ac:dyDescent="0.25">
      <c r="A32" s="23">
        <v>42527.366562499999</v>
      </c>
      <c r="B32" s="22" t="s">
        <v>136</v>
      </c>
      <c r="C32" s="22" t="s">
        <v>218</v>
      </c>
      <c r="D32" s="22" t="s">
        <v>52</v>
      </c>
      <c r="E32" s="22" t="s">
        <v>53</v>
      </c>
      <c r="F32" s="22">
        <v>0</v>
      </c>
      <c r="G32" s="22">
        <v>8</v>
      </c>
      <c r="H32" s="22">
        <v>123</v>
      </c>
      <c r="I32" s="22" t="s">
        <v>54</v>
      </c>
      <c r="J32" s="22">
        <v>1</v>
      </c>
      <c r="K32" s="21" t="s">
        <v>56</v>
      </c>
      <c r="L32" s="21" t="str">
        <f>VLOOKUP(C32,'Trips&amp;Operators'!$C$1:$E$9999,3,FALSE)</f>
        <v>MALAVE</v>
      </c>
      <c r="M32" s="20" t="s">
        <v>68</v>
      </c>
      <c r="N32" s="21"/>
      <c r="P32" s="80" t="str">
        <f>VLOOKUP(C32,'Train Runs'!$A$3:$T$257,20,0)</f>
        <v>https://search-rtdc-monitor-bjffxe2xuh6vdkpspy63sjmuny.us-east-1.es.amazonaws.com/_plugin/kibana/#/discover/Steve-Slow-Train-Analysis-(2080s-and-2083s)?_g=(refreshInterval:(display:Off,section:0,value:0),time:(from:'2016-06-06 08:06:11-0600',mode:absolute,to:'2016-06-06 08:49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Q32" s="19" t="str">
        <f t="shared" si="0"/>
        <v>4039</v>
      </c>
    </row>
    <row r="33" spans="1:17" s="19" customFormat="1" x14ac:dyDescent="0.25">
      <c r="A33" s="23">
        <v>42527.367615740739</v>
      </c>
      <c r="B33" s="22" t="s">
        <v>135</v>
      </c>
      <c r="C33" s="22" t="s">
        <v>219</v>
      </c>
      <c r="D33" s="22" t="s">
        <v>52</v>
      </c>
      <c r="E33" s="22" t="s">
        <v>53</v>
      </c>
      <c r="F33" s="22">
        <v>0</v>
      </c>
      <c r="G33" s="22">
        <v>7</v>
      </c>
      <c r="H33" s="22">
        <v>233376</v>
      </c>
      <c r="I33" s="22" t="s">
        <v>54</v>
      </c>
      <c r="J33" s="22">
        <v>233491</v>
      </c>
      <c r="K33" s="21" t="s">
        <v>55</v>
      </c>
      <c r="L33" s="21" t="str">
        <f>VLOOKUP(C33,'Trips&amp;Operators'!$C$1:$E$9999,3,FALSE)</f>
        <v>SPECTOR</v>
      </c>
      <c r="M33" s="20" t="s">
        <v>68</v>
      </c>
      <c r="N33" s="21"/>
      <c r="P33" s="80" t="str">
        <f>VLOOKUP(C33,'Train Runs'!$A$3:$T$257,20,0)</f>
        <v>https://search-rtdc-monitor-bjffxe2xuh6vdkpspy63sjmuny.us-east-1.es.amazonaws.com/_plugin/kibana/#/discover/Steve-Slow-Train-Analysis-(2080s-and-2083s)?_g=(refreshInterval:(display:Off,section:0,value:0),time:(from:'2016-06-06 08:06:48-0600',mode:absolute,to:'2016-06-06 08:50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Q33" s="19" t="str">
        <f t="shared" ref="Q33:Q42" si="2">MID(B33,13,4)</f>
        <v>4020</v>
      </c>
    </row>
    <row r="34" spans="1:17" s="19" customFormat="1" x14ac:dyDescent="0.25">
      <c r="A34" s="23">
        <v>42527.377222222225</v>
      </c>
      <c r="B34" s="22" t="s">
        <v>214</v>
      </c>
      <c r="C34" s="22" t="s">
        <v>220</v>
      </c>
      <c r="D34" s="22" t="s">
        <v>52</v>
      </c>
      <c r="E34" s="22" t="s">
        <v>53</v>
      </c>
      <c r="F34" s="22">
        <v>0</v>
      </c>
      <c r="G34" s="22">
        <v>7</v>
      </c>
      <c r="H34" s="22">
        <v>201</v>
      </c>
      <c r="I34" s="22" t="s">
        <v>54</v>
      </c>
      <c r="J34" s="22">
        <v>1</v>
      </c>
      <c r="K34" s="21" t="s">
        <v>56</v>
      </c>
      <c r="L34" s="21" t="str">
        <f>VLOOKUP(C34,'Trips&amp;Operators'!$C$1:$E$9999,3,FALSE)</f>
        <v>STURGEON</v>
      </c>
      <c r="M34" s="20" t="s">
        <v>68</v>
      </c>
      <c r="N34" s="21"/>
      <c r="P34" s="80" t="str">
        <f>VLOOKUP(C34,'Train Runs'!$A$3:$T$257,20,0)</f>
        <v>https://search-rtdc-monitor-bjffxe2xuh6vdkpspy63sjmuny.us-east-1.es.amazonaws.com/_plugin/kibana/#/discover/Steve-Slow-Train-Analysis-(2080s-and-2083s)?_g=(refreshInterval:(display:Off,section:0,value:0),time:(from:'2016-06-06 08:15:05-0600',mode:absolute,to:'2016-06-06 09:04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Q34" s="19" t="str">
        <f t="shared" si="2"/>
        <v>4013</v>
      </c>
    </row>
    <row r="35" spans="1:17" s="19" customFormat="1" x14ac:dyDescent="0.25">
      <c r="A35" s="23">
        <v>42527.388368055559</v>
      </c>
      <c r="B35" s="22" t="s">
        <v>199</v>
      </c>
      <c r="C35" s="22" t="s">
        <v>221</v>
      </c>
      <c r="D35" s="22" t="s">
        <v>52</v>
      </c>
      <c r="E35" s="22" t="s">
        <v>53</v>
      </c>
      <c r="F35" s="22">
        <v>0</v>
      </c>
      <c r="G35" s="22">
        <v>7</v>
      </c>
      <c r="H35" s="22">
        <v>116</v>
      </c>
      <c r="I35" s="22" t="s">
        <v>54</v>
      </c>
      <c r="J35" s="22">
        <v>1</v>
      </c>
      <c r="K35" s="21" t="s">
        <v>56</v>
      </c>
      <c r="L35" s="21" t="str">
        <f>VLOOKUP(C35,'Trips&amp;Operators'!$C$1:$E$9999,3,FALSE)</f>
        <v>BRABO</v>
      </c>
      <c r="M35" s="20" t="s">
        <v>68</v>
      </c>
      <c r="N35" s="21"/>
      <c r="P35" s="80" t="str">
        <f>VLOOKUP(C35,'Train Runs'!$A$3:$T$257,20,0)</f>
        <v>https://search-rtdc-monitor-bjffxe2xuh6vdkpspy63sjmuny.us-east-1.es.amazonaws.com/_plugin/kibana/#/discover/Steve-Slow-Train-Analysis-(2080s-and-2083s)?_g=(refreshInterval:(display:Off,section:0,value:0),time:(from:'2016-06-06 08:28:35-0600',mode:absolute,to:'2016-06-06 09:20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Q35" s="19" t="str">
        <f t="shared" si="2"/>
        <v>4012</v>
      </c>
    </row>
    <row r="36" spans="1:17" s="19" customFormat="1" x14ac:dyDescent="0.25">
      <c r="A36" s="23">
        <v>42527.397627314815</v>
      </c>
      <c r="B36" s="22" t="s">
        <v>80</v>
      </c>
      <c r="C36" s="22" t="s">
        <v>223</v>
      </c>
      <c r="D36" s="22" t="s">
        <v>52</v>
      </c>
      <c r="E36" s="22" t="s">
        <v>53</v>
      </c>
      <c r="F36" s="22">
        <v>0</v>
      </c>
      <c r="G36" s="22">
        <v>8</v>
      </c>
      <c r="H36" s="22">
        <v>118</v>
      </c>
      <c r="I36" s="22" t="s">
        <v>54</v>
      </c>
      <c r="J36" s="22">
        <v>1</v>
      </c>
      <c r="K36" s="21" t="s">
        <v>56</v>
      </c>
      <c r="L36" s="21" t="str">
        <f>VLOOKUP(C36,'Trips&amp;Operators'!$C$1:$E$9999,3,FALSE)</f>
        <v>YANAI</v>
      </c>
      <c r="M36" s="20" t="s">
        <v>68</v>
      </c>
      <c r="N36" s="21"/>
      <c r="P36" s="80" t="str">
        <f>VLOOKUP(C36,'Train Runs'!$A$3:$T$257,20,0)</f>
        <v>https://search-rtdc-monitor-bjffxe2xuh6vdkpspy63sjmuny.us-east-1.es.amazonaws.com/_plugin/kibana/#/discover/Steve-Slow-Train-Analysis-(2080s-and-2083s)?_g=(refreshInterval:(display:Off,section:0,value:0),time:(from:'2016-06-06 08:50:04-0600',mode:absolute,to:'2016-06-06 09:33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Q36" s="19" t="str">
        <f t="shared" si="2"/>
        <v>4032</v>
      </c>
    </row>
    <row r="37" spans="1:17" s="19" customFormat="1" x14ac:dyDescent="0.25">
      <c r="A37" s="23">
        <v>42527.422789351855</v>
      </c>
      <c r="B37" s="22" t="s">
        <v>192</v>
      </c>
      <c r="C37" s="22" t="s">
        <v>222</v>
      </c>
      <c r="D37" s="22" t="s">
        <v>52</v>
      </c>
      <c r="E37" s="22" t="s">
        <v>53</v>
      </c>
      <c r="F37" s="22">
        <v>0</v>
      </c>
      <c r="G37" s="22">
        <v>9</v>
      </c>
      <c r="H37" s="22">
        <v>231750</v>
      </c>
      <c r="I37" s="22" t="s">
        <v>54</v>
      </c>
      <c r="J37" s="22">
        <v>233491</v>
      </c>
      <c r="K37" s="21" t="s">
        <v>55</v>
      </c>
      <c r="L37" s="21" t="str">
        <f>VLOOKUP(C37,'Trips&amp;Operators'!$C$1:$E$9999,3,FALSE)</f>
        <v>BRABO</v>
      </c>
      <c r="M37" s="20" t="s">
        <v>68</v>
      </c>
      <c r="N37" s="21"/>
      <c r="P37" s="80" t="str">
        <f>VLOOKUP(C37,'Train Runs'!$A$3:$T$257,20,0)</f>
        <v>https://search-rtdc-monitor-bjffxe2xuh6vdkpspy63sjmuny.us-east-1.es.amazonaws.com/_plugin/kibana/#/discover/Steve-Slow-Train-Analysis-(2080s-and-2083s)?_g=(refreshInterval:(display:Off,section:0,value:0),time:(from:'2016-06-06 09:21:43-0600',mode:absolute,to:'2016-06-06 09:31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Q37" s="19" t="str">
        <f t="shared" si="2"/>
        <v>4011</v>
      </c>
    </row>
    <row r="38" spans="1:17" s="19" customFormat="1" x14ac:dyDescent="0.25">
      <c r="A38" s="23">
        <v>42527.429050925923</v>
      </c>
      <c r="B38" s="22" t="s">
        <v>211</v>
      </c>
      <c r="C38" s="22" t="s">
        <v>224</v>
      </c>
      <c r="D38" s="22" t="s">
        <v>52</v>
      </c>
      <c r="E38" s="22" t="s">
        <v>53</v>
      </c>
      <c r="F38" s="22">
        <v>0</v>
      </c>
      <c r="G38" s="22">
        <v>75</v>
      </c>
      <c r="H38" s="22">
        <v>260</v>
      </c>
      <c r="I38" s="22" t="s">
        <v>54</v>
      </c>
      <c r="J38" s="22">
        <v>1</v>
      </c>
      <c r="K38" s="21" t="s">
        <v>56</v>
      </c>
      <c r="L38" s="21" t="str">
        <f>VLOOKUP(C38,'Trips&amp;Operators'!$C$1:$E$9999,3,FALSE)</f>
        <v>COOLAHAN</v>
      </c>
      <c r="M38" s="20" t="s">
        <v>68</v>
      </c>
      <c r="N38" s="21"/>
      <c r="P38" s="80" t="str">
        <f>VLOOKUP(C38,'Train Runs'!$A$3:$T$257,20,0)</f>
        <v>https://search-rtdc-monitor-bjffxe2xuh6vdkpspy63sjmuny.us-east-1.es.amazonaws.com/_plugin/kibana/#/discover/Steve-Slow-Train-Analysis-(2080s-and-2083s)?_g=(refreshInterval:(display:Off,section:0,value:0),time:(from:'2016-06-06 09:30:00-0600',mode:absolute,to:'2016-06-06 10:19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Q38" s="19" t="str">
        <f t="shared" si="2"/>
        <v>4015</v>
      </c>
    </row>
    <row r="39" spans="1:17" s="19" customFormat="1" x14ac:dyDescent="0.25">
      <c r="A39" s="23">
        <v>42527.439780092594</v>
      </c>
      <c r="B39" s="22" t="s">
        <v>136</v>
      </c>
      <c r="C39" s="22" t="s">
        <v>225</v>
      </c>
      <c r="D39" s="22" t="s">
        <v>52</v>
      </c>
      <c r="E39" s="22" t="s">
        <v>53</v>
      </c>
      <c r="F39" s="22">
        <v>0</v>
      </c>
      <c r="G39" s="22">
        <v>8</v>
      </c>
      <c r="H39" s="22">
        <v>1133</v>
      </c>
      <c r="I39" s="22" t="s">
        <v>54</v>
      </c>
      <c r="J39" s="22">
        <v>839</v>
      </c>
      <c r="K39" s="21" t="s">
        <v>56</v>
      </c>
      <c r="L39" s="21" t="str">
        <f>VLOOKUP(C39,'Trips&amp;Operators'!$C$1:$E$9999,3,FALSE)</f>
        <v>MALAVE</v>
      </c>
      <c r="M39" s="20" t="s">
        <v>68</v>
      </c>
      <c r="N39" s="21"/>
      <c r="P39" s="80" t="str">
        <f>VLOOKUP(C39,'Train Runs'!$A$3:$T$257,20,0)</f>
        <v>https://search-rtdc-monitor-bjffxe2xuh6vdkpspy63sjmuny.us-east-1.es.amazonaws.com/_plugin/kibana/#/discover/Steve-Slow-Train-Analysis-(2080s-and-2083s)?_g=(refreshInterval:(display:Off,section:0,value:0),time:(from:'2016-06-06 09:52:11-0600',mode:absolute,to:'2016-06-06 10:34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Q39" s="19" t="str">
        <f t="shared" si="2"/>
        <v>4039</v>
      </c>
    </row>
    <row r="40" spans="1:17" s="19" customFormat="1" x14ac:dyDescent="0.25">
      <c r="A40" s="23">
        <v>42527.450231481482</v>
      </c>
      <c r="B40" s="22" t="s">
        <v>214</v>
      </c>
      <c r="C40" s="22" t="s">
        <v>226</v>
      </c>
      <c r="D40" s="22" t="s">
        <v>52</v>
      </c>
      <c r="E40" s="22" t="s">
        <v>53</v>
      </c>
      <c r="F40" s="22">
        <v>0</v>
      </c>
      <c r="G40" s="22">
        <v>8</v>
      </c>
      <c r="H40" s="22">
        <v>132</v>
      </c>
      <c r="I40" s="22" t="s">
        <v>54</v>
      </c>
      <c r="J40" s="22">
        <v>1</v>
      </c>
      <c r="K40" s="21" t="s">
        <v>56</v>
      </c>
      <c r="L40" s="21" t="str">
        <f>VLOOKUP(C40,'Trips&amp;Operators'!$C$1:$E$9999,3,FALSE)</f>
        <v>STURGEON</v>
      </c>
      <c r="M40" s="20" t="s">
        <v>68</v>
      </c>
      <c r="N40" s="21"/>
      <c r="P40" s="80" t="str">
        <f>VLOOKUP(C40,'Train Runs'!$A$3:$T$257,20,0)</f>
        <v>https://search-rtdc-monitor-bjffxe2xuh6vdkpspy63sjmuny.us-east-1.es.amazonaws.com/_plugin/kibana/#/discover/Steve-Slow-Train-Analysis-(2080s-and-2083s)?_g=(refreshInterval:(display:Off,section:0,value:0),time:(from:'2016-06-06 10:02:41-0600',mode:absolute,to:'2016-06-06 10:49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Q40" s="19" t="str">
        <f t="shared" si="2"/>
        <v>4013</v>
      </c>
    </row>
    <row r="41" spans="1:17" s="19" customFormat="1" x14ac:dyDescent="0.25">
      <c r="A41" s="23">
        <v>42527.473900462966</v>
      </c>
      <c r="B41" s="22" t="s">
        <v>227</v>
      </c>
      <c r="C41" s="22" t="s">
        <v>228</v>
      </c>
      <c r="D41" s="22" t="s">
        <v>52</v>
      </c>
      <c r="E41" s="22" t="s">
        <v>53</v>
      </c>
      <c r="F41" s="22">
        <v>0</v>
      </c>
      <c r="G41" s="22">
        <v>6</v>
      </c>
      <c r="H41" s="22">
        <v>233340</v>
      </c>
      <c r="I41" s="22" t="s">
        <v>54</v>
      </c>
      <c r="J41" s="22">
        <v>233491</v>
      </c>
      <c r="K41" s="21" t="s">
        <v>55</v>
      </c>
      <c r="L41" s="21" t="str">
        <f>VLOOKUP(C41,'Trips&amp;Operators'!$C$1:$E$9999,3,FALSE)</f>
        <v>COCA</v>
      </c>
      <c r="M41" s="20" t="s">
        <v>68</v>
      </c>
      <c r="N41" s="21"/>
      <c r="P41" s="80" t="str">
        <f>VLOOKUP(C41,'Train Runs'!$A$3:$T$257,20,0)</f>
        <v>https://search-rtdc-monitor-bjffxe2xuh6vdkpspy63sjmuny.us-east-1.es.amazonaws.com/_plugin/kibana/#/discover/Steve-Slow-Train-Analysis-(2080s-and-2083s)?_g=(refreshInterval:(display:Off,section:0,value:0),time:(from:'2016-06-06 10:31:52-0600',mode:absolute,to:'2016-06-06 11:23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Q41" s="19" t="str">
        <f t="shared" si="2"/>
        <v>4025</v>
      </c>
    </row>
    <row r="42" spans="1:17" s="19" customFormat="1" x14ac:dyDescent="0.25">
      <c r="A42" s="23">
        <v>42527.525439814817</v>
      </c>
      <c r="B42" s="22" t="s">
        <v>214</v>
      </c>
      <c r="C42" s="22" t="s">
        <v>231</v>
      </c>
      <c r="D42" s="22" t="s">
        <v>52</v>
      </c>
      <c r="E42" s="22" t="s">
        <v>53</v>
      </c>
      <c r="F42" s="22">
        <v>0</v>
      </c>
      <c r="G42" s="22">
        <v>5</v>
      </c>
      <c r="H42" s="22">
        <v>116</v>
      </c>
      <c r="I42" s="22" t="s">
        <v>54</v>
      </c>
      <c r="J42" s="22">
        <v>1</v>
      </c>
      <c r="K42" s="21" t="s">
        <v>56</v>
      </c>
      <c r="L42" s="21" t="str">
        <f>VLOOKUP(C42,'Trips&amp;Operators'!$C$1:$E$9999,3,FALSE)</f>
        <v>MALAVE</v>
      </c>
      <c r="M42" s="20" t="s">
        <v>68</v>
      </c>
      <c r="N42" s="21"/>
      <c r="P42" s="80" t="str">
        <f>VLOOKUP(C42,'Train Runs'!$A$3:$T$257,20,0)</f>
        <v>https://search-rtdc-monitor-bjffxe2xuh6vdkpspy63sjmuny.us-east-1.es.amazonaws.com/_plugin/kibana/#/discover/Steve-Slow-Train-Analysis-(2080s-and-2083s)?_g=(refreshInterval:(display:Off,section:0,value:0),time:(from:'2016-06-06 11:52:27-0600',mode:absolute,to:'2016-06-06 12:37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Q42" s="19" t="str">
        <f t="shared" si="2"/>
        <v>4013</v>
      </c>
    </row>
    <row r="43" spans="1:17" s="19" customFormat="1" x14ac:dyDescent="0.25">
      <c r="A43" s="23">
        <v>42527.534155092595</v>
      </c>
      <c r="B43" s="22" t="s">
        <v>199</v>
      </c>
      <c r="C43" s="22" t="s">
        <v>233</v>
      </c>
      <c r="D43" s="22" t="s">
        <v>52</v>
      </c>
      <c r="E43" s="22" t="s">
        <v>53</v>
      </c>
      <c r="F43" s="22">
        <v>0</v>
      </c>
      <c r="G43" s="22">
        <v>8</v>
      </c>
      <c r="H43" s="22">
        <v>112</v>
      </c>
      <c r="I43" s="22" t="s">
        <v>54</v>
      </c>
      <c r="J43" s="22">
        <v>1</v>
      </c>
      <c r="K43" s="21" t="s">
        <v>56</v>
      </c>
      <c r="L43" s="21" t="str">
        <f>VLOOKUP(C43,'Trips&amp;Operators'!$C$1:$E$9999,3,FALSE)</f>
        <v>RIVERA</v>
      </c>
      <c r="M43" s="20" t="s">
        <v>68</v>
      </c>
      <c r="N43" s="21"/>
      <c r="P43" s="80" t="str">
        <f>VLOOKUP(C43,'Train Runs'!$A$3:$T$257,20,0)</f>
        <v>https://search-rtdc-monitor-bjffxe2xuh6vdkpspy63sjmuny.us-east-1.es.amazonaws.com/_plugin/kibana/#/discover/Steve-Slow-Train-Analysis-(2080s-and-2083s)?_g=(refreshInterval:(display:Off,section:0,value:0),time:(from:'2016-06-06 12:00:12-0600',mode:absolute,to:'2016-06-06 12:50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Q43" s="19" t="str">
        <f t="shared" ref="Q43:Q57" si="3">MID(B43,13,4)</f>
        <v>4012</v>
      </c>
    </row>
    <row r="44" spans="1:17" s="19" customFormat="1" x14ac:dyDescent="0.25">
      <c r="A44" s="23">
        <v>42527.58084490741</v>
      </c>
      <c r="B44" s="22" t="s">
        <v>134</v>
      </c>
      <c r="C44" s="22" t="s">
        <v>234</v>
      </c>
      <c r="D44" s="22" t="s">
        <v>52</v>
      </c>
      <c r="E44" s="22" t="s">
        <v>53</v>
      </c>
      <c r="F44" s="22">
        <v>0</v>
      </c>
      <c r="G44" s="22">
        <v>104</v>
      </c>
      <c r="H44" s="22">
        <v>233079</v>
      </c>
      <c r="I44" s="22" t="s">
        <v>54</v>
      </c>
      <c r="J44" s="22">
        <v>233491</v>
      </c>
      <c r="K44" s="21" t="s">
        <v>55</v>
      </c>
      <c r="L44" s="21" t="str">
        <f>VLOOKUP(C44,'Trips&amp;Operators'!$C$1:$E$9999,3,FALSE)</f>
        <v>BONDS</v>
      </c>
      <c r="M44" s="20" t="s">
        <v>68</v>
      </c>
      <c r="N44" s="21"/>
      <c r="P44" s="80" t="str">
        <f>VLOOKUP(C44,'Train Runs'!$A$3:$T$257,20,0)</f>
        <v>https://search-rtdc-monitor-bjffxe2xuh6vdkpspy63sjmuny.us-east-1.es.amazonaws.com/_plugin/kibana/#/discover/Steve-Slow-Train-Analysis-(2080s-and-2083s)?_g=(refreshInterval:(display:Off,section:0,value:0),time:(from:'2016-06-06 13:08:06-0600',mode:absolute,to:'2016-06-06 13:58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Q44" s="19" t="str">
        <f t="shared" si="3"/>
        <v>4040</v>
      </c>
    </row>
    <row r="45" spans="1:17" s="19" customFormat="1" x14ac:dyDescent="0.25">
      <c r="A45" s="23">
        <v>42527.581331018519</v>
      </c>
      <c r="B45" s="22" t="s">
        <v>134</v>
      </c>
      <c r="C45" s="22" t="s">
        <v>234</v>
      </c>
      <c r="D45" s="22" t="s">
        <v>52</v>
      </c>
      <c r="E45" s="22" t="s">
        <v>53</v>
      </c>
      <c r="F45" s="22">
        <v>0</v>
      </c>
      <c r="G45" s="22">
        <v>37</v>
      </c>
      <c r="H45" s="22">
        <v>233297</v>
      </c>
      <c r="I45" s="22" t="s">
        <v>54</v>
      </c>
      <c r="J45" s="22">
        <v>233491</v>
      </c>
      <c r="K45" s="21" t="s">
        <v>55</v>
      </c>
      <c r="L45" s="21" t="str">
        <f>VLOOKUP(C45,'Trips&amp;Operators'!$C$1:$E$9999,3,FALSE)</f>
        <v>BONDS</v>
      </c>
      <c r="M45" s="20" t="s">
        <v>68</v>
      </c>
      <c r="N45" s="21"/>
      <c r="P45" s="80" t="str">
        <f>VLOOKUP(C45,'Train Runs'!$A$3:$T$257,20,0)</f>
        <v>https://search-rtdc-monitor-bjffxe2xuh6vdkpspy63sjmuny.us-east-1.es.amazonaws.com/_plugin/kibana/#/discover/Steve-Slow-Train-Analysis-(2080s-and-2083s)?_g=(refreshInterval:(display:Off,section:0,value:0),time:(from:'2016-06-06 13:08:06-0600',mode:absolute,to:'2016-06-06 13:58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Q45" s="19" t="str">
        <f t="shared" si="3"/>
        <v>4040</v>
      </c>
    </row>
    <row r="46" spans="1:17" s="19" customFormat="1" x14ac:dyDescent="0.25">
      <c r="A46" s="23">
        <v>42527.592129629629</v>
      </c>
      <c r="B46" s="22" t="s">
        <v>135</v>
      </c>
      <c r="C46" s="22" t="s">
        <v>236</v>
      </c>
      <c r="D46" s="22" t="s">
        <v>52</v>
      </c>
      <c r="E46" s="22" t="s">
        <v>53</v>
      </c>
      <c r="F46" s="22">
        <v>0</v>
      </c>
      <c r="G46" s="22">
        <v>30</v>
      </c>
      <c r="H46" s="22">
        <v>233431</v>
      </c>
      <c r="I46" s="22" t="s">
        <v>54</v>
      </c>
      <c r="J46" s="22">
        <v>233491</v>
      </c>
      <c r="K46" s="21" t="s">
        <v>55</v>
      </c>
      <c r="L46" s="21" t="str">
        <f>VLOOKUP(C46,'Trips&amp;Operators'!$C$1:$E$9999,3,FALSE)</f>
        <v>LOCKLEAR</v>
      </c>
      <c r="M46" s="20" t="s">
        <v>68</v>
      </c>
      <c r="N46" s="21"/>
      <c r="P46" s="80" t="str">
        <f>VLOOKUP(C46,'Train Runs'!$A$3:$T$257,20,0)</f>
        <v>https://search-rtdc-monitor-bjffxe2xuh6vdkpspy63sjmuny.us-east-1.es.amazonaws.com/_plugin/kibana/#/discover/Steve-Slow-Train-Analysis-(2080s-and-2083s)?_g=(refreshInterval:(display:Off,section:0,value:0),time:(from:'2016-06-06 13:24:15-0600',mode:absolute,to:'2016-06-06 14:13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Q46" s="19" t="str">
        <f t="shared" si="3"/>
        <v>4020</v>
      </c>
    </row>
    <row r="47" spans="1:17" s="19" customFormat="1" x14ac:dyDescent="0.25">
      <c r="A47" s="23">
        <v>42527.598703703705</v>
      </c>
      <c r="B47" s="22" t="s">
        <v>208</v>
      </c>
      <c r="C47" s="22" t="s">
        <v>235</v>
      </c>
      <c r="D47" s="22" t="s">
        <v>52</v>
      </c>
      <c r="E47" s="22" t="s">
        <v>53</v>
      </c>
      <c r="F47" s="22">
        <v>0</v>
      </c>
      <c r="G47" s="22">
        <v>8</v>
      </c>
      <c r="H47" s="22">
        <v>114</v>
      </c>
      <c r="I47" s="22" t="s">
        <v>54</v>
      </c>
      <c r="J47" s="22">
        <v>1</v>
      </c>
      <c r="K47" s="21" t="s">
        <v>56</v>
      </c>
      <c r="L47" s="21" t="str">
        <f>VLOOKUP(C47,'Trips&amp;Operators'!$C$1:$E$9999,3,FALSE)</f>
        <v>COCA</v>
      </c>
      <c r="M47" s="20" t="s">
        <v>68</v>
      </c>
      <c r="N47" s="21"/>
      <c r="P47" s="80" t="str">
        <f>VLOOKUP(C47,'Train Runs'!$A$3:$T$257,20,0)</f>
        <v>https://search-rtdc-monitor-bjffxe2xuh6vdkpspy63sjmuny.us-east-1.es.amazonaws.com/_plugin/kibana/#/discover/Steve-Slow-Train-Analysis-(2080s-and-2083s)?_g=(refreshInterval:(display:Off,section:0,value:0),time:(from:'2016-06-06 13:15:10-0600',mode:absolute,to:'2016-06-06 14:23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Q47" s="19" t="str">
        <f t="shared" si="3"/>
        <v>4026</v>
      </c>
    </row>
    <row r="48" spans="1:17" s="19" customFormat="1" x14ac:dyDescent="0.25">
      <c r="A48" s="23">
        <v>42527.628784722219</v>
      </c>
      <c r="B48" s="22" t="s">
        <v>227</v>
      </c>
      <c r="C48" s="22" t="s">
        <v>239</v>
      </c>
      <c r="D48" s="22" t="s">
        <v>52</v>
      </c>
      <c r="E48" s="22" t="s">
        <v>53</v>
      </c>
      <c r="F48" s="22">
        <v>0</v>
      </c>
      <c r="G48" s="22">
        <v>6</v>
      </c>
      <c r="H48" s="22">
        <v>233332</v>
      </c>
      <c r="I48" s="22" t="s">
        <v>54</v>
      </c>
      <c r="J48" s="22">
        <v>233491</v>
      </c>
      <c r="K48" s="21" t="s">
        <v>55</v>
      </c>
      <c r="L48" s="21" t="str">
        <f>VLOOKUP(C48,'Trips&amp;Operators'!$C$1:$E$9999,3,FALSE)</f>
        <v>COCA</v>
      </c>
      <c r="M48" s="20" t="s">
        <v>68</v>
      </c>
      <c r="N48" s="21"/>
      <c r="P48" s="80" t="str">
        <f>VLOOKUP(C48,'Train Runs'!$A$3:$T$257,20,0)</f>
        <v>https://search-rtdc-monitor-bjffxe2xuh6vdkpspy63sjmuny.us-east-1.es.amazonaws.com/_plugin/kibana/#/discover/Steve-Slow-Train-Analysis-(2080s-and-2083s)?_g=(refreshInterval:(display:Off,section:0,value:0),time:(from:'2016-06-06 14:23:51-0600',mode:absolute,to:'2016-06-06 15:06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Q48" s="19" t="str">
        <f t="shared" si="3"/>
        <v>4025</v>
      </c>
    </row>
    <row r="49" spans="1:17" s="19" customFormat="1" x14ac:dyDescent="0.25">
      <c r="A49" s="23">
        <v>42527.65997685185</v>
      </c>
      <c r="B49" s="22" t="s">
        <v>135</v>
      </c>
      <c r="C49" s="22" t="s">
        <v>244</v>
      </c>
      <c r="D49" s="22" t="s">
        <v>52</v>
      </c>
      <c r="E49" s="22" t="s">
        <v>53</v>
      </c>
      <c r="F49" s="22">
        <v>0</v>
      </c>
      <c r="G49" s="22">
        <v>72</v>
      </c>
      <c r="H49" s="22">
        <v>233251</v>
      </c>
      <c r="I49" s="22" t="s">
        <v>54</v>
      </c>
      <c r="J49" s="22">
        <v>233491</v>
      </c>
      <c r="K49" s="21" t="s">
        <v>55</v>
      </c>
      <c r="L49" s="21" t="str">
        <f>VLOOKUP(C49,'Trips&amp;Operators'!$C$1:$E$9999,3,FALSE)</f>
        <v>LOCKLEAR</v>
      </c>
      <c r="M49" s="20" t="s">
        <v>68</v>
      </c>
      <c r="N49" s="21"/>
      <c r="P49" s="80" t="str">
        <f>VLOOKUP(C49,'Train Runs'!$A$3:$T$257,20,0)</f>
        <v>https://search-rtdc-monitor-bjffxe2xuh6vdkpspy63sjmuny.us-east-1.es.amazonaws.com/_plugin/kibana/#/discover/Steve-Slow-Train-Analysis-(2080s-and-2083s)?_g=(refreshInterval:(display:Off,section:0,value:0),time:(from:'2016-06-06 15:11:59-0600',mode:absolute,to:'2016-06-06 15:51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Q49" s="19" t="str">
        <f t="shared" si="3"/>
        <v>4020</v>
      </c>
    </row>
    <row r="50" spans="1:17" s="19" customFormat="1" x14ac:dyDescent="0.25">
      <c r="A50" s="23">
        <v>42527.681469907409</v>
      </c>
      <c r="B50" s="22" t="s">
        <v>245</v>
      </c>
      <c r="C50" s="22" t="s">
        <v>246</v>
      </c>
      <c r="D50" s="22" t="s">
        <v>52</v>
      </c>
      <c r="E50" s="22" t="s">
        <v>53</v>
      </c>
      <c r="F50" s="22">
        <v>0</v>
      </c>
      <c r="G50" s="22">
        <v>8</v>
      </c>
      <c r="H50" s="22">
        <v>233414</v>
      </c>
      <c r="I50" s="22" t="s">
        <v>54</v>
      </c>
      <c r="J50" s="22">
        <v>233491</v>
      </c>
      <c r="K50" s="21" t="s">
        <v>55</v>
      </c>
      <c r="L50" s="21" t="str">
        <f>VLOOKUP(C50,'Trips&amp;Operators'!$C$1:$E$9999,3,FALSE)</f>
        <v>LOZA</v>
      </c>
      <c r="M50" s="20" t="s">
        <v>68</v>
      </c>
      <c r="N50" s="21"/>
      <c r="P50" s="80" t="str">
        <f>VLOOKUP(C50,'Train Runs'!$A$3:$T$257,20,0)</f>
        <v>https://search-rtdc-monitor-bjffxe2xuh6vdkpspy63sjmuny.us-east-1.es.amazonaws.com/_plugin/kibana/#/discover/Steve-Slow-Train-Analysis-(2080s-and-2083s)?_g=(refreshInterval:(display:Off,section:0,value:0),time:(from:'2016-06-06 15:38:06-0600',mode:absolute,to:'2016-06-06 16:22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Q50" s="19" t="str">
        <f t="shared" si="3"/>
        <v>4016</v>
      </c>
    </row>
    <row r="51" spans="1:17" s="19" customFormat="1" x14ac:dyDescent="0.25">
      <c r="A51" s="23">
        <v>42527.743692129632</v>
      </c>
      <c r="B51" s="22" t="s">
        <v>214</v>
      </c>
      <c r="C51" s="22" t="s">
        <v>248</v>
      </c>
      <c r="D51" s="22" t="s">
        <v>52</v>
      </c>
      <c r="E51" s="22" t="s">
        <v>53</v>
      </c>
      <c r="F51" s="22">
        <v>0</v>
      </c>
      <c r="G51" s="22">
        <v>58</v>
      </c>
      <c r="H51" s="22">
        <v>218</v>
      </c>
      <c r="I51" s="22" t="s">
        <v>54</v>
      </c>
      <c r="J51" s="22">
        <v>1</v>
      </c>
      <c r="K51" s="21" t="s">
        <v>56</v>
      </c>
      <c r="L51" s="21" t="str">
        <f>VLOOKUP(C51,'Trips&amp;Operators'!$C$1:$E$9999,3,FALSE)</f>
        <v>REBOLETTI</v>
      </c>
      <c r="M51" s="20" t="s">
        <v>68</v>
      </c>
      <c r="N51" s="21"/>
      <c r="P51" s="80" t="str">
        <f>VLOOKUP(C51,'Train Runs'!$A$3:$T$257,20,0)</f>
        <v>https://search-rtdc-monitor-bjffxe2xuh6vdkpspy63sjmuny.us-east-1.es.amazonaws.com/_plugin/kibana/#/discover/Steve-Slow-Train-Analysis-(2080s-and-2083s)?_g=(refreshInterval:(display:Off,section:0,value:0),time:(from:'2016-06-06 17:03:48-0600',mode:absolute,to:'2016-06-06 17:52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Q51" s="19" t="str">
        <f t="shared" si="3"/>
        <v>4013</v>
      </c>
    </row>
    <row r="52" spans="1:17" s="19" customFormat="1" x14ac:dyDescent="0.25">
      <c r="A52" s="23">
        <v>42527.820520833331</v>
      </c>
      <c r="B52" s="22" t="s">
        <v>193</v>
      </c>
      <c r="C52" s="22" t="s">
        <v>251</v>
      </c>
      <c r="D52" s="22" t="s">
        <v>52</v>
      </c>
      <c r="E52" s="22" t="s">
        <v>53</v>
      </c>
      <c r="F52" s="22">
        <v>0</v>
      </c>
      <c r="G52" s="22">
        <v>8</v>
      </c>
      <c r="H52" s="22">
        <v>233332</v>
      </c>
      <c r="I52" s="22" t="s">
        <v>54</v>
      </c>
      <c r="J52" s="22">
        <v>233491</v>
      </c>
      <c r="K52" s="21" t="s">
        <v>55</v>
      </c>
      <c r="L52" s="21" t="str">
        <f>VLOOKUP(C52,'Trips&amp;Operators'!$C$1:$E$9999,3,FALSE)</f>
        <v>YOUNG</v>
      </c>
      <c r="M52" s="20" t="s">
        <v>68</v>
      </c>
      <c r="N52" s="21"/>
      <c r="P52" s="80" t="str">
        <f>VLOOKUP(C52,'Train Runs'!$A$3:$T$257,20,0)</f>
        <v>https://search-rtdc-monitor-bjffxe2xuh6vdkpspy63sjmuny.us-east-1.es.amazonaws.com/_plugin/kibana/#/discover/Steve-Slow-Train-Analysis-(2080s-and-2083s)?_g=(refreshInterval:(display:Off,section:0,value:0),time:(from:'2016-06-06 18:56:40-0600',mode:absolute,to:'2016-06-06 19:42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Q52" s="19" t="str">
        <f t="shared" si="3"/>
        <v>4018</v>
      </c>
    </row>
    <row r="53" spans="1:17" s="19" customFormat="1" x14ac:dyDescent="0.25">
      <c r="A53" s="23">
        <v>42527.838182870371</v>
      </c>
      <c r="B53" s="22" t="s">
        <v>227</v>
      </c>
      <c r="C53" s="22" t="s">
        <v>252</v>
      </c>
      <c r="D53" s="22" t="s">
        <v>52</v>
      </c>
      <c r="E53" s="22" t="s">
        <v>53</v>
      </c>
      <c r="F53" s="22">
        <v>0</v>
      </c>
      <c r="G53" s="22">
        <v>6</v>
      </c>
      <c r="H53" s="22">
        <v>233334</v>
      </c>
      <c r="I53" s="22" t="s">
        <v>54</v>
      </c>
      <c r="J53" s="22">
        <v>233491</v>
      </c>
      <c r="K53" s="21" t="s">
        <v>55</v>
      </c>
      <c r="L53" s="21" t="str">
        <f>VLOOKUP(C53,'Trips&amp;Operators'!$C$1:$E$9999,3,FALSE)</f>
        <v>CHANDLER</v>
      </c>
      <c r="M53" s="20" t="s">
        <v>68</v>
      </c>
      <c r="N53" s="21"/>
      <c r="P53" s="80" t="str">
        <f>VLOOKUP(C53,'Train Runs'!$A$3:$T$257,20,0)</f>
        <v>https://search-rtdc-monitor-bjffxe2xuh6vdkpspy63sjmuny.us-east-1.es.amazonaws.com/_plugin/kibana/#/discover/Steve-Slow-Train-Analysis-(2080s-and-2083s)?_g=(refreshInterval:(display:Off,section:0,value:0),time:(from:'2016-06-06 19:27:37-0600',mode:absolute,to:'2016-06-06 20:08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Q53" s="19" t="str">
        <f t="shared" si="3"/>
        <v>4025</v>
      </c>
    </row>
    <row r="54" spans="1:17" s="19" customFormat="1" x14ac:dyDescent="0.25">
      <c r="A54" s="23">
        <v>42527.857951388891</v>
      </c>
      <c r="B54" s="22" t="s">
        <v>192</v>
      </c>
      <c r="C54" s="22" t="s">
        <v>253</v>
      </c>
      <c r="D54" s="22" t="s">
        <v>52</v>
      </c>
      <c r="E54" s="22" t="s">
        <v>53</v>
      </c>
      <c r="F54" s="22">
        <v>0</v>
      </c>
      <c r="G54" s="22">
        <v>4</v>
      </c>
      <c r="H54" s="22">
        <v>233332</v>
      </c>
      <c r="I54" s="22" t="s">
        <v>54</v>
      </c>
      <c r="J54" s="22">
        <v>233491</v>
      </c>
      <c r="K54" s="21" t="s">
        <v>55</v>
      </c>
      <c r="L54" s="21" t="str">
        <f>VLOOKUP(C54,'Trips&amp;Operators'!$C$1:$E$9999,3,FALSE)</f>
        <v>HONTZ</v>
      </c>
      <c r="M54" s="20" t="s">
        <v>68</v>
      </c>
      <c r="N54" s="21"/>
      <c r="P54" s="80" t="str">
        <f>VLOOKUP(C54,'Train Runs'!$A$3:$T$257,20,0)</f>
        <v>https://search-rtdc-monitor-bjffxe2xuh6vdkpspy63sjmuny.us-east-1.es.amazonaws.com/_plugin/kibana/#/discover/Steve-Slow-Train-Analysis-(2080s-and-2083s)?_g=(refreshInterval:(display:Off,section:0,value:0),time:(from:'2016-06-06 19:55:25-0600',mode:absolute,to:'2016-06-06 20:36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Q54" s="19" t="str">
        <f t="shared" si="3"/>
        <v>4011</v>
      </c>
    </row>
    <row r="55" spans="1:17" s="19" customFormat="1" x14ac:dyDescent="0.25">
      <c r="A55" s="23">
        <v>42527.877928240741</v>
      </c>
      <c r="B55" s="22" t="s">
        <v>208</v>
      </c>
      <c r="C55" s="22" t="s">
        <v>254</v>
      </c>
      <c r="D55" s="22" t="s">
        <v>52</v>
      </c>
      <c r="E55" s="22" t="s">
        <v>53</v>
      </c>
      <c r="F55" s="22">
        <v>0</v>
      </c>
      <c r="G55" s="22">
        <v>7</v>
      </c>
      <c r="H55" s="22">
        <v>136</v>
      </c>
      <c r="I55" s="22" t="s">
        <v>54</v>
      </c>
      <c r="J55" s="22">
        <v>1</v>
      </c>
      <c r="K55" s="21" t="s">
        <v>56</v>
      </c>
      <c r="L55" s="21" t="str">
        <f>VLOOKUP(C55,'Trips&amp;Operators'!$C$1:$E$9999,3,FALSE)</f>
        <v>CHANDLER</v>
      </c>
      <c r="M55" s="20" t="s">
        <v>68</v>
      </c>
      <c r="N55" s="21"/>
      <c r="P55" s="80" t="str">
        <f>VLOOKUP(C55,'Train Runs'!$A$3:$T$257,20,0)</f>
        <v>https://search-rtdc-monitor-bjffxe2xuh6vdkpspy63sjmuny.us-east-1.es.amazonaws.com/_plugin/kibana/#/discover/Steve-Slow-Train-Analysis-(2080s-and-2083s)?_g=(refreshInterval:(display:Off,section:0,value:0),time:(from:'2016-06-06 20:21:19-0600',mode:absolute,to:'2016-06-06 21:05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Q55" s="19" t="str">
        <f t="shared" si="3"/>
        <v>4026</v>
      </c>
    </row>
    <row r="56" spans="1:17" s="19" customFormat="1" x14ac:dyDescent="0.25">
      <c r="A56" s="23">
        <v>42528.005370370367</v>
      </c>
      <c r="B56" s="22" t="s">
        <v>156</v>
      </c>
      <c r="C56" s="22" t="s">
        <v>256</v>
      </c>
      <c r="D56" s="22" t="s">
        <v>52</v>
      </c>
      <c r="E56" s="22" t="s">
        <v>53</v>
      </c>
      <c r="F56" s="22">
        <v>0</v>
      </c>
      <c r="G56" s="22">
        <v>5</v>
      </c>
      <c r="H56" s="22">
        <v>233329</v>
      </c>
      <c r="I56" s="22" t="s">
        <v>54</v>
      </c>
      <c r="J56" s="22">
        <v>233491</v>
      </c>
      <c r="K56" s="21" t="s">
        <v>55</v>
      </c>
      <c r="L56" s="21" t="str">
        <f>VLOOKUP(C56,'Trips&amp;Operators'!$C$1:$E$9999,3,FALSE)</f>
        <v>NEWELL</v>
      </c>
      <c r="M56" s="20" t="s">
        <v>68</v>
      </c>
      <c r="N56" s="21"/>
      <c r="P56" s="80" t="str">
        <f>VLOOKUP(C56,'Train Runs'!$A$3:$T$257,20,0)</f>
        <v>https://search-rtdc-monitor-bjffxe2xuh6vdkpspy63sjmuny.us-east-1.es.amazonaws.com/_plugin/kibana/#/discover/Steve-Slow-Train-Analysis-(2080s-and-2083s)?_g=(refreshInterval:(display:Off,section:0,value:0),time:(from:'2016-06-06 23:06:55-0600',mode:absolute,to:'2016-06-07 00:08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Q56" s="19" t="str">
        <f t="shared" si="3"/>
        <v>4009</v>
      </c>
    </row>
    <row r="57" spans="1:17" s="19" customFormat="1" x14ac:dyDescent="0.25">
      <c r="A57" s="23">
        <v>42528.04346064815</v>
      </c>
      <c r="B57" s="22" t="s">
        <v>157</v>
      </c>
      <c r="C57" s="22" t="s">
        <v>257</v>
      </c>
      <c r="D57" s="22" t="s">
        <v>52</v>
      </c>
      <c r="E57" s="22" t="s">
        <v>53</v>
      </c>
      <c r="F57" s="22">
        <v>0</v>
      </c>
      <c r="G57" s="22">
        <v>16</v>
      </c>
      <c r="H57" s="22">
        <v>856</v>
      </c>
      <c r="I57" s="22" t="s">
        <v>54</v>
      </c>
      <c r="J57" s="22">
        <v>839</v>
      </c>
      <c r="K57" s="21" t="s">
        <v>56</v>
      </c>
      <c r="L57" s="21" t="str">
        <f>VLOOKUP(C57,'Trips&amp;Operators'!$C$1:$E$9999,3,FALSE)</f>
        <v>NEWELL</v>
      </c>
      <c r="M57" s="20" t="s">
        <v>68</v>
      </c>
      <c r="N57" s="21"/>
      <c r="P57" s="80" t="str">
        <f>VLOOKUP(C57,'Train Runs'!$A$3:$T$257,20,0)</f>
        <v>https://search-rtdc-monitor-bjffxe2xuh6vdkpspy63sjmuny.us-east-1.es.amazonaws.com/_plugin/kibana/#/discover/Steve-Slow-Train-Analysis-(2080s-and-2083s)?_g=(refreshInterval:(display:Off,section:0,value:0),time:(from:'2016-06-07 00:19:09-0600',mode:absolute,to:'2016-06-07 01:03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Q57" s="19" t="str">
        <f t="shared" si="3"/>
        <v>4010</v>
      </c>
    </row>
    <row r="58" spans="1:17" s="19" customFormat="1" ht="15.75" thickBot="1" x14ac:dyDescent="0.3">
      <c r="A58" s="41"/>
      <c r="B58" s="42"/>
      <c r="C58" s="42"/>
      <c r="D58" s="42"/>
      <c r="E58" s="42"/>
      <c r="F58" s="42"/>
      <c r="G58" s="42"/>
      <c r="H58" s="42"/>
      <c r="I58" s="42"/>
      <c r="J58" s="42"/>
      <c r="K58" s="43"/>
      <c r="L58" s="43"/>
      <c r="M58" s="44"/>
      <c r="N58" s="43"/>
      <c r="P58" s="80"/>
    </row>
    <row r="59" spans="1:17" ht="30" x14ac:dyDescent="0.25">
      <c r="B59" s="59"/>
      <c r="C59" s="59"/>
      <c r="D59" s="59"/>
      <c r="E59" s="59"/>
      <c r="F59" s="59"/>
      <c r="G59" s="59"/>
      <c r="H59" s="59"/>
      <c r="I59" s="59"/>
      <c r="J59" s="59"/>
      <c r="K59" s="18" t="s">
        <v>28</v>
      </c>
      <c r="L59" s="52"/>
      <c r="M59" s="17">
        <f>COUNTIF(M3:M57,"=Y")</f>
        <v>2</v>
      </c>
      <c r="N59" s="77"/>
    </row>
    <row r="60" spans="1:17" ht="15.75" thickBot="1" x14ac:dyDescent="0.3">
      <c r="B60" s="59"/>
      <c r="C60" s="59"/>
      <c r="D60" s="59"/>
      <c r="E60" s="59"/>
      <c r="F60" s="59"/>
      <c r="G60" s="59"/>
      <c r="H60" s="59"/>
      <c r="I60" s="59"/>
      <c r="J60" s="59"/>
      <c r="K60" s="16" t="s">
        <v>27</v>
      </c>
      <c r="L60" s="53"/>
      <c r="M60" s="15">
        <f>COUNTA(M3:M57)-M59</f>
        <v>53</v>
      </c>
    </row>
  </sheetData>
  <autoFilter ref="A2:N57">
    <sortState ref="A3:N57">
      <sortCondition ref="E2:E57"/>
    </sortState>
  </autoFilter>
  <sortState ref="A3:N63">
    <sortCondition ref="E3:E63"/>
  </sortState>
  <mergeCells count="1">
    <mergeCell ref="A1:M1"/>
  </mergeCells>
  <conditionalFormatting sqref="N2 P2 M2:M1048576">
    <cfRule type="cellIs" dxfId="13" priority="8" operator="equal">
      <formula>"Y"</formula>
    </cfRule>
  </conditionalFormatting>
  <conditionalFormatting sqref="A3:N57">
    <cfRule type="expression" dxfId="12" priority="1">
      <formula>$M3="Y"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A2" sqref="A2:B4"/>
    </sheetView>
  </sheetViews>
  <sheetFormatPr defaultRowHeight="15" x14ac:dyDescent="0.25"/>
  <cols>
    <col min="2" max="2" width="31.28515625" bestFit="1" customWidth="1"/>
  </cols>
  <sheetData>
    <row r="1" spans="1:2" s="59" customFormat="1" x14ac:dyDescent="0.25">
      <c r="A1" s="76" t="str">
        <f>"Trips that did not appear in PTC Data "&amp;TEXT(Variables!$A$2,"YYYY-mm-dd")</f>
        <v>Trips that did not appear in PTC Data 2016-06-06</v>
      </c>
      <c r="B1" s="77"/>
    </row>
    <row r="2" spans="1:2" x14ac:dyDescent="0.25">
      <c r="A2" s="60"/>
      <c r="B2" s="61"/>
    </row>
    <row r="3" spans="1:2" x14ac:dyDescent="0.25">
      <c r="A3" s="77"/>
      <c r="B3" s="77"/>
    </row>
    <row r="4" spans="1:2" x14ac:dyDescent="0.25">
      <c r="A4" s="78"/>
      <c r="B4" s="77"/>
    </row>
    <row r="5" spans="1:2" x14ac:dyDescent="0.25">
      <c r="A5" s="78"/>
      <c r="B5" s="77"/>
    </row>
    <row r="6" spans="1:2" x14ac:dyDescent="0.25">
      <c r="A6" s="78"/>
      <c r="B6" s="77"/>
    </row>
    <row r="7" spans="1:2" x14ac:dyDescent="0.25">
      <c r="A7" s="78"/>
      <c r="B7" s="77"/>
    </row>
    <row r="8" spans="1:2" x14ac:dyDescent="0.25">
      <c r="A8" s="78"/>
      <c r="B8" s="77"/>
    </row>
    <row r="9" spans="1:2" x14ac:dyDescent="0.25">
      <c r="A9" s="78"/>
      <c r="B9" s="77"/>
    </row>
    <row r="10" spans="1:2" x14ac:dyDescent="0.25">
      <c r="A10" s="78"/>
      <c r="B10" s="77"/>
    </row>
    <row r="11" spans="1:2" x14ac:dyDescent="0.25">
      <c r="A11" s="78"/>
      <c r="B11" s="77"/>
    </row>
    <row r="12" spans="1:2" x14ac:dyDescent="0.25">
      <c r="A12" s="78"/>
      <c r="B12" s="77"/>
    </row>
    <row r="13" spans="1:2" x14ac:dyDescent="0.25">
      <c r="A13" s="78"/>
      <c r="B13" s="77"/>
    </row>
  </sheetData>
  <conditionalFormatting sqref="B2">
    <cfRule type="expression" dxfId="11" priority="5">
      <formula>$P2&gt;0</formula>
    </cfRule>
    <cfRule type="expression" dxfId="10" priority="6">
      <formula>$O2&gt;0</formula>
    </cfRule>
  </conditionalFormatting>
  <conditionalFormatting sqref="A2">
    <cfRule type="expression" dxfId="9" priority="2">
      <formula>$P2&gt;0</formula>
    </cfRule>
    <cfRule type="expression" dxfId="8" priority="3">
      <formula>$O2&gt;0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" id="{EB016D9B-668F-4EEA-859B-63F0F621CEF6}">
            <xm:f>$N2&gt;Variables!$C$2</xm:f>
            <x14:dxf>
              <fill>
                <patternFill>
                  <bgColor theme="5" tint="0.79998168889431442"/>
                </patternFill>
              </fill>
            </x14:dxf>
          </x14:cfRule>
          <xm:sqref>B2</xm:sqref>
        </x14:conditionalFormatting>
        <x14:conditionalFormatting xmlns:xm="http://schemas.microsoft.com/office/excel/2006/main">
          <x14:cfRule type="expression" priority="1" id="{ABADC86D-2901-4154-A9EE-98D5CBF1F328}">
            <xm:f>$N2&gt;Variables!$C$2</xm:f>
            <x14:dxf>
              <fill>
                <patternFill>
                  <bgColor theme="5" tint="0.79998168889431442"/>
                </patternFill>
              </fill>
            </x14:dxf>
          </x14:cfRule>
          <xm:sqref>A2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E169"/>
  <sheetViews>
    <sheetView workbookViewId="0">
      <selection sqref="A1:E160"/>
    </sheetView>
  </sheetViews>
  <sheetFormatPr defaultRowHeight="15" x14ac:dyDescent="0.25"/>
  <cols>
    <col min="1" max="1" width="18.28515625" style="14" bestFit="1" customWidth="1"/>
    <col min="2" max="2" width="17" bestFit="1" customWidth="1"/>
    <col min="3" max="3" width="6.7109375" bestFit="1" customWidth="1"/>
    <col min="4" max="4" width="8" bestFit="1" customWidth="1"/>
    <col min="5" max="5" width="12.140625" bestFit="1" customWidth="1"/>
  </cols>
  <sheetData>
    <row r="1" spans="1:5" x14ac:dyDescent="0.25">
      <c r="A1" s="14">
        <v>42527.213090277779</v>
      </c>
      <c r="B1" t="s">
        <v>208</v>
      </c>
      <c r="C1" t="s">
        <v>209</v>
      </c>
      <c r="D1">
        <v>1450000</v>
      </c>
      <c r="E1" t="s">
        <v>201</v>
      </c>
    </row>
    <row r="2" spans="1:5" x14ac:dyDescent="0.25">
      <c r="A2" s="14">
        <v>42527.495891203704</v>
      </c>
      <c r="B2" t="s">
        <v>214</v>
      </c>
      <c r="C2" t="s">
        <v>231</v>
      </c>
      <c r="D2">
        <v>1310000</v>
      </c>
      <c r="E2" t="s">
        <v>126</v>
      </c>
    </row>
    <row r="3" spans="1:5" x14ac:dyDescent="0.25">
      <c r="A3" s="14">
        <v>42527.527430555558</v>
      </c>
      <c r="B3" t="s">
        <v>133</v>
      </c>
      <c r="C3" t="s">
        <v>359</v>
      </c>
      <c r="D3">
        <v>1120000</v>
      </c>
      <c r="E3" t="s">
        <v>132</v>
      </c>
    </row>
    <row r="4" spans="1:5" x14ac:dyDescent="0.25">
      <c r="A4" s="14">
        <v>42527.547002314815</v>
      </c>
      <c r="B4" t="s">
        <v>134</v>
      </c>
      <c r="C4" t="s">
        <v>234</v>
      </c>
      <c r="D4">
        <v>940000</v>
      </c>
      <c r="E4" t="s">
        <v>158</v>
      </c>
    </row>
    <row r="5" spans="1:5" x14ac:dyDescent="0.25">
      <c r="A5" s="14">
        <v>42527.568738425929</v>
      </c>
      <c r="B5" t="s">
        <v>193</v>
      </c>
      <c r="C5" t="s">
        <v>376</v>
      </c>
      <c r="D5">
        <v>1260000</v>
      </c>
      <c r="E5" t="s">
        <v>159</v>
      </c>
    </row>
    <row r="6" spans="1:5" x14ac:dyDescent="0.25">
      <c r="A6" s="14">
        <v>42527.471365740741</v>
      </c>
      <c r="B6" t="s">
        <v>211</v>
      </c>
      <c r="C6" t="s">
        <v>350</v>
      </c>
      <c r="D6">
        <v>1360000</v>
      </c>
      <c r="E6" t="s">
        <v>124</v>
      </c>
    </row>
    <row r="7" spans="1:5" x14ac:dyDescent="0.25">
      <c r="A7" s="14">
        <v>42527.663842592592</v>
      </c>
      <c r="B7" t="s">
        <v>227</v>
      </c>
      <c r="C7" t="s">
        <v>394</v>
      </c>
      <c r="D7">
        <v>1510000</v>
      </c>
      <c r="E7" t="s">
        <v>439</v>
      </c>
    </row>
    <row r="8" spans="1:5" ht="15.75" thickBot="1" x14ac:dyDescent="0.3">
      <c r="A8" s="83">
        <v>42527.733680555553</v>
      </c>
      <c r="B8" t="s">
        <v>136</v>
      </c>
      <c r="C8" t="s">
        <v>250</v>
      </c>
      <c r="D8">
        <v>940000</v>
      </c>
      <c r="E8" t="s">
        <v>158</v>
      </c>
    </row>
    <row r="9" spans="1:5" x14ac:dyDescent="0.25">
      <c r="A9" s="14">
        <v>42527.299525462964</v>
      </c>
      <c r="B9" t="s">
        <v>134</v>
      </c>
      <c r="C9" t="s">
        <v>216</v>
      </c>
      <c r="D9">
        <v>1310000</v>
      </c>
      <c r="E9" t="s">
        <v>126</v>
      </c>
    </row>
    <row r="10" spans="1:5" x14ac:dyDescent="0.25">
      <c r="A10" s="14">
        <v>42527.373599537037</v>
      </c>
      <c r="B10" t="s">
        <v>134</v>
      </c>
      <c r="C10" t="s">
        <v>327</v>
      </c>
      <c r="D10">
        <v>1310000</v>
      </c>
      <c r="E10" t="s">
        <v>126</v>
      </c>
    </row>
    <row r="11" spans="1:5" x14ac:dyDescent="0.25">
      <c r="A11" s="14">
        <v>42527.40253472222</v>
      </c>
      <c r="B11" t="s">
        <v>76</v>
      </c>
      <c r="C11" t="s">
        <v>338</v>
      </c>
      <c r="D11">
        <v>1230000</v>
      </c>
      <c r="E11" t="s">
        <v>440</v>
      </c>
    </row>
    <row r="12" spans="1:5" x14ac:dyDescent="0.25">
      <c r="A12" s="14">
        <v>42527.344976851855</v>
      </c>
      <c r="B12" t="s">
        <v>214</v>
      </c>
      <c r="C12" t="s">
        <v>220</v>
      </c>
      <c r="D12">
        <v>1480000</v>
      </c>
      <c r="E12" t="s">
        <v>137</v>
      </c>
    </row>
    <row r="13" spans="1:5" x14ac:dyDescent="0.25">
      <c r="A13" s="14">
        <v>42527.893784722219</v>
      </c>
      <c r="B13" t="s">
        <v>227</v>
      </c>
      <c r="C13" t="s">
        <v>425</v>
      </c>
      <c r="D13">
        <v>1800000</v>
      </c>
      <c r="E13" t="s">
        <v>441</v>
      </c>
    </row>
    <row r="14" spans="1:5" x14ac:dyDescent="0.25">
      <c r="A14" s="14">
        <v>42527.3278125</v>
      </c>
      <c r="B14" t="s">
        <v>76</v>
      </c>
      <c r="C14" t="s">
        <v>217</v>
      </c>
      <c r="D14">
        <v>1230000</v>
      </c>
      <c r="E14" t="s">
        <v>440</v>
      </c>
    </row>
    <row r="15" spans="1:5" x14ac:dyDescent="0.25">
      <c r="A15" s="14">
        <v>42527.231458333335</v>
      </c>
      <c r="B15" t="s">
        <v>442</v>
      </c>
      <c r="C15" t="s">
        <v>289</v>
      </c>
      <c r="D15">
        <v>1480000</v>
      </c>
      <c r="E15" t="s">
        <v>137</v>
      </c>
    </row>
    <row r="16" spans="1:5" x14ac:dyDescent="0.25">
      <c r="A16" s="14">
        <v>42527.287916666668</v>
      </c>
      <c r="B16" s="84" t="s">
        <v>245</v>
      </c>
      <c r="C16" t="s">
        <v>306</v>
      </c>
      <c r="D16">
        <v>1290000</v>
      </c>
      <c r="E16" t="s">
        <v>443</v>
      </c>
    </row>
    <row r="17" spans="1:5" x14ac:dyDescent="0.25">
      <c r="A17" s="14">
        <v>42527.274027777778</v>
      </c>
      <c r="B17" t="s">
        <v>214</v>
      </c>
      <c r="C17" t="s">
        <v>215</v>
      </c>
      <c r="D17">
        <v>1480000</v>
      </c>
      <c r="E17" t="s">
        <v>137</v>
      </c>
    </row>
    <row r="18" spans="1:5" x14ac:dyDescent="0.25">
      <c r="A18" s="14">
        <v>42527.189641203702</v>
      </c>
      <c r="B18" t="s">
        <v>214</v>
      </c>
      <c r="C18" t="s">
        <v>268</v>
      </c>
      <c r="D18">
        <v>1480000</v>
      </c>
      <c r="E18" t="s">
        <v>137</v>
      </c>
    </row>
    <row r="19" spans="1:5" x14ac:dyDescent="0.25">
      <c r="A19" s="14">
        <v>42527.379918981482</v>
      </c>
      <c r="B19" t="s">
        <v>442</v>
      </c>
      <c r="C19" t="s">
        <v>330</v>
      </c>
      <c r="D19">
        <v>1480000</v>
      </c>
      <c r="E19" t="s">
        <v>137</v>
      </c>
    </row>
    <row r="20" spans="1:5" x14ac:dyDescent="0.25">
      <c r="A20" s="14">
        <v>42527.605162037034</v>
      </c>
      <c r="B20" t="s">
        <v>442</v>
      </c>
      <c r="C20" t="s">
        <v>383</v>
      </c>
      <c r="D20">
        <v>1750000</v>
      </c>
      <c r="E20" t="s">
        <v>204</v>
      </c>
    </row>
    <row r="21" spans="1:5" x14ac:dyDescent="0.25">
      <c r="A21" s="14">
        <v>42527.412222222221</v>
      </c>
      <c r="B21" t="s">
        <v>136</v>
      </c>
      <c r="C21" t="s">
        <v>225</v>
      </c>
      <c r="D21">
        <v>1310000</v>
      </c>
      <c r="E21" t="s">
        <v>126</v>
      </c>
    </row>
    <row r="22" spans="1:5" x14ac:dyDescent="0.25">
      <c r="A22" s="14">
        <v>42527.470104166663</v>
      </c>
      <c r="B22" t="s">
        <v>134</v>
      </c>
      <c r="C22" t="s">
        <v>229</v>
      </c>
      <c r="D22">
        <v>940000</v>
      </c>
      <c r="E22" t="s">
        <v>158</v>
      </c>
    </row>
    <row r="23" spans="1:5" x14ac:dyDescent="0.25">
      <c r="A23" s="14">
        <v>42527.442986111113</v>
      </c>
      <c r="B23" t="s">
        <v>80</v>
      </c>
      <c r="C23" t="s">
        <v>339</v>
      </c>
      <c r="D23">
        <v>1230000</v>
      </c>
      <c r="E23" t="s">
        <v>440</v>
      </c>
    </row>
    <row r="24" spans="1:5" x14ac:dyDescent="0.25">
      <c r="A24" s="14">
        <v>42527.448125000003</v>
      </c>
      <c r="B24" t="s">
        <v>133</v>
      </c>
      <c r="C24" t="s">
        <v>344</v>
      </c>
      <c r="D24">
        <v>1090000</v>
      </c>
      <c r="E24" t="s">
        <v>444</v>
      </c>
    </row>
    <row r="25" spans="1:5" x14ac:dyDescent="0.25">
      <c r="A25" s="14">
        <v>42527.532835648148</v>
      </c>
      <c r="B25" t="s">
        <v>195</v>
      </c>
      <c r="C25" t="s">
        <v>362</v>
      </c>
      <c r="D25">
        <v>1260000</v>
      </c>
      <c r="E25" t="s">
        <v>159</v>
      </c>
    </row>
    <row r="26" spans="1:5" x14ac:dyDescent="0.25">
      <c r="A26" s="14">
        <v>42527.40384259259</v>
      </c>
      <c r="B26" t="s">
        <v>192</v>
      </c>
      <c r="C26" t="s">
        <v>222</v>
      </c>
      <c r="D26">
        <v>1450000</v>
      </c>
      <c r="E26" t="s">
        <v>201</v>
      </c>
    </row>
    <row r="27" spans="1:5" x14ac:dyDescent="0.25">
      <c r="A27" s="14">
        <v>42527.861076388886</v>
      </c>
      <c r="B27" s="84" t="s">
        <v>199</v>
      </c>
      <c r="C27" t="s">
        <v>419</v>
      </c>
      <c r="D27">
        <v>1440000</v>
      </c>
      <c r="E27" t="s">
        <v>160</v>
      </c>
    </row>
    <row r="28" spans="1:5" x14ac:dyDescent="0.25">
      <c r="A28" s="14">
        <v>42527.253333333334</v>
      </c>
      <c r="B28" t="s">
        <v>211</v>
      </c>
      <c r="C28" t="s">
        <v>212</v>
      </c>
      <c r="D28">
        <v>1290000</v>
      </c>
      <c r="E28" t="s">
        <v>443</v>
      </c>
    </row>
    <row r="29" spans="1:5" x14ac:dyDescent="0.25">
      <c r="A29" s="14">
        <v>42527.990891203706</v>
      </c>
      <c r="B29" t="s">
        <v>192</v>
      </c>
      <c r="C29" t="s">
        <v>434</v>
      </c>
      <c r="D29">
        <v>1440000</v>
      </c>
      <c r="E29" t="s">
        <v>160</v>
      </c>
    </row>
    <row r="30" spans="1:5" x14ac:dyDescent="0.25">
      <c r="A30" s="14">
        <v>42527.849282407406</v>
      </c>
      <c r="B30" t="s">
        <v>208</v>
      </c>
      <c r="C30" t="s">
        <v>254</v>
      </c>
      <c r="D30">
        <v>1800000</v>
      </c>
      <c r="E30" t="s">
        <v>441</v>
      </c>
    </row>
    <row r="31" spans="1:5" x14ac:dyDescent="0.25">
      <c r="A31" s="14">
        <v>42528.055625000001</v>
      </c>
      <c r="B31" t="s">
        <v>136</v>
      </c>
      <c r="C31" t="s">
        <v>437</v>
      </c>
      <c r="D31">
        <v>1280000</v>
      </c>
      <c r="E31" t="s">
        <v>203</v>
      </c>
    </row>
    <row r="32" spans="1:5" x14ac:dyDescent="0.25">
      <c r="A32" s="14">
        <v>42527.826331018521</v>
      </c>
      <c r="B32" t="s">
        <v>195</v>
      </c>
      <c r="C32" t="s">
        <v>417</v>
      </c>
      <c r="D32">
        <v>1140000</v>
      </c>
      <c r="E32" t="s">
        <v>202</v>
      </c>
    </row>
    <row r="33" spans="1:5" x14ac:dyDescent="0.25">
      <c r="A33" s="14">
        <v>42527.930960648147</v>
      </c>
      <c r="B33" t="s">
        <v>208</v>
      </c>
      <c r="C33" t="s">
        <v>426</v>
      </c>
      <c r="D33">
        <v>1800000</v>
      </c>
      <c r="E33" t="s">
        <v>441</v>
      </c>
    </row>
    <row r="34" spans="1:5" x14ac:dyDescent="0.25">
      <c r="A34" s="14">
        <v>42527.764490740738</v>
      </c>
      <c r="B34" t="s">
        <v>211</v>
      </c>
      <c r="C34" t="s">
        <v>408</v>
      </c>
      <c r="D34">
        <v>890000</v>
      </c>
      <c r="E34" t="s">
        <v>445</v>
      </c>
    </row>
    <row r="35" spans="1:5" x14ac:dyDescent="0.25">
      <c r="A35" s="14">
        <v>42527.944537037038</v>
      </c>
      <c r="B35" t="s">
        <v>199</v>
      </c>
      <c r="C35" t="s">
        <v>429</v>
      </c>
      <c r="D35">
        <v>1440000</v>
      </c>
      <c r="E35" t="s">
        <v>160</v>
      </c>
    </row>
    <row r="36" spans="1:5" x14ac:dyDescent="0.25">
      <c r="A36" s="14">
        <v>42527.672812500001</v>
      </c>
      <c r="B36" t="s">
        <v>133</v>
      </c>
      <c r="C36" t="s">
        <v>386</v>
      </c>
      <c r="D36">
        <v>1120000</v>
      </c>
      <c r="E36" t="s">
        <v>132</v>
      </c>
    </row>
    <row r="37" spans="1:5" x14ac:dyDescent="0.25">
      <c r="A37" s="14">
        <v>42527.907384259262</v>
      </c>
      <c r="B37" t="s">
        <v>195</v>
      </c>
      <c r="C37" t="s">
        <v>424</v>
      </c>
      <c r="D37">
        <v>1140000</v>
      </c>
      <c r="E37" t="s">
        <v>202</v>
      </c>
    </row>
    <row r="38" spans="1:5" x14ac:dyDescent="0.25">
      <c r="A38" s="14">
        <v>42527.641701388886</v>
      </c>
      <c r="B38" t="s">
        <v>193</v>
      </c>
      <c r="C38" t="s">
        <v>388</v>
      </c>
      <c r="D38">
        <v>1260000</v>
      </c>
      <c r="E38" t="s">
        <v>159</v>
      </c>
    </row>
    <row r="39" spans="1:5" x14ac:dyDescent="0.25">
      <c r="A39" s="14">
        <v>42528.002083333333</v>
      </c>
      <c r="B39" t="s">
        <v>208</v>
      </c>
      <c r="C39" t="s">
        <v>426</v>
      </c>
      <c r="D39">
        <v>1800000</v>
      </c>
      <c r="E39" t="s">
        <v>441</v>
      </c>
    </row>
    <row r="40" spans="1:5" x14ac:dyDescent="0.25">
      <c r="A40" s="14">
        <v>42527.422268518516</v>
      </c>
      <c r="B40" t="s">
        <v>193</v>
      </c>
      <c r="C40" t="s">
        <v>346</v>
      </c>
      <c r="D40">
        <v>1260000</v>
      </c>
      <c r="E40" t="s">
        <v>159</v>
      </c>
    </row>
    <row r="41" spans="1:5" x14ac:dyDescent="0.25">
      <c r="A41" s="14">
        <v>42527.194085648145</v>
      </c>
      <c r="B41" t="s">
        <v>135</v>
      </c>
      <c r="C41" t="s">
        <v>278</v>
      </c>
      <c r="D41">
        <v>1090000</v>
      </c>
      <c r="E41" t="s">
        <v>444</v>
      </c>
    </row>
    <row r="42" spans="1:5" x14ac:dyDescent="0.25">
      <c r="A42" s="14">
        <v>42527.396863425929</v>
      </c>
      <c r="B42" t="s">
        <v>211</v>
      </c>
      <c r="C42" t="s">
        <v>224</v>
      </c>
      <c r="D42">
        <v>1290000</v>
      </c>
      <c r="E42" t="s">
        <v>443</v>
      </c>
    </row>
    <row r="43" spans="1:5" x14ac:dyDescent="0.25">
      <c r="A43" s="14">
        <v>42527.232870370368</v>
      </c>
      <c r="B43" t="s">
        <v>133</v>
      </c>
      <c r="C43" t="s">
        <v>279</v>
      </c>
      <c r="D43">
        <v>1090000</v>
      </c>
      <c r="E43" t="s">
        <v>444</v>
      </c>
    </row>
    <row r="44" spans="1:5" x14ac:dyDescent="0.25">
      <c r="A44" s="14">
        <v>42527.228356481479</v>
      </c>
      <c r="B44" t="s">
        <v>134</v>
      </c>
      <c r="C44" t="s">
        <v>210</v>
      </c>
      <c r="D44">
        <v>1310000</v>
      </c>
      <c r="E44" t="s">
        <v>126</v>
      </c>
    </row>
    <row r="45" spans="1:5" x14ac:dyDescent="0.25">
      <c r="A45" s="14">
        <v>42527.170405092591</v>
      </c>
      <c r="B45" t="s">
        <v>211</v>
      </c>
      <c r="C45" t="s">
        <v>262</v>
      </c>
      <c r="D45">
        <v>1290000</v>
      </c>
      <c r="E45" t="s">
        <v>443</v>
      </c>
    </row>
    <row r="46" spans="1:5" x14ac:dyDescent="0.25">
      <c r="A46" s="14">
        <v>42527.173043981478</v>
      </c>
      <c r="B46" t="s">
        <v>192</v>
      </c>
      <c r="C46" t="s">
        <v>206</v>
      </c>
      <c r="D46">
        <v>1450000</v>
      </c>
      <c r="E46" t="s">
        <v>201</v>
      </c>
    </row>
    <row r="47" spans="1:5" x14ac:dyDescent="0.25">
      <c r="A47" s="14">
        <v>42527.151377314818</v>
      </c>
      <c r="B47" t="s">
        <v>134</v>
      </c>
      <c r="C47" t="s">
        <v>265</v>
      </c>
      <c r="D47">
        <v>1480000</v>
      </c>
      <c r="E47" t="s">
        <v>137</v>
      </c>
    </row>
    <row r="48" spans="1:5" x14ac:dyDescent="0.25">
      <c r="A48" s="14">
        <v>42527.929780092592</v>
      </c>
      <c r="B48" t="s">
        <v>208</v>
      </c>
      <c r="C48" t="s">
        <v>426</v>
      </c>
      <c r="D48">
        <v>1800000</v>
      </c>
      <c r="E48" t="s">
        <v>441</v>
      </c>
    </row>
    <row r="49" spans="1:5" x14ac:dyDescent="0.25">
      <c r="A49" s="14">
        <v>42527.35434027778</v>
      </c>
      <c r="B49" t="s">
        <v>199</v>
      </c>
      <c r="C49" t="s">
        <v>221</v>
      </c>
      <c r="D49">
        <v>1450000</v>
      </c>
      <c r="E49" t="s">
        <v>201</v>
      </c>
    </row>
    <row r="50" spans="1:5" x14ac:dyDescent="0.25">
      <c r="A50" s="14">
        <v>42527.929502314815</v>
      </c>
      <c r="B50" t="s">
        <v>134</v>
      </c>
      <c r="C50" t="s">
        <v>430</v>
      </c>
      <c r="D50">
        <v>1280000</v>
      </c>
      <c r="E50" t="s">
        <v>203</v>
      </c>
    </row>
    <row r="51" spans="1:5" x14ac:dyDescent="0.25">
      <c r="A51" s="14">
        <v>42527.377129629633</v>
      </c>
      <c r="B51" t="s">
        <v>133</v>
      </c>
      <c r="C51" t="s">
        <v>319</v>
      </c>
      <c r="D51">
        <v>1090000</v>
      </c>
      <c r="E51" t="s">
        <v>444</v>
      </c>
    </row>
    <row r="52" spans="1:5" x14ac:dyDescent="0.25">
      <c r="A52" s="14">
        <v>42527.738043981481</v>
      </c>
      <c r="B52" t="s">
        <v>227</v>
      </c>
      <c r="C52" t="s">
        <v>249</v>
      </c>
      <c r="D52">
        <v>1800000</v>
      </c>
      <c r="E52" t="s">
        <v>441</v>
      </c>
    </row>
    <row r="53" spans="1:5" x14ac:dyDescent="0.25">
      <c r="A53" s="14">
        <v>42527.634421296294</v>
      </c>
      <c r="B53" t="s">
        <v>135</v>
      </c>
      <c r="C53" t="s">
        <v>244</v>
      </c>
      <c r="D53">
        <v>1120000</v>
      </c>
      <c r="E53" t="s">
        <v>132</v>
      </c>
    </row>
    <row r="54" spans="1:5" x14ac:dyDescent="0.25">
      <c r="A54" s="14">
        <v>42527.70653935185</v>
      </c>
      <c r="B54" t="s">
        <v>135</v>
      </c>
      <c r="C54" t="s">
        <v>401</v>
      </c>
      <c r="D54">
        <v>1120000</v>
      </c>
      <c r="E54" t="s">
        <v>132</v>
      </c>
    </row>
    <row r="55" spans="1:5" x14ac:dyDescent="0.25">
      <c r="A55" s="14">
        <v>42527.69425925926</v>
      </c>
      <c r="B55" t="s">
        <v>134</v>
      </c>
      <c r="C55" t="s">
        <v>399</v>
      </c>
      <c r="D55">
        <v>940000</v>
      </c>
      <c r="E55" t="s">
        <v>158</v>
      </c>
    </row>
    <row r="56" spans="1:5" x14ac:dyDescent="0.25">
      <c r="A56" s="14">
        <v>42528.004594907405</v>
      </c>
      <c r="B56" t="s">
        <v>208</v>
      </c>
      <c r="C56" t="s">
        <v>426</v>
      </c>
      <c r="D56">
        <v>1800000</v>
      </c>
      <c r="E56" t="s">
        <v>441</v>
      </c>
    </row>
    <row r="57" spans="1:5" x14ac:dyDescent="0.25">
      <c r="A57" s="14">
        <v>42527.758113425924</v>
      </c>
      <c r="B57" t="s">
        <v>242</v>
      </c>
      <c r="C57" t="s">
        <v>413</v>
      </c>
      <c r="D57">
        <v>1440000</v>
      </c>
      <c r="E57" t="s">
        <v>160</v>
      </c>
    </row>
    <row r="58" spans="1:5" x14ac:dyDescent="0.25">
      <c r="A58" s="14">
        <v>42527.830474537041</v>
      </c>
      <c r="B58" t="s">
        <v>192</v>
      </c>
      <c r="C58" t="s">
        <v>253</v>
      </c>
      <c r="D58">
        <v>1440000</v>
      </c>
      <c r="E58" t="s">
        <v>160</v>
      </c>
    </row>
    <row r="59" spans="1:5" x14ac:dyDescent="0.25">
      <c r="A59" s="14">
        <v>42527.58016203704</v>
      </c>
      <c r="B59" t="s">
        <v>245</v>
      </c>
      <c r="C59" t="s">
        <v>378</v>
      </c>
      <c r="D59">
        <v>890000</v>
      </c>
      <c r="E59" t="s">
        <v>445</v>
      </c>
    </row>
    <row r="60" spans="1:5" x14ac:dyDescent="0.25">
      <c r="A60" s="14">
        <v>42527.776261574072</v>
      </c>
      <c r="B60" t="s">
        <v>208</v>
      </c>
      <c r="C60" t="s">
        <v>410</v>
      </c>
      <c r="D60">
        <v>1800000</v>
      </c>
      <c r="E60" t="s">
        <v>441</v>
      </c>
    </row>
    <row r="61" spans="1:5" x14ac:dyDescent="0.25">
      <c r="A61" s="14">
        <v>42527.594166666669</v>
      </c>
      <c r="B61" t="s">
        <v>133</v>
      </c>
      <c r="C61" t="s">
        <v>238</v>
      </c>
      <c r="D61">
        <v>1120000</v>
      </c>
      <c r="E61" t="s">
        <v>132</v>
      </c>
    </row>
    <row r="62" spans="1:5" x14ac:dyDescent="0.25">
      <c r="A62" s="14">
        <v>42527.929027777776</v>
      </c>
      <c r="B62" t="s">
        <v>208</v>
      </c>
      <c r="C62" t="s">
        <v>426</v>
      </c>
      <c r="D62">
        <v>1800000</v>
      </c>
      <c r="E62" t="s">
        <v>441</v>
      </c>
    </row>
    <row r="63" spans="1:5" x14ac:dyDescent="0.25">
      <c r="A63" s="14">
        <v>42527.712037037039</v>
      </c>
      <c r="B63" t="s">
        <v>214</v>
      </c>
      <c r="C63" t="s">
        <v>248</v>
      </c>
      <c r="D63">
        <v>1750000</v>
      </c>
      <c r="E63" t="s">
        <v>204</v>
      </c>
    </row>
    <row r="64" spans="1:5" x14ac:dyDescent="0.25">
      <c r="A64" s="14">
        <v>42527.680983796294</v>
      </c>
      <c r="B64" t="s">
        <v>195</v>
      </c>
      <c r="C64" t="s">
        <v>389</v>
      </c>
      <c r="D64">
        <v>1260000</v>
      </c>
      <c r="E64" t="s">
        <v>159</v>
      </c>
    </row>
    <row r="65" spans="1:5" x14ac:dyDescent="0.25">
      <c r="A65" s="14">
        <v>42527.971238425926</v>
      </c>
      <c r="B65" t="s">
        <v>136</v>
      </c>
      <c r="C65" t="s">
        <v>431</v>
      </c>
      <c r="D65">
        <v>1280000</v>
      </c>
      <c r="E65" t="s">
        <v>203</v>
      </c>
    </row>
    <row r="66" spans="1:5" x14ac:dyDescent="0.25">
      <c r="A66" s="14">
        <v>42527.662118055552</v>
      </c>
      <c r="B66" t="s">
        <v>136</v>
      </c>
      <c r="C66" t="s">
        <v>247</v>
      </c>
      <c r="D66">
        <v>940000</v>
      </c>
      <c r="E66" t="s">
        <v>158</v>
      </c>
    </row>
    <row r="67" spans="1:5" x14ac:dyDescent="0.25">
      <c r="A67" s="14">
        <v>42528.014513888891</v>
      </c>
      <c r="B67" t="s">
        <v>157</v>
      </c>
      <c r="C67" t="s">
        <v>257</v>
      </c>
      <c r="D67">
        <v>1810000</v>
      </c>
      <c r="E67" t="s">
        <v>446</v>
      </c>
    </row>
    <row r="68" spans="1:5" x14ac:dyDescent="0.25">
      <c r="A68" s="14">
        <v>42527.455451388887</v>
      </c>
      <c r="B68" t="s">
        <v>442</v>
      </c>
      <c r="C68" t="s">
        <v>353</v>
      </c>
      <c r="D68">
        <v>1310000</v>
      </c>
      <c r="E68" t="s">
        <v>126</v>
      </c>
    </row>
    <row r="69" spans="1:5" x14ac:dyDescent="0.25">
      <c r="A69" s="14">
        <v>42527.338599537034</v>
      </c>
      <c r="B69" t="s">
        <v>136</v>
      </c>
      <c r="C69" t="s">
        <v>218</v>
      </c>
      <c r="D69">
        <v>1310000</v>
      </c>
      <c r="E69" t="s">
        <v>126</v>
      </c>
    </row>
    <row r="70" spans="1:5" x14ac:dyDescent="0.25">
      <c r="A70" s="14">
        <v>42527.440243055556</v>
      </c>
      <c r="B70" t="s">
        <v>227</v>
      </c>
      <c r="C70" t="s">
        <v>228</v>
      </c>
      <c r="D70">
        <v>1510000</v>
      </c>
      <c r="E70" t="s">
        <v>439</v>
      </c>
    </row>
    <row r="71" spans="1:5" x14ac:dyDescent="0.25">
      <c r="A71" s="14">
        <v>42527.419652777775</v>
      </c>
      <c r="B71" t="s">
        <v>214</v>
      </c>
      <c r="C71" t="s">
        <v>226</v>
      </c>
      <c r="D71">
        <v>1480000</v>
      </c>
      <c r="E71" t="s">
        <v>137</v>
      </c>
    </row>
    <row r="72" spans="1:5" x14ac:dyDescent="0.25">
      <c r="A72" s="14">
        <v>42527.210625</v>
      </c>
      <c r="B72" t="s">
        <v>245</v>
      </c>
      <c r="C72" t="s">
        <v>284</v>
      </c>
      <c r="D72">
        <v>1290000</v>
      </c>
      <c r="E72" t="s">
        <v>443</v>
      </c>
    </row>
    <row r="73" spans="1:5" x14ac:dyDescent="0.25">
      <c r="A73" s="14">
        <v>42527.607361111113</v>
      </c>
      <c r="B73" t="s">
        <v>195</v>
      </c>
      <c r="C73" t="s">
        <v>377</v>
      </c>
      <c r="D73">
        <v>1260000</v>
      </c>
      <c r="E73" t="s">
        <v>159</v>
      </c>
    </row>
    <row r="74" spans="1:5" x14ac:dyDescent="0.25">
      <c r="A74" s="14">
        <v>42527.181481481479</v>
      </c>
      <c r="B74" t="s">
        <v>76</v>
      </c>
      <c r="C74" t="s">
        <v>273</v>
      </c>
      <c r="D74">
        <v>1230000</v>
      </c>
      <c r="E74" t="s">
        <v>440</v>
      </c>
    </row>
    <row r="75" spans="1:5" x14ac:dyDescent="0.25">
      <c r="A75" s="14">
        <v>42527.682523148149</v>
      </c>
      <c r="B75" t="s">
        <v>242</v>
      </c>
      <c r="C75" t="s">
        <v>397</v>
      </c>
      <c r="D75">
        <v>1470000</v>
      </c>
      <c r="E75" t="s">
        <v>161</v>
      </c>
    </row>
    <row r="76" spans="1:5" x14ac:dyDescent="0.25">
      <c r="A76" s="14">
        <v>42527.693333333336</v>
      </c>
      <c r="B76" t="s">
        <v>211</v>
      </c>
      <c r="C76" t="s">
        <v>391</v>
      </c>
      <c r="D76">
        <v>890000</v>
      </c>
      <c r="E76" t="s">
        <v>445</v>
      </c>
    </row>
    <row r="77" spans="1:5" x14ac:dyDescent="0.25">
      <c r="A77" s="14">
        <v>42527.892523148148</v>
      </c>
      <c r="B77" t="s">
        <v>227</v>
      </c>
      <c r="C77" t="s">
        <v>426</v>
      </c>
      <c r="D77">
        <v>1800000</v>
      </c>
      <c r="E77" t="s">
        <v>441</v>
      </c>
    </row>
    <row r="78" spans="1:5" x14ac:dyDescent="0.25">
      <c r="A78" s="14">
        <v>42527.601053240738</v>
      </c>
      <c r="B78" t="s">
        <v>227</v>
      </c>
      <c r="C78" t="s">
        <v>239</v>
      </c>
      <c r="D78">
        <v>1510000</v>
      </c>
      <c r="E78" t="s">
        <v>439</v>
      </c>
    </row>
    <row r="79" spans="1:5" x14ac:dyDescent="0.25">
      <c r="A79" s="14">
        <v>42527.947858796295</v>
      </c>
      <c r="B79" t="s">
        <v>193</v>
      </c>
      <c r="C79" t="s">
        <v>255</v>
      </c>
      <c r="D79">
        <v>1140000</v>
      </c>
      <c r="E79" t="s">
        <v>202</v>
      </c>
    </row>
    <row r="80" spans="1:5" x14ac:dyDescent="0.25">
      <c r="A80" s="14">
        <v>42527.553368055553</v>
      </c>
      <c r="B80" t="s">
        <v>208</v>
      </c>
      <c r="C80" t="s">
        <v>235</v>
      </c>
      <c r="D80">
        <v>1510000</v>
      </c>
      <c r="E80" t="s">
        <v>439</v>
      </c>
    </row>
    <row r="81" spans="1:5" x14ac:dyDescent="0.25">
      <c r="A81" s="14">
        <v>42527.965474537035</v>
      </c>
      <c r="B81" t="s">
        <v>156</v>
      </c>
      <c r="C81" t="s">
        <v>256</v>
      </c>
      <c r="D81">
        <v>1810000</v>
      </c>
      <c r="E81" t="s">
        <v>446</v>
      </c>
    </row>
    <row r="82" spans="1:5" x14ac:dyDescent="0.25">
      <c r="A82" s="14">
        <v>42527.501504629632</v>
      </c>
      <c r="B82" t="s">
        <v>199</v>
      </c>
      <c r="C82" t="s">
        <v>233</v>
      </c>
      <c r="D82">
        <v>1470000</v>
      </c>
      <c r="E82" t="s">
        <v>161</v>
      </c>
    </row>
    <row r="83" spans="1:5" x14ac:dyDescent="0.25">
      <c r="A83" s="14">
        <v>42527.990983796299</v>
      </c>
      <c r="B83" t="s">
        <v>195</v>
      </c>
      <c r="C83" t="s">
        <v>432</v>
      </c>
      <c r="D83">
        <v>1140000</v>
      </c>
      <c r="E83" t="s">
        <v>202</v>
      </c>
    </row>
    <row r="84" spans="1:5" x14ac:dyDescent="0.25">
      <c r="A84" s="14">
        <v>42527.464016203703</v>
      </c>
      <c r="B84" t="s">
        <v>192</v>
      </c>
      <c r="C84" t="s">
        <v>355</v>
      </c>
      <c r="D84">
        <v>1470000</v>
      </c>
      <c r="E84" t="s">
        <v>161</v>
      </c>
    </row>
    <row r="85" spans="1:5" x14ac:dyDescent="0.25">
      <c r="A85" s="14">
        <v>42527.244363425925</v>
      </c>
      <c r="B85" t="s">
        <v>195</v>
      </c>
      <c r="C85" t="s">
        <v>283</v>
      </c>
      <c r="D85">
        <v>1360000</v>
      </c>
      <c r="E85" t="s">
        <v>124</v>
      </c>
    </row>
    <row r="86" spans="1:5" x14ac:dyDescent="0.25">
      <c r="A86" s="14">
        <v>42527.483356481483</v>
      </c>
      <c r="B86" t="s">
        <v>208</v>
      </c>
      <c r="C86" t="s">
        <v>351</v>
      </c>
      <c r="D86">
        <v>1510000</v>
      </c>
      <c r="E86" t="s">
        <v>439</v>
      </c>
    </row>
    <row r="87" spans="1:5" x14ac:dyDescent="0.25">
      <c r="A87" s="14">
        <v>42527.461122685185</v>
      </c>
      <c r="B87" t="s">
        <v>195</v>
      </c>
      <c r="C87" t="s">
        <v>347</v>
      </c>
      <c r="D87">
        <v>1260000</v>
      </c>
      <c r="E87" t="s">
        <v>159</v>
      </c>
    </row>
    <row r="88" spans="1:5" x14ac:dyDescent="0.25">
      <c r="A88" s="14">
        <v>42527.417523148149</v>
      </c>
      <c r="B88" t="s">
        <v>214</v>
      </c>
      <c r="C88" t="s">
        <v>330</v>
      </c>
      <c r="D88">
        <v>1480000</v>
      </c>
      <c r="E88" t="s">
        <v>137</v>
      </c>
    </row>
    <row r="89" spans="1:5" x14ac:dyDescent="0.25">
      <c r="A89" s="14">
        <v>42527.482418981483</v>
      </c>
      <c r="B89" t="s">
        <v>208</v>
      </c>
      <c r="C89" t="s">
        <v>351</v>
      </c>
      <c r="D89">
        <v>1510000</v>
      </c>
      <c r="E89" t="s">
        <v>439</v>
      </c>
    </row>
    <row r="90" spans="1:5" x14ac:dyDescent="0.25">
      <c r="A90" s="14">
        <v>42527.306898148148</v>
      </c>
      <c r="B90" t="s">
        <v>442</v>
      </c>
      <c r="C90" t="s">
        <v>312</v>
      </c>
      <c r="D90">
        <v>1480000</v>
      </c>
      <c r="E90" t="s">
        <v>137</v>
      </c>
    </row>
    <row r="91" spans="1:5" x14ac:dyDescent="0.25">
      <c r="A91" s="14">
        <v>42527.508738425924</v>
      </c>
      <c r="B91" t="s">
        <v>245</v>
      </c>
      <c r="C91" t="s">
        <v>364</v>
      </c>
      <c r="D91">
        <v>890000</v>
      </c>
      <c r="E91" t="s">
        <v>445</v>
      </c>
    </row>
    <row r="92" spans="1:5" x14ac:dyDescent="0.25">
      <c r="A92" s="14">
        <v>42527.220532407409</v>
      </c>
      <c r="B92" t="s">
        <v>80</v>
      </c>
      <c r="C92" t="s">
        <v>276</v>
      </c>
      <c r="D92">
        <v>1230000</v>
      </c>
      <c r="E92" t="s">
        <v>440</v>
      </c>
    </row>
    <row r="93" spans="1:5" x14ac:dyDescent="0.25">
      <c r="A93" s="14">
        <v>42527.536585648151</v>
      </c>
      <c r="B93" t="s">
        <v>192</v>
      </c>
      <c r="C93" t="s">
        <v>370</v>
      </c>
      <c r="D93">
        <v>1470000</v>
      </c>
      <c r="E93" t="s">
        <v>161</v>
      </c>
    </row>
    <row r="94" spans="1:5" x14ac:dyDescent="0.25">
      <c r="A94" s="14">
        <v>42527.652430555558</v>
      </c>
      <c r="B94" t="s">
        <v>106</v>
      </c>
      <c r="C94" t="s">
        <v>384</v>
      </c>
      <c r="D94">
        <v>1470000</v>
      </c>
      <c r="E94" t="s">
        <v>161</v>
      </c>
    </row>
    <row r="95" spans="1:5" x14ac:dyDescent="0.25">
      <c r="A95" s="14">
        <v>42527.771122685182</v>
      </c>
      <c r="B95" t="s">
        <v>134</v>
      </c>
      <c r="C95" t="s">
        <v>415</v>
      </c>
      <c r="D95">
        <v>1280000</v>
      </c>
      <c r="E95" t="s">
        <v>203</v>
      </c>
    </row>
    <row r="96" spans="1:5" x14ac:dyDescent="0.25">
      <c r="A96" s="14">
        <v>42527.259085648147</v>
      </c>
      <c r="B96" t="s">
        <v>136</v>
      </c>
      <c r="C96" t="s">
        <v>213</v>
      </c>
      <c r="D96">
        <v>1310000</v>
      </c>
      <c r="E96" t="s">
        <v>126</v>
      </c>
    </row>
    <row r="97" spans="1:5" x14ac:dyDescent="0.25">
      <c r="A97" s="14">
        <v>42527.783819444441</v>
      </c>
      <c r="B97" t="s">
        <v>214</v>
      </c>
      <c r="C97" t="s">
        <v>412</v>
      </c>
      <c r="D97">
        <v>1750000</v>
      </c>
      <c r="E97" t="s">
        <v>204</v>
      </c>
    </row>
    <row r="98" spans="1:5" x14ac:dyDescent="0.25">
      <c r="A98" s="14">
        <v>42527.83153935185</v>
      </c>
      <c r="B98" t="s">
        <v>192</v>
      </c>
      <c r="C98" t="s">
        <v>253</v>
      </c>
      <c r="D98">
        <v>1440000</v>
      </c>
      <c r="E98" t="s">
        <v>160</v>
      </c>
    </row>
    <row r="99" spans="1:5" x14ac:dyDescent="0.25">
      <c r="A99" s="14">
        <v>42527.792384259257</v>
      </c>
      <c r="B99" t="s">
        <v>106</v>
      </c>
      <c r="C99" t="s">
        <v>414</v>
      </c>
      <c r="D99">
        <v>1440000</v>
      </c>
      <c r="E99" t="s">
        <v>160</v>
      </c>
    </row>
    <row r="100" spans="1:5" x14ac:dyDescent="0.25">
      <c r="A100" s="14">
        <v>42527.516782407409</v>
      </c>
      <c r="B100" t="s">
        <v>227</v>
      </c>
      <c r="C100" t="s">
        <v>367</v>
      </c>
      <c r="D100">
        <v>1510000</v>
      </c>
      <c r="E100" t="s">
        <v>439</v>
      </c>
    </row>
    <row r="101" spans="1:5" x14ac:dyDescent="0.25">
      <c r="A101" s="14">
        <v>42527.890532407408</v>
      </c>
      <c r="B101" t="s">
        <v>136</v>
      </c>
      <c r="C101" t="s">
        <v>421</v>
      </c>
      <c r="D101">
        <v>1280000</v>
      </c>
      <c r="E101" t="s">
        <v>203</v>
      </c>
    </row>
    <row r="102" spans="1:5" x14ac:dyDescent="0.25">
      <c r="A102" s="14">
        <v>42527.432766203703</v>
      </c>
      <c r="B102" t="s">
        <v>245</v>
      </c>
      <c r="C102" t="s">
        <v>348</v>
      </c>
      <c r="D102">
        <v>1360000</v>
      </c>
      <c r="E102" t="s">
        <v>124</v>
      </c>
    </row>
    <row r="103" spans="1:5" x14ac:dyDescent="0.25">
      <c r="A103" s="14">
        <v>42527.131655092591</v>
      </c>
      <c r="B103" t="s">
        <v>193</v>
      </c>
      <c r="C103" t="s">
        <v>259</v>
      </c>
      <c r="D103">
        <v>1290000</v>
      </c>
      <c r="E103" t="s">
        <v>443</v>
      </c>
    </row>
    <row r="104" spans="1:5" x14ac:dyDescent="0.25">
      <c r="A104" s="14">
        <v>42527.315648148149</v>
      </c>
      <c r="B104" t="s">
        <v>195</v>
      </c>
      <c r="C104" t="s">
        <v>305</v>
      </c>
      <c r="D104">
        <v>1360000</v>
      </c>
      <c r="E104" t="s">
        <v>124</v>
      </c>
    </row>
    <row r="105" spans="1:5" x14ac:dyDescent="0.25">
      <c r="A105" s="14">
        <v>42527.326273148145</v>
      </c>
      <c r="B105" t="s">
        <v>211</v>
      </c>
      <c r="C105" t="s">
        <v>308</v>
      </c>
      <c r="D105">
        <v>1290000</v>
      </c>
      <c r="E105" t="s">
        <v>443</v>
      </c>
    </row>
    <row r="106" spans="1:5" x14ac:dyDescent="0.25">
      <c r="A106" s="14">
        <v>42527.211261574077</v>
      </c>
      <c r="B106" t="s">
        <v>208</v>
      </c>
      <c r="C106" t="s">
        <v>209</v>
      </c>
      <c r="D106">
        <v>1450000</v>
      </c>
      <c r="E106" t="s">
        <v>201</v>
      </c>
    </row>
    <row r="107" spans="1:5" x14ac:dyDescent="0.25">
      <c r="A107" s="14">
        <v>42527.36142361111</v>
      </c>
      <c r="B107" t="s">
        <v>245</v>
      </c>
      <c r="C107" t="s">
        <v>324</v>
      </c>
      <c r="D107">
        <v>1290000</v>
      </c>
      <c r="E107" t="s">
        <v>443</v>
      </c>
    </row>
    <row r="108" spans="1:5" x14ac:dyDescent="0.25">
      <c r="A108" s="14">
        <v>42527.897881944446</v>
      </c>
      <c r="B108" t="s">
        <v>227</v>
      </c>
      <c r="C108" t="s">
        <v>425</v>
      </c>
      <c r="D108">
        <v>1800000</v>
      </c>
      <c r="E108" t="s">
        <v>441</v>
      </c>
    </row>
    <row r="109" spans="1:5" x14ac:dyDescent="0.25">
      <c r="A109" s="14">
        <v>42527.484710648147</v>
      </c>
      <c r="B109" t="s">
        <v>135</v>
      </c>
      <c r="C109" t="s">
        <v>230</v>
      </c>
      <c r="D109">
        <v>1120000</v>
      </c>
      <c r="E109" t="s">
        <v>132</v>
      </c>
    </row>
    <row r="110" spans="1:5" x14ac:dyDescent="0.25">
      <c r="A110" s="14">
        <v>42527.619166666664</v>
      </c>
      <c r="B110" t="s">
        <v>211</v>
      </c>
      <c r="C110" t="s">
        <v>380</v>
      </c>
      <c r="D110">
        <v>890000</v>
      </c>
      <c r="E110" t="s">
        <v>445</v>
      </c>
    </row>
    <row r="111" spans="1:5" x14ac:dyDescent="0.25">
      <c r="A111" s="14">
        <v>42527.564976851849</v>
      </c>
      <c r="B111" t="s">
        <v>214</v>
      </c>
      <c r="C111" t="s">
        <v>369</v>
      </c>
      <c r="D111">
        <v>1750000</v>
      </c>
      <c r="E111" t="s">
        <v>204</v>
      </c>
    </row>
    <row r="112" spans="1:5" x14ac:dyDescent="0.25">
      <c r="A112" s="14">
        <v>42527.58520833333</v>
      </c>
      <c r="B112" t="s">
        <v>136</v>
      </c>
      <c r="C112" t="s">
        <v>237</v>
      </c>
      <c r="D112">
        <v>940000</v>
      </c>
      <c r="E112" t="s">
        <v>158</v>
      </c>
    </row>
    <row r="113" spans="1:5" x14ac:dyDescent="0.25">
      <c r="A113" s="14">
        <v>42527.577418981484</v>
      </c>
      <c r="B113" t="s">
        <v>199</v>
      </c>
      <c r="C113" t="s">
        <v>372</v>
      </c>
      <c r="D113">
        <v>1470000</v>
      </c>
      <c r="E113" t="s">
        <v>161</v>
      </c>
    </row>
    <row r="114" spans="1:5" x14ac:dyDescent="0.25">
      <c r="A114" s="14">
        <v>42527.843495370369</v>
      </c>
      <c r="B114" t="s">
        <v>134</v>
      </c>
      <c r="C114" t="s">
        <v>420</v>
      </c>
      <c r="D114">
        <v>1280000</v>
      </c>
      <c r="E114" t="s">
        <v>203</v>
      </c>
    </row>
    <row r="115" spans="1:5" x14ac:dyDescent="0.25">
      <c r="A115" s="14">
        <v>42527.723981481482</v>
      </c>
      <c r="B115" t="s">
        <v>245</v>
      </c>
      <c r="C115" t="s">
        <v>406</v>
      </c>
      <c r="D115">
        <v>890000</v>
      </c>
      <c r="E115" t="s">
        <v>445</v>
      </c>
    </row>
    <row r="116" spans="1:5" x14ac:dyDescent="0.25">
      <c r="A116" s="14">
        <v>42527.652499999997</v>
      </c>
      <c r="B116" t="s">
        <v>245</v>
      </c>
      <c r="C116" t="s">
        <v>246</v>
      </c>
      <c r="D116">
        <v>890000</v>
      </c>
      <c r="E116" t="s">
        <v>445</v>
      </c>
    </row>
    <row r="117" spans="1:5" x14ac:dyDescent="0.25">
      <c r="A117" s="14">
        <v>42527.339120370372</v>
      </c>
      <c r="B117" t="s">
        <v>135</v>
      </c>
      <c r="C117" t="s">
        <v>219</v>
      </c>
      <c r="D117">
        <v>1090000</v>
      </c>
      <c r="E117" t="s">
        <v>444</v>
      </c>
    </row>
    <row r="118" spans="1:5" x14ac:dyDescent="0.25">
      <c r="A118" s="14">
        <v>42527.559571759259</v>
      </c>
      <c r="B118" t="s">
        <v>135</v>
      </c>
      <c r="C118" t="s">
        <v>236</v>
      </c>
      <c r="D118">
        <v>1120000</v>
      </c>
      <c r="E118" t="s">
        <v>132</v>
      </c>
    </row>
    <row r="119" spans="1:5" x14ac:dyDescent="0.25">
      <c r="A119" s="14">
        <v>42527.496539351851</v>
      </c>
      <c r="B119" t="s">
        <v>193</v>
      </c>
      <c r="C119" t="s">
        <v>361</v>
      </c>
      <c r="D119">
        <v>1260000</v>
      </c>
      <c r="E119" t="s">
        <v>159</v>
      </c>
    </row>
    <row r="120" spans="1:5" x14ac:dyDescent="0.25">
      <c r="A120" s="14">
        <v>42527.790393518517</v>
      </c>
      <c r="B120" t="s">
        <v>193</v>
      </c>
      <c r="C120" t="s">
        <v>251</v>
      </c>
      <c r="D120">
        <v>1140000</v>
      </c>
      <c r="E120" t="s">
        <v>202</v>
      </c>
    </row>
    <row r="121" spans="1:5" x14ac:dyDescent="0.25">
      <c r="A121" s="14">
        <v>42527.546689814815</v>
      </c>
      <c r="B121" t="s">
        <v>211</v>
      </c>
      <c r="C121" t="s">
        <v>365</v>
      </c>
      <c r="D121">
        <v>890000</v>
      </c>
      <c r="E121" t="s">
        <v>445</v>
      </c>
    </row>
    <row r="122" spans="1:5" x14ac:dyDescent="0.25">
      <c r="A122" s="14">
        <v>42527.684398148151</v>
      </c>
      <c r="B122" t="s">
        <v>242</v>
      </c>
      <c r="C122" t="s">
        <v>397</v>
      </c>
      <c r="D122">
        <v>1470000</v>
      </c>
      <c r="E122" t="s">
        <v>161</v>
      </c>
    </row>
    <row r="123" spans="1:5" x14ac:dyDescent="0.25">
      <c r="A123" s="14">
        <v>42527.266469907408</v>
      </c>
      <c r="B123" t="s">
        <v>135</v>
      </c>
      <c r="C123" t="s">
        <v>299</v>
      </c>
      <c r="D123">
        <v>1090000</v>
      </c>
      <c r="E123" t="s">
        <v>444</v>
      </c>
    </row>
    <row r="124" spans="1:5" x14ac:dyDescent="0.25">
      <c r="A124" s="14">
        <v>42527.640335648146</v>
      </c>
      <c r="B124" t="s">
        <v>214</v>
      </c>
      <c r="C124" t="s">
        <v>241</v>
      </c>
      <c r="D124">
        <v>1750000</v>
      </c>
      <c r="E124" t="s">
        <v>204</v>
      </c>
    </row>
    <row r="125" spans="1:5" x14ac:dyDescent="0.25">
      <c r="A125" s="14">
        <v>42527.295717592591</v>
      </c>
      <c r="B125" t="s">
        <v>80</v>
      </c>
      <c r="C125" t="s">
        <v>297</v>
      </c>
      <c r="D125">
        <v>1230000</v>
      </c>
      <c r="E125" t="s">
        <v>440</v>
      </c>
    </row>
    <row r="126" spans="1:5" x14ac:dyDescent="0.25">
      <c r="A126" s="14">
        <v>42527.623136574075</v>
      </c>
      <c r="B126" t="s">
        <v>242</v>
      </c>
      <c r="C126" t="s">
        <v>243</v>
      </c>
      <c r="D126">
        <v>1470000</v>
      </c>
      <c r="E126" t="s">
        <v>161</v>
      </c>
    </row>
    <row r="127" spans="1:5" x14ac:dyDescent="0.25">
      <c r="A127" s="14">
        <v>42527.528148148151</v>
      </c>
      <c r="B127" t="s">
        <v>442</v>
      </c>
      <c r="C127" t="s">
        <v>368</v>
      </c>
      <c r="D127">
        <v>1750000</v>
      </c>
      <c r="E127" t="s">
        <v>204</v>
      </c>
    </row>
    <row r="128" spans="1:5" x14ac:dyDescent="0.25">
      <c r="A128" s="14">
        <v>42527.430300925924</v>
      </c>
      <c r="B128" t="s">
        <v>199</v>
      </c>
      <c r="C128" t="s">
        <v>336</v>
      </c>
      <c r="D128">
        <v>1450000</v>
      </c>
      <c r="E128" t="s">
        <v>201</v>
      </c>
    </row>
    <row r="129" spans="1:5" x14ac:dyDescent="0.25">
      <c r="A129" s="14">
        <v>42527.74659722222</v>
      </c>
      <c r="B129" t="s">
        <v>442</v>
      </c>
      <c r="C129" t="s">
        <v>411</v>
      </c>
      <c r="D129">
        <v>1750000</v>
      </c>
      <c r="E129" t="s">
        <v>204</v>
      </c>
    </row>
    <row r="130" spans="1:5" x14ac:dyDescent="0.25">
      <c r="A130" s="14">
        <v>42527.206099537034</v>
      </c>
      <c r="B130" t="s">
        <v>193</v>
      </c>
      <c r="C130" t="s">
        <v>280</v>
      </c>
      <c r="D130">
        <v>1360000</v>
      </c>
      <c r="E130" t="s">
        <v>124</v>
      </c>
    </row>
    <row r="131" spans="1:5" x14ac:dyDescent="0.25">
      <c r="A131" s="14">
        <v>42527.352025462962</v>
      </c>
      <c r="B131" t="s">
        <v>193</v>
      </c>
      <c r="C131" t="s">
        <v>321</v>
      </c>
      <c r="D131">
        <v>1360000</v>
      </c>
      <c r="E131" t="s">
        <v>124</v>
      </c>
    </row>
    <row r="132" spans="1:5" x14ac:dyDescent="0.25">
      <c r="A132" s="14">
        <v>42527.863564814812</v>
      </c>
      <c r="B132" t="s">
        <v>193</v>
      </c>
      <c r="C132" t="s">
        <v>422</v>
      </c>
      <c r="D132">
        <v>1140000</v>
      </c>
      <c r="E132" t="s">
        <v>202</v>
      </c>
    </row>
    <row r="133" spans="1:5" x14ac:dyDescent="0.25">
      <c r="A133" s="14">
        <v>42527.369664351849</v>
      </c>
      <c r="B133" t="s">
        <v>80</v>
      </c>
      <c r="C133" t="s">
        <v>223</v>
      </c>
      <c r="D133">
        <v>1230000</v>
      </c>
      <c r="E133" t="s">
        <v>440</v>
      </c>
    </row>
    <row r="134" spans="1:5" x14ac:dyDescent="0.25">
      <c r="A134" s="14">
        <v>42527.631909722222</v>
      </c>
      <c r="B134" t="s">
        <v>208</v>
      </c>
      <c r="C134" t="s">
        <v>382</v>
      </c>
      <c r="D134">
        <v>1510000</v>
      </c>
      <c r="E134" t="s">
        <v>439</v>
      </c>
    </row>
    <row r="135" spans="1:5" x14ac:dyDescent="0.25">
      <c r="A135" s="14">
        <v>42527.391296296293</v>
      </c>
      <c r="B135" t="s">
        <v>192</v>
      </c>
      <c r="C135" t="s">
        <v>222</v>
      </c>
      <c r="D135">
        <v>1450000</v>
      </c>
      <c r="E135" t="s">
        <v>201</v>
      </c>
    </row>
    <row r="136" spans="1:5" x14ac:dyDescent="0.25">
      <c r="A136" s="14">
        <v>42527.548321759263</v>
      </c>
      <c r="B136" t="s">
        <v>134</v>
      </c>
      <c r="C136" t="s">
        <v>234</v>
      </c>
      <c r="D136">
        <v>940000</v>
      </c>
      <c r="E136" t="s">
        <v>158</v>
      </c>
    </row>
    <row r="137" spans="1:5" x14ac:dyDescent="0.25">
      <c r="A137" s="14">
        <v>42527.248206018521</v>
      </c>
      <c r="B137" t="s">
        <v>192</v>
      </c>
      <c r="C137" t="s">
        <v>292</v>
      </c>
      <c r="D137">
        <v>1450000</v>
      </c>
      <c r="E137" t="s">
        <v>201</v>
      </c>
    </row>
    <row r="138" spans="1:5" x14ac:dyDescent="0.25">
      <c r="A138" s="14">
        <v>42527.387858796297</v>
      </c>
      <c r="B138" t="s">
        <v>195</v>
      </c>
      <c r="C138" t="s">
        <v>323</v>
      </c>
      <c r="D138">
        <v>1360000</v>
      </c>
      <c r="E138" t="s">
        <v>124</v>
      </c>
    </row>
    <row r="139" spans="1:5" x14ac:dyDescent="0.25">
      <c r="A139" s="14">
        <v>42527.283634259256</v>
      </c>
      <c r="B139" t="s">
        <v>199</v>
      </c>
      <c r="C139" t="s">
        <v>295</v>
      </c>
      <c r="D139">
        <v>1450000</v>
      </c>
      <c r="E139" t="s">
        <v>201</v>
      </c>
    </row>
    <row r="140" spans="1:5" x14ac:dyDescent="0.25">
      <c r="A140" s="14">
        <v>42527.306215277778</v>
      </c>
      <c r="B140" t="s">
        <v>133</v>
      </c>
      <c r="C140" t="s">
        <v>301</v>
      </c>
      <c r="D140">
        <v>1090000</v>
      </c>
      <c r="E140" t="s">
        <v>444</v>
      </c>
    </row>
    <row r="141" spans="1:5" x14ac:dyDescent="0.25">
      <c r="A141" s="14">
        <v>42527.513310185182</v>
      </c>
      <c r="B141" t="s">
        <v>136</v>
      </c>
      <c r="C141" t="s">
        <v>232</v>
      </c>
      <c r="D141">
        <v>940000</v>
      </c>
      <c r="E141" t="s">
        <v>158</v>
      </c>
    </row>
    <row r="142" spans="1:5" x14ac:dyDescent="0.25">
      <c r="A142" s="14">
        <v>42527.277800925927</v>
      </c>
      <c r="B142" t="s">
        <v>193</v>
      </c>
      <c r="C142" t="s">
        <v>303</v>
      </c>
      <c r="D142">
        <v>1360000</v>
      </c>
      <c r="E142" t="s">
        <v>124</v>
      </c>
    </row>
    <row r="143" spans="1:5" x14ac:dyDescent="0.25">
      <c r="A143" s="14">
        <v>42527.568460648145</v>
      </c>
      <c r="B143" t="s">
        <v>80</v>
      </c>
      <c r="C143" t="s">
        <v>438</v>
      </c>
      <c r="D143">
        <v>0</v>
      </c>
      <c r="E143" t="s">
        <v>447</v>
      </c>
    </row>
    <row r="144" spans="1:5" x14ac:dyDescent="0.25">
      <c r="A144" s="14">
        <v>42527.812256944446</v>
      </c>
      <c r="B144" t="s">
        <v>227</v>
      </c>
      <c r="C144" t="s">
        <v>252</v>
      </c>
      <c r="D144">
        <v>1800000</v>
      </c>
      <c r="E144" t="s">
        <v>441</v>
      </c>
    </row>
    <row r="145" spans="1:5" x14ac:dyDescent="0.25">
      <c r="A145" s="14">
        <v>42527.673194444447</v>
      </c>
      <c r="B145" t="s">
        <v>442</v>
      </c>
      <c r="C145" t="s">
        <v>396</v>
      </c>
      <c r="D145">
        <v>1750000</v>
      </c>
      <c r="E145" t="s">
        <v>204</v>
      </c>
    </row>
    <row r="146" spans="1:5" x14ac:dyDescent="0.25">
      <c r="A146" s="14">
        <v>42527.74591435185</v>
      </c>
      <c r="B146" t="s">
        <v>133</v>
      </c>
      <c r="C146" t="s">
        <v>402</v>
      </c>
      <c r="D146">
        <v>1120000</v>
      </c>
      <c r="E146" t="s">
        <v>132</v>
      </c>
    </row>
    <row r="147" spans="1:5" x14ac:dyDescent="0.25">
      <c r="A147" s="14">
        <v>42527.716249999998</v>
      </c>
      <c r="B147" t="s">
        <v>193</v>
      </c>
      <c r="C147" t="s">
        <v>404</v>
      </c>
      <c r="D147">
        <v>1140000</v>
      </c>
      <c r="E147" t="s">
        <v>202</v>
      </c>
    </row>
    <row r="148" spans="1:5" x14ac:dyDescent="0.25">
      <c r="A148" s="14">
        <v>42527.683182870373</v>
      </c>
      <c r="B148" t="s">
        <v>242</v>
      </c>
      <c r="C148" t="s">
        <v>397</v>
      </c>
      <c r="D148">
        <v>1470000</v>
      </c>
      <c r="E148" t="s">
        <v>161</v>
      </c>
    </row>
    <row r="149" spans="1:5" x14ac:dyDescent="0.25">
      <c r="A149" s="14">
        <v>42527.722314814811</v>
      </c>
      <c r="B149" t="s">
        <v>106</v>
      </c>
      <c r="C149" t="s">
        <v>398</v>
      </c>
      <c r="D149">
        <v>1470000</v>
      </c>
      <c r="E149" t="s">
        <v>161</v>
      </c>
    </row>
    <row r="150" spans="1:5" x14ac:dyDescent="0.25">
      <c r="A150" s="14">
        <v>42527.411469907405</v>
      </c>
      <c r="B150" t="s">
        <v>135</v>
      </c>
      <c r="C150" t="s">
        <v>341</v>
      </c>
      <c r="D150">
        <v>1090000</v>
      </c>
      <c r="E150" t="s">
        <v>444</v>
      </c>
    </row>
    <row r="151" spans="1:5" x14ac:dyDescent="0.25">
      <c r="A151" s="14">
        <v>42527.256655092591</v>
      </c>
      <c r="B151" t="s">
        <v>76</v>
      </c>
      <c r="C151" t="s">
        <v>448</v>
      </c>
      <c r="D151">
        <v>1230000</v>
      </c>
      <c r="E151" t="s">
        <v>440</v>
      </c>
    </row>
    <row r="152" spans="1:5" x14ac:dyDescent="0.25">
      <c r="A152" s="14">
        <v>42527.902187500003</v>
      </c>
      <c r="B152" t="s">
        <v>192</v>
      </c>
      <c r="C152" t="s">
        <v>428</v>
      </c>
      <c r="D152">
        <v>1440000</v>
      </c>
      <c r="E152" t="s">
        <v>160</v>
      </c>
    </row>
    <row r="153" spans="1:5" x14ac:dyDescent="0.25">
      <c r="A153" s="14">
        <v>42527.318101851852</v>
      </c>
      <c r="B153" t="s">
        <v>192</v>
      </c>
      <c r="C153" t="s">
        <v>316</v>
      </c>
      <c r="D153">
        <v>1450000</v>
      </c>
      <c r="E153" t="s">
        <v>201</v>
      </c>
    </row>
    <row r="154" spans="1:5" x14ac:dyDescent="0.25">
      <c r="A154" s="14">
        <v>42527.807268518518</v>
      </c>
      <c r="B154" t="s">
        <v>136</v>
      </c>
      <c r="C154" t="s">
        <v>416</v>
      </c>
      <c r="D154">
        <v>1280000</v>
      </c>
      <c r="E154" t="s">
        <v>203</v>
      </c>
    </row>
    <row r="155" spans="1:5" x14ac:dyDescent="0.25">
      <c r="A155" s="14">
        <v>42527.698784722219</v>
      </c>
      <c r="B155" t="s">
        <v>208</v>
      </c>
      <c r="C155" t="s">
        <v>395</v>
      </c>
      <c r="D155">
        <v>1510000</v>
      </c>
      <c r="E155" t="s">
        <v>439</v>
      </c>
    </row>
    <row r="156" spans="1:5" x14ac:dyDescent="0.25">
      <c r="A156" s="14">
        <v>42527.756307870368</v>
      </c>
      <c r="B156" t="s">
        <v>195</v>
      </c>
      <c r="C156" t="s">
        <v>405</v>
      </c>
      <c r="D156">
        <v>1140000</v>
      </c>
      <c r="E156" t="s">
        <v>202</v>
      </c>
    </row>
    <row r="157" spans="1:5" x14ac:dyDescent="0.25">
      <c r="A157" s="14">
        <v>42528.010555555556</v>
      </c>
      <c r="B157" t="s">
        <v>134</v>
      </c>
      <c r="C157" t="s">
        <v>436</v>
      </c>
      <c r="D157">
        <v>1280000</v>
      </c>
      <c r="E157" t="s">
        <v>203</v>
      </c>
    </row>
    <row r="158" spans="1:5" x14ac:dyDescent="0.25">
      <c r="A158" s="14">
        <v>42527.484872685185</v>
      </c>
      <c r="B158" t="s">
        <v>208</v>
      </c>
      <c r="C158" t="s">
        <v>351</v>
      </c>
      <c r="D158">
        <v>1510000</v>
      </c>
      <c r="E158" t="s">
        <v>439</v>
      </c>
    </row>
    <row r="159" spans="1:5" x14ac:dyDescent="0.25">
      <c r="A159" s="14">
        <v>42528.02652777778</v>
      </c>
      <c r="B159" t="s">
        <v>199</v>
      </c>
      <c r="C159" t="s">
        <v>435</v>
      </c>
      <c r="D159">
        <v>1440000</v>
      </c>
      <c r="E159" t="s">
        <v>160</v>
      </c>
    </row>
    <row r="160" spans="1:5" x14ac:dyDescent="0.25">
      <c r="A160" s="14">
        <v>42527.62295138889</v>
      </c>
      <c r="B160" t="s">
        <v>134</v>
      </c>
      <c r="C160" t="s">
        <v>240</v>
      </c>
      <c r="D160">
        <v>940000</v>
      </c>
      <c r="E160" t="s">
        <v>158</v>
      </c>
    </row>
    <row r="161" spans="1:5" x14ac:dyDescent="0.25">
      <c r="A161" s="14">
        <v>42526.343206018515</v>
      </c>
      <c r="B161" t="s">
        <v>193</v>
      </c>
      <c r="C161" t="s">
        <v>171</v>
      </c>
      <c r="D161">
        <v>1310000</v>
      </c>
      <c r="E161" t="s">
        <v>126</v>
      </c>
    </row>
    <row r="162" spans="1:5" x14ac:dyDescent="0.25">
      <c r="A162" s="14">
        <v>42526.469988425924</v>
      </c>
      <c r="B162" t="s">
        <v>80</v>
      </c>
      <c r="C162" t="s">
        <v>175</v>
      </c>
      <c r="D162">
        <v>1100000</v>
      </c>
      <c r="E162" t="s">
        <v>114</v>
      </c>
    </row>
    <row r="163" spans="1:5" x14ac:dyDescent="0.25">
      <c r="A163" s="14">
        <v>42526.446458333332</v>
      </c>
      <c r="B163" t="s">
        <v>194</v>
      </c>
      <c r="C163" t="s">
        <v>176</v>
      </c>
      <c r="D163">
        <v>1540000</v>
      </c>
      <c r="E163" t="s">
        <v>200</v>
      </c>
    </row>
    <row r="164" spans="1:5" x14ac:dyDescent="0.25">
      <c r="A164" s="14">
        <v>42526.404745370368</v>
      </c>
      <c r="B164" t="s">
        <v>156</v>
      </c>
      <c r="C164" t="s">
        <v>174</v>
      </c>
      <c r="D164">
        <v>1360000</v>
      </c>
      <c r="E164" t="s">
        <v>124</v>
      </c>
    </row>
    <row r="165" spans="1:5" x14ac:dyDescent="0.25">
      <c r="A165" s="14">
        <v>42526.553576388891</v>
      </c>
      <c r="B165" t="s">
        <v>196</v>
      </c>
      <c r="C165" t="s">
        <v>187</v>
      </c>
      <c r="D165">
        <v>1540000</v>
      </c>
      <c r="E165" t="s">
        <v>200</v>
      </c>
    </row>
    <row r="166" spans="1:5" x14ac:dyDescent="0.25">
      <c r="A166" s="14">
        <v>42526.500891203701</v>
      </c>
      <c r="B166" t="s">
        <v>197</v>
      </c>
      <c r="C166" t="s">
        <v>183</v>
      </c>
      <c r="D166">
        <v>1470000</v>
      </c>
      <c r="E166" t="s">
        <v>161</v>
      </c>
    </row>
    <row r="168" spans="1:5" x14ac:dyDescent="0.25">
      <c r="A168" s="14">
        <v>42526.058159722219</v>
      </c>
      <c r="B168" t="s">
        <v>106</v>
      </c>
      <c r="C168" t="s">
        <v>154</v>
      </c>
      <c r="D168">
        <v>1240000</v>
      </c>
      <c r="E168" t="s">
        <v>103</v>
      </c>
    </row>
    <row r="169" spans="1:5" x14ac:dyDescent="0.25">
      <c r="A169" s="14">
        <v>42525.212395833332</v>
      </c>
      <c r="B169" t="s">
        <v>80</v>
      </c>
      <c r="C169" t="s">
        <v>138</v>
      </c>
      <c r="D169">
        <v>1430000</v>
      </c>
      <c r="E169" t="s">
        <v>125</v>
      </c>
    </row>
  </sheetData>
  <sortState ref="A1:E215">
    <sortCondition ref="A1:A215"/>
  </sortState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F4"/>
  <sheetViews>
    <sheetView workbookViewId="0">
      <selection activeCell="A3" sqref="A3"/>
    </sheetView>
  </sheetViews>
  <sheetFormatPr defaultRowHeight="15" x14ac:dyDescent="0.25"/>
  <cols>
    <col min="1" max="1" width="32.140625" customWidth="1"/>
    <col min="3" max="3" width="24" customWidth="1"/>
  </cols>
  <sheetData>
    <row r="1" spans="1:6" ht="45.75" x14ac:dyDescent="0.3">
      <c r="A1" s="28" t="s">
        <v>25</v>
      </c>
      <c r="C1" s="36" t="s">
        <v>48</v>
      </c>
    </row>
    <row r="2" spans="1:6" ht="15.75" thickBot="1" x14ac:dyDescent="0.3">
      <c r="A2" s="29">
        <v>42527</v>
      </c>
      <c r="B2" s="10"/>
      <c r="C2" s="37">
        <v>50</v>
      </c>
      <c r="F2" t="s">
        <v>69</v>
      </c>
    </row>
    <row r="3" spans="1:6" x14ac:dyDescent="0.25">
      <c r="F3" t="s">
        <v>70</v>
      </c>
    </row>
    <row r="4" spans="1:6" x14ac:dyDescent="0.25">
      <c r="F4" t="s">
        <v>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Train Runs</vt:lpstr>
      <vt:lpstr>Enforcements</vt:lpstr>
      <vt:lpstr>Missing Trips</vt:lpstr>
      <vt:lpstr>Trips&amp;Operators</vt:lpstr>
      <vt:lpstr>Variables</vt:lpstr>
      <vt:lpstr>'Train Runs'!Denver_Train_Runs_04122016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Whitlock, Robert;Tu, Steve</dc:creator>
  <cp:lastModifiedBy>Wabtec</cp:lastModifiedBy>
  <dcterms:created xsi:type="dcterms:W3CDTF">2016-04-12T13:52:23Z</dcterms:created>
  <dcterms:modified xsi:type="dcterms:W3CDTF">2016-06-08T13:00:56Z</dcterms:modified>
</cp:coreProperties>
</file>