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5200" windowHeight="1386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Enforcements!$A$2:$N$2</definedName>
    <definedName name="_xlnm._FilterDatabase" localSheetId="0" hidden="1">'Train Runs'!$A$2:$AA$146</definedName>
    <definedName name="Denver_Train_Runs_04122016" localSheetId="0">'Train Runs'!$A$2:$J$151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1" i="1" l="1"/>
  <c r="N91" i="1" s="1"/>
  <c r="M92" i="1"/>
  <c r="T69" i="1"/>
  <c r="T91" i="1"/>
  <c r="V91" i="1"/>
  <c r="W91" i="1"/>
  <c r="X91" i="1"/>
  <c r="Z91" i="1"/>
  <c r="AA91" i="1"/>
  <c r="T92" i="1"/>
  <c r="V92" i="1"/>
  <c r="W92" i="1"/>
  <c r="X92" i="1"/>
  <c r="Z92" i="1"/>
  <c r="AA92" i="1"/>
  <c r="T93" i="1"/>
  <c r="V93" i="1"/>
  <c r="W93" i="1"/>
  <c r="X93" i="1"/>
  <c r="Z93" i="1"/>
  <c r="AA93" i="1"/>
  <c r="T94" i="1"/>
  <c r="V94" i="1"/>
  <c r="W94" i="1"/>
  <c r="X94" i="1"/>
  <c r="Z94" i="1"/>
  <c r="AA94" i="1"/>
  <c r="V46" i="1"/>
  <c r="V47" i="1"/>
  <c r="V48" i="1"/>
  <c r="T46" i="1"/>
  <c r="W46" i="1"/>
  <c r="X46" i="1"/>
  <c r="Z46" i="1"/>
  <c r="AA46" i="1"/>
  <c r="L46" i="1"/>
  <c r="M46" i="1"/>
  <c r="N46" i="1" s="1"/>
  <c r="K46" i="1"/>
  <c r="V5" i="1"/>
  <c r="V6" i="1"/>
  <c r="M5" i="1"/>
  <c r="L5" i="1"/>
  <c r="K5" i="1"/>
  <c r="L59" i="3"/>
  <c r="L60" i="3"/>
  <c r="L23" i="3"/>
  <c r="L49" i="3"/>
  <c r="L50" i="3"/>
  <c r="L20" i="3"/>
  <c r="L52" i="3"/>
  <c r="L51" i="3"/>
  <c r="L15" i="3"/>
  <c r="L21" i="3"/>
  <c r="L48" i="3"/>
  <c r="L14" i="3"/>
  <c r="L47" i="3"/>
  <c r="L46" i="3"/>
  <c r="L45" i="3"/>
  <c r="L44" i="3"/>
  <c r="L13" i="3"/>
  <c r="L19" i="3"/>
  <c r="L43" i="3"/>
  <c r="L42" i="3"/>
  <c r="Y46" i="1" l="1"/>
  <c r="U46" i="1" s="1"/>
  <c r="Y94" i="1"/>
  <c r="U94" i="1" s="1"/>
  <c r="Y92" i="1"/>
  <c r="U92" i="1" s="1"/>
  <c r="Y93" i="1"/>
  <c r="U93" i="1" s="1"/>
  <c r="Y91" i="1"/>
  <c r="U91" i="1" s="1"/>
  <c r="L91" i="1"/>
  <c r="K91" i="1"/>
  <c r="M57" i="1" l="1"/>
  <c r="M58" i="1"/>
  <c r="M59" i="1"/>
  <c r="M60" i="1"/>
  <c r="M61" i="1"/>
  <c r="P60" i="1" l="1"/>
  <c r="L34" i="3"/>
  <c r="M66" i="3"/>
  <c r="M67" i="3" s="1"/>
  <c r="L18" i="3"/>
  <c r="T26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M152" i="1"/>
  <c r="J152" i="1"/>
  <c r="I148" i="1"/>
  <c r="V36" i="1" l="1"/>
  <c r="L41" i="3"/>
  <c r="L11" i="3"/>
  <c r="L5" i="3"/>
  <c r="L22" i="3"/>
  <c r="L38" i="3"/>
  <c r="L36" i="3"/>
  <c r="L29" i="3"/>
  <c r="L63" i="3"/>
  <c r="L40" i="3"/>
  <c r="L3" i="3"/>
  <c r="L55" i="3"/>
  <c r="L56" i="3"/>
  <c r="L57" i="3"/>
  <c r="L58" i="3"/>
  <c r="L39" i="3"/>
  <c r="L61" i="3"/>
  <c r="L4" i="3"/>
  <c r="L26" i="3"/>
  <c r="L32" i="3"/>
  <c r="L6" i="3"/>
  <c r="L25" i="3"/>
  <c r="L62" i="3"/>
  <c r="L27" i="3"/>
  <c r="L12" i="3"/>
  <c r="L28" i="3"/>
  <c r="L31" i="3"/>
  <c r="L7" i="3"/>
  <c r="L30" i="3"/>
  <c r="L16" i="3"/>
  <c r="L37" i="3"/>
  <c r="L17" i="3"/>
  <c r="L10" i="3"/>
  <c r="L8" i="3"/>
  <c r="L35" i="3"/>
  <c r="L53" i="3"/>
  <c r="L54" i="3"/>
  <c r="L9" i="3"/>
  <c r="L33" i="3"/>
  <c r="L24" i="3"/>
  <c r="N58" i="1" l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7" i="1"/>
  <c r="V38" i="1"/>
  <c r="V39" i="1"/>
  <c r="V40" i="1"/>
  <c r="V41" i="1"/>
  <c r="V42" i="1"/>
  <c r="V43" i="1"/>
  <c r="V44" i="1"/>
  <c r="V45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4" i="1"/>
  <c r="K6" i="1" l="1"/>
  <c r="L6" i="1"/>
  <c r="M6" i="1"/>
  <c r="N6" i="1" s="1"/>
  <c r="K7" i="1"/>
  <c r="L7" i="1"/>
  <c r="M7" i="1"/>
  <c r="N7" i="1" s="1"/>
  <c r="K8" i="1"/>
  <c r="L8" i="1"/>
  <c r="M8" i="1"/>
  <c r="N8" i="1" s="1"/>
  <c r="K9" i="1"/>
  <c r="L9" i="1"/>
  <c r="M9" i="1"/>
  <c r="N9" i="1" s="1"/>
  <c r="K10" i="1"/>
  <c r="L10" i="1"/>
  <c r="M10" i="1"/>
  <c r="N10" i="1" s="1"/>
  <c r="K11" i="1"/>
  <c r="L11" i="1"/>
  <c r="M11" i="1"/>
  <c r="N11" i="1" s="1"/>
  <c r="K12" i="1"/>
  <c r="L12" i="1"/>
  <c r="M12" i="1"/>
  <c r="N12" i="1" s="1"/>
  <c r="K13" i="1"/>
  <c r="L13" i="1"/>
  <c r="M13" i="1"/>
  <c r="N13" i="1" s="1"/>
  <c r="K14" i="1"/>
  <c r="L14" i="1"/>
  <c r="M14" i="1"/>
  <c r="N14" i="1" s="1"/>
  <c r="K15" i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T6" i="1"/>
  <c r="W6" i="1"/>
  <c r="X6" i="1"/>
  <c r="Z6" i="1"/>
  <c r="AA6" i="1"/>
  <c r="T7" i="1"/>
  <c r="W7" i="1"/>
  <c r="X7" i="1"/>
  <c r="Z7" i="1"/>
  <c r="AA7" i="1"/>
  <c r="T8" i="1"/>
  <c r="W8" i="1"/>
  <c r="X8" i="1"/>
  <c r="Z8" i="1"/>
  <c r="AA8" i="1"/>
  <c r="T9" i="1"/>
  <c r="W9" i="1"/>
  <c r="X9" i="1"/>
  <c r="Z9" i="1"/>
  <c r="AA9" i="1"/>
  <c r="T10" i="1"/>
  <c r="W10" i="1"/>
  <c r="X10" i="1"/>
  <c r="Z10" i="1"/>
  <c r="AA10" i="1"/>
  <c r="T11" i="1"/>
  <c r="W11" i="1"/>
  <c r="X11" i="1"/>
  <c r="Z11" i="1"/>
  <c r="AA11" i="1"/>
  <c r="T12" i="1"/>
  <c r="W12" i="1"/>
  <c r="X12" i="1"/>
  <c r="Z12" i="1"/>
  <c r="AA12" i="1"/>
  <c r="T13" i="1"/>
  <c r="W13" i="1"/>
  <c r="X13" i="1"/>
  <c r="Z13" i="1"/>
  <c r="AA13" i="1"/>
  <c r="T14" i="1"/>
  <c r="W14" i="1"/>
  <c r="X14" i="1"/>
  <c r="Z14" i="1"/>
  <c r="AA14" i="1"/>
  <c r="T15" i="1"/>
  <c r="W15" i="1"/>
  <c r="X15" i="1"/>
  <c r="Z15" i="1"/>
  <c r="AA15" i="1"/>
  <c r="T16" i="1"/>
  <c r="W16" i="1"/>
  <c r="X16" i="1"/>
  <c r="Z16" i="1"/>
  <c r="AA16" i="1"/>
  <c r="T17" i="1"/>
  <c r="W17" i="1"/>
  <c r="X17" i="1"/>
  <c r="Z17" i="1"/>
  <c r="AA17" i="1"/>
  <c r="T18" i="1"/>
  <c r="W18" i="1"/>
  <c r="X18" i="1"/>
  <c r="Z18" i="1"/>
  <c r="AA18" i="1"/>
  <c r="T19" i="1"/>
  <c r="W19" i="1"/>
  <c r="X19" i="1"/>
  <c r="Z19" i="1"/>
  <c r="AA19" i="1"/>
  <c r="T20" i="1"/>
  <c r="W20" i="1"/>
  <c r="X20" i="1"/>
  <c r="Z20" i="1"/>
  <c r="AA20" i="1"/>
  <c r="T21" i="1"/>
  <c r="W21" i="1"/>
  <c r="X21" i="1"/>
  <c r="Z21" i="1"/>
  <c r="AA21" i="1"/>
  <c r="T22" i="1"/>
  <c r="W22" i="1"/>
  <c r="X22" i="1"/>
  <c r="Z22" i="1"/>
  <c r="AA22" i="1"/>
  <c r="T23" i="1"/>
  <c r="W23" i="1"/>
  <c r="Z23" i="1"/>
  <c r="AA23" i="1"/>
  <c r="T24" i="1"/>
  <c r="W24" i="1"/>
  <c r="X24" i="1"/>
  <c r="Z24" i="1"/>
  <c r="AA24" i="1"/>
  <c r="T25" i="1"/>
  <c r="W25" i="1"/>
  <c r="X25" i="1"/>
  <c r="Z25" i="1"/>
  <c r="AA25" i="1"/>
  <c r="W26" i="1"/>
  <c r="X26" i="1"/>
  <c r="Z26" i="1"/>
  <c r="AA26" i="1"/>
  <c r="T27" i="1"/>
  <c r="W27" i="1"/>
  <c r="X27" i="1"/>
  <c r="Z27" i="1"/>
  <c r="AA27" i="1"/>
  <c r="T28" i="1"/>
  <c r="W28" i="1"/>
  <c r="X28" i="1"/>
  <c r="Z28" i="1"/>
  <c r="AA28" i="1"/>
  <c r="T29" i="1"/>
  <c r="W29" i="1"/>
  <c r="X29" i="1"/>
  <c r="Z29" i="1"/>
  <c r="AA29" i="1"/>
  <c r="T30" i="1"/>
  <c r="W30" i="1"/>
  <c r="X30" i="1"/>
  <c r="Z30" i="1"/>
  <c r="AA30" i="1"/>
  <c r="T31" i="1"/>
  <c r="W31" i="1"/>
  <c r="X31" i="1"/>
  <c r="Z31" i="1"/>
  <c r="AA31" i="1"/>
  <c r="T32" i="1"/>
  <c r="W32" i="1"/>
  <c r="X32" i="1"/>
  <c r="Z32" i="1"/>
  <c r="AA32" i="1"/>
  <c r="T4" i="1"/>
  <c r="W4" i="1"/>
  <c r="X4" i="1"/>
  <c r="Z4" i="1"/>
  <c r="AA4" i="1"/>
  <c r="T33" i="1"/>
  <c r="W33" i="1"/>
  <c r="X33" i="1"/>
  <c r="Z33" i="1"/>
  <c r="AA33" i="1"/>
  <c r="T34" i="1"/>
  <c r="W34" i="1"/>
  <c r="X34" i="1"/>
  <c r="Z34" i="1"/>
  <c r="AA34" i="1"/>
  <c r="T35" i="1"/>
  <c r="W35" i="1"/>
  <c r="X35" i="1"/>
  <c r="Z35" i="1"/>
  <c r="AA35" i="1"/>
  <c r="T36" i="1"/>
  <c r="W36" i="1"/>
  <c r="X36" i="1"/>
  <c r="Z36" i="1"/>
  <c r="AA36" i="1"/>
  <c r="T37" i="1"/>
  <c r="W37" i="1"/>
  <c r="X37" i="1"/>
  <c r="Z37" i="1"/>
  <c r="AA37" i="1"/>
  <c r="T38" i="1"/>
  <c r="W38" i="1"/>
  <c r="X38" i="1"/>
  <c r="Z38" i="1"/>
  <c r="AA38" i="1"/>
  <c r="T39" i="1"/>
  <c r="W39" i="1"/>
  <c r="X39" i="1"/>
  <c r="Z39" i="1"/>
  <c r="AA39" i="1"/>
  <c r="T40" i="1"/>
  <c r="W40" i="1"/>
  <c r="X40" i="1"/>
  <c r="Z40" i="1"/>
  <c r="AA40" i="1"/>
  <c r="T41" i="1"/>
  <c r="W41" i="1"/>
  <c r="X41" i="1"/>
  <c r="Z41" i="1"/>
  <c r="AA41" i="1"/>
  <c r="T42" i="1"/>
  <c r="W42" i="1"/>
  <c r="X42" i="1"/>
  <c r="Z42" i="1"/>
  <c r="AA42" i="1"/>
  <c r="T43" i="1"/>
  <c r="W43" i="1"/>
  <c r="X43" i="1"/>
  <c r="Z43" i="1"/>
  <c r="AA43" i="1"/>
  <c r="T44" i="1"/>
  <c r="W44" i="1"/>
  <c r="X44" i="1"/>
  <c r="Z44" i="1"/>
  <c r="AA44" i="1"/>
  <c r="T45" i="1"/>
  <c r="W45" i="1"/>
  <c r="X45" i="1"/>
  <c r="Z45" i="1"/>
  <c r="AA45" i="1"/>
  <c r="T47" i="1"/>
  <c r="W47" i="1"/>
  <c r="X47" i="1"/>
  <c r="Z47" i="1"/>
  <c r="AA47" i="1"/>
  <c r="T48" i="1"/>
  <c r="W48" i="1"/>
  <c r="X48" i="1"/>
  <c r="Z48" i="1"/>
  <c r="AA48" i="1"/>
  <c r="T49" i="1"/>
  <c r="W49" i="1"/>
  <c r="X49" i="1"/>
  <c r="Z49" i="1"/>
  <c r="AA49" i="1"/>
  <c r="T50" i="1"/>
  <c r="W50" i="1"/>
  <c r="X50" i="1"/>
  <c r="Z50" i="1"/>
  <c r="AA50" i="1"/>
  <c r="T51" i="1"/>
  <c r="W51" i="1"/>
  <c r="X51" i="1"/>
  <c r="Z51" i="1"/>
  <c r="AA51" i="1"/>
  <c r="T52" i="1"/>
  <c r="W52" i="1"/>
  <c r="X52" i="1"/>
  <c r="Z52" i="1"/>
  <c r="AA52" i="1"/>
  <c r="T53" i="1"/>
  <c r="W53" i="1"/>
  <c r="X53" i="1"/>
  <c r="Z53" i="1"/>
  <c r="AA53" i="1"/>
  <c r="T54" i="1"/>
  <c r="W54" i="1"/>
  <c r="X54" i="1"/>
  <c r="Z54" i="1"/>
  <c r="AA54" i="1"/>
  <c r="T55" i="1"/>
  <c r="W55" i="1"/>
  <c r="X55" i="1"/>
  <c r="Z55" i="1"/>
  <c r="AA55" i="1"/>
  <c r="T56" i="1"/>
  <c r="W56" i="1"/>
  <c r="X56" i="1"/>
  <c r="Z56" i="1"/>
  <c r="AA56" i="1"/>
  <c r="T57" i="1"/>
  <c r="W57" i="1"/>
  <c r="X57" i="1"/>
  <c r="Z57" i="1"/>
  <c r="AA57" i="1"/>
  <c r="T58" i="1"/>
  <c r="W58" i="1"/>
  <c r="X58" i="1"/>
  <c r="Z58" i="1"/>
  <c r="AA58" i="1"/>
  <c r="T59" i="1"/>
  <c r="W59" i="1"/>
  <c r="X59" i="1"/>
  <c r="Z59" i="1"/>
  <c r="AA59" i="1"/>
  <c r="T60" i="1"/>
  <c r="W60" i="1"/>
  <c r="X60" i="1"/>
  <c r="Z60" i="1"/>
  <c r="AA60" i="1"/>
  <c r="T61" i="1"/>
  <c r="W61" i="1"/>
  <c r="X61" i="1"/>
  <c r="Z61" i="1"/>
  <c r="AA61" i="1"/>
  <c r="T62" i="1"/>
  <c r="W62" i="1"/>
  <c r="X62" i="1"/>
  <c r="Z62" i="1"/>
  <c r="AA62" i="1"/>
  <c r="T63" i="1"/>
  <c r="W63" i="1"/>
  <c r="X63" i="1"/>
  <c r="Z63" i="1"/>
  <c r="AA63" i="1"/>
  <c r="T64" i="1"/>
  <c r="W64" i="1"/>
  <c r="X64" i="1"/>
  <c r="Z64" i="1"/>
  <c r="AA64" i="1"/>
  <c r="T65" i="1"/>
  <c r="W65" i="1"/>
  <c r="X65" i="1"/>
  <c r="Z65" i="1"/>
  <c r="AA65" i="1"/>
  <c r="T66" i="1"/>
  <c r="W66" i="1"/>
  <c r="X66" i="1"/>
  <c r="Z66" i="1"/>
  <c r="AA66" i="1"/>
  <c r="T67" i="1"/>
  <c r="W67" i="1"/>
  <c r="X67" i="1"/>
  <c r="Z67" i="1"/>
  <c r="AA67" i="1"/>
  <c r="T68" i="1"/>
  <c r="W68" i="1"/>
  <c r="X68" i="1"/>
  <c r="Z68" i="1"/>
  <c r="AA68" i="1"/>
  <c r="W69" i="1"/>
  <c r="Z69" i="1"/>
  <c r="AA69" i="1"/>
  <c r="T70" i="1"/>
  <c r="W70" i="1"/>
  <c r="X70" i="1"/>
  <c r="Z70" i="1"/>
  <c r="AA70" i="1"/>
  <c r="T71" i="1"/>
  <c r="W71" i="1"/>
  <c r="X71" i="1"/>
  <c r="Z71" i="1"/>
  <c r="AA71" i="1"/>
  <c r="T72" i="1"/>
  <c r="W72" i="1"/>
  <c r="X72" i="1"/>
  <c r="Z72" i="1"/>
  <c r="AA72" i="1"/>
  <c r="T73" i="1"/>
  <c r="W73" i="1"/>
  <c r="X73" i="1"/>
  <c r="Z73" i="1"/>
  <c r="AA73" i="1"/>
  <c r="T74" i="1"/>
  <c r="W74" i="1"/>
  <c r="X74" i="1"/>
  <c r="Z74" i="1"/>
  <c r="AA74" i="1"/>
  <c r="T75" i="1"/>
  <c r="W75" i="1"/>
  <c r="X75" i="1"/>
  <c r="Z75" i="1"/>
  <c r="AA75" i="1"/>
  <c r="T76" i="1"/>
  <c r="W76" i="1"/>
  <c r="X76" i="1"/>
  <c r="Z76" i="1"/>
  <c r="AA76" i="1"/>
  <c r="T77" i="1"/>
  <c r="W77" i="1"/>
  <c r="X77" i="1"/>
  <c r="Z77" i="1"/>
  <c r="AA77" i="1"/>
  <c r="T78" i="1"/>
  <c r="W78" i="1"/>
  <c r="X78" i="1"/>
  <c r="Z78" i="1"/>
  <c r="AA78" i="1"/>
  <c r="T79" i="1"/>
  <c r="W79" i="1"/>
  <c r="X79" i="1"/>
  <c r="Z79" i="1"/>
  <c r="AA79" i="1"/>
  <c r="T80" i="1"/>
  <c r="W80" i="1"/>
  <c r="X80" i="1"/>
  <c r="Z80" i="1"/>
  <c r="AA80" i="1"/>
  <c r="T81" i="1"/>
  <c r="W81" i="1"/>
  <c r="X81" i="1"/>
  <c r="Z81" i="1"/>
  <c r="AA81" i="1"/>
  <c r="T82" i="1"/>
  <c r="W82" i="1"/>
  <c r="X82" i="1"/>
  <c r="Z82" i="1"/>
  <c r="AA82" i="1"/>
  <c r="T83" i="1"/>
  <c r="W83" i="1"/>
  <c r="X83" i="1"/>
  <c r="Z83" i="1"/>
  <c r="AA83" i="1"/>
  <c r="T84" i="1"/>
  <c r="W84" i="1"/>
  <c r="X84" i="1"/>
  <c r="Z84" i="1"/>
  <c r="AA84" i="1"/>
  <c r="T85" i="1"/>
  <c r="W85" i="1"/>
  <c r="X85" i="1"/>
  <c r="Z85" i="1"/>
  <c r="AA85" i="1"/>
  <c r="T86" i="1"/>
  <c r="W86" i="1"/>
  <c r="Z86" i="1"/>
  <c r="AA86" i="1"/>
  <c r="T87" i="1"/>
  <c r="W87" i="1"/>
  <c r="X87" i="1"/>
  <c r="Z87" i="1"/>
  <c r="AA87" i="1"/>
  <c r="T88" i="1"/>
  <c r="W88" i="1"/>
  <c r="X88" i="1"/>
  <c r="Z88" i="1"/>
  <c r="AA88" i="1"/>
  <c r="T89" i="1"/>
  <c r="W89" i="1"/>
  <c r="X89" i="1"/>
  <c r="Z89" i="1"/>
  <c r="AA89" i="1"/>
  <c r="T90" i="1"/>
  <c r="W90" i="1"/>
  <c r="X90" i="1"/>
  <c r="Z90" i="1"/>
  <c r="AA90" i="1"/>
  <c r="T95" i="1"/>
  <c r="W95" i="1"/>
  <c r="X95" i="1"/>
  <c r="Z95" i="1"/>
  <c r="AA95" i="1"/>
  <c r="T96" i="1"/>
  <c r="W96" i="1"/>
  <c r="X96" i="1"/>
  <c r="Z96" i="1"/>
  <c r="AA96" i="1"/>
  <c r="T97" i="1"/>
  <c r="W97" i="1"/>
  <c r="X97" i="1"/>
  <c r="Z97" i="1"/>
  <c r="AA97" i="1"/>
  <c r="T98" i="1"/>
  <c r="W98" i="1"/>
  <c r="X98" i="1"/>
  <c r="Z98" i="1"/>
  <c r="AA98" i="1"/>
  <c r="T99" i="1"/>
  <c r="W99" i="1"/>
  <c r="X99" i="1"/>
  <c r="Z99" i="1"/>
  <c r="AA99" i="1"/>
  <c r="T100" i="1"/>
  <c r="W100" i="1"/>
  <c r="X100" i="1"/>
  <c r="Z100" i="1"/>
  <c r="AA100" i="1"/>
  <c r="T101" i="1"/>
  <c r="W101" i="1"/>
  <c r="X101" i="1"/>
  <c r="Z101" i="1"/>
  <c r="AA101" i="1"/>
  <c r="T102" i="1"/>
  <c r="W102" i="1"/>
  <c r="X102" i="1"/>
  <c r="Z102" i="1"/>
  <c r="AA102" i="1"/>
  <c r="T103" i="1"/>
  <c r="W103" i="1"/>
  <c r="X103" i="1"/>
  <c r="Z103" i="1"/>
  <c r="AA103" i="1"/>
  <c r="T104" i="1"/>
  <c r="W104" i="1"/>
  <c r="X104" i="1"/>
  <c r="Z104" i="1"/>
  <c r="AA104" i="1"/>
  <c r="T105" i="1"/>
  <c r="W105" i="1"/>
  <c r="X105" i="1"/>
  <c r="Z105" i="1"/>
  <c r="AA105" i="1"/>
  <c r="T106" i="1"/>
  <c r="W106" i="1"/>
  <c r="X106" i="1"/>
  <c r="Z106" i="1"/>
  <c r="AA106" i="1"/>
  <c r="T107" i="1"/>
  <c r="W107" i="1"/>
  <c r="X107" i="1"/>
  <c r="Z107" i="1"/>
  <c r="AA107" i="1"/>
  <c r="T108" i="1"/>
  <c r="W108" i="1"/>
  <c r="X108" i="1"/>
  <c r="Z108" i="1"/>
  <c r="AA108" i="1"/>
  <c r="T109" i="1"/>
  <c r="W109" i="1"/>
  <c r="X109" i="1"/>
  <c r="Z109" i="1"/>
  <c r="AA109" i="1"/>
  <c r="T110" i="1"/>
  <c r="W110" i="1"/>
  <c r="X110" i="1"/>
  <c r="Z110" i="1"/>
  <c r="AA110" i="1"/>
  <c r="T111" i="1"/>
  <c r="W111" i="1"/>
  <c r="X111" i="1"/>
  <c r="Z111" i="1"/>
  <c r="AA111" i="1"/>
  <c r="T112" i="1"/>
  <c r="W112" i="1"/>
  <c r="X112" i="1"/>
  <c r="Z112" i="1"/>
  <c r="AA112" i="1"/>
  <c r="T113" i="1"/>
  <c r="W113" i="1"/>
  <c r="X113" i="1"/>
  <c r="Z113" i="1"/>
  <c r="AA113" i="1"/>
  <c r="T114" i="1"/>
  <c r="W114" i="1"/>
  <c r="X114" i="1"/>
  <c r="Z114" i="1"/>
  <c r="AA114" i="1"/>
  <c r="T115" i="1"/>
  <c r="W115" i="1"/>
  <c r="X115" i="1"/>
  <c r="Z115" i="1"/>
  <c r="AA115" i="1"/>
  <c r="T116" i="1"/>
  <c r="W116" i="1"/>
  <c r="X116" i="1"/>
  <c r="Z116" i="1"/>
  <c r="AA116" i="1"/>
  <c r="T117" i="1"/>
  <c r="W117" i="1"/>
  <c r="X117" i="1"/>
  <c r="Z117" i="1"/>
  <c r="AA117" i="1"/>
  <c r="T118" i="1"/>
  <c r="W118" i="1"/>
  <c r="X118" i="1"/>
  <c r="Z118" i="1"/>
  <c r="AA118" i="1"/>
  <c r="T119" i="1"/>
  <c r="W119" i="1"/>
  <c r="X119" i="1"/>
  <c r="Z119" i="1"/>
  <c r="AA119" i="1"/>
  <c r="T120" i="1"/>
  <c r="W120" i="1"/>
  <c r="X120" i="1"/>
  <c r="Z120" i="1"/>
  <c r="AA120" i="1"/>
  <c r="T121" i="1"/>
  <c r="W121" i="1"/>
  <c r="X121" i="1"/>
  <c r="Z121" i="1"/>
  <c r="AA121" i="1"/>
  <c r="T122" i="1"/>
  <c r="W122" i="1"/>
  <c r="X122" i="1"/>
  <c r="Z122" i="1"/>
  <c r="AA122" i="1"/>
  <c r="T123" i="1"/>
  <c r="W123" i="1"/>
  <c r="X123" i="1"/>
  <c r="Z123" i="1"/>
  <c r="AA123" i="1"/>
  <c r="T124" i="1"/>
  <c r="W124" i="1"/>
  <c r="X124" i="1"/>
  <c r="Z124" i="1"/>
  <c r="AA124" i="1"/>
  <c r="T125" i="1"/>
  <c r="W125" i="1"/>
  <c r="X125" i="1"/>
  <c r="Z125" i="1"/>
  <c r="AA125" i="1"/>
  <c r="T126" i="1"/>
  <c r="W126" i="1"/>
  <c r="X126" i="1"/>
  <c r="Z126" i="1"/>
  <c r="AA126" i="1"/>
  <c r="T127" i="1"/>
  <c r="W127" i="1"/>
  <c r="X127" i="1"/>
  <c r="Z127" i="1"/>
  <c r="AA127" i="1"/>
  <c r="T128" i="1"/>
  <c r="W128" i="1"/>
  <c r="X128" i="1"/>
  <c r="Z128" i="1"/>
  <c r="AA128" i="1"/>
  <c r="T129" i="1"/>
  <c r="W129" i="1"/>
  <c r="X129" i="1"/>
  <c r="Z129" i="1"/>
  <c r="AA129" i="1"/>
  <c r="T130" i="1"/>
  <c r="W130" i="1"/>
  <c r="X130" i="1"/>
  <c r="Z130" i="1"/>
  <c r="AA130" i="1"/>
  <c r="T131" i="1"/>
  <c r="W131" i="1"/>
  <c r="X131" i="1"/>
  <c r="Z131" i="1"/>
  <c r="AA131" i="1"/>
  <c r="T132" i="1"/>
  <c r="W132" i="1"/>
  <c r="X132" i="1"/>
  <c r="Z132" i="1"/>
  <c r="AA132" i="1"/>
  <c r="T133" i="1"/>
  <c r="W133" i="1"/>
  <c r="X133" i="1"/>
  <c r="Z133" i="1"/>
  <c r="AA133" i="1"/>
  <c r="T134" i="1"/>
  <c r="W134" i="1"/>
  <c r="X134" i="1"/>
  <c r="Z134" i="1"/>
  <c r="AA134" i="1"/>
  <c r="T135" i="1"/>
  <c r="W135" i="1"/>
  <c r="X135" i="1"/>
  <c r="Z135" i="1"/>
  <c r="AA135" i="1"/>
  <c r="T136" i="1"/>
  <c r="W136" i="1"/>
  <c r="X136" i="1"/>
  <c r="Z136" i="1"/>
  <c r="AA136" i="1"/>
  <c r="T137" i="1"/>
  <c r="W137" i="1"/>
  <c r="X137" i="1"/>
  <c r="Z137" i="1"/>
  <c r="AA137" i="1"/>
  <c r="T138" i="1"/>
  <c r="W138" i="1"/>
  <c r="X138" i="1"/>
  <c r="Z138" i="1"/>
  <c r="AA138" i="1"/>
  <c r="T139" i="1"/>
  <c r="W139" i="1"/>
  <c r="X139" i="1"/>
  <c r="Z139" i="1"/>
  <c r="AA139" i="1"/>
  <c r="T140" i="1"/>
  <c r="W140" i="1"/>
  <c r="X140" i="1"/>
  <c r="Z140" i="1"/>
  <c r="AA140" i="1"/>
  <c r="T141" i="1"/>
  <c r="W141" i="1"/>
  <c r="X141" i="1"/>
  <c r="Z141" i="1"/>
  <c r="AA141" i="1"/>
  <c r="T142" i="1"/>
  <c r="W142" i="1"/>
  <c r="X142" i="1"/>
  <c r="Z142" i="1"/>
  <c r="AA142" i="1"/>
  <c r="T143" i="1"/>
  <c r="W143" i="1"/>
  <c r="X143" i="1"/>
  <c r="Z143" i="1"/>
  <c r="AA143" i="1"/>
  <c r="T144" i="1"/>
  <c r="W144" i="1"/>
  <c r="X144" i="1"/>
  <c r="Z144" i="1"/>
  <c r="AA144" i="1"/>
  <c r="T145" i="1"/>
  <c r="W145" i="1"/>
  <c r="X145" i="1"/>
  <c r="Z145" i="1"/>
  <c r="AA145" i="1"/>
  <c r="T146" i="1"/>
  <c r="W146" i="1"/>
  <c r="X146" i="1"/>
  <c r="Z146" i="1"/>
  <c r="AA146" i="1"/>
  <c r="AA3" i="1"/>
  <c r="Z3" i="1"/>
  <c r="Y17" i="1" l="1"/>
  <c r="U17" i="1" s="1"/>
  <c r="Y25" i="1"/>
  <c r="U25" i="1" s="1"/>
  <c r="Y7" i="1"/>
  <c r="U7" i="1" s="1"/>
  <c r="Y10" i="1"/>
  <c r="U10" i="1" s="1"/>
  <c r="Y64" i="1"/>
  <c r="U64" i="1" s="1"/>
  <c r="Y27" i="1"/>
  <c r="U27" i="1" s="1"/>
  <c r="Y21" i="1"/>
  <c r="U21" i="1" s="1"/>
  <c r="Y14" i="1"/>
  <c r="U14" i="1" s="1"/>
  <c r="Y26" i="1"/>
  <c r="U26" i="1" s="1"/>
  <c r="Y22" i="1"/>
  <c r="U22" i="1" s="1"/>
  <c r="Y54" i="1"/>
  <c r="U54" i="1" s="1"/>
  <c r="Y30" i="1"/>
  <c r="U30" i="1" s="1"/>
  <c r="Y122" i="1"/>
  <c r="U122" i="1" s="1"/>
  <c r="Y98" i="1"/>
  <c r="U98" i="1" s="1"/>
  <c r="Y11" i="1"/>
  <c r="U11" i="1" s="1"/>
  <c r="Y56" i="1"/>
  <c r="U56" i="1" s="1"/>
  <c r="Y31" i="1"/>
  <c r="U31" i="1" s="1"/>
  <c r="Y8" i="1"/>
  <c r="U8" i="1" s="1"/>
  <c r="Y119" i="1"/>
  <c r="U119" i="1" s="1"/>
  <c r="Y111" i="1"/>
  <c r="U111" i="1" s="1"/>
  <c r="Y86" i="1"/>
  <c r="U86" i="1" s="1"/>
  <c r="Y51" i="1"/>
  <c r="U51" i="1" s="1"/>
  <c r="Y23" i="1"/>
  <c r="U23" i="1" s="1"/>
  <c r="Y19" i="1"/>
  <c r="U19" i="1" s="1"/>
  <c r="Y6" i="1"/>
  <c r="U6" i="1" s="1"/>
  <c r="Y113" i="1"/>
  <c r="U113" i="1" s="1"/>
  <c r="Y71" i="1"/>
  <c r="U71" i="1" s="1"/>
  <c r="Y67" i="1"/>
  <c r="U67" i="1" s="1"/>
  <c r="Y24" i="1"/>
  <c r="U24" i="1" s="1"/>
  <c r="Y78" i="1"/>
  <c r="U78" i="1" s="1"/>
  <c r="Y70" i="1"/>
  <c r="U70" i="1" s="1"/>
  <c r="Y66" i="1"/>
  <c r="U66" i="1" s="1"/>
  <c r="Y52" i="1"/>
  <c r="U52" i="1" s="1"/>
  <c r="Y15" i="1"/>
  <c r="U15" i="1" s="1"/>
  <c r="Y89" i="1"/>
  <c r="U89" i="1" s="1"/>
  <c r="Y81" i="1"/>
  <c r="U81" i="1" s="1"/>
  <c r="Y18" i="1"/>
  <c r="U18" i="1" s="1"/>
  <c r="Y9" i="1"/>
  <c r="U9" i="1" s="1"/>
  <c r="Y29" i="1"/>
  <c r="U29" i="1" s="1"/>
  <c r="Y20" i="1"/>
  <c r="U20" i="1" s="1"/>
  <c r="Y13" i="1"/>
  <c r="U13" i="1" s="1"/>
  <c r="Y130" i="1"/>
  <c r="U130" i="1" s="1"/>
  <c r="Y126" i="1"/>
  <c r="U126" i="1" s="1"/>
  <c r="Y65" i="1"/>
  <c r="U65" i="1" s="1"/>
  <c r="Y28" i="1"/>
  <c r="U28" i="1" s="1"/>
  <c r="Y12" i="1"/>
  <c r="U12" i="1" s="1"/>
  <c r="Y32" i="1"/>
  <c r="U32" i="1" s="1"/>
  <c r="Y16" i="1"/>
  <c r="U16" i="1" s="1"/>
  <c r="Y143" i="1"/>
  <c r="U143" i="1" s="1"/>
  <c r="Y96" i="1"/>
  <c r="U96" i="1" s="1"/>
  <c r="Y88" i="1"/>
  <c r="U88" i="1" s="1"/>
  <c r="Y80" i="1"/>
  <c r="U80" i="1" s="1"/>
  <c r="Y73" i="1"/>
  <c r="U73" i="1" s="1"/>
  <c r="Y69" i="1"/>
  <c r="U69" i="1" s="1"/>
  <c r="Y39" i="1"/>
  <c r="U39" i="1" s="1"/>
  <c r="Y72" i="1"/>
  <c r="U72" i="1" s="1"/>
  <c r="Y68" i="1"/>
  <c r="U68" i="1" s="1"/>
  <c r="Y146" i="1"/>
  <c r="U146" i="1" s="1"/>
  <c r="Y145" i="1"/>
  <c r="U145" i="1" s="1"/>
  <c r="Y128" i="1"/>
  <c r="U128" i="1" s="1"/>
  <c r="Y121" i="1"/>
  <c r="U121" i="1" s="1"/>
  <c r="Y114" i="1"/>
  <c r="U114" i="1" s="1"/>
  <c r="Y62" i="1"/>
  <c r="U62" i="1" s="1"/>
  <c r="Y55" i="1"/>
  <c r="U55" i="1" s="1"/>
  <c r="Y53" i="1"/>
  <c r="U53" i="1" s="1"/>
  <c r="Y50" i="1"/>
  <c r="U50" i="1" s="1"/>
  <c r="Y45" i="1"/>
  <c r="U45" i="1" s="1"/>
  <c r="Y40" i="1"/>
  <c r="U40" i="1" s="1"/>
  <c r="Y36" i="1"/>
  <c r="U36" i="1" s="1"/>
  <c r="Y33" i="1"/>
  <c r="U33" i="1" s="1"/>
  <c r="Y138" i="1"/>
  <c r="U138" i="1" s="1"/>
  <c r="Y135" i="1"/>
  <c r="U135" i="1" s="1"/>
  <c r="Y134" i="1"/>
  <c r="U134" i="1" s="1"/>
  <c r="Y131" i="1"/>
  <c r="U131" i="1" s="1"/>
  <c r="Y127" i="1"/>
  <c r="U127" i="1" s="1"/>
  <c r="Y117" i="1"/>
  <c r="U117" i="1" s="1"/>
  <c r="Y116" i="1"/>
  <c r="U116" i="1" s="1"/>
  <c r="Y106" i="1"/>
  <c r="U106" i="1" s="1"/>
  <c r="Y103" i="1"/>
  <c r="U103" i="1" s="1"/>
  <c r="Y102" i="1"/>
  <c r="U102" i="1" s="1"/>
  <c r="Y99" i="1"/>
  <c r="U99" i="1" s="1"/>
  <c r="Y95" i="1"/>
  <c r="U95" i="1" s="1"/>
  <c r="Y84" i="1"/>
  <c r="U84" i="1" s="1"/>
  <c r="Y83" i="1"/>
  <c r="U83" i="1" s="1"/>
  <c r="Y57" i="1"/>
  <c r="U57" i="1" s="1"/>
  <c r="Y49" i="1"/>
  <c r="U49" i="1" s="1"/>
  <c r="Y48" i="1"/>
  <c r="U48" i="1" s="1"/>
  <c r="Y44" i="1"/>
  <c r="U44" i="1" s="1"/>
  <c r="Y43" i="1"/>
  <c r="U43" i="1" s="1"/>
  <c r="Y37" i="1"/>
  <c r="U37" i="1" s="1"/>
  <c r="Y4" i="1"/>
  <c r="U4" i="1" s="1"/>
  <c r="Y140" i="1"/>
  <c r="U140" i="1" s="1"/>
  <c r="Y137" i="1"/>
  <c r="U137" i="1" s="1"/>
  <c r="Y136" i="1"/>
  <c r="U136" i="1" s="1"/>
  <c r="Y132" i="1"/>
  <c r="U132" i="1" s="1"/>
  <c r="Y129" i="1"/>
  <c r="U129" i="1" s="1"/>
  <c r="Y120" i="1"/>
  <c r="U120" i="1" s="1"/>
  <c r="Y118" i="1"/>
  <c r="U118" i="1" s="1"/>
  <c r="Y108" i="1"/>
  <c r="U108" i="1" s="1"/>
  <c r="Y105" i="1"/>
  <c r="U105" i="1" s="1"/>
  <c r="Y104" i="1"/>
  <c r="U104" i="1" s="1"/>
  <c r="Y100" i="1"/>
  <c r="U100" i="1" s="1"/>
  <c r="Y97" i="1"/>
  <c r="U97" i="1" s="1"/>
  <c r="Y87" i="1"/>
  <c r="U87" i="1" s="1"/>
  <c r="Y85" i="1"/>
  <c r="U85" i="1" s="1"/>
  <c r="Y82" i="1"/>
  <c r="U82" i="1" s="1"/>
  <c r="Y141" i="1"/>
  <c r="U141" i="1" s="1"/>
  <c r="Y133" i="1"/>
  <c r="U133" i="1" s="1"/>
  <c r="Y115" i="1"/>
  <c r="U115" i="1" s="1"/>
  <c r="Y101" i="1"/>
  <c r="U101" i="1" s="1"/>
  <c r="Y144" i="1"/>
  <c r="U144" i="1" s="1"/>
  <c r="Y142" i="1"/>
  <c r="U142" i="1" s="1"/>
  <c r="Y139" i="1"/>
  <c r="U139" i="1" s="1"/>
  <c r="Y125" i="1"/>
  <c r="U125" i="1" s="1"/>
  <c r="Y124" i="1"/>
  <c r="U124" i="1" s="1"/>
  <c r="Y112" i="1"/>
  <c r="U112" i="1" s="1"/>
  <c r="Y110" i="1"/>
  <c r="U110" i="1" s="1"/>
  <c r="Y107" i="1"/>
  <c r="U107" i="1" s="1"/>
  <c r="Y79" i="1"/>
  <c r="U79" i="1" s="1"/>
  <c r="Y77" i="1"/>
  <c r="U77" i="1" s="1"/>
  <c r="Y74" i="1"/>
  <c r="U74" i="1" s="1"/>
  <c r="Y60" i="1"/>
  <c r="U60" i="1" s="1"/>
  <c r="Y59" i="1"/>
  <c r="U59" i="1" s="1"/>
  <c r="Y47" i="1"/>
  <c r="U47" i="1" s="1"/>
  <c r="Y34" i="1"/>
  <c r="U34" i="1" s="1"/>
  <c r="Y123" i="1"/>
  <c r="U123" i="1" s="1"/>
  <c r="Y109" i="1"/>
  <c r="U109" i="1" s="1"/>
  <c r="Y90" i="1"/>
  <c r="U90" i="1" s="1"/>
  <c r="Y76" i="1"/>
  <c r="U76" i="1" s="1"/>
  <c r="Y75" i="1"/>
  <c r="U75" i="1" s="1"/>
  <c r="Y63" i="1"/>
  <c r="U63" i="1" s="1"/>
  <c r="Y61" i="1"/>
  <c r="U61" i="1" s="1"/>
  <c r="Y58" i="1"/>
  <c r="U58" i="1" s="1"/>
  <c r="Y41" i="1"/>
  <c r="U41" i="1" s="1"/>
  <c r="Y42" i="1"/>
  <c r="U42" i="1" s="1"/>
  <c r="Y38" i="1"/>
  <c r="U38" i="1" s="1"/>
  <c r="Y35" i="1"/>
  <c r="U35" i="1" s="1"/>
  <c r="M131" i="1" l="1"/>
  <c r="N131" i="1" s="1"/>
  <c r="K131" i="1"/>
  <c r="K4" i="1"/>
  <c r="L4" i="1"/>
  <c r="M4" i="1"/>
  <c r="N4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N31" i="1" s="1"/>
  <c r="K32" i="1"/>
  <c r="L32" i="1"/>
  <c r="M32" i="1"/>
  <c r="N32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N57" i="1"/>
  <c r="K58" i="1"/>
  <c r="L58" i="1"/>
  <c r="K59" i="1"/>
  <c r="L59" i="1"/>
  <c r="K60" i="1"/>
  <c r="L60" i="1"/>
  <c r="K61" i="1"/>
  <c r="L61" i="1"/>
  <c r="N61" i="1"/>
  <c r="K62" i="1"/>
  <c r="L62" i="1"/>
  <c r="M62" i="1"/>
  <c r="K63" i="1"/>
  <c r="L63" i="1"/>
  <c r="M63" i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P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P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2" i="1"/>
  <c r="L92" i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M130" i="1"/>
  <c r="N130" i="1" s="1"/>
  <c r="K132" i="1"/>
  <c r="M132" i="1"/>
  <c r="K133" i="1"/>
  <c r="M133" i="1"/>
  <c r="N133" i="1" s="1"/>
  <c r="K134" i="1"/>
  <c r="M134" i="1"/>
  <c r="N134" i="1" s="1"/>
  <c r="K135" i="1"/>
  <c r="M135" i="1"/>
  <c r="N135" i="1" s="1"/>
  <c r="K136" i="1"/>
  <c r="M136" i="1"/>
  <c r="N136" i="1" s="1"/>
  <c r="K137" i="1"/>
  <c r="M137" i="1"/>
  <c r="N137" i="1" s="1"/>
  <c r="K138" i="1"/>
  <c r="M138" i="1"/>
  <c r="N138" i="1" s="1"/>
  <c r="K139" i="1"/>
  <c r="M139" i="1"/>
  <c r="N139" i="1" s="1"/>
  <c r="K140" i="1"/>
  <c r="M140" i="1"/>
  <c r="N140" i="1" s="1"/>
  <c r="K141" i="1"/>
  <c r="M141" i="1"/>
  <c r="N141" i="1" s="1"/>
  <c r="K142" i="1"/>
  <c r="M142" i="1"/>
  <c r="N142" i="1" s="1"/>
  <c r="K143" i="1"/>
  <c r="M143" i="1"/>
  <c r="N143" i="1" s="1"/>
  <c r="K144" i="1"/>
  <c r="M144" i="1"/>
  <c r="N144" i="1" s="1"/>
  <c r="K145" i="1"/>
  <c r="M145" i="1"/>
  <c r="N145" i="1" s="1"/>
  <c r="K146" i="1"/>
  <c r="M146" i="1"/>
  <c r="K3" i="1"/>
  <c r="L3" i="1"/>
  <c r="M3" i="1"/>
  <c r="N3" i="1" s="1"/>
  <c r="P63" i="1" l="1"/>
  <c r="O154" i="1"/>
  <c r="N154" i="1"/>
  <c r="N151" i="1"/>
  <c r="O151" i="1"/>
  <c r="J154" i="1"/>
  <c r="J151" i="1"/>
  <c r="A1" i="6"/>
  <c r="M154" i="1" l="1"/>
  <c r="J153" i="1"/>
  <c r="J150" i="1"/>
  <c r="T3" i="1"/>
  <c r="W3" i="1"/>
  <c r="X3" i="1"/>
  <c r="Y3" i="1" l="1"/>
  <c r="U3" i="1" s="1"/>
  <c r="A1" i="3" l="1"/>
  <c r="J155" i="1" l="1"/>
  <c r="A1" i="1"/>
  <c r="O152" i="1" l="1"/>
  <c r="N152" i="1"/>
  <c r="M151" i="1" l="1"/>
</calcChain>
</file>

<file path=xl/connections.xml><?xml version="1.0" encoding="utf-8"?>
<connections xmlns="http://schemas.openxmlformats.org/spreadsheetml/2006/main">
  <connection id="1" name="Denver Train Runs 04122016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<sst xmlns="http://schemas.openxmlformats.org/spreadsheetml/2006/main" count="1560" uniqueCount="428">
  <si>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</si>
  <si>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</si>
  <si>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</si>
  <si>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</si>
  <si>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</si>
  <si>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</si>
  <si>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</si>
  <si>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</si>
  <si>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</si>
  <si>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</si>
  <si>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</si>
  <si>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</si>
  <si>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</si>
  <si>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</si>
  <si>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</si>
  <si>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</si>
  <si>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</si>
  <si>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</si>
  <si>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</si>
  <si>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</si>
  <si>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</si>
  <si>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</si>
  <si>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</si>
  <si>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</si>
  <si>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</si>
  <si>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</si>
  <si>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</si>
  <si>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</si>
  <si>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</si>
  <si>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</si>
  <si>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</si>
  <si>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</si>
  <si>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</si>
  <si>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</si>
  <si>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</si>
  <si>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</si>
  <si>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</si>
  <si>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</si>
  <si>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</si>
  <si>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</si>
  <si>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</si>
  <si>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</si>
  <si>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</si>
  <si>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</si>
  <si>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</si>
  <si>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</si>
  <si>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</si>
  <si>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</si>
  <si>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</si>
  <si>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</si>
  <si>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</si>
  <si>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</si>
  <si>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rtdc.l.rtdc.4011:itc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</si>
  <si>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</si>
  <si>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</si>
  <si>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</si>
  <si>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</si>
  <si>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</si>
  <si>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</si>
  <si>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</si>
  <si>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</si>
  <si>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</si>
  <si>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</si>
  <si>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rtdc.l.rtdc.4023:itc</t>
  </si>
  <si>
    <t>rtdc.l.rtdc.4024:itc</t>
  </si>
  <si>
    <t>rtdc.l.rtdc.4012:itc</t>
  </si>
  <si>
    <t>YOUNG</t>
  </si>
  <si>
    <t>BARTLETT</t>
  </si>
  <si>
    <t>rtdc.l.rtdc.4015:itc</t>
  </si>
  <si>
    <t>rtdc.l.rtdc.4020:itc</t>
  </si>
  <si>
    <t>rtdc.l.rtdc.4019:itc</t>
  </si>
  <si>
    <t>DE.1.0.6.0</t>
  </si>
  <si>
    <t>204:233297</t>
  </si>
  <si>
    <t>204:233310</t>
  </si>
  <si>
    <t>204:233295</t>
  </si>
  <si>
    <t>204:232977</t>
  </si>
  <si>
    <t>204:232978</t>
  </si>
  <si>
    <t>204:156</t>
  </si>
  <si>
    <t>204:232985</t>
  </si>
  <si>
    <t>204:149</t>
  </si>
  <si>
    <t>204:233303</t>
  </si>
  <si>
    <t>204:143</t>
  </si>
  <si>
    <t>204:457</t>
  </si>
  <si>
    <t>204:232991</t>
  </si>
  <si>
    <t>204:233305</t>
  </si>
  <si>
    <t>204:154</t>
  </si>
  <si>
    <t>204:160</t>
  </si>
  <si>
    <t>204:449</t>
  </si>
  <si>
    <t>204:233304</t>
  </si>
  <si>
    <t>204:232989</t>
  </si>
  <si>
    <t>204:444</t>
  </si>
  <si>
    <t>204:145</t>
  </si>
  <si>
    <t>204:447</t>
  </si>
  <si>
    <t>204:136</t>
  </si>
  <si>
    <t>204:471</t>
  </si>
  <si>
    <t>204:233308</t>
  </si>
  <si>
    <t>204:232996</t>
  </si>
  <si>
    <t>204:455</t>
  </si>
  <si>
    <t>204:451</t>
  </si>
  <si>
    <t>204:233000</t>
  </si>
  <si>
    <t>204:453</t>
  </si>
  <si>
    <t>204:232998</t>
  </si>
  <si>
    <t>204:233289</t>
  </si>
  <si>
    <t>204:460</t>
  </si>
  <si>
    <t>204:232976</t>
  </si>
  <si>
    <t>204:233299</t>
  </si>
  <si>
    <t>204:152</t>
  </si>
  <si>
    <t>204:233312</t>
  </si>
  <si>
    <t>204:163</t>
  </si>
  <si>
    <t>204:446</t>
  </si>
  <si>
    <t>204:232994</t>
  </si>
  <si>
    <t>204:464</t>
  </si>
  <si>
    <t>204:233314</t>
  </si>
  <si>
    <t>204:232993</t>
  </si>
  <si>
    <t>204:161</t>
  </si>
  <si>
    <t>204:232980</t>
  </si>
  <si>
    <t>204:466</t>
  </si>
  <si>
    <t>Y</t>
  </si>
  <si>
    <t>N</t>
  </si>
  <si>
    <t>baselines:</t>
  </si>
  <si>
    <t>sunday - thu - 144/day</t>
  </si>
  <si>
    <t>fri-sat - 146/day</t>
  </si>
  <si>
    <t>rtdc.l.rtdc.4016:itc</t>
  </si>
  <si>
    <t>rtdc.l.rtdc.4008:itc</t>
  </si>
  <si>
    <t>rtdc.l.rtdc.4007:itc</t>
  </si>
  <si>
    <t>GRADE CROSSING</t>
  </si>
  <si>
    <t>Bulletin (2)</t>
  </si>
  <si>
    <t>204:141</t>
  </si>
  <si>
    <t>204:150</t>
  </si>
  <si>
    <t>204:232975</t>
  </si>
  <si>
    <t>204:232981</t>
  </si>
  <si>
    <t>204:233291</t>
  </si>
  <si>
    <t>204:232990</t>
  </si>
  <si>
    <t>204:232987</t>
  </si>
  <si>
    <t>Married Pair</t>
  </si>
  <si>
    <t>204:233315</t>
  </si>
  <si>
    <t>204:232971</t>
  </si>
  <si>
    <t>204:233311</t>
  </si>
  <si>
    <t>204:129</t>
  </si>
  <si>
    <t>204:134</t>
  </si>
  <si>
    <t>204:132</t>
  </si>
  <si>
    <t>204:233321</t>
  </si>
  <si>
    <t>204:147</t>
  </si>
  <si>
    <t>204:462</t>
  </si>
  <si>
    <t>204:233286</t>
  </si>
  <si>
    <t>204:233300</t>
  </si>
  <si>
    <t>204:233317</t>
  </si>
  <si>
    <t>204:433</t>
  </si>
  <si>
    <t>204:233019</t>
  </si>
  <si>
    <t>204:233293</t>
  </si>
  <si>
    <t>204:480</t>
  </si>
  <si>
    <t>204:232963</t>
  </si>
  <si>
    <t>ACKERMAN</t>
  </si>
  <si>
    <t>RIVERA</t>
  </si>
  <si>
    <t>204:233334</t>
  </si>
  <si>
    <t>204:233331</t>
  </si>
  <si>
    <t>204:232982</t>
  </si>
  <si>
    <t>204:473</t>
  </si>
  <si>
    <t>204:233288</t>
  </si>
  <si>
    <t>204:232959</t>
  </si>
  <si>
    <t>204:167</t>
  </si>
  <si>
    <t>204:420</t>
  </si>
  <si>
    <t>204:431</t>
  </si>
  <si>
    <t>204:233323</t>
  </si>
  <si>
    <t>204:233010</t>
  </si>
  <si>
    <t>204:232986</t>
  </si>
  <si>
    <t>204:438</t>
  </si>
  <si>
    <t>204:232973</t>
  </si>
  <si>
    <t>STRICKLAND</t>
  </si>
  <si>
    <t>BRUDER</t>
  </si>
  <si>
    <t>rtdc.l.rtdc.4044:itc</t>
  </si>
  <si>
    <t>SPECTOR</t>
  </si>
  <si>
    <t>rtdc.l.rtdc.4043:itc</t>
  </si>
  <si>
    <t>114-10</t>
  </si>
  <si>
    <t>CHANDLER</t>
  </si>
  <si>
    <t>YORK</t>
  </si>
  <si>
    <t>STORY</t>
  </si>
  <si>
    <t>rtdc.l.rtdc.4009:itc</t>
  </si>
  <si>
    <t>ADANE</t>
  </si>
  <si>
    <t>105-10</t>
  </si>
  <si>
    <t>NEWELL</t>
  </si>
  <si>
    <t>123-10</t>
  </si>
  <si>
    <t>121-10</t>
  </si>
  <si>
    <t>rtdc.l.rtdc.4032:itc</t>
  </si>
  <si>
    <t>106-10</t>
  </si>
  <si>
    <t>117-10</t>
  </si>
  <si>
    <t>STARKS</t>
  </si>
  <si>
    <t>113-10</t>
  </si>
  <si>
    <t>103-10</t>
  </si>
  <si>
    <t>rtdc.l.rtdc.4010:itc</t>
  </si>
  <si>
    <t>112-10</t>
  </si>
  <si>
    <t>CANFIELD</t>
  </si>
  <si>
    <t>JACKSON</t>
  </si>
  <si>
    <t>109-10</t>
  </si>
  <si>
    <t>118-10</t>
  </si>
  <si>
    <t>111-10</t>
  </si>
  <si>
    <t>116-10</t>
  </si>
  <si>
    <t>110-10</t>
  </si>
  <si>
    <t>104-10</t>
  </si>
  <si>
    <t>120-10</t>
  </si>
  <si>
    <t>125-10</t>
  </si>
  <si>
    <t>102-10</t>
  </si>
  <si>
    <t>108-10</t>
  </si>
  <si>
    <t>115-10</t>
  </si>
  <si>
    <t>119-10</t>
  </si>
  <si>
    <t>101-10</t>
  </si>
  <si>
    <t>107-10</t>
  </si>
  <si>
    <t>127-10</t>
  </si>
  <si>
    <t>204:754</t>
  </si>
  <si>
    <t>204:232668</t>
  </si>
  <si>
    <t>204:688</t>
  </si>
  <si>
    <t>204:232679</t>
  </si>
  <si>
    <t>204:761</t>
  </si>
  <si>
    <t>204:232646</t>
  </si>
  <si>
    <t>204:1858</t>
  </si>
  <si>
    <t>204:233002</t>
  </si>
  <si>
    <t>204:744</t>
  </si>
  <si>
    <t>204:233282</t>
  </si>
  <si>
    <t>204:385</t>
  </si>
  <si>
    <t>204:790</t>
  </si>
  <si>
    <t>204:233319</t>
  </si>
  <si>
    <t>204:524</t>
  </si>
  <si>
    <t>204:233249</t>
  </si>
  <si>
    <t>204:232915</t>
  </si>
  <si>
    <t>204:1475</t>
  </si>
  <si>
    <t>204:233342</t>
  </si>
  <si>
    <t>122-10</t>
  </si>
  <si>
    <t>124-10</t>
  </si>
  <si>
    <t>204:440</t>
  </si>
  <si>
    <t>126-10</t>
  </si>
  <si>
    <t>204:138</t>
  </si>
  <si>
    <t>204:509</t>
  </si>
  <si>
    <t>128-10</t>
  </si>
  <si>
    <t>129-10</t>
  </si>
  <si>
    <t>204:233316</t>
  </si>
  <si>
    <t>130-10</t>
  </si>
  <si>
    <t>204:139</t>
  </si>
  <si>
    <t>131-10</t>
  </si>
  <si>
    <t>204:233336</t>
  </si>
  <si>
    <t>132-10</t>
  </si>
  <si>
    <t>204:233025</t>
  </si>
  <si>
    <t>133-10</t>
  </si>
  <si>
    <t>134-10</t>
  </si>
  <si>
    <t>135-10</t>
  </si>
  <si>
    <t>136-10</t>
  </si>
  <si>
    <t>137-10</t>
  </si>
  <si>
    <t>138-10</t>
  </si>
  <si>
    <t>139-10</t>
  </si>
  <si>
    <t>204:220119</t>
  </si>
  <si>
    <t>140-10</t>
  </si>
  <si>
    <t>141-10</t>
  </si>
  <si>
    <t>142-10</t>
  </si>
  <si>
    <t>204:214</t>
  </si>
  <si>
    <t>143-10</t>
  </si>
  <si>
    <t>204:409</t>
  </si>
  <si>
    <t>145-10</t>
  </si>
  <si>
    <t>204:233341</t>
  </si>
  <si>
    <t>146-10</t>
  </si>
  <si>
    <t>204:233021</t>
  </si>
  <si>
    <t>147-10</t>
  </si>
  <si>
    <t>148-10</t>
  </si>
  <si>
    <t>149-10</t>
  </si>
  <si>
    <t>204:233301</t>
  </si>
  <si>
    <t>150-10</t>
  </si>
  <si>
    <t>151-10</t>
  </si>
  <si>
    <t>152-10</t>
  </si>
  <si>
    <t>204:158</t>
  </si>
  <si>
    <t>153-10</t>
  </si>
  <si>
    <t>204:233276</t>
  </si>
  <si>
    <t>154-10</t>
  </si>
  <si>
    <t>155-10</t>
  </si>
  <si>
    <t>204:497</t>
  </si>
  <si>
    <t>156-10</t>
  </si>
  <si>
    <t>204:621</t>
  </si>
  <si>
    <t>157-10</t>
  </si>
  <si>
    <t>204:128274</t>
  </si>
  <si>
    <t>204:102878</t>
  </si>
  <si>
    <t>158-10</t>
  </si>
  <si>
    <t>204:232984</t>
  </si>
  <si>
    <t>159-10</t>
  </si>
  <si>
    <t>204:64710</t>
  </si>
  <si>
    <t>204:86375</t>
  </si>
  <si>
    <t>160-10</t>
  </si>
  <si>
    <t>161-10</t>
  </si>
  <si>
    <t>162-10</t>
  </si>
  <si>
    <t>163-10</t>
  </si>
  <si>
    <t>164-10</t>
  </si>
  <si>
    <t>204:233017</t>
  </si>
  <si>
    <t>165-10</t>
  </si>
  <si>
    <t>204:233280</t>
  </si>
  <si>
    <t>166-10</t>
  </si>
  <si>
    <t>204:232957</t>
  </si>
  <si>
    <t>167-10</t>
  </si>
  <si>
    <t>168-10</t>
  </si>
  <si>
    <t>169-10</t>
  </si>
  <si>
    <t>204:19134</t>
  </si>
  <si>
    <t>170-10</t>
  </si>
  <si>
    <t>204:400</t>
  </si>
  <si>
    <t>171-10</t>
  </si>
  <si>
    <t>172-10</t>
  </si>
  <si>
    <t>173-10</t>
  </si>
  <si>
    <t>174-10</t>
  </si>
  <si>
    <t>204:169</t>
  </si>
  <si>
    <t>175-10</t>
  </si>
  <si>
    <t>176-10</t>
  </si>
  <si>
    <t>177-10</t>
  </si>
  <si>
    <t>178-10</t>
  </si>
  <si>
    <t>179-10</t>
  </si>
  <si>
    <t>180-10</t>
  </si>
  <si>
    <t>181-10</t>
  </si>
  <si>
    <t>182-10</t>
  </si>
  <si>
    <t>204:4447</t>
  </si>
  <si>
    <t>183-10</t>
  </si>
  <si>
    <t>204:551</t>
  </si>
  <si>
    <t>204:199876</t>
  </si>
  <si>
    <t>184-10</t>
  </si>
  <si>
    <t>204:391</t>
  </si>
  <si>
    <t>185-10</t>
  </si>
  <si>
    <t>204:233284</t>
  </si>
  <si>
    <t>186-10</t>
  </si>
  <si>
    <t>187-10</t>
  </si>
  <si>
    <t>188-10</t>
  </si>
  <si>
    <t>204:127964</t>
  </si>
  <si>
    <t>189-10</t>
  </si>
  <si>
    <t>190-10</t>
  </si>
  <si>
    <t>204:233001</t>
  </si>
  <si>
    <t>191-10</t>
  </si>
  <si>
    <t>204:467</t>
  </si>
  <si>
    <t>204:233325</t>
  </si>
  <si>
    <t>192-10</t>
  </si>
  <si>
    <t>193-10</t>
  </si>
  <si>
    <t>194-10</t>
  </si>
  <si>
    <t>195-10</t>
  </si>
  <si>
    <t>204:442</t>
  </si>
  <si>
    <t>196-10</t>
  </si>
  <si>
    <t>197-10</t>
  </si>
  <si>
    <t>204:537</t>
  </si>
  <si>
    <t>204:233238</t>
  </si>
  <si>
    <t>198-10</t>
  </si>
  <si>
    <t>204:232967</t>
  </si>
  <si>
    <t>204:415</t>
  </si>
  <si>
    <t>199-10</t>
  </si>
  <si>
    <t>204:233217</t>
  </si>
  <si>
    <t>200-10</t>
  </si>
  <si>
    <t>204:232902</t>
  </si>
  <si>
    <t>203-10</t>
  </si>
  <si>
    <t>204-10</t>
  </si>
  <si>
    <t>204:233036</t>
  </si>
  <si>
    <t>205-10</t>
  </si>
  <si>
    <t>204:233270</t>
  </si>
  <si>
    <t>206-10</t>
  </si>
  <si>
    <t>207-10</t>
  </si>
  <si>
    <t>204:233285</t>
  </si>
  <si>
    <t>208-10</t>
  </si>
  <si>
    <t>209-10</t>
  </si>
  <si>
    <t>204:233264</t>
  </si>
  <si>
    <t>210-10</t>
  </si>
  <si>
    <t>204:232946</t>
  </si>
  <si>
    <t>211-10</t>
  </si>
  <si>
    <t>204:557</t>
  </si>
  <si>
    <t>212-10</t>
  </si>
  <si>
    <t>204:389</t>
  </si>
  <si>
    <t>213-10</t>
  </si>
  <si>
    <t>214-10</t>
  </si>
  <si>
    <t>215-10</t>
  </si>
  <si>
    <t>216-10</t>
  </si>
  <si>
    <t>217-10</t>
  </si>
  <si>
    <t>218-10</t>
  </si>
  <si>
    <t>219-10</t>
  </si>
  <si>
    <t>204:422</t>
  </si>
  <si>
    <t>220-10</t>
  </si>
  <si>
    <t>221-10</t>
  </si>
  <si>
    <t>222-10</t>
  </si>
  <si>
    <t>204:232960</t>
  </si>
  <si>
    <t>223-10</t>
  </si>
  <si>
    <t>224-10</t>
  </si>
  <si>
    <t>204:232968</t>
  </si>
  <si>
    <t>225-10</t>
  </si>
  <si>
    <t>226-10</t>
  </si>
  <si>
    <t>227-10</t>
  </si>
  <si>
    <t>228-10</t>
  </si>
  <si>
    <t>229-10</t>
  </si>
  <si>
    <t>204:486</t>
  </si>
  <si>
    <t>230-10</t>
  </si>
  <si>
    <t>204:4893</t>
  </si>
  <si>
    <t>231-10</t>
  </si>
  <si>
    <t>232-10</t>
  </si>
  <si>
    <t>233-10</t>
  </si>
  <si>
    <t>234-10</t>
  </si>
  <si>
    <t>235-10</t>
  </si>
  <si>
    <t>236-10</t>
  </si>
  <si>
    <t>237-10</t>
  </si>
  <si>
    <t>204:233278</t>
  </si>
  <si>
    <t>238-10</t>
  </si>
  <si>
    <t>204:232955</t>
  </si>
  <si>
    <t>204:207</t>
  </si>
  <si>
    <t>239-10</t>
  </si>
  <si>
    <t>240-10</t>
  </si>
  <si>
    <t>241-10</t>
  </si>
  <si>
    <t>242-10</t>
  </si>
  <si>
    <t>204:176</t>
  </si>
  <si>
    <t>243-10</t>
  </si>
  <si>
    <t>244-10</t>
  </si>
  <si>
    <t>204:3705</t>
  </si>
  <si>
    <t>307-10</t>
  </si>
  <si>
    <t>UNKNOWN DIRECTION</t>
  </si>
  <si>
    <t>Other (9)</t>
  </si>
  <si>
    <t>144-10</t>
  </si>
  <si>
    <t>EQUIPMENT RESTRICTION</t>
  </si>
  <si>
    <t>SWITCH UNKNOWN</t>
  </si>
  <si>
    <t>Track device (7)</t>
  </si>
  <si>
    <t>REBOLETTI</t>
  </si>
  <si>
    <t>LEVERE</t>
  </si>
  <si>
    <t>COOLAHAN</t>
  </si>
  <si>
    <t>201-10</t>
  </si>
  <si>
    <t>202-10</t>
  </si>
  <si>
    <t>TMC Entered Failed State</t>
  </si>
  <si>
    <t>Poor GPS signal caused navigation issues as train approached DUS</t>
  </si>
  <si>
    <t>Ticket Needed</t>
  </si>
  <si>
    <t>Premature downgrade, DUS Signal 20S</t>
  </si>
  <si>
    <t>Closed</t>
  </si>
  <si>
    <t>Premature downgrade at signal EC1981RH 191-1T 1N</t>
  </si>
  <si>
    <t>Poor GPS signal prevented track selection</t>
  </si>
  <si>
    <t>TMC Entered Failed State because Departure Test was canceled (3 times)</t>
  </si>
  <si>
    <t>Premature signal downgrade EC2174RH (CP 78TH AVENUE) Signal 2N</t>
  </si>
  <si>
    <t>Emergency Braking Event, spent remainder of trip in ATC</t>
  </si>
  <si>
    <t>Train didn't fully stop at Station, onboard flashed prompts. Train was probably cut out to avoid confusion.</t>
  </si>
  <si>
    <t>Train was not soft cut out at end of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</si>
</sst>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0.0%"/>
    <numFmt numFmtId="166" formatCode="yyyy\-mm\-dd"/>
    <numFmt numFmtId="167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" fontId="0" fillId="0" borderId="5" xfId="0" applyNumberFormat="1" applyFill="1" applyBorder="1"/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1" fillId="0" borderId="0" xfId="0" applyFont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3"/>
  <sheetViews>
    <sheetView showGridLines="0" tabSelected="1" zoomScale="85" zoomScaleNormal="85" workbookViewId="0">
      <selection activeCell="J150" sqref="J150"/>
    </sheetView>
  </sheetViews>
  <sheetFormatPr defaultRowHeight="15" x14ac:dyDescent="0.25"/>
  <cols>
    <col min="1" max="1" width="10.5703125" style="2" customWidth="1"/>
    <col min="2" max="2" width="9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60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52.140625" bestFit="1" customWidth="1"/>
    <col min="19" max="19" width="4.28515625" customWidth="1"/>
    <col min="20" max="20" width="9" style="55" customWidth="1"/>
    <col min="21" max="21" width="10.140625" style="55" customWidth="1"/>
    <col min="22" max="22" width="14.140625" style="55" customWidth="1"/>
    <col min="23" max="25" width="9.140625" style="55"/>
    <col min="26" max="26" width="10.7109375" style="56" bestFit="1" customWidth="1"/>
    <col min="27" max="27" width="30.5703125" style="56" bestFit="1" customWidth="1"/>
  </cols>
  <sheetData>
    <row r="1" spans="1:89" ht="57.75" customHeight="1" thickBot="1" x14ac:dyDescent="0.3">
      <c r="A1" s="85" t="str">
        <f>"Eagle P3 System Performance - "&amp;TEXT(Variables!A2,"yyyy-mm-dd")</f>
        <v>Eagle P3 System Performance - 2016-05-10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89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134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10"/>
      <c r="T2" s="73" t="s">
        <v>47</v>
      </c>
      <c r="U2" s="73" t="s">
        <v>23</v>
      </c>
      <c r="V2" s="73" t="s">
        <v>51</v>
      </c>
      <c r="W2" s="73" t="s">
        <v>20</v>
      </c>
      <c r="X2" s="73" t="s">
        <v>21</v>
      </c>
      <c r="Y2" s="73" t="s">
        <v>22</v>
      </c>
      <c r="Z2" s="74" t="s">
        <v>41</v>
      </c>
      <c r="AA2" s="74" t="s">
        <v>42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</row>
    <row r="3" spans="1:89" s="2" customFormat="1" x14ac:dyDescent="0.25">
      <c r="A3" s="61" t="s">
        <v>205</v>
      </c>
      <c r="B3" s="61">
        <v>4020</v>
      </c>
      <c r="C3" s="61" t="s">
        <v>71</v>
      </c>
      <c r="D3" s="61" t="s">
        <v>208</v>
      </c>
      <c r="E3" s="30">
        <v>42500.12909722222</v>
      </c>
      <c r="F3" s="30">
        <v>42500.132592592592</v>
      </c>
      <c r="G3" s="38">
        <v>5</v>
      </c>
      <c r="H3" s="30" t="s">
        <v>107</v>
      </c>
      <c r="I3" s="30">
        <v>42500.162164351852</v>
      </c>
      <c r="J3" s="61">
        <v>0</v>
      </c>
      <c r="K3" s="61" t="str">
        <f t="shared" ref="K3:K34" si="0">IF(ISEVEN(B3),(B3-1)&amp;"/"&amp;B3,B3&amp;"/"&amp;(B3+1))</f>
        <v>4019/4020</v>
      </c>
      <c r="L3" s="61" t="str">
        <f>VLOOKUP(A3,'Trips&amp;Operators'!$C$1:$E$9999,3,FALSE)</f>
        <v>CHANDLER</v>
      </c>
      <c r="M3" s="12">
        <f t="shared" ref="M3:M34" si="1">I3-F3</f>
        <v>2.9571759259852115E-2</v>
      </c>
      <c r="N3" s="13">
        <f>$M3*24*60</f>
        <v>42.583333334187046</v>
      </c>
      <c r="O3" s="13"/>
      <c r="P3" s="13"/>
      <c r="Q3" s="62"/>
      <c r="R3" s="52"/>
      <c r="T3" s="75" t="str">
        <f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https://search-rtdc-monitor-bjffxe2xuh6vdkpspy63sjmuny.us-east-1.es.amazonaws.com/_plugin/kibana/#/discover/Steve-Slow-Train-Analysis-(2080s-and-2083s)?_g=(refreshInterval:(display:Off,section:0,value:0),time:(from:'2016-05-10 03:04:54-0600',mode:absolute,to:'2016-05-10 03:54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3" s="75" t="str">
        <f>IF(Y3&lt;23,"Y","N")</f>
        <v>N</v>
      </c>
      <c r="V3" s="75"/>
      <c r="W3" s="75">
        <f>RIGHT(D3,LEN(D3)-4)/10000</f>
        <v>7.5399999999999995E-2</v>
      </c>
      <c r="X3" s="75">
        <f>RIGHT(H3,LEN(H3)-4)/10000</f>
        <v>23.331199999999999</v>
      </c>
      <c r="Y3" s="75">
        <f>ABS(X3-W3)</f>
        <v>23.255800000000001</v>
      </c>
      <c r="Z3" s="76" t="e">
        <f>VLOOKUP(A3,Enforcements!$C$3:$J$26,8,0)</f>
        <v>#N/A</v>
      </c>
      <c r="AA3" s="76" t="e">
        <f>VLOOKUP(A3,Enforcements!$C$3:$J$26,3,0)</f>
        <v>#N/A</v>
      </c>
    </row>
    <row r="4" spans="1:89" s="2" customFormat="1" x14ac:dyDescent="0.25">
      <c r="A4" s="61" t="s">
        <v>201</v>
      </c>
      <c r="B4" s="61">
        <v>4012</v>
      </c>
      <c r="C4" s="61" t="s">
        <v>71</v>
      </c>
      <c r="D4" s="61" t="s">
        <v>209</v>
      </c>
      <c r="E4" s="30">
        <v>42500.173680555556</v>
      </c>
      <c r="F4" s="30">
        <v>42500.17496527778</v>
      </c>
      <c r="G4" s="38">
        <v>1</v>
      </c>
      <c r="H4" s="30" t="s">
        <v>210</v>
      </c>
      <c r="I4" s="30">
        <v>42500.202233796299</v>
      </c>
      <c r="J4" s="61">
        <v>0</v>
      </c>
      <c r="K4" s="61" t="str">
        <f t="shared" si="0"/>
        <v>4011/4012</v>
      </c>
      <c r="L4" s="61" t="str">
        <f>VLOOKUP(A4,'Trips&amp;Operators'!$C$1:$E$9999,3,FALSE)</f>
        <v>CHANDLER</v>
      </c>
      <c r="M4" s="12">
        <f t="shared" si="1"/>
        <v>2.7268518519122154E-2</v>
      </c>
      <c r="N4" s="13">
        <f>$M4*24*60</f>
        <v>39.266666667535901</v>
      </c>
      <c r="O4" s="13"/>
      <c r="P4" s="13"/>
      <c r="Q4" s="62"/>
      <c r="R4" s="62"/>
      <c r="T4" s="75" t="str">
        <f>"https://search-rtdc-monitor-bjffxe2xuh6vdkpspy63sjmuny.us-east-1.es.amazonaws.com/_plugin/kibana/#/discover/Steve-Slow-Train-Analysis-(2080s-and-2083s)?_g=(refreshInterval:(display:Off,section:0,value:0),time:(from:'"&amp;TEXT(E4-1/24/60,"yyyy-MM-DD hh:mm:ss")&amp;"-0600',mode:absolute,to:'"&amp;TEXT(I4+1/24/60,"yyyy-MM-DD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&amp;"%22')),sort:!(Time,asc))"</f>
        <v>https://search-rtdc-monitor-bjffxe2xuh6vdkpspy63sjmuny.us-east-1.es.amazonaws.com/_plugin/kibana/#/discover/Steve-Slow-Train-Analysis-(2080s-and-2083s)?_g=(refreshInterval:(display:Off,section:0,value:0),time:(from:'2016-05-10 04:09:06-0600',mode:absolute,to:'2016-05-10 04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4" s="75" t="str">
        <f>IF(Y4&lt;23,"Y","N")</f>
        <v>N</v>
      </c>
      <c r="V4" s="75">
        <f>VALUE(LEFT(A4,3))-VALUE(LEFT(A3,3))</f>
        <v>1</v>
      </c>
      <c r="W4" s="75">
        <f>RIGHT(D4,LEN(D4)-4)/10000</f>
        <v>23.2668</v>
      </c>
      <c r="X4" s="75">
        <f>RIGHT(H4,LEN(H4)-4)/10000</f>
        <v>6.88E-2</v>
      </c>
      <c r="Y4" s="75">
        <f>ABS(X4-W4)</f>
        <v>23.198</v>
      </c>
      <c r="Z4" s="76" t="e">
        <f>VLOOKUP(A4,Enforcements!$C$3:$J$26,8,0)</f>
        <v>#N/A</v>
      </c>
      <c r="AA4" s="76" t="e">
        <f>VLOOKUP(A4,Enforcements!$C$3:$J$26,3,0)</f>
        <v>#N/A</v>
      </c>
    </row>
    <row r="5" spans="1:89" s="2" customFormat="1" x14ac:dyDescent="0.25">
      <c r="A5" s="61" t="s">
        <v>188</v>
      </c>
      <c r="B5" s="61">
        <v>4024</v>
      </c>
      <c r="C5" s="61"/>
      <c r="D5" s="61"/>
      <c r="E5" s="30"/>
      <c r="F5" s="30">
        <v>42501.152777777781</v>
      </c>
      <c r="G5" s="38"/>
      <c r="H5" s="30"/>
      <c r="I5" s="30" t="s">
        <v>15</v>
      </c>
      <c r="J5" s="61">
        <v>0</v>
      </c>
      <c r="K5" s="61" t="str">
        <f t="shared" si="0"/>
        <v>4023/4024</v>
      </c>
      <c r="L5" s="61" t="str">
        <f>VLOOKUP(A5,'Trips&amp;Operators'!$C$1:$E$9999,3,FALSE)</f>
        <v>STARKS</v>
      </c>
      <c r="M5" s="12" t="e">
        <f t="shared" si="1"/>
        <v>#VALUE!</v>
      </c>
      <c r="N5" s="13"/>
      <c r="O5" s="13"/>
      <c r="P5" s="13">
        <v>0.1</v>
      </c>
      <c r="Q5" s="62" t="s">
        <v>420</v>
      </c>
      <c r="R5" s="62" t="s">
        <v>423</v>
      </c>
      <c r="T5" s="75"/>
      <c r="U5" s="75"/>
      <c r="V5" s="75">
        <f t="shared" ref="V5:V6" si="2">VALUE(LEFT(A5,3))-VALUE(LEFT(A4,3))</f>
        <v>1</v>
      </c>
      <c r="W5" s="75"/>
      <c r="X5" s="75"/>
      <c r="Y5" s="75"/>
      <c r="Z5" s="76"/>
      <c r="AA5" s="76"/>
    </row>
    <row r="6" spans="1:89" s="2" customFormat="1" x14ac:dyDescent="0.25">
      <c r="A6" s="61" t="s">
        <v>198</v>
      </c>
      <c r="B6" s="61">
        <v>4008</v>
      </c>
      <c r="C6" s="61" t="s">
        <v>71</v>
      </c>
      <c r="D6" s="61" t="s">
        <v>211</v>
      </c>
      <c r="E6" s="30">
        <v>42500.190300925926</v>
      </c>
      <c r="F6" s="30">
        <v>42500.191388888888</v>
      </c>
      <c r="G6" s="38">
        <v>1</v>
      </c>
      <c r="H6" s="30" t="s">
        <v>140</v>
      </c>
      <c r="I6" s="30">
        <v>42500.222372685188</v>
      </c>
      <c r="J6" s="61">
        <v>5</v>
      </c>
      <c r="K6" s="61" t="str">
        <f t="shared" si="0"/>
        <v>4007/4008</v>
      </c>
      <c r="L6" s="61" t="str">
        <f>VLOOKUP(A6,'Trips&amp;Operators'!$C$1:$E$9999,3,FALSE)</f>
        <v>STARKS</v>
      </c>
      <c r="M6" s="12">
        <f t="shared" si="1"/>
        <v>3.0983796299551614E-2</v>
      </c>
      <c r="N6" s="13">
        <f t="shared" ref="N6:N40" si="3">$M6*24*60</f>
        <v>44.616666671354324</v>
      </c>
      <c r="O6" s="13"/>
      <c r="P6" s="13"/>
      <c r="Q6" s="62"/>
      <c r="R6" s="62" t="s">
        <v>427</v>
      </c>
      <c r="T6" s="75" t="str">
        <f t="shared" ref="T6:T37" si="4">"https://search-rtdc-monitor-bjffxe2xuh6vdkpspy63sjmuny.us-east-1.es.amazonaws.com/_plugin/kibana/#/discover/Steve-Slow-Train-Analysis-(2080s-and-2083s)?_g=(refreshInterval:(display:Off,section:0,value:0),time:(from:'"&amp;TEXT(E6-1/24/60,"yyyy-MM-DD hh:mm:ss")&amp;"-0600',mode:absolute,to:'"&amp;TEXT(I6+1/24/60,"yyyy-MM-DD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&amp;"%22')),sort:!(Time,asc))"</f>
        <v>https://search-rtdc-monitor-bjffxe2xuh6vdkpspy63sjmuny.us-east-1.es.amazonaws.com/_plugin/kibana/#/discover/Steve-Slow-Train-Analysis-(2080s-and-2083s)?_g=(refreshInterval:(display:Off,section:0,value:0),time:(from:'2016-05-10 04:33:02-0600',mode:absolute,to:'2016-05-10 05:21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6" s="75" t="str">
        <f t="shared" ref="U6:U37" si="5">IF(Y6&lt;23,"Y","N")</f>
        <v>N</v>
      </c>
      <c r="V6" s="75">
        <f t="shared" si="2"/>
        <v>1</v>
      </c>
      <c r="W6" s="75">
        <f t="shared" ref="W6:W37" si="6">RIGHT(D6,LEN(D6)-4)/10000</f>
        <v>23.267900000000001</v>
      </c>
      <c r="X6" s="75">
        <f t="shared" ref="X6:X22" si="7">RIGHT(H6,LEN(H6)-4)/10000</f>
        <v>1.32E-2</v>
      </c>
      <c r="Y6" s="75">
        <f t="shared" ref="Y6:Y37" si="8">ABS(X6-W6)</f>
        <v>23.2547</v>
      </c>
      <c r="Z6" s="76">
        <f>VLOOKUP(A6,Enforcements!$C$3:$J$26,8,0)</f>
        <v>58118</v>
      </c>
      <c r="AA6" s="76" t="str">
        <f>VLOOKUP(A6,Enforcements!$C$3:$J$26,3,0)</f>
        <v>GRADE CROSSING</v>
      </c>
    </row>
    <row r="7" spans="1:89" s="2" customFormat="1" x14ac:dyDescent="0.25">
      <c r="A7" s="61" t="s">
        <v>179</v>
      </c>
      <c r="B7" s="61">
        <v>4016</v>
      </c>
      <c r="C7" s="61" t="s">
        <v>71</v>
      </c>
      <c r="D7" s="61" t="s">
        <v>212</v>
      </c>
      <c r="E7" s="30">
        <v>42500.168356481481</v>
      </c>
      <c r="F7" s="30">
        <v>42500.169525462959</v>
      </c>
      <c r="G7" s="38">
        <v>1</v>
      </c>
      <c r="H7" s="30" t="s">
        <v>158</v>
      </c>
      <c r="I7" s="30">
        <v>42500.20207175926</v>
      </c>
      <c r="J7" s="61">
        <v>0</v>
      </c>
      <c r="K7" s="61" t="str">
        <f t="shared" si="0"/>
        <v>4015/4016</v>
      </c>
      <c r="L7" s="61" t="str">
        <f>VLOOKUP(A7,'Trips&amp;Operators'!$C$1:$E$9999,3,FALSE)</f>
        <v>NEWELL</v>
      </c>
      <c r="M7" s="12">
        <f t="shared" si="1"/>
        <v>3.2546296301006805E-2</v>
      </c>
      <c r="N7" s="13">
        <f t="shared" si="3"/>
        <v>46.866666673449799</v>
      </c>
      <c r="O7" s="13"/>
      <c r="P7" s="13"/>
      <c r="Q7" s="62"/>
      <c r="R7" s="62"/>
      <c r="T7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04:01:26-0600',mode:absolute,to:'2016-05-10 04:51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7" s="75" t="str">
        <f t="shared" si="5"/>
        <v>N</v>
      </c>
      <c r="V7" s="75">
        <f t="shared" ref="V7:V45" si="9">VALUE(LEFT(A7,3))-VALUE(LEFT(A6,3))</f>
        <v>1</v>
      </c>
      <c r="W7" s="75">
        <f t="shared" si="6"/>
        <v>7.6100000000000001E-2</v>
      </c>
      <c r="X7" s="75">
        <f t="shared" si="7"/>
        <v>23.328800000000001</v>
      </c>
      <c r="Y7" s="75">
        <f t="shared" si="8"/>
        <v>23.252700000000001</v>
      </c>
      <c r="Z7" s="76" t="e">
        <f>VLOOKUP(A7,Enforcements!$C$3:$J$26,8,0)</f>
        <v>#N/A</v>
      </c>
      <c r="AA7" s="76" t="e">
        <f>VLOOKUP(A7,Enforcements!$C$3:$J$26,3,0)</f>
        <v>#N/A</v>
      </c>
    </row>
    <row r="8" spans="1:89" s="2" customFormat="1" x14ac:dyDescent="0.25">
      <c r="A8" s="61" t="s">
        <v>184</v>
      </c>
      <c r="B8" s="61">
        <v>4032</v>
      </c>
      <c r="C8" s="61" t="s">
        <v>71</v>
      </c>
      <c r="D8" s="61" t="s">
        <v>213</v>
      </c>
      <c r="E8" s="30">
        <v>42500.210810185185</v>
      </c>
      <c r="F8" s="30">
        <v>42500.211840277778</v>
      </c>
      <c r="G8" s="38">
        <v>1</v>
      </c>
      <c r="H8" s="30" t="s">
        <v>214</v>
      </c>
      <c r="I8" s="30">
        <v>42500.243391203701</v>
      </c>
      <c r="J8" s="61">
        <v>0</v>
      </c>
      <c r="K8" s="61" t="str">
        <f t="shared" si="0"/>
        <v>4031/4032</v>
      </c>
      <c r="L8" s="61" t="str">
        <f>VLOOKUP(A8,'Trips&amp;Operators'!$C$1:$E$9999,3,FALSE)</f>
        <v>NEWELL</v>
      </c>
      <c r="M8" s="12">
        <f t="shared" si="1"/>
        <v>3.1550925923511386E-2</v>
      </c>
      <c r="N8" s="13">
        <f t="shared" si="3"/>
        <v>45.433333329856396</v>
      </c>
      <c r="O8" s="13"/>
      <c r="P8" s="13"/>
      <c r="Q8" s="62"/>
      <c r="R8" s="62"/>
      <c r="T8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05:02:34-0600',mode:absolute,to:'2016-05-10 05:51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8" s="75" t="str">
        <f t="shared" si="5"/>
        <v>N</v>
      </c>
      <c r="V8" s="75">
        <f t="shared" si="9"/>
        <v>1</v>
      </c>
      <c r="W8" s="75">
        <f t="shared" si="6"/>
        <v>23.264600000000002</v>
      </c>
      <c r="X8" s="75">
        <f t="shared" si="7"/>
        <v>0.18579999999999999</v>
      </c>
      <c r="Y8" s="75">
        <f t="shared" si="8"/>
        <v>23.078800000000001</v>
      </c>
      <c r="Z8" s="76" t="e">
        <f>VLOOKUP(A8,Enforcements!$C$3:$J$26,8,0)</f>
        <v>#N/A</v>
      </c>
      <c r="AA8" s="76" t="e">
        <f>VLOOKUP(A8,Enforcements!$C$3:$J$26,3,0)</f>
        <v>#N/A</v>
      </c>
    </row>
    <row r="9" spans="1:89" s="2" customFormat="1" x14ac:dyDescent="0.25">
      <c r="A9" s="61" t="s">
        <v>206</v>
      </c>
      <c r="B9" s="61">
        <v>4044</v>
      </c>
      <c r="C9" s="61" t="s">
        <v>71</v>
      </c>
      <c r="D9" s="61" t="s">
        <v>92</v>
      </c>
      <c r="E9" s="30">
        <v>42500.178136574075</v>
      </c>
      <c r="F9" s="30">
        <v>42500.179155092592</v>
      </c>
      <c r="G9" s="38">
        <v>1</v>
      </c>
      <c r="H9" s="30" t="s">
        <v>72</v>
      </c>
      <c r="I9" s="30">
        <v>42500.213425925926</v>
      </c>
      <c r="J9" s="61">
        <v>1</v>
      </c>
      <c r="K9" s="61" t="str">
        <f t="shared" si="0"/>
        <v>4043/4044</v>
      </c>
      <c r="L9" s="61" t="str">
        <f>VLOOKUP(A9,'Trips&amp;Operators'!$C$1:$E$9999,3,FALSE)</f>
        <v>YORK</v>
      </c>
      <c r="M9" s="12">
        <f t="shared" si="1"/>
        <v>3.4270833333721384E-2</v>
      </c>
      <c r="N9" s="13">
        <f t="shared" si="3"/>
        <v>49.350000000558794</v>
      </c>
      <c r="O9" s="13"/>
      <c r="P9" s="13"/>
      <c r="Q9" s="62"/>
      <c r="R9" s="62"/>
      <c r="T9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04:15:31-0600',mode:absolute,to:'2016-05-10 05:08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9" s="75" t="str">
        <f t="shared" si="5"/>
        <v>N</v>
      </c>
      <c r="V9" s="75">
        <f t="shared" si="9"/>
        <v>1</v>
      </c>
      <c r="W9" s="75">
        <f t="shared" si="6"/>
        <v>4.4699999999999997E-2</v>
      </c>
      <c r="X9" s="75">
        <f t="shared" si="7"/>
        <v>23.329699999999999</v>
      </c>
      <c r="Y9" s="75">
        <f t="shared" si="8"/>
        <v>23.285</v>
      </c>
      <c r="Z9" s="76">
        <f>VLOOKUP(A9,Enforcements!$C$3:$J$26,8,0)</f>
        <v>233491</v>
      </c>
      <c r="AA9" s="76" t="str">
        <f>VLOOKUP(A9,Enforcements!$C$3:$J$26,3,0)</f>
        <v>TRACK WARRANT AUTHORITY</v>
      </c>
    </row>
    <row r="10" spans="1:89" s="2" customFormat="1" x14ac:dyDescent="0.25">
      <c r="A10" s="61" t="s">
        <v>202</v>
      </c>
      <c r="B10" s="61">
        <v>4043</v>
      </c>
      <c r="C10" s="61" t="s">
        <v>71</v>
      </c>
      <c r="D10" s="61" t="s">
        <v>215</v>
      </c>
      <c r="E10" s="30">
        <v>42500.218888888892</v>
      </c>
      <c r="F10" s="30">
        <v>42500.22047453704</v>
      </c>
      <c r="G10" s="38">
        <v>2</v>
      </c>
      <c r="H10" s="30" t="s">
        <v>128</v>
      </c>
      <c r="I10" s="30">
        <v>42500.254976851851</v>
      </c>
      <c r="J10" s="61">
        <v>0</v>
      </c>
      <c r="K10" s="61" t="str">
        <f t="shared" si="0"/>
        <v>4043/4044</v>
      </c>
      <c r="L10" s="61" t="str">
        <f>VLOOKUP(A10,'Trips&amp;Operators'!$C$1:$E$9999,3,FALSE)</f>
        <v>YORK</v>
      </c>
      <c r="M10" s="12">
        <f t="shared" si="1"/>
        <v>3.4502314811106771E-2</v>
      </c>
      <c r="N10" s="13">
        <f t="shared" si="3"/>
        <v>49.683333327993751</v>
      </c>
      <c r="O10" s="13"/>
      <c r="P10" s="13"/>
      <c r="Q10" s="62"/>
      <c r="R10" s="62"/>
      <c r="T10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05:14:12-0600',mode:absolute,to:'2016-05-10 06:08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0" s="75" t="str">
        <f t="shared" si="5"/>
        <v>N</v>
      </c>
      <c r="V10" s="75">
        <f t="shared" si="9"/>
        <v>1</v>
      </c>
      <c r="W10" s="75">
        <f t="shared" si="6"/>
        <v>23.3002</v>
      </c>
      <c r="X10" s="75">
        <f t="shared" si="7"/>
        <v>1.4999999999999999E-2</v>
      </c>
      <c r="Y10" s="75">
        <f t="shared" si="8"/>
        <v>23.2852</v>
      </c>
      <c r="Z10" s="76" t="e">
        <f>VLOOKUP(A10,Enforcements!$C$3:$J$26,8,0)</f>
        <v>#N/A</v>
      </c>
      <c r="AA10" s="76" t="e">
        <f>VLOOKUP(A10,Enforcements!$C$3:$J$26,3,0)</f>
        <v>#N/A</v>
      </c>
    </row>
    <row r="11" spans="1:89" s="2" customFormat="1" x14ac:dyDescent="0.25">
      <c r="A11" s="61" t="s">
        <v>193</v>
      </c>
      <c r="B11" s="61">
        <v>4009</v>
      </c>
      <c r="C11" s="61" t="s">
        <v>71</v>
      </c>
      <c r="D11" s="61" t="s">
        <v>90</v>
      </c>
      <c r="E11" s="30">
        <v>42500.194930555554</v>
      </c>
      <c r="F11" s="30">
        <v>42500.196400462963</v>
      </c>
      <c r="G11" s="38">
        <v>2</v>
      </c>
      <c r="H11" s="30" t="s">
        <v>144</v>
      </c>
      <c r="I11" s="30">
        <v>42500.223356481481</v>
      </c>
      <c r="J11" s="61">
        <v>0</v>
      </c>
      <c r="K11" s="61" t="str">
        <f t="shared" si="0"/>
        <v>4009/4010</v>
      </c>
      <c r="L11" s="61" t="str">
        <f>VLOOKUP(A11,'Trips&amp;Operators'!$C$1:$E$9999,3,FALSE)</f>
        <v>ACKERMAN</v>
      </c>
      <c r="M11" s="12">
        <f t="shared" si="1"/>
        <v>2.6956018518831115E-2</v>
      </c>
      <c r="N11" s="13">
        <f t="shared" si="3"/>
        <v>38.816666667116806</v>
      </c>
      <c r="O11" s="13"/>
      <c r="P11" s="13"/>
      <c r="Q11" s="62"/>
      <c r="R11" s="62"/>
      <c r="T11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04:39:42-0600',mode:absolute,to:'2016-05-10 05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1" s="75" t="str">
        <f t="shared" si="5"/>
        <v>N</v>
      </c>
      <c r="V11" s="75">
        <f t="shared" si="9"/>
        <v>1</v>
      </c>
      <c r="W11" s="75">
        <f t="shared" si="6"/>
        <v>4.4400000000000002E-2</v>
      </c>
      <c r="X11" s="75">
        <f t="shared" si="7"/>
        <v>23.328600000000002</v>
      </c>
      <c r="Y11" s="75">
        <f t="shared" si="8"/>
        <v>23.284200000000002</v>
      </c>
      <c r="Z11" s="76" t="e">
        <f>VLOOKUP(A11,Enforcements!$C$3:$J$26,8,0)</f>
        <v>#N/A</v>
      </c>
      <c r="AA11" s="76" t="e">
        <f>VLOOKUP(A11,Enforcements!$C$3:$J$26,3,0)</f>
        <v>#N/A</v>
      </c>
    </row>
    <row r="12" spans="1:89" s="2" customFormat="1" x14ac:dyDescent="0.25">
      <c r="A12" s="61" t="s">
        <v>197</v>
      </c>
      <c r="B12" s="61">
        <v>4010</v>
      </c>
      <c r="C12" s="61" t="s">
        <v>71</v>
      </c>
      <c r="D12" s="61" t="s">
        <v>136</v>
      </c>
      <c r="E12" s="30">
        <v>42500.232314814813</v>
      </c>
      <c r="F12" s="30">
        <v>42500.233483796299</v>
      </c>
      <c r="G12" s="38">
        <v>1</v>
      </c>
      <c r="H12" s="30" t="s">
        <v>138</v>
      </c>
      <c r="I12" s="30">
        <v>42500.265682870369</v>
      </c>
      <c r="J12" s="61">
        <v>1</v>
      </c>
      <c r="K12" s="61" t="str">
        <f t="shared" si="0"/>
        <v>4009/4010</v>
      </c>
      <c r="L12" s="61" t="str">
        <f>VLOOKUP(A12,'Trips&amp;Operators'!$C$1:$E$9999,3,FALSE)</f>
        <v>ACKERMAN</v>
      </c>
      <c r="M12" s="12">
        <f t="shared" si="1"/>
        <v>3.219907407037681E-2</v>
      </c>
      <c r="N12" s="13">
        <f t="shared" si="3"/>
        <v>46.366666661342606</v>
      </c>
      <c r="O12" s="13"/>
      <c r="P12" s="13"/>
      <c r="Q12" s="62"/>
      <c r="R12" s="62"/>
      <c r="T12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05:33:32-0600',mode:absolute,to:'2016-05-10 06:23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2" s="75" t="str">
        <f t="shared" si="5"/>
        <v>N</v>
      </c>
      <c r="V12" s="75">
        <f t="shared" si="9"/>
        <v>1</v>
      </c>
      <c r="W12" s="75">
        <f t="shared" si="6"/>
        <v>23.2971</v>
      </c>
      <c r="X12" s="75">
        <f t="shared" si="7"/>
        <v>1.29E-2</v>
      </c>
      <c r="Y12" s="75">
        <f t="shared" si="8"/>
        <v>23.284200000000002</v>
      </c>
      <c r="Z12" s="76" t="e">
        <f>VLOOKUP(A12,Enforcements!$C$3:$J$26,8,0)</f>
        <v>#N/A</v>
      </c>
      <c r="AA12" s="76" t="e">
        <f>VLOOKUP(A12,Enforcements!$C$3:$J$26,3,0)</f>
        <v>#N/A</v>
      </c>
    </row>
    <row r="13" spans="1:89" s="2" customFormat="1" x14ac:dyDescent="0.25">
      <c r="A13" s="61" t="s">
        <v>195</v>
      </c>
      <c r="B13" s="61">
        <v>4020</v>
      </c>
      <c r="C13" s="61" t="s">
        <v>71</v>
      </c>
      <c r="D13" s="61" t="s">
        <v>216</v>
      </c>
      <c r="E13" s="30">
        <v>42500.210219907407</v>
      </c>
      <c r="F13" s="30">
        <v>42500.211550925924</v>
      </c>
      <c r="G13" s="38">
        <v>1</v>
      </c>
      <c r="H13" s="30" t="s">
        <v>72</v>
      </c>
      <c r="I13" s="30">
        <v>42500.237523148149</v>
      </c>
      <c r="J13" s="61">
        <v>0</v>
      </c>
      <c r="K13" s="61" t="str">
        <f t="shared" si="0"/>
        <v>4019/4020</v>
      </c>
      <c r="L13" s="61" t="str">
        <f>VLOOKUP(A13,'Trips&amp;Operators'!$C$1:$E$9999,3,FALSE)</f>
        <v>CANFIELD</v>
      </c>
      <c r="M13" s="12">
        <f t="shared" si="1"/>
        <v>2.5972222225391306E-2</v>
      </c>
      <c r="N13" s="13">
        <f t="shared" si="3"/>
        <v>37.400000004563481</v>
      </c>
      <c r="O13" s="13"/>
      <c r="P13" s="13"/>
      <c r="Q13" s="62"/>
      <c r="R13" s="62"/>
      <c r="T13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05:01:43-0600',mode:absolute,to:'2016-05-10 05:43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3" s="75" t="str">
        <f t="shared" si="5"/>
        <v>N</v>
      </c>
      <c r="V13" s="75">
        <f t="shared" si="9"/>
        <v>1</v>
      </c>
      <c r="W13" s="75">
        <f t="shared" si="6"/>
        <v>7.4399999999999994E-2</v>
      </c>
      <c r="X13" s="75">
        <f t="shared" si="7"/>
        <v>23.329699999999999</v>
      </c>
      <c r="Y13" s="75">
        <f t="shared" si="8"/>
        <v>23.255299999999998</v>
      </c>
      <c r="Z13" s="76" t="e">
        <f>VLOOKUP(A13,Enforcements!$C$3:$J$26,8,0)</f>
        <v>#N/A</v>
      </c>
      <c r="AA13" s="76" t="e">
        <f>VLOOKUP(A13,Enforcements!$C$3:$J$26,3,0)</f>
        <v>#N/A</v>
      </c>
    </row>
    <row r="14" spans="1:89" s="2" customFormat="1" x14ac:dyDescent="0.25">
      <c r="A14" s="61" t="s">
        <v>190</v>
      </c>
      <c r="B14" s="61">
        <v>4019</v>
      </c>
      <c r="C14" s="61" t="s">
        <v>71</v>
      </c>
      <c r="D14" s="61" t="s">
        <v>113</v>
      </c>
      <c r="E14" s="30">
        <v>42500.246319444443</v>
      </c>
      <c r="F14" s="30">
        <v>42500.247835648152</v>
      </c>
      <c r="G14" s="38">
        <v>2</v>
      </c>
      <c r="H14" s="30" t="s">
        <v>106</v>
      </c>
      <c r="I14" s="30">
        <v>42500.27752314815</v>
      </c>
      <c r="J14" s="61">
        <v>0</v>
      </c>
      <c r="K14" s="61" t="str">
        <f t="shared" si="0"/>
        <v>4019/4020</v>
      </c>
      <c r="L14" s="61" t="str">
        <f>VLOOKUP(A14,'Trips&amp;Operators'!$C$1:$E$9999,3,FALSE)</f>
        <v>CANFIELD</v>
      </c>
      <c r="M14" s="12">
        <f t="shared" si="1"/>
        <v>2.9687499998544808E-2</v>
      </c>
      <c r="N14" s="13">
        <f t="shared" si="3"/>
        <v>42.749999997904524</v>
      </c>
      <c r="O14" s="13"/>
      <c r="P14" s="13"/>
      <c r="Q14" s="62"/>
      <c r="R14" s="62"/>
      <c r="T14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05:53:42-0600',mode:absolute,to:'2016-05-10 06:40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4" s="75" t="str">
        <f t="shared" si="5"/>
        <v>N</v>
      </c>
      <c r="V14" s="75">
        <f t="shared" si="9"/>
        <v>1</v>
      </c>
      <c r="W14" s="75">
        <f t="shared" si="6"/>
        <v>23.299299999999999</v>
      </c>
      <c r="X14" s="75">
        <f t="shared" si="7"/>
        <v>1.52E-2</v>
      </c>
      <c r="Y14" s="75">
        <f t="shared" si="8"/>
        <v>23.284099999999999</v>
      </c>
      <c r="Z14" s="76" t="e">
        <f>VLOOKUP(A14,Enforcements!$C$3:$J$26,8,0)</f>
        <v>#N/A</v>
      </c>
      <c r="AA14" s="76" t="e">
        <f>VLOOKUP(A14,Enforcements!$C$3:$J$26,3,0)</f>
        <v>#N/A</v>
      </c>
    </row>
    <row r="15" spans="1:89" s="2" customFormat="1" x14ac:dyDescent="0.25">
      <c r="A15" s="61" t="s">
        <v>187</v>
      </c>
      <c r="B15" s="61">
        <v>4011</v>
      </c>
      <c r="C15" s="61" t="s">
        <v>71</v>
      </c>
      <c r="D15" s="61" t="s">
        <v>87</v>
      </c>
      <c r="E15" s="30">
        <v>42500.212430555555</v>
      </c>
      <c r="F15" s="30">
        <v>42500.214189814818</v>
      </c>
      <c r="G15" s="38">
        <v>2</v>
      </c>
      <c r="H15" s="30" t="s">
        <v>217</v>
      </c>
      <c r="I15" s="30">
        <v>42500.246898148151</v>
      </c>
      <c r="J15" s="61">
        <v>0</v>
      </c>
      <c r="K15" s="61" t="str">
        <f t="shared" si="0"/>
        <v>4011/4012</v>
      </c>
      <c r="L15" s="61" t="str">
        <f>VLOOKUP(A15,'Trips&amp;Operators'!$C$1:$E$9999,3,FALSE)</f>
        <v>CHANDLER</v>
      </c>
      <c r="M15" s="12">
        <f t="shared" si="1"/>
        <v>3.2708333332266193E-2</v>
      </c>
      <c r="N15" s="13">
        <f t="shared" si="3"/>
        <v>47.099999998463318</v>
      </c>
      <c r="O15" s="13"/>
      <c r="P15" s="13"/>
      <c r="Q15" s="62"/>
      <c r="R15" s="62"/>
      <c r="T15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05:04:54-0600',mode:absolute,to:'2016-05-10 05:56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5" s="75" t="str">
        <f t="shared" si="5"/>
        <v>N</v>
      </c>
      <c r="V15" s="75">
        <f t="shared" si="9"/>
        <v>1</v>
      </c>
      <c r="W15" s="75">
        <f t="shared" si="6"/>
        <v>4.4900000000000002E-2</v>
      </c>
      <c r="X15" s="75">
        <f t="shared" si="7"/>
        <v>23.328199999999999</v>
      </c>
      <c r="Y15" s="75">
        <f t="shared" si="8"/>
        <v>23.283300000000001</v>
      </c>
      <c r="Z15" s="76" t="e">
        <f>VLOOKUP(A15,Enforcements!$C$3:$J$26,8,0)</f>
        <v>#N/A</v>
      </c>
      <c r="AA15" s="76" t="e">
        <f>VLOOKUP(A15,Enforcements!$C$3:$J$26,3,0)</f>
        <v>#N/A</v>
      </c>
    </row>
    <row r="16" spans="1:89" s="2" customFormat="1" x14ac:dyDescent="0.25">
      <c r="A16" s="61" t="s">
        <v>173</v>
      </c>
      <c r="B16" s="61">
        <v>4012</v>
      </c>
      <c r="C16" s="61" t="s">
        <v>71</v>
      </c>
      <c r="D16" s="61" t="s">
        <v>151</v>
      </c>
      <c r="E16" s="30">
        <v>42500.257361111115</v>
      </c>
      <c r="F16" s="30">
        <v>42500.258402777778</v>
      </c>
      <c r="G16" s="38">
        <v>1</v>
      </c>
      <c r="H16" s="30" t="s">
        <v>218</v>
      </c>
      <c r="I16" s="30">
        <v>42500.289895833332</v>
      </c>
      <c r="J16" s="61">
        <v>2</v>
      </c>
      <c r="K16" s="61" t="str">
        <f t="shared" si="0"/>
        <v>4011/4012</v>
      </c>
      <c r="L16" s="61" t="str">
        <f>VLOOKUP(A16,'Trips&amp;Operators'!$C$1:$E$9999,3,FALSE)</f>
        <v>CHANDLER</v>
      </c>
      <c r="M16" s="12">
        <f t="shared" si="1"/>
        <v>3.1493055554165039E-2</v>
      </c>
      <c r="N16" s="13">
        <f t="shared" si="3"/>
        <v>45.349999997997656</v>
      </c>
      <c r="O16" s="13"/>
      <c r="P16" s="13"/>
      <c r="Q16" s="62"/>
      <c r="R16" s="62"/>
      <c r="T16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06:09:36-0600',mode:absolute,to:'2016-05-10 06:58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6" s="75" t="str">
        <f t="shared" si="5"/>
        <v>N</v>
      </c>
      <c r="V16" s="75">
        <f t="shared" si="9"/>
        <v>1</v>
      </c>
      <c r="W16" s="75">
        <f t="shared" si="6"/>
        <v>23.296299999999999</v>
      </c>
      <c r="X16" s="75">
        <f t="shared" si="7"/>
        <v>3.85E-2</v>
      </c>
      <c r="Y16" s="75">
        <f t="shared" si="8"/>
        <v>23.2578</v>
      </c>
      <c r="Z16" s="76" t="e">
        <f>VLOOKUP(A16,Enforcements!$C$3:$J$26,8,0)</f>
        <v>#N/A</v>
      </c>
      <c r="AA16" s="76" t="e">
        <f>VLOOKUP(A16,Enforcements!$C$3:$J$26,3,0)</f>
        <v>#N/A</v>
      </c>
    </row>
    <row r="17" spans="1:27" s="2" customFormat="1" x14ac:dyDescent="0.25">
      <c r="A17" s="61" t="s">
        <v>203</v>
      </c>
      <c r="B17" s="61">
        <v>4024</v>
      </c>
      <c r="C17" s="61" t="s">
        <v>71</v>
      </c>
      <c r="D17" s="61" t="s">
        <v>219</v>
      </c>
      <c r="E17" s="30">
        <v>42500.228206018517</v>
      </c>
      <c r="F17" s="30">
        <v>42500.229745370372</v>
      </c>
      <c r="G17" s="38">
        <v>2</v>
      </c>
      <c r="H17" s="30" t="s">
        <v>220</v>
      </c>
      <c r="I17" s="30">
        <v>42500.258217592593</v>
      </c>
      <c r="J17" s="61">
        <v>0</v>
      </c>
      <c r="K17" s="61" t="str">
        <f t="shared" si="0"/>
        <v>4023/4024</v>
      </c>
      <c r="L17" s="61" t="str">
        <f>VLOOKUP(A17,'Trips&amp;Operators'!$C$1:$E$9999,3,FALSE)</f>
        <v>SPECTOR</v>
      </c>
      <c r="M17" s="12">
        <f t="shared" si="1"/>
        <v>2.8472222220443655E-2</v>
      </c>
      <c r="N17" s="13">
        <f t="shared" si="3"/>
        <v>40.999999997438863</v>
      </c>
      <c r="O17" s="13"/>
      <c r="P17" s="13"/>
      <c r="Q17" s="62"/>
      <c r="R17" s="62"/>
      <c r="T17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05:27:37-0600',mode:absolute,to:'2016-05-10 06:12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7" s="75" t="str">
        <f t="shared" si="5"/>
        <v>N</v>
      </c>
      <c r="V17" s="75">
        <f t="shared" si="9"/>
        <v>1</v>
      </c>
      <c r="W17" s="75">
        <f t="shared" si="6"/>
        <v>7.9000000000000001E-2</v>
      </c>
      <c r="X17" s="75">
        <f t="shared" si="7"/>
        <v>23.331900000000001</v>
      </c>
      <c r="Y17" s="75">
        <f t="shared" si="8"/>
        <v>23.2529</v>
      </c>
      <c r="Z17" s="76" t="e">
        <f>VLOOKUP(A17,Enforcements!$C$3:$J$26,8,0)</f>
        <v>#N/A</v>
      </c>
      <c r="AA17" s="76" t="e">
        <f>VLOOKUP(A17,Enforcements!$C$3:$J$26,3,0)</f>
        <v>#N/A</v>
      </c>
    </row>
    <row r="18" spans="1:27" s="2" customFormat="1" x14ac:dyDescent="0.25">
      <c r="A18" s="61" t="s">
        <v>196</v>
      </c>
      <c r="B18" s="61">
        <v>4023</v>
      </c>
      <c r="C18" s="61" t="s">
        <v>71</v>
      </c>
      <c r="D18" s="61" t="s">
        <v>110</v>
      </c>
      <c r="E18" s="30">
        <v>42500.264444444445</v>
      </c>
      <c r="F18" s="30">
        <v>42500.265636574077</v>
      </c>
      <c r="G18" s="38">
        <v>1</v>
      </c>
      <c r="H18" s="30" t="s">
        <v>140</v>
      </c>
      <c r="I18" s="30">
        <v>42500.295648148145</v>
      </c>
      <c r="J18" s="61">
        <v>0</v>
      </c>
      <c r="K18" s="61" t="str">
        <f t="shared" si="0"/>
        <v>4023/4024</v>
      </c>
      <c r="L18" s="61" t="str">
        <f>VLOOKUP(A18,'Trips&amp;Operators'!$C$1:$E$9999,3,FALSE)</f>
        <v>SPECTOR</v>
      </c>
      <c r="M18" s="12">
        <f t="shared" si="1"/>
        <v>3.0011574068339542E-2</v>
      </c>
      <c r="N18" s="13">
        <f t="shared" si="3"/>
        <v>43.21666665840894</v>
      </c>
      <c r="O18" s="13"/>
      <c r="P18" s="13"/>
      <c r="Q18" s="62"/>
      <c r="R18" s="62"/>
      <c r="T18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06:19:48-0600',mode:absolute,to:'2016-05-10 07:06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8" s="75" t="str">
        <f t="shared" si="5"/>
        <v>N</v>
      </c>
      <c r="V18" s="75">
        <f t="shared" si="9"/>
        <v>1</v>
      </c>
      <c r="W18" s="75">
        <f t="shared" si="6"/>
        <v>23.299399999999999</v>
      </c>
      <c r="X18" s="75">
        <f t="shared" si="7"/>
        <v>1.32E-2</v>
      </c>
      <c r="Y18" s="75">
        <f t="shared" si="8"/>
        <v>23.286199999999997</v>
      </c>
      <c r="Z18" s="76" t="e">
        <f>VLOOKUP(A18,Enforcements!$C$3:$J$26,8,0)</f>
        <v>#N/A</v>
      </c>
      <c r="AA18" s="76" t="e">
        <f>VLOOKUP(A18,Enforcements!$C$3:$J$26,3,0)</f>
        <v>#N/A</v>
      </c>
    </row>
    <row r="19" spans="1:27" s="2" customFormat="1" x14ac:dyDescent="0.25">
      <c r="A19" s="61" t="s">
        <v>185</v>
      </c>
      <c r="B19" s="61">
        <v>4007</v>
      </c>
      <c r="C19" s="61" t="s">
        <v>71</v>
      </c>
      <c r="D19" s="61" t="s">
        <v>221</v>
      </c>
      <c r="E19" s="30">
        <v>42500.237303240741</v>
      </c>
      <c r="F19" s="30">
        <v>42500.238344907404</v>
      </c>
      <c r="G19" s="38">
        <v>1</v>
      </c>
      <c r="H19" s="30" t="s">
        <v>222</v>
      </c>
      <c r="I19" s="30">
        <v>42500.267453703702</v>
      </c>
      <c r="J19" s="61">
        <v>1</v>
      </c>
      <c r="K19" s="61" t="str">
        <f t="shared" si="0"/>
        <v>4007/4008</v>
      </c>
      <c r="L19" s="61" t="str">
        <f>VLOOKUP(A19,'Trips&amp;Operators'!$C$1:$E$9999,3,FALSE)</f>
        <v>STARKS</v>
      </c>
      <c r="M19" s="12">
        <f t="shared" si="1"/>
        <v>2.9108796297805384E-2</v>
      </c>
      <c r="N19" s="13">
        <f t="shared" si="3"/>
        <v>41.916666668839753</v>
      </c>
      <c r="O19" s="13"/>
      <c r="P19" s="13"/>
      <c r="Q19" s="62"/>
      <c r="R19" s="62"/>
      <c r="T19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05:40:43-0600',mode:absolute,to:'2016-05-10 06:26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9" s="75" t="str">
        <f t="shared" si="5"/>
        <v>N</v>
      </c>
      <c r="V19" s="75">
        <f t="shared" si="9"/>
        <v>1</v>
      </c>
      <c r="W19" s="75">
        <f t="shared" si="6"/>
        <v>5.2400000000000002E-2</v>
      </c>
      <c r="X19" s="75">
        <f t="shared" si="7"/>
        <v>23.3249</v>
      </c>
      <c r="Y19" s="75">
        <f t="shared" si="8"/>
        <v>23.272500000000001</v>
      </c>
      <c r="Z19" s="76" t="e">
        <f>VLOOKUP(A19,Enforcements!$C$3:$J$26,8,0)</f>
        <v>#N/A</v>
      </c>
      <c r="AA19" s="76" t="e">
        <f>VLOOKUP(A19,Enforcements!$C$3:$J$26,3,0)</f>
        <v>#N/A</v>
      </c>
    </row>
    <row r="20" spans="1:27" s="2" customFormat="1" x14ac:dyDescent="0.25">
      <c r="A20" s="61" t="s">
        <v>194</v>
      </c>
      <c r="B20" s="61">
        <v>4008</v>
      </c>
      <c r="C20" s="61" t="s">
        <v>71</v>
      </c>
      <c r="D20" s="61" t="s">
        <v>223</v>
      </c>
      <c r="E20" s="30">
        <v>42500.276770833334</v>
      </c>
      <c r="F20" s="30">
        <v>42500.27884259259</v>
      </c>
      <c r="G20" s="38">
        <v>2</v>
      </c>
      <c r="H20" s="30" t="s">
        <v>140</v>
      </c>
      <c r="I20" s="30">
        <v>42500.307696759257</v>
      </c>
      <c r="J20" s="61">
        <v>1</v>
      </c>
      <c r="K20" s="61" t="str">
        <f t="shared" si="0"/>
        <v>4007/4008</v>
      </c>
      <c r="L20" s="61" t="str">
        <f>VLOOKUP(A20,'Trips&amp;Operators'!$C$1:$E$9999,3,FALSE)</f>
        <v>STARKS</v>
      </c>
      <c r="M20" s="12">
        <f t="shared" si="1"/>
        <v>2.8854166666860692E-2</v>
      </c>
      <c r="N20" s="13">
        <f t="shared" si="3"/>
        <v>41.550000000279397</v>
      </c>
      <c r="O20" s="13"/>
      <c r="P20" s="13"/>
      <c r="Q20" s="62"/>
      <c r="R20" s="62"/>
      <c r="T20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06:37:33-0600',mode:absolute,to:'2016-05-10 07:24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20" s="75" t="str">
        <f t="shared" si="5"/>
        <v>N</v>
      </c>
      <c r="V20" s="75">
        <f t="shared" si="9"/>
        <v>1</v>
      </c>
      <c r="W20" s="75">
        <f t="shared" si="6"/>
        <v>23.291499999999999</v>
      </c>
      <c r="X20" s="75">
        <f t="shared" si="7"/>
        <v>1.32E-2</v>
      </c>
      <c r="Y20" s="75">
        <f t="shared" si="8"/>
        <v>23.278299999999998</v>
      </c>
      <c r="Z20" s="76" t="e">
        <f>VLOOKUP(A20,Enforcements!$C$3:$J$26,8,0)</f>
        <v>#N/A</v>
      </c>
      <c r="AA20" s="76" t="e">
        <f>VLOOKUP(A20,Enforcements!$C$3:$J$26,3,0)</f>
        <v>#N/A</v>
      </c>
    </row>
    <row r="21" spans="1:27" s="2" customFormat="1" x14ac:dyDescent="0.25">
      <c r="A21" s="61" t="s">
        <v>204</v>
      </c>
      <c r="B21" s="61">
        <v>4016</v>
      </c>
      <c r="C21" s="61" t="s">
        <v>71</v>
      </c>
      <c r="D21" s="61" t="s">
        <v>224</v>
      </c>
      <c r="E21" s="30">
        <v>42500.248784722222</v>
      </c>
      <c r="F21" s="30">
        <v>42500.249814814815</v>
      </c>
      <c r="G21" s="38">
        <v>1</v>
      </c>
      <c r="H21" s="30" t="s">
        <v>225</v>
      </c>
      <c r="I21" s="30">
        <v>42500.277337962965</v>
      </c>
      <c r="J21" s="61">
        <v>0</v>
      </c>
      <c r="K21" s="61" t="str">
        <f t="shared" si="0"/>
        <v>4015/4016</v>
      </c>
      <c r="L21" s="61" t="str">
        <f>VLOOKUP(A21,'Trips&amp;Operators'!$C$1:$E$9999,3,FALSE)</f>
        <v>NEWELL</v>
      </c>
      <c r="M21" s="12">
        <f t="shared" si="1"/>
        <v>2.7523148150066845E-2</v>
      </c>
      <c r="N21" s="13">
        <f t="shared" si="3"/>
        <v>39.633333336096257</v>
      </c>
      <c r="O21" s="13"/>
      <c r="P21" s="13"/>
      <c r="Q21" s="62"/>
      <c r="R21" s="62"/>
      <c r="T21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05:57:15-0600',mode:absolute,to:'2016-05-10 06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21" s="75" t="str">
        <f t="shared" si="5"/>
        <v>N</v>
      </c>
      <c r="V21" s="75">
        <f t="shared" si="9"/>
        <v>1</v>
      </c>
      <c r="W21" s="75">
        <f t="shared" si="6"/>
        <v>0.14749999999999999</v>
      </c>
      <c r="X21" s="75">
        <f t="shared" si="7"/>
        <v>23.334199999999999</v>
      </c>
      <c r="Y21" s="75">
        <f t="shared" si="8"/>
        <v>23.186699999999998</v>
      </c>
      <c r="Z21" s="76" t="e">
        <f>VLOOKUP(A21,Enforcements!$C$3:$J$26,8,0)</f>
        <v>#N/A</v>
      </c>
      <c r="AA21" s="76" t="e">
        <f>VLOOKUP(A21,Enforcements!$C$3:$J$26,3,0)</f>
        <v>#N/A</v>
      </c>
    </row>
    <row r="22" spans="1:27" s="2" customFormat="1" x14ac:dyDescent="0.25">
      <c r="A22" s="61" t="s">
        <v>199</v>
      </c>
      <c r="B22" s="61">
        <v>4015</v>
      </c>
      <c r="C22" s="61" t="s">
        <v>71</v>
      </c>
      <c r="D22" s="61" t="s">
        <v>101</v>
      </c>
      <c r="E22" s="30">
        <v>42500.280868055554</v>
      </c>
      <c r="F22" s="30">
        <v>42500.282106481478</v>
      </c>
      <c r="G22" s="38">
        <v>1</v>
      </c>
      <c r="H22" s="30" t="s">
        <v>86</v>
      </c>
      <c r="I22" s="30">
        <v>42500.314409722225</v>
      </c>
      <c r="J22" s="61">
        <v>0</v>
      </c>
      <c r="K22" s="61" t="str">
        <f t="shared" si="0"/>
        <v>4015/4016</v>
      </c>
      <c r="L22" s="61" t="str">
        <f>VLOOKUP(A22,'Trips&amp;Operators'!$C$1:$E$9999,3,FALSE)</f>
        <v>NEWELL</v>
      </c>
      <c r="M22" s="12">
        <f t="shared" si="1"/>
        <v>3.2303240746841766E-2</v>
      </c>
      <c r="N22" s="13">
        <f t="shared" si="3"/>
        <v>46.516666675452143</v>
      </c>
      <c r="O22" s="13"/>
      <c r="P22" s="13"/>
      <c r="Q22" s="62"/>
      <c r="R22" s="62"/>
      <c r="T22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06:43:27-0600',mode:absolute,to:'2016-05-10 07:33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22" s="75" t="str">
        <f t="shared" si="5"/>
        <v>N</v>
      </c>
      <c r="V22" s="75">
        <f t="shared" si="9"/>
        <v>1</v>
      </c>
      <c r="W22" s="75">
        <f t="shared" si="6"/>
        <v>23.299800000000001</v>
      </c>
      <c r="X22" s="75">
        <f t="shared" si="7"/>
        <v>1.6E-2</v>
      </c>
      <c r="Y22" s="75">
        <f t="shared" si="8"/>
        <v>23.283800000000003</v>
      </c>
      <c r="Z22" s="76" t="e">
        <f>VLOOKUP(A22,Enforcements!$C$3:$J$26,8,0)</f>
        <v>#N/A</v>
      </c>
      <c r="AA22" s="76" t="e">
        <f>VLOOKUP(A22,Enforcements!$C$3:$J$26,3,0)</f>
        <v>#N/A</v>
      </c>
    </row>
    <row r="23" spans="1:27" s="2" customFormat="1" x14ac:dyDescent="0.25">
      <c r="A23" s="61" t="s">
        <v>182</v>
      </c>
      <c r="B23" s="61">
        <v>4044</v>
      </c>
      <c r="C23" s="61" t="s">
        <v>71</v>
      </c>
      <c r="D23" s="61" t="s">
        <v>94</v>
      </c>
      <c r="E23" s="30">
        <v>42500.257013888891</v>
      </c>
      <c r="F23" s="30">
        <v>42500.257905092592</v>
      </c>
      <c r="G23" s="38">
        <v>1</v>
      </c>
      <c r="H23" s="30" t="s">
        <v>131</v>
      </c>
      <c r="I23" s="30">
        <v>42500.287175925929</v>
      </c>
      <c r="J23" s="61">
        <v>0</v>
      </c>
      <c r="K23" s="61" t="str">
        <f t="shared" si="0"/>
        <v>4043/4044</v>
      </c>
      <c r="L23" s="61" t="str">
        <f>VLOOKUP(A23,'Trips&amp;Operators'!$C$1:$E$9999,3,FALSE)</f>
        <v>YORK</v>
      </c>
      <c r="M23" s="12">
        <f t="shared" si="1"/>
        <v>2.9270833336340729E-2</v>
      </c>
      <c r="N23" s="13">
        <f t="shared" si="3"/>
        <v>42.15000000433065</v>
      </c>
      <c r="O23" s="13"/>
      <c r="P23" s="13"/>
      <c r="Q23" s="62"/>
      <c r="R23" s="62"/>
      <c r="T23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06:09:06-0600',mode:absolute,to:'2016-05-10 06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23" s="75" t="str">
        <f t="shared" si="5"/>
        <v>N</v>
      </c>
      <c r="V23" s="75">
        <f t="shared" si="9"/>
        <v>1</v>
      </c>
      <c r="W23" s="75">
        <f t="shared" si="6"/>
        <v>4.7100000000000003E-2</v>
      </c>
      <c r="X23" s="75">
        <v>23.3</v>
      </c>
      <c r="Y23" s="75">
        <f t="shared" si="8"/>
        <v>23.2529</v>
      </c>
      <c r="Z23" s="76" t="e">
        <f>VLOOKUP(A23,Enforcements!$C$3:$J$26,8,0)</f>
        <v>#N/A</v>
      </c>
      <c r="AA23" s="76" t="e">
        <f>VLOOKUP(A23,Enforcements!$C$3:$J$26,3,0)</f>
        <v>#N/A</v>
      </c>
    </row>
    <row r="24" spans="1:27" s="2" customFormat="1" x14ac:dyDescent="0.25">
      <c r="A24" s="61" t="s">
        <v>226</v>
      </c>
      <c r="B24" s="61">
        <v>4043</v>
      </c>
      <c r="C24" s="61" t="s">
        <v>71</v>
      </c>
      <c r="D24" s="61" t="s">
        <v>75</v>
      </c>
      <c r="E24" s="30">
        <v>42500.294548611113</v>
      </c>
      <c r="F24" s="30">
        <v>42500.295949074076</v>
      </c>
      <c r="G24" s="38">
        <v>2</v>
      </c>
      <c r="H24" s="30" t="s">
        <v>79</v>
      </c>
      <c r="I24" s="30">
        <v>42500.325381944444</v>
      </c>
      <c r="J24" s="61">
        <v>0</v>
      </c>
      <c r="K24" s="61" t="str">
        <f t="shared" si="0"/>
        <v>4043/4044</v>
      </c>
      <c r="L24" s="61" t="str">
        <f>VLOOKUP(A24,'Trips&amp;Operators'!$C$1:$E$9999,3,FALSE)</f>
        <v>YORK</v>
      </c>
      <c r="M24" s="12">
        <f t="shared" si="1"/>
        <v>2.9432870367600117E-2</v>
      </c>
      <c r="N24" s="13">
        <f t="shared" si="3"/>
        <v>42.383333329344168</v>
      </c>
      <c r="O24" s="13"/>
      <c r="P24" s="13"/>
      <c r="Q24" s="62"/>
      <c r="R24" s="62"/>
      <c r="T24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07:03:09-0600',mode:absolute,to:'2016-05-10 07:49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24" s="75" t="str">
        <f t="shared" si="5"/>
        <v>N</v>
      </c>
      <c r="V24" s="75">
        <f t="shared" si="9"/>
        <v>1</v>
      </c>
      <c r="W24" s="75">
        <f t="shared" si="6"/>
        <v>23.297699999999999</v>
      </c>
      <c r="X24" s="75">
        <f t="shared" ref="X24:X68" si="10">RIGHT(H24,LEN(H24)-4)/10000</f>
        <v>1.49E-2</v>
      </c>
      <c r="Y24" s="75">
        <f t="shared" si="8"/>
        <v>23.282799999999998</v>
      </c>
      <c r="Z24" s="76" t="e">
        <f>VLOOKUP(A24,Enforcements!$C$3:$J$26,8,0)</f>
        <v>#N/A</v>
      </c>
      <c r="AA24" s="76" t="e">
        <f>VLOOKUP(A24,Enforcements!$C$3:$J$26,3,0)</f>
        <v>#N/A</v>
      </c>
    </row>
    <row r="25" spans="1:27" s="2" customFormat="1" x14ac:dyDescent="0.25">
      <c r="A25" s="61" t="s">
        <v>181</v>
      </c>
      <c r="B25" s="61">
        <v>4009</v>
      </c>
      <c r="C25" s="61" t="s">
        <v>71</v>
      </c>
      <c r="D25" s="61" t="s">
        <v>90</v>
      </c>
      <c r="E25" s="30">
        <v>42500.268182870372</v>
      </c>
      <c r="F25" s="30">
        <v>42500.269236111111</v>
      </c>
      <c r="G25" s="38">
        <v>1</v>
      </c>
      <c r="H25" s="30" t="s">
        <v>88</v>
      </c>
      <c r="I25" s="30">
        <v>42500.295902777776</v>
      </c>
      <c r="J25" s="61">
        <v>0</v>
      </c>
      <c r="K25" s="61" t="str">
        <f t="shared" si="0"/>
        <v>4009/4010</v>
      </c>
      <c r="L25" s="61" t="str">
        <f>VLOOKUP(A25,'Trips&amp;Operators'!$C$1:$E$9999,3,FALSE)</f>
        <v>ACKERMAN</v>
      </c>
      <c r="M25" s="12">
        <f t="shared" si="1"/>
        <v>2.6666666664823424E-2</v>
      </c>
      <c r="N25" s="13">
        <f t="shared" si="3"/>
        <v>38.399999997345731</v>
      </c>
      <c r="O25" s="13"/>
      <c r="P25" s="13"/>
      <c r="Q25" s="62"/>
      <c r="R25" s="62"/>
      <c r="T25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06:25:11-0600',mode:absolute,to:'2016-05-10 07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25" s="75" t="str">
        <f t="shared" si="5"/>
        <v>N</v>
      </c>
      <c r="V25" s="75">
        <f t="shared" si="9"/>
        <v>1</v>
      </c>
      <c r="W25" s="75">
        <f t="shared" si="6"/>
        <v>4.4400000000000002E-2</v>
      </c>
      <c r="X25" s="75">
        <f t="shared" si="10"/>
        <v>23.330400000000001</v>
      </c>
      <c r="Y25" s="75">
        <f t="shared" si="8"/>
        <v>23.286000000000001</v>
      </c>
      <c r="Z25" s="76" t="e">
        <f>VLOOKUP(A25,Enforcements!$C$3:$J$26,8,0)</f>
        <v>#N/A</v>
      </c>
      <c r="AA25" s="76" t="e">
        <f>VLOOKUP(A25,Enforcements!$C$3:$J$26,3,0)</f>
        <v>#N/A</v>
      </c>
    </row>
    <row r="26" spans="1:27" s="2" customFormat="1" x14ac:dyDescent="0.25">
      <c r="A26" s="61" t="s">
        <v>227</v>
      </c>
      <c r="B26" s="61">
        <v>4010</v>
      </c>
      <c r="C26" s="61" t="s">
        <v>71</v>
      </c>
      <c r="D26" s="61" t="s">
        <v>133</v>
      </c>
      <c r="E26" s="30">
        <v>42500.304606481484</v>
      </c>
      <c r="F26" s="30">
        <v>42500.305347222224</v>
      </c>
      <c r="G26" s="38">
        <v>1</v>
      </c>
      <c r="H26" s="30" t="s">
        <v>139</v>
      </c>
      <c r="I26" s="30">
        <v>42500.335648148146</v>
      </c>
      <c r="J26" s="61">
        <v>2</v>
      </c>
      <c r="K26" s="61" t="str">
        <f t="shared" si="0"/>
        <v>4009/4010</v>
      </c>
      <c r="L26" s="61" t="str">
        <f>VLOOKUP(A26,'Trips&amp;Operators'!$C$1:$E$9999,3,FALSE)</f>
        <v>ACKERMAN</v>
      </c>
      <c r="M26" s="12">
        <f t="shared" si="1"/>
        <v>3.0300925922347233E-2</v>
      </c>
      <c r="N26" s="13">
        <f t="shared" si="3"/>
        <v>43.633333328180015</v>
      </c>
      <c r="O26" s="13"/>
      <c r="P26" s="13"/>
      <c r="Q26" s="62"/>
      <c r="R26" s="62"/>
      <c r="T26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07:17:38-0600',mode:absolute,to:'2016-05-10 08:04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26" s="75" t="str">
        <f t="shared" si="5"/>
        <v>N</v>
      </c>
      <c r="V26" s="75">
        <f t="shared" si="9"/>
        <v>1</v>
      </c>
      <c r="W26" s="75">
        <f t="shared" si="6"/>
        <v>23.2987</v>
      </c>
      <c r="X26" s="75">
        <f t="shared" si="10"/>
        <v>1.34E-2</v>
      </c>
      <c r="Y26" s="75">
        <f t="shared" si="8"/>
        <v>23.285299999999999</v>
      </c>
      <c r="Z26" s="76" t="e">
        <f>VLOOKUP(A26,Enforcements!$C$3:$J$26,8,0)</f>
        <v>#N/A</v>
      </c>
      <c r="AA26" s="76" t="e">
        <f>VLOOKUP(A26,Enforcements!$C$3:$J$26,3,0)</f>
        <v>#N/A</v>
      </c>
    </row>
    <row r="27" spans="1:27" s="2" customFormat="1" x14ac:dyDescent="0.25">
      <c r="A27" s="61" t="s">
        <v>200</v>
      </c>
      <c r="B27" s="61">
        <v>4020</v>
      </c>
      <c r="C27" s="61" t="s">
        <v>71</v>
      </c>
      <c r="D27" s="61" t="s">
        <v>228</v>
      </c>
      <c r="E27" s="30">
        <v>42500.278715277775</v>
      </c>
      <c r="F27" s="30">
        <v>42500.279791666668</v>
      </c>
      <c r="G27" s="38">
        <v>1</v>
      </c>
      <c r="H27" s="30" t="s">
        <v>80</v>
      </c>
      <c r="I27" s="30">
        <v>42500.305972222224</v>
      </c>
      <c r="J27" s="61">
        <v>0</v>
      </c>
      <c r="K27" s="61" t="str">
        <f t="shared" si="0"/>
        <v>4019/4020</v>
      </c>
      <c r="L27" s="61" t="str">
        <f>VLOOKUP(A27,'Trips&amp;Operators'!$C$1:$E$9999,3,FALSE)</f>
        <v>CANFIELD</v>
      </c>
      <c r="M27" s="12">
        <f t="shared" si="1"/>
        <v>2.6180555556493346E-2</v>
      </c>
      <c r="N27" s="13">
        <f t="shared" si="3"/>
        <v>37.700000001350418</v>
      </c>
      <c r="O27" s="13"/>
      <c r="P27" s="13"/>
      <c r="Q27" s="62"/>
      <c r="R27" s="62"/>
      <c r="T27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06:40:21-0600',mode:absolute,to:'2016-05-10 07:21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27" s="75" t="str">
        <f t="shared" si="5"/>
        <v>N</v>
      </c>
      <c r="V27" s="75">
        <f t="shared" si="9"/>
        <v>1</v>
      </c>
      <c r="W27" s="75">
        <f t="shared" si="6"/>
        <v>4.3999999999999997E-2</v>
      </c>
      <c r="X27" s="75">
        <f t="shared" si="10"/>
        <v>23.330300000000001</v>
      </c>
      <c r="Y27" s="75">
        <f t="shared" si="8"/>
        <v>23.286300000000001</v>
      </c>
      <c r="Z27" s="76" t="e">
        <f>VLOOKUP(A27,Enforcements!$C$3:$J$26,8,0)</f>
        <v>#N/A</v>
      </c>
      <c r="AA27" s="76" t="e">
        <f>VLOOKUP(A27,Enforcements!$C$3:$J$26,3,0)</f>
        <v>#N/A</v>
      </c>
    </row>
    <row r="28" spans="1:27" s="2" customFormat="1" x14ac:dyDescent="0.25">
      <c r="A28" s="61" t="s">
        <v>229</v>
      </c>
      <c r="B28" s="61">
        <v>4019</v>
      </c>
      <c r="C28" s="61" t="s">
        <v>71</v>
      </c>
      <c r="D28" s="61" t="s">
        <v>115</v>
      </c>
      <c r="E28" s="30">
        <v>42500.318749999999</v>
      </c>
      <c r="F28" s="30">
        <v>42500.319745370369</v>
      </c>
      <c r="G28" s="38">
        <v>1</v>
      </c>
      <c r="H28" s="30" t="s">
        <v>230</v>
      </c>
      <c r="I28" s="30">
        <v>42500.345451388886</v>
      </c>
      <c r="J28" s="61">
        <v>2</v>
      </c>
      <c r="K28" s="61" t="str">
        <f t="shared" si="0"/>
        <v>4019/4020</v>
      </c>
      <c r="L28" s="61" t="str">
        <f>VLOOKUP(A28,'Trips&amp;Operators'!$C$1:$E$9999,3,FALSE)</f>
        <v>CANFIELD</v>
      </c>
      <c r="M28" s="12">
        <f t="shared" si="1"/>
        <v>2.5706018517666962E-2</v>
      </c>
      <c r="N28" s="13">
        <f t="shared" si="3"/>
        <v>37.016666665440425</v>
      </c>
      <c r="O28" s="13"/>
      <c r="P28" s="13"/>
      <c r="Q28" s="62"/>
      <c r="R28" s="62"/>
      <c r="T28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07:38:00-0600',mode:absolute,to:'2016-05-10 08:18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28" s="75" t="str">
        <f t="shared" si="5"/>
        <v>N</v>
      </c>
      <c r="V28" s="75">
        <f t="shared" si="9"/>
        <v>1</v>
      </c>
      <c r="W28" s="75">
        <f t="shared" si="6"/>
        <v>23.297999999999998</v>
      </c>
      <c r="X28" s="75">
        <f t="shared" si="10"/>
        <v>1.38E-2</v>
      </c>
      <c r="Y28" s="75">
        <f t="shared" si="8"/>
        <v>23.284199999999998</v>
      </c>
      <c r="Z28" s="76">
        <f>VLOOKUP(A28,Enforcements!$C$3:$J$26,8,0)</f>
        <v>229055</v>
      </c>
      <c r="AA28" s="76" t="str">
        <f>VLOOKUP(A28,Enforcements!$C$3:$J$26,3,0)</f>
        <v>PERMANENT SPEED RESTRICTION</v>
      </c>
    </row>
    <row r="29" spans="1:27" s="2" customFormat="1" x14ac:dyDescent="0.25">
      <c r="A29" s="61" t="s">
        <v>207</v>
      </c>
      <c r="B29" s="61">
        <v>4011</v>
      </c>
      <c r="C29" s="61" t="s">
        <v>71</v>
      </c>
      <c r="D29" s="61" t="s">
        <v>231</v>
      </c>
      <c r="E29" s="30">
        <v>42500.291481481479</v>
      </c>
      <c r="F29" s="30">
        <v>42500.292673611111</v>
      </c>
      <c r="G29" s="38">
        <v>1</v>
      </c>
      <c r="H29" s="30" t="s">
        <v>88</v>
      </c>
      <c r="I29" s="30">
        <v>42500.316967592589</v>
      </c>
      <c r="J29" s="61">
        <v>0</v>
      </c>
      <c r="K29" s="61" t="str">
        <f t="shared" si="0"/>
        <v>4011/4012</v>
      </c>
      <c r="L29" s="61" t="str">
        <f>VLOOKUP(A29,'Trips&amp;Operators'!$C$1:$E$9999,3,FALSE)</f>
        <v>CHANDLER</v>
      </c>
      <c r="M29" s="12">
        <f t="shared" si="1"/>
        <v>2.4293981477967463E-2</v>
      </c>
      <c r="N29" s="13">
        <f t="shared" si="3"/>
        <v>34.983333328273147</v>
      </c>
      <c r="O29" s="13"/>
      <c r="P29" s="13"/>
      <c r="Q29" s="62"/>
      <c r="R29" s="62"/>
      <c r="T29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06:58:44-0600',mode:absolute,to:'2016-05-10 07:37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29" s="75" t="str">
        <f t="shared" si="5"/>
        <v>N</v>
      </c>
      <c r="V29" s="75">
        <f t="shared" si="9"/>
        <v>1</v>
      </c>
      <c r="W29" s="75">
        <f t="shared" si="6"/>
        <v>5.0900000000000001E-2</v>
      </c>
      <c r="X29" s="75">
        <f t="shared" si="10"/>
        <v>23.330400000000001</v>
      </c>
      <c r="Y29" s="75">
        <f t="shared" si="8"/>
        <v>23.279500000000002</v>
      </c>
      <c r="Z29" s="76" t="e">
        <f>VLOOKUP(A29,Enforcements!$C$3:$J$26,8,0)</f>
        <v>#N/A</v>
      </c>
      <c r="AA29" s="76" t="e">
        <f>VLOOKUP(A29,Enforcements!$C$3:$J$26,3,0)</f>
        <v>#N/A</v>
      </c>
    </row>
    <row r="30" spans="1:27" s="2" customFormat="1" x14ac:dyDescent="0.25">
      <c r="A30" s="61" t="s">
        <v>232</v>
      </c>
      <c r="B30" s="61">
        <v>4012</v>
      </c>
      <c r="C30" s="61" t="s">
        <v>71</v>
      </c>
      <c r="D30" s="61" t="s">
        <v>130</v>
      </c>
      <c r="E30" s="30">
        <v>42500.325949074075</v>
      </c>
      <c r="F30" s="30">
        <v>42500.32707175926</v>
      </c>
      <c r="G30" s="38">
        <v>1</v>
      </c>
      <c r="H30" s="30" t="s">
        <v>142</v>
      </c>
      <c r="I30" s="30">
        <v>42500.356782407405</v>
      </c>
      <c r="J30" s="61">
        <v>0</v>
      </c>
      <c r="K30" s="61" t="str">
        <f t="shared" si="0"/>
        <v>4011/4012</v>
      </c>
      <c r="L30" s="61" t="str">
        <f>VLOOKUP(A30,'Trips&amp;Operators'!$C$1:$E$9999,3,FALSE)</f>
        <v>CHANDLER</v>
      </c>
      <c r="M30" s="12">
        <f t="shared" si="1"/>
        <v>2.9710648144828156E-2</v>
      </c>
      <c r="N30" s="13">
        <f t="shared" si="3"/>
        <v>42.783333328552544</v>
      </c>
      <c r="O30" s="13"/>
      <c r="P30" s="13"/>
      <c r="Q30" s="62"/>
      <c r="R30" s="62"/>
      <c r="T30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07:48:22-0600',mode:absolute,to:'2016-05-10 08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30" s="75" t="str">
        <f t="shared" si="5"/>
        <v>N</v>
      </c>
      <c r="V30" s="75">
        <f t="shared" si="9"/>
        <v>1</v>
      </c>
      <c r="W30" s="75">
        <f t="shared" si="6"/>
        <v>23.298100000000002</v>
      </c>
      <c r="X30" s="75">
        <f t="shared" si="10"/>
        <v>1.47E-2</v>
      </c>
      <c r="Y30" s="75">
        <f t="shared" si="8"/>
        <v>23.2834</v>
      </c>
      <c r="Z30" s="76" t="e">
        <f>VLOOKUP(A30,Enforcements!$C$3:$J$26,8,0)</f>
        <v>#N/A</v>
      </c>
      <c r="AA30" s="76" t="e">
        <f>VLOOKUP(A30,Enforcements!$C$3:$J$26,3,0)</f>
        <v>#N/A</v>
      </c>
    </row>
    <row r="31" spans="1:27" s="2" customFormat="1" x14ac:dyDescent="0.25">
      <c r="A31" s="61" t="s">
        <v>233</v>
      </c>
      <c r="B31" s="61">
        <v>4024</v>
      </c>
      <c r="C31" s="61" t="s">
        <v>71</v>
      </c>
      <c r="D31" s="61" t="s">
        <v>103</v>
      </c>
      <c r="E31" s="30">
        <v>42500.298796296294</v>
      </c>
      <c r="F31" s="30">
        <v>42500.299583333333</v>
      </c>
      <c r="G31" s="38">
        <v>1</v>
      </c>
      <c r="H31" s="30" t="s">
        <v>234</v>
      </c>
      <c r="I31" s="30">
        <v>42500.327835648146</v>
      </c>
      <c r="J31" s="61">
        <v>0</v>
      </c>
      <c r="K31" s="61" t="str">
        <f t="shared" si="0"/>
        <v>4023/4024</v>
      </c>
      <c r="L31" s="61" t="str">
        <f>VLOOKUP(A31,'Trips&amp;Operators'!$C$1:$E$9999,3,FALSE)</f>
        <v>SPECTOR</v>
      </c>
      <c r="M31" s="12">
        <f t="shared" si="1"/>
        <v>2.8252314812561963E-2</v>
      </c>
      <c r="N31" s="13">
        <f t="shared" si="3"/>
        <v>40.683333330089226</v>
      </c>
      <c r="O31" s="13"/>
      <c r="P31" s="13"/>
      <c r="Q31" s="62"/>
      <c r="R31" s="62"/>
      <c r="T31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07:09:16-0600',mode:absolute,to:'2016-05-10 07:53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31" s="75" t="str">
        <f t="shared" si="5"/>
        <v>N</v>
      </c>
      <c r="V31" s="75">
        <f t="shared" si="9"/>
        <v>1</v>
      </c>
      <c r="W31" s="75">
        <f t="shared" si="6"/>
        <v>4.5999999999999999E-2</v>
      </c>
      <c r="X31" s="75">
        <f t="shared" si="10"/>
        <v>23.331600000000002</v>
      </c>
      <c r="Y31" s="75">
        <f t="shared" si="8"/>
        <v>23.285600000000002</v>
      </c>
      <c r="Z31" s="76" t="e">
        <f>VLOOKUP(A31,Enforcements!$C$3:$J$26,8,0)</f>
        <v>#N/A</v>
      </c>
      <c r="AA31" s="76" t="e">
        <f>VLOOKUP(A31,Enforcements!$C$3:$J$26,3,0)</f>
        <v>#N/A</v>
      </c>
    </row>
    <row r="32" spans="1:27" s="2" customFormat="1" x14ac:dyDescent="0.25">
      <c r="A32" s="61" t="s">
        <v>235</v>
      </c>
      <c r="B32" s="61">
        <v>4023</v>
      </c>
      <c r="C32" s="61" t="s">
        <v>71</v>
      </c>
      <c r="D32" s="61" t="s">
        <v>96</v>
      </c>
      <c r="E32" s="30">
        <v>42500.332453703704</v>
      </c>
      <c r="F32" s="30">
        <v>42500.333240740743</v>
      </c>
      <c r="G32" s="38">
        <v>1</v>
      </c>
      <c r="H32" s="30" t="s">
        <v>236</v>
      </c>
      <c r="I32" s="30">
        <v>42500.368530092594</v>
      </c>
      <c r="J32" s="61">
        <v>1</v>
      </c>
      <c r="K32" s="61" t="str">
        <f t="shared" si="0"/>
        <v>4023/4024</v>
      </c>
      <c r="L32" s="61" t="str">
        <f>VLOOKUP(A32,'Trips&amp;Operators'!$C$1:$E$9999,3,FALSE)</f>
        <v>SPECTOR</v>
      </c>
      <c r="M32" s="12">
        <f t="shared" si="1"/>
        <v>3.5289351850224193E-2</v>
      </c>
      <c r="N32" s="13">
        <f t="shared" si="3"/>
        <v>50.816666664322838</v>
      </c>
      <c r="O32" s="13"/>
      <c r="P32" s="13"/>
      <c r="Q32" s="62"/>
      <c r="R32" s="62"/>
      <c r="T32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07:57:44-0600',mode:absolute,to:'2016-05-10 08:51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32" s="75" t="str">
        <f t="shared" si="5"/>
        <v>N</v>
      </c>
      <c r="V32" s="75">
        <f t="shared" si="9"/>
        <v>1</v>
      </c>
      <c r="W32" s="75">
        <f t="shared" si="6"/>
        <v>23.299600000000002</v>
      </c>
      <c r="X32" s="75">
        <f t="shared" si="10"/>
        <v>1.3899999999999999E-2</v>
      </c>
      <c r="Y32" s="75">
        <f t="shared" si="8"/>
        <v>23.285700000000002</v>
      </c>
      <c r="Z32" s="76">
        <f>VLOOKUP(A32,Enforcements!$C$3:$J$26,8,0)</f>
        <v>5439</v>
      </c>
      <c r="AA32" s="76" t="str">
        <f>VLOOKUP(A32,Enforcements!$C$3:$J$26,3,0)</f>
        <v>PERMANENT SPEED RESTRICTION</v>
      </c>
    </row>
    <row r="33" spans="1:27" s="2" customFormat="1" x14ac:dyDescent="0.25">
      <c r="A33" s="61" t="s">
        <v>237</v>
      </c>
      <c r="B33" s="61">
        <v>4007</v>
      </c>
      <c r="C33" s="61" t="s">
        <v>71</v>
      </c>
      <c r="D33" s="61" t="s">
        <v>147</v>
      </c>
      <c r="E33" s="30">
        <v>42500.310590277775</v>
      </c>
      <c r="F33" s="30">
        <v>42500.311782407407</v>
      </c>
      <c r="G33" s="38">
        <v>1</v>
      </c>
      <c r="H33" s="30" t="s">
        <v>238</v>
      </c>
      <c r="I33" s="30">
        <v>42500.339050925926</v>
      </c>
      <c r="J33" s="61">
        <v>3</v>
      </c>
      <c r="K33" s="61" t="str">
        <f t="shared" si="0"/>
        <v>4007/4008</v>
      </c>
      <c r="L33" s="61" t="str">
        <f>VLOOKUP(A33,'Trips&amp;Operators'!$C$1:$E$9999,3,FALSE)</f>
        <v>STARKS</v>
      </c>
      <c r="M33" s="12">
        <f t="shared" si="1"/>
        <v>2.7268518519122154E-2</v>
      </c>
      <c r="N33" s="13">
        <f t="shared" si="3"/>
        <v>39.266666667535901</v>
      </c>
      <c r="O33" s="13"/>
      <c r="P33" s="13"/>
      <c r="Q33" s="62"/>
      <c r="R33" s="62"/>
      <c r="T33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07:26:15-0600',mode:absolute,to:'2016-05-10 08:09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33" s="75" t="str">
        <f t="shared" si="5"/>
        <v>N</v>
      </c>
      <c r="V33" s="75">
        <f t="shared" si="9"/>
        <v>1</v>
      </c>
      <c r="W33" s="75">
        <f t="shared" si="6"/>
        <v>4.3299999999999998E-2</v>
      </c>
      <c r="X33" s="75">
        <f t="shared" si="10"/>
        <v>23.333600000000001</v>
      </c>
      <c r="Y33" s="75">
        <f t="shared" si="8"/>
        <v>23.290300000000002</v>
      </c>
      <c r="Z33" s="76">
        <f>VLOOKUP(A33,Enforcements!$C$3:$J$26,8,0)</f>
        <v>230436</v>
      </c>
      <c r="AA33" s="76" t="str">
        <f>VLOOKUP(A33,Enforcements!$C$3:$J$26,3,0)</f>
        <v>PERMANENT SPEED RESTRICTION</v>
      </c>
    </row>
    <row r="34" spans="1:27" s="2" customFormat="1" x14ac:dyDescent="0.25">
      <c r="A34" s="61" t="s">
        <v>239</v>
      </c>
      <c r="B34" s="61">
        <v>4008</v>
      </c>
      <c r="C34" s="61" t="s">
        <v>71</v>
      </c>
      <c r="D34" s="61" t="s">
        <v>240</v>
      </c>
      <c r="E34" s="30">
        <v>42500.34952546296</v>
      </c>
      <c r="F34" s="30">
        <v>42500.350439814814</v>
      </c>
      <c r="G34" s="38">
        <v>1</v>
      </c>
      <c r="H34" s="30" t="s">
        <v>230</v>
      </c>
      <c r="I34" s="30">
        <v>42500.378113425926</v>
      </c>
      <c r="J34" s="61">
        <v>0</v>
      </c>
      <c r="K34" s="61" t="str">
        <f t="shared" si="0"/>
        <v>4007/4008</v>
      </c>
      <c r="L34" s="61" t="str">
        <f>VLOOKUP(A34,'Trips&amp;Operators'!$C$1:$E$9999,3,FALSE)</f>
        <v>STARKS</v>
      </c>
      <c r="M34" s="12">
        <f t="shared" si="1"/>
        <v>2.7673611111822538E-2</v>
      </c>
      <c r="N34" s="13">
        <f t="shared" si="3"/>
        <v>39.850000001024455</v>
      </c>
      <c r="O34" s="13"/>
      <c r="P34" s="13"/>
      <c r="Q34" s="62"/>
      <c r="R34" s="62"/>
      <c r="T34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08:22:19-0600',mode:absolute,to:'2016-05-10 09:05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34" s="75" t="str">
        <f t="shared" si="5"/>
        <v>N</v>
      </c>
      <c r="V34" s="75">
        <f t="shared" si="9"/>
        <v>1</v>
      </c>
      <c r="W34" s="75">
        <f t="shared" si="6"/>
        <v>23.302499999999998</v>
      </c>
      <c r="X34" s="75">
        <f t="shared" si="10"/>
        <v>1.38E-2</v>
      </c>
      <c r="Y34" s="75">
        <f t="shared" si="8"/>
        <v>23.288699999999999</v>
      </c>
      <c r="Z34" s="76" t="e">
        <f>VLOOKUP(A34,Enforcements!$C$3:$J$26,8,0)</f>
        <v>#N/A</v>
      </c>
      <c r="AA34" s="76" t="e">
        <f>VLOOKUP(A34,Enforcements!$C$3:$J$26,3,0)</f>
        <v>#N/A</v>
      </c>
    </row>
    <row r="35" spans="1:27" s="2" customFormat="1" x14ac:dyDescent="0.25">
      <c r="A35" s="61" t="s">
        <v>241</v>
      </c>
      <c r="B35" s="61">
        <v>4016</v>
      </c>
      <c r="C35" s="61" t="s">
        <v>71</v>
      </c>
      <c r="D35" s="61" t="s">
        <v>103</v>
      </c>
      <c r="E35" s="30">
        <v>42500.317511574074</v>
      </c>
      <c r="F35" s="30">
        <v>42500.319062499999</v>
      </c>
      <c r="G35" s="38">
        <v>2</v>
      </c>
      <c r="H35" s="30" t="s">
        <v>105</v>
      </c>
      <c r="I35" s="30">
        <v>42500.347557870373</v>
      </c>
      <c r="J35" s="61">
        <v>0</v>
      </c>
      <c r="K35" s="61" t="str">
        <f t="shared" ref="K35:K66" si="11">IF(ISEVEN(B35),(B35-1)&amp;"/"&amp;B35,B35&amp;"/"&amp;(B35+1))</f>
        <v>4015/4016</v>
      </c>
      <c r="L35" s="61" t="str">
        <f>VLOOKUP(A35,'Trips&amp;Operators'!$C$1:$E$9999,3,FALSE)</f>
        <v>NEWELL</v>
      </c>
      <c r="M35" s="12">
        <f t="shared" ref="M35:M66" si="12">I35-F35</f>
        <v>2.849537037400296E-2</v>
      </c>
      <c r="N35" s="13">
        <f t="shared" si="3"/>
        <v>41.033333338564262</v>
      </c>
      <c r="O35" s="13"/>
      <c r="P35" s="13"/>
      <c r="Q35" s="62"/>
      <c r="R35" s="62"/>
      <c r="T35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07:36:13-0600',mode:absolute,to:'2016-05-10 08:21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35" s="75" t="str">
        <f t="shared" si="5"/>
        <v>N</v>
      </c>
      <c r="V35" s="75">
        <f t="shared" si="9"/>
        <v>1</v>
      </c>
      <c r="W35" s="75">
        <f t="shared" si="6"/>
        <v>4.5999999999999999E-2</v>
      </c>
      <c r="X35" s="75">
        <f t="shared" si="10"/>
        <v>23.329899999999999</v>
      </c>
      <c r="Y35" s="75">
        <f t="shared" si="8"/>
        <v>23.283899999999999</v>
      </c>
      <c r="Z35" s="76" t="e">
        <f>VLOOKUP(A35,Enforcements!$C$3:$J$26,8,0)</f>
        <v>#N/A</v>
      </c>
      <c r="AA35" s="76" t="e">
        <f>VLOOKUP(A35,Enforcements!$C$3:$J$26,3,0)</f>
        <v>#N/A</v>
      </c>
    </row>
    <row r="36" spans="1:27" s="2" customFormat="1" x14ac:dyDescent="0.25">
      <c r="A36" s="61" t="s">
        <v>242</v>
      </c>
      <c r="B36" s="61">
        <v>4015</v>
      </c>
      <c r="C36" s="61" t="s">
        <v>71</v>
      </c>
      <c r="D36" s="61" t="s">
        <v>115</v>
      </c>
      <c r="E36" s="30">
        <v>42500.350763888891</v>
      </c>
      <c r="F36" s="30">
        <v>42500.351770833331</v>
      </c>
      <c r="G36" s="38">
        <v>1</v>
      </c>
      <c r="H36" s="30" t="s">
        <v>114</v>
      </c>
      <c r="I36" s="30">
        <v>42500.387719907405</v>
      </c>
      <c r="J36" s="61">
        <v>1</v>
      </c>
      <c r="K36" s="61" t="str">
        <f t="shared" si="11"/>
        <v>4015/4016</v>
      </c>
      <c r="L36" s="61" t="str">
        <f>VLOOKUP(A36,'Trips&amp;Operators'!$C$1:$E$9999,3,FALSE)</f>
        <v>NEWELL</v>
      </c>
      <c r="M36" s="12">
        <f t="shared" si="12"/>
        <v>3.5949074073869269E-2</v>
      </c>
      <c r="N36" s="13">
        <f t="shared" si="3"/>
        <v>51.766666666371748</v>
      </c>
      <c r="O36" s="13"/>
      <c r="P36" s="13"/>
      <c r="Q36" s="62"/>
      <c r="R36" s="62"/>
      <c r="T36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08:24:06-0600',mode:absolute,to:'2016-05-10 09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36" s="75" t="str">
        <f t="shared" si="5"/>
        <v>N</v>
      </c>
      <c r="V36" s="75">
        <f t="shared" si="9"/>
        <v>1</v>
      </c>
      <c r="W36" s="75">
        <f t="shared" si="6"/>
        <v>23.297999999999998</v>
      </c>
      <c r="X36" s="75">
        <f t="shared" si="10"/>
        <v>1.61E-2</v>
      </c>
      <c r="Y36" s="75">
        <f t="shared" si="8"/>
        <v>23.281899999999997</v>
      </c>
      <c r="Z36" s="76" t="e">
        <f>VLOOKUP(A36,Enforcements!$C$3:$J$26,8,0)</f>
        <v>#N/A</v>
      </c>
      <c r="AA36" s="76" t="e">
        <f>VLOOKUP(A36,Enforcements!$C$3:$J$26,3,0)</f>
        <v>#N/A</v>
      </c>
    </row>
    <row r="37" spans="1:27" s="2" customFormat="1" x14ac:dyDescent="0.25">
      <c r="A37" s="61" t="s">
        <v>243</v>
      </c>
      <c r="B37" s="61">
        <v>4044</v>
      </c>
      <c r="C37" s="61" t="s">
        <v>71</v>
      </c>
      <c r="D37" s="61" t="s">
        <v>82</v>
      </c>
      <c r="E37" s="30">
        <v>42500.327731481484</v>
      </c>
      <c r="F37" s="30">
        <v>42500.328657407408</v>
      </c>
      <c r="G37" s="38">
        <v>1</v>
      </c>
      <c r="H37" s="30" t="s">
        <v>73</v>
      </c>
      <c r="I37" s="30">
        <v>42500.35832175926</v>
      </c>
      <c r="J37" s="61">
        <v>0</v>
      </c>
      <c r="K37" s="61" t="str">
        <f t="shared" si="11"/>
        <v>4043/4044</v>
      </c>
      <c r="L37" s="61" t="str">
        <f>VLOOKUP(A37,'Trips&amp;Operators'!$C$1:$E$9999,3,FALSE)</f>
        <v>YORK</v>
      </c>
      <c r="M37" s="12">
        <f t="shared" si="12"/>
        <v>2.9664351852261461E-2</v>
      </c>
      <c r="N37" s="13">
        <f t="shared" si="3"/>
        <v>42.716666667256504</v>
      </c>
      <c r="O37" s="13"/>
      <c r="P37" s="13"/>
      <c r="Q37" s="62"/>
      <c r="R37" s="62"/>
      <c r="T37" s="75" t="str">
        <f t="shared" si="4"/>
        <v>https://search-rtdc-monitor-bjffxe2xuh6vdkpspy63sjmuny.us-east-1.es.amazonaws.com/_plugin/kibana/#/discover/Steve-Slow-Train-Analysis-(2080s-and-2083s)?_g=(refreshInterval:(display:Off,section:0,value:0),time:(from:'2016-05-10 07:50:56-0600',mode:absolute,to:'2016-05-10 08:36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37" s="75" t="str">
        <f t="shared" si="5"/>
        <v>N</v>
      </c>
      <c r="V37" s="75">
        <f t="shared" si="9"/>
        <v>1</v>
      </c>
      <c r="W37" s="75">
        <f t="shared" si="6"/>
        <v>4.5699999999999998E-2</v>
      </c>
      <c r="X37" s="75">
        <f t="shared" si="10"/>
        <v>23.331</v>
      </c>
      <c r="Y37" s="75">
        <f t="shared" si="8"/>
        <v>23.285299999999999</v>
      </c>
      <c r="Z37" s="76" t="e">
        <f>VLOOKUP(A37,Enforcements!$C$3:$J$26,8,0)</f>
        <v>#N/A</v>
      </c>
      <c r="AA37" s="76" t="e">
        <f>VLOOKUP(A37,Enforcements!$C$3:$J$26,3,0)</f>
        <v>#N/A</v>
      </c>
    </row>
    <row r="38" spans="1:27" s="2" customFormat="1" x14ac:dyDescent="0.25">
      <c r="A38" s="61" t="s">
        <v>244</v>
      </c>
      <c r="B38" s="61">
        <v>4043</v>
      </c>
      <c r="C38" s="61" t="s">
        <v>71</v>
      </c>
      <c r="D38" s="61" t="s">
        <v>101</v>
      </c>
      <c r="E38" s="30">
        <v>42500.36314814815</v>
      </c>
      <c r="F38" s="30">
        <v>42500.364386574074</v>
      </c>
      <c r="G38" s="38">
        <v>1</v>
      </c>
      <c r="H38" s="30" t="s">
        <v>85</v>
      </c>
      <c r="I38" s="30">
        <v>42500.398796296293</v>
      </c>
      <c r="J38" s="61">
        <v>0</v>
      </c>
      <c r="K38" s="61" t="str">
        <f t="shared" si="11"/>
        <v>4043/4044</v>
      </c>
      <c r="L38" s="61" t="str">
        <f>VLOOKUP(A38,'Trips&amp;Operators'!$C$1:$E$9999,3,FALSE)</f>
        <v>YORK</v>
      </c>
      <c r="M38" s="12">
        <f t="shared" si="12"/>
        <v>3.4409722218697425E-2</v>
      </c>
      <c r="N38" s="13">
        <f t="shared" si="3"/>
        <v>49.549999994924292</v>
      </c>
      <c r="O38" s="13"/>
      <c r="P38" s="13"/>
      <c r="Q38" s="62"/>
      <c r="R38" s="62"/>
      <c r="T38" s="75" t="str">
        <f t="shared" ref="T38:T69" si="13">"https://search-rtdc-monitor-bjffxe2xuh6vdkpspy63sjmuny.us-east-1.es.amazonaws.com/_plugin/kibana/#/discover/Steve-Slow-Train-Analysis-(2080s-and-2083s)?_g=(refreshInterval:(display:Off,section:0,value:0),time:(from:'"&amp;TEXT(E38-1/24/60,"yyyy-MM-DD hh:mm:ss")&amp;"-0600',mode:absolute,to:'"&amp;TEXT(I38+1/24/60,"yyyy-MM-DD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38&amp;"%22')),sort:!(Time,asc))"</f>
        <v>https://search-rtdc-monitor-bjffxe2xuh6vdkpspy63sjmuny.us-east-1.es.amazonaws.com/_plugin/kibana/#/discover/Steve-Slow-Train-Analysis-(2080s-and-2083s)?_g=(refreshInterval:(display:Off,section:0,value:0),time:(from:'2016-05-10 08:41:56-0600',mode:absolute,to:'2016-05-10 09:35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38" s="75" t="str">
        <f t="shared" ref="U38:U69" si="14">IF(Y38&lt;23,"Y","N")</f>
        <v>N</v>
      </c>
      <c r="V38" s="75">
        <f t="shared" si="9"/>
        <v>1</v>
      </c>
      <c r="W38" s="75">
        <f t="shared" ref="W38:W69" si="15">RIGHT(D38,LEN(D38)-4)/10000</f>
        <v>23.299800000000001</v>
      </c>
      <c r="X38" s="75">
        <f t="shared" si="10"/>
        <v>1.54E-2</v>
      </c>
      <c r="Y38" s="75">
        <f t="shared" ref="Y38:Y69" si="16">ABS(X38-W38)</f>
        <v>23.284400000000002</v>
      </c>
      <c r="Z38" s="76" t="e">
        <f>VLOOKUP(A38,Enforcements!$C$3:$J$26,8,0)</f>
        <v>#N/A</v>
      </c>
      <c r="AA38" s="76" t="e">
        <f>VLOOKUP(A38,Enforcements!$C$3:$J$26,3,0)</f>
        <v>#N/A</v>
      </c>
    </row>
    <row r="39" spans="1:27" s="2" customFormat="1" x14ac:dyDescent="0.25">
      <c r="A39" s="61" t="s">
        <v>245</v>
      </c>
      <c r="B39" s="61">
        <v>4009</v>
      </c>
      <c r="C39" s="61" t="s">
        <v>71</v>
      </c>
      <c r="D39" s="61" t="s">
        <v>109</v>
      </c>
      <c r="E39" s="30">
        <v>42500.33834490741</v>
      </c>
      <c r="F39" s="30">
        <v>42500.339317129627</v>
      </c>
      <c r="G39" s="38">
        <v>1</v>
      </c>
      <c r="H39" s="30" t="s">
        <v>217</v>
      </c>
      <c r="I39" s="30">
        <v>42500.368483796294</v>
      </c>
      <c r="J39" s="61">
        <v>0</v>
      </c>
      <c r="K39" s="61" t="str">
        <f t="shared" si="11"/>
        <v>4009/4010</v>
      </c>
      <c r="L39" s="61" t="str">
        <f>VLOOKUP(A39,'Trips&amp;Operators'!$C$1:$E$9999,3,FALSE)</f>
        <v>ACKERMAN</v>
      </c>
      <c r="M39" s="12">
        <f t="shared" si="12"/>
        <v>2.9166666667151731E-2</v>
      </c>
      <c r="N39" s="13">
        <f t="shared" si="3"/>
        <v>42.000000000698492</v>
      </c>
      <c r="O39" s="13"/>
      <c r="P39" s="13"/>
      <c r="Q39" s="62"/>
      <c r="R39" s="62"/>
      <c r="T39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08:06:13-0600',mode:absolute,to:'2016-05-10 08:51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39" s="75" t="str">
        <f t="shared" si="14"/>
        <v>N</v>
      </c>
      <c r="V39" s="75">
        <f t="shared" si="9"/>
        <v>1</v>
      </c>
      <c r="W39" s="75">
        <f t="shared" si="15"/>
        <v>4.4600000000000001E-2</v>
      </c>
      <c r="X39" s="75">
        <f t="shared" si="10"/>
        <v>23.328199999999999</v>
      </c>
      <c r="Y39" s="75">
        <f t="shared" si="16"/>
        <v>23.2836</v>
      </c>
      <c r="Z39" s="76" t="e">
        <f>VLOOKUP(A39,Enforcements!$C$3:$J$26,8,0)</f>
        <v>#N/A</v>
      </c>
      <c r="AA39" s="76" t="e">
        <f>VLOOKUP(A39,Enforcements!$C$3:$J$26,3,0)</f>
        <v>#N/A</v>
      </c>
    </row>
    <row r="40" spans="1:27" s="2" customFormat="1" x14ac:dyDescent="0.25">
      <c r="A40" s="61" t="s">
        <v>246</v>
      </c>
      <c r="B40" s="61">
        <v>4010</v>
      </c>
      <c r="C40" s="61" t="s">
        <v>71</v>
      </c>
      <c r="D40" s="61" t="s">
        <v>167</v>
      </c>
      <c r="E40" s="30">
        <v>42500.377152777779</v>
      </c>
      <c r="F40" s="30">
        <v>42500.378217592595</v>
      </c>
      <c r="G40" s="38">
        <v>1</v>
      </c>
      <c r="H40" s="30" t="s">
        <v>139</v>
      </c>
      <c r="I40" s="30">
        <v>42500.408402777779</v>
      </c>
      <c r="J40" s="61">
        <v>0</v>
      </c>
      <c r="K40" s="61" t="str">
        <f t="shared" si="11"/>
        <v>4009/4010</v>
      </c>
      <c r="L40" s="61" t="str">
        <f>VLOOKUP(A40,'Trips&amp;Operators'!$C$1:$E$9999,3,FALSE)</f>
        <v>ACKERMAN</v>
      </c>
      <c r="M40" s="12">
        <f t="shared" si="12"/>
        <v>3.0185185183654539E-2</v>
      </c>
      <c r="N40" s="13">
        <f t="shared" si="3"/>
        <v>43.466666664462537</v>
      </c>
      <c r="O40" s="13"/>
      <c r="P40" s="13"/>
      <c r="Q40" s="62"/>
      <c r="R40" s="62"/>
      <c r="T40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09:02:06-0600',mode:absolute,to:'2016-05-10 09:49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40" s="75" t="str">
        <f t="shared" si="14"/>
        <v>N</v>
      </c>
      <c r="V40" s="75">
        <f t="shared" si="9"/>
        <v>1</v>
      </c>
      <c r="W40" s="75">
        <f t="shared" si="15"/>
        <v>23.2973</v>
      </c>
      <c r="X40" s="75">
        <f t="shared" si="10"/>
        <v>1.34E-2</v>
      </c>
      <c r="Y40" s="75">
        <f t="shared" si="16"/>
        <v>23.283899999999999</v>
      </c>
      <c r="Z40" s="76" t="e">
        <f>VLOOKUP(A40,Enforcements!$C$3:$J$26,8,0)</f>
        <v>#N/A</v>
      </c>
      <c r="AA40" s="76" t="e">
        <f>VLOOKUP(A40,Enforcements!$C$3:$J$26,3,0)</f>
        <v>#N/A</v>
      </c>
    </row>
    <row r="41" spans="1:27" s="2" customFormat="1" x14ac:dyDescent="0.25">
      <c r="A41" s="61" t="s">
        <v>247</v>
      </c>
      <c r="B41" s="61">
        <v>4020</v>
      </c>
      <c r="C41" s="61" t="s">
        <v>71</v>
      </c>
      <c r="D41" s="61" t="s">
        <v>157</v>
      </c>
      <c r="E41" s="30">
        <v>42500.346817129626</v>
      </c>
      <c r="F41" s="30">
        <v>42500.347800925927</v>
      </c>
      <c r="G41" s="38">
        <v>1</v>
      </c>
      <c r="H41" s="30" t="s">
        <v>248</v>
      </c>
      <c r="I41" s="30">
        <v>42500.377928240741</v>
      </c>
      <c r="J41" s="61">
        <v>1</v>
      </c>
      <c r="K41" s="61" t="str">
        <f t="shared" si="11"/>
        <v>4019/4020</v>
      </c>
      <c r="L41" s="61" t="str">
        <f>VLOOKUP(A41,'Trips&amp;Operators'!$C$1:$E$9999,3,FALSE)</f>
        <v>CANFIELD</v>
      </c>
      <c r="M41" s="12">
        <f t="shared" si="12"/>
        <v>3.0127314814308193E-2</v>
      </c>
      <c r="N41" s="13"/>
      <c r="O41" s="13"/>
      <c r="P41" s="13">
        <v>43</v>
      </c>
      <c r="Q41" s="62" t="s">
        <v>418</v>
      </c>
      <c r="R41" s="62" t="s">
        <v>424</v>
      </c>
      <c r="T41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08:18:25-0600',mode:absolute,to:'2016-05-10 09:05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41" s="75" t="str">
        <f t="shared" si="14"/>
        <v>Y</v>
      </c>
      <c r="V41" s="75">
        <f t="shared" si="9"/>
        <v>1</v>
      </c>
      <c r="W41" s="75">
        <f t="shared" si="15"/>
        <v>4.7300000000000002E-2</v>
      </c>
      <c r="X41" s="75">
        <f t="shared" si="10"/>
        <v>22.011900000000001</v>
      </c>
      <c r="Y41" s="75">
        <f t="shared" si="16"/>
        <v>21.964600000000001</v>
      </c>
      <c r="Z41" s="76">
        <f>VLOOKUP(A41,Enforcements!$C$3:$J$26,8,0)</f>
        <v>217106</v>
      </c>
      <c r="AA41" s="76" t="str">
        <f>VLOOKUP(A41,Enforcements!$C$3:$J$26,3,0)</f>
        <v>SIGNAL</v>
      </c>
    </row>
    <row r="42" spans="1:27" s="2" customFormat="1" x14ac:dyDescent="0.25">
      <c r="A42" s="61" t="s">
        <v>249</v>
      </c>
      <c r="B42" s="61">
        <v>4019</v>
      </c>
      <c r="C42" s="61" t="s">
        <v>71</v>
      </c>
      <c r="D42" s="61" t="s">
        <v>133</v>
      </c>
      <c r="E42" s="30">
        <v>42500.388622685183</v>
      </c>
      <c r="F42" s="30">
        <v>42500.38962962963</v>
      </c>
      <c r="G42" s="38">
        <v>1</v>
      </c>
      <c r="H42" s="30" t="s">
        <v>236</v>
      </c>
      <c r="I42" s="30">
        <v>42500.418749999997</v>
      </c>
      <c r="J42" s="61">
        <v>0</v>
      </c>
      <c r="K42" s="61" t="str">
        <f t="shared" si="11"/>
        <v>4019/4020</v>
      </c>
      <c r="L42" s="61" t="str">
        <f>VLOOKUP(A42,'Trips&amp;Operators'!$C$1:$E$9999,3,FALSE)</f>
        <v>CANFIELD</v>
      </c>
      <c r="M42" s="12">
        <f t="shared" si="12"/>
        <v>2.9120370367309079E-2</v>
      </c>
      <c r="N42" s="13">
        <f t="shared" ref="N42:N58" si="17">$M42*24*60</f>
        <v>41.933333328925073</v>
      </c>
      <c r="O42" s="13"/>
      <c r="P42" s="13"/>
      <c r="Q42" s="62"/>
      <c r="R42" s="62"/>
      <c r="T42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09:18:37-0600',mode:absolute,to:'2016-05-10 10:04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42" s="75" t="str">
        <f t="shared" si="14"/>
        <v>N</v>
      </c>
      <c r="V42" s="75">
        <f t="shared" si="9"/>
        <v>1</v>
      </c>
      <c r="W42" s="75">
        <f t="shared" si="15"/>
        <v>23.2987</v>
      </c>
      <c r="X42" s="75">
        <f t="shared" si="10"/>
        <v>1.3899999999999999E-2</v>
      </c>
      <c r="Y42" s="75">
        <f t="shared" si="16"/>
        <v>23.284800000000001</v>
      </c>
      <c r="Z42" s="76" t="e">
        <f>VLOOKUP(A42,Enforcements!$C$3:$J$26,8,0)</f>
        <v>#N/A</v>
      </c>
      <c r="AA42" s="76" t="e">
        <f>VLOOKUP(A42,Enforcements!$C$3:$J$26,3,0)</f>
        <v>#N/A</v>
      </c>
    </row>
    <row r="43" spans="1:27" s="2" customFormat="1" x14ac:dyDescent="0.25">
      <c r="A43" s="61" t="s">
        <v>250</v>
      </c>
      <c r="B43" s="61">
        <v>4011</v>
      </c>
      <c r="C43" s="61" t="s">
        <v>71</v>
      </c>
      <c r="D43" s="61" t="s">
        <v>100</v>
      </c>
      <c r="E43" s="30">
        <v>42500.358587962961</v>
      </c>
      <c r="F43" s="30">
        <v>42500.360312500001</v>
      </c>
      <c r="G43" s="38">
        <v>2</v>
      </c>
      <c r="H43" s="30" t="s">
        <v>149</v>
      </c>
      <c r="I43" s="30">
        <v>42500.390740740739</v>
      </c>
      <c r="J43" s="61">
        <v>1</v>
      </c>
      <c r="K43" s="61" t="str">
        <f t="shared" si="11"/>
        <v>4011/4012</v>
      </c>
      <c r="L43" s="61" t="str">
        <f>VLOOKUP(A43,'Trips&amp;Operators'!$C$1:$E$9999,3,FALSE)</f>
        <v>CHANDLER</v>
      </c>
      <c r="M43" s="12">
        <f t="shared" si="12"/>
        <v>3.0428240737819578E-2</v>
      </c>
      <c r="N43" s="13">
        <f t="shared" si="17"/>
        <v>43.816666662460193</v>
      </c>
      <c r="O43" s="13"/>
      <c r="P43" s="13"/>
      <c r="Q43" s="62"/>
      <c r="R43" s="62"/>
      <c r="T43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08:35:22-0600',mode:absolute,to:'2016-05-10 09:23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43" s="75" t="str">
        <f t="shared" si="14"/>
        <v>N</v>
      </c>
      <c r="V43" s="75">
        <f t="shared" si="9"/>
        <v>1</v>
      </c>
      <c r="W43" s="75">
        <f t="shared" si="15"/>
        <v>4.53E-2</v>
      </c>
      <c r="X43" s="75">
        <f t="shared" si="10"/>
        <v>23.3293</v>
      </c>
      <c r="Y43" s="75">
        <f t="shared" si="16"/>
        <v>23.283999999999999</v>
      </c>
      <c r="Z43" s="76" t="e">
        <f>VLOOKUP(A43,Enforcements!$C$3:$J$26,8,0)</f>
        <v>#N/A</v>
      </c>
      <c r="AA43" s="76" t="e">
        <f>VLOOKUP(A43,Enforcements!$C$3:$J$26,3,0)</f>
        <v>#N/A</v>
      </c>
    </row>
    <row r="44" spans="1:27" s="2" customFormat="1" x14ac:dyDescent="0.25">
      <c r="A44" s="61" t="s">
        <v>251</v>
      </c>
      <c r="B44" s="61">
        <v>4012</v>
      </c>
      <c r="C44" s="61" t="s">
        <v>71</v>
      </c>
      <c r="D44" s="61" t="s">
        <v>76</v>
      </c>
      <c r="E44" s="30">
        <v>42500.39947916667</v>
      </c>
      <c r="F44" s="30">
        <v>42500.40042824074</v>
      </c>
      <c r="G44" s="38">
        <v>1</v>
      </c>
      <c r="H44" s="30" t="s">
        <v>252</v>
      </c>
      <c r="I44" s="30">
        <v>42500.430659722224</v>
      </c>
      <c r="J44" s="61">
        <v>1</v>
      </c>
      <c r="K44" s="61" t="str">
        <f t="shared" si="11"/>
        <v>4011/4012</v>
      </c>
      <c r="L44" s="61" t="str">
        <f>VLOOKUP(A44,'Trips&amp;Operators'!$C$1:$E$9999,3,FALSE)</f>
        <v>CHANDLER</v>
      </c>
      <c r="M44" s="12">
        <f t="shared" si="12"/>
        <v>3.0231481483497191E-2</v>
      </c>
      <c r="N44" s="13">
        <f t="shared" si="17"/>
        <v>43.533333336235955</v>
      </c>
      <c r="O44" s="13"/>
      <c r="P44" s="13"/>
      <c r="Q44" s="62"/>
      <c r="R44" s="62"/>
      <c r="T44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09:34:15-0600',mode:absolute,to:'2016-05-10 10:21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44" s="75" t="str">
        <f t="shared" si="14"/>
        <v>N</v>
      </c>
      <c r="V44" s="75">
        <f t="shared" si="9"/>
        <v>1</v>
      </c>
      <c r="W44" s="75">
        <f t="shared" si="15"/>
        <v>23.297799999999999</v>
      </c>
      <c r="X44" s="75">
        <f t="shared" si="10"/>
        <v>2.1399999999999999E-2</v>
      </c>
      <c r="Y44" s="75">
        <f t="shared" si="16"/>
        <v>23.276399999999999</v>
      </c>
      <c r="Z44" s="76" t="e">
        <f>VLOOKUP(A44,Enforcements!$C$3:$J$26,8,0)</f>
        <v>#N/A</v>
      </c>
      <c r="AA44" s="76" t="e">
        <f>VLOOKUP(A44,Enforcements!$C$3:$J$26,3,0)</f>
        <v>#N/A</v>
      </c>
    </row>
    <row r="45" spans="1:27" s="2" customFormat="1" x14ac:dyDescent="0.25">
      <c r="A45" s="61" t="s">
        <v>253</v>
      </c>
      <c r="B45" s="61">
        <v>4024</v>
      </c>
      <c r="C45" s="61" t="s">
        <v>71</v>
      </c>
      <c r="D45" s="61" t="s">
        <v>254</v>
      </c>
      <c r="E45" s="30">
        <v>42500.373437499999</v>
      </c>
      <c r="F45" s="30">
        <v>42500.37431712963</v>
      </c>
      <c r="G45" s="38">
        <v>1</v>
      </c>
      <c r="H45" s="30" t="s">
        <v>163</v>
      </c>
      <c r="I45" s="30">
        <v>42500.400185185186</v>
      </c>
      <c r="J45" s="61">
        <v>0</v>
      </c>
      <c r="K45" s="61" t="str">
        <f t="shared" si="11"/>
        <v>4023/4024</v>
      </c>
      <c r="L45" s="61" t="str">
        <f>VLOOKUP(A45,'Trips&amp;Operators'!$C$1:$E$9999,3,FALSE)</f>
        <v>SPECTOR</v>
      </c>
      <c r="M45" s="12">
        <f t="shared" si="12"/>
        <v>2.5868055556202307E-2</v>
      </c>
      <c r="N45" s="13">
        <f t="shared" si="17"/>
        <v>37.250000000931323</v>
      </c>
      <c r="O45" s="13"/>
      <c r="P45" s="13"/>
      <c r="Q45" s="62"/>
      <c r="R45" s="62"/>
      <c r="T45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08:56:45-0600',mode:absolute,to:'2016-05-10 09:37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45" s="75" t="str">
        <f t="shared" si="14"/>
        <v>N</v>
      </c>
      <c r="V45" s="75">
        <f t="shared" si="9"/>
        <v>1</v>
      </c>
      <c r="W45" s="75">
        <f t="shared" si="15"/>
        <v>4.0899999999999999E-2</v>
      </c>
      <c r="X45" s="75">
        <f t="shared" si="10"/>
        <v>23.3323</v>
      </c>
      <c r="Y45" s="75">
        <f t="shared" si="16"/>
        <v>23.291399999999999</v>
      </c>
      <c r="Z45" s="76" t="e">
        <f>VLOOKUP(A45,Enforcements!$C$3:$J$26,8,0)</f>
        <v>#N/A</v>
      </c>
      <c r="AA45" s="76" t="e">
        <f>VLOOKUP(A45,Enforcements!$C$3:$J$26,3,0)</f>
        <v>#N/A</v>
      </c>
    </row>
    <row r="46" spans="1:27" s="2" customFormat="1" x14ac:dyDescent="0.25">
      <c r="A46" s="61" t="s">
        <v>407</v>
      </c>
      <c r="B46" s="61">
        <v>4023</v>
      </c>
      <c r="C46" s="61"/>
      <c r="D46" s="61"/>
      <c r="E46" s="30"/>
      <c r="F46" s="30">
        <v>42500.413888888892</v>
      </c>
      <c r="G46" s="30">
        <v>42501.413888888892</v>
      </c>
      <c r="H46" s="30">
        <v>42502.413888888892</v>
      </c>
      <c r="I46" s="30">
        <v>42500.43891203704</v>
      </c>
      <c r="J46" s="61">
        <v>0</v>
      </c>
      <c r="K46" s="61" t="str">
        <f t="shared" si="11"/>
        <v>4023/4024</v>
      </c>
      <c r="L46" s="61" t="str">
        <f>VLOOKUP(A46,'Trips&amp;Operators'!$C$1:$E$9999,3,FALSE)</f>
        <v>SPECTOR</v>
      </c>
      <c r="M46" s="12">
        <f t="shared" si="12"/>
        <v>2.5023148147738539E-2</v>
      </c>
      <c r="N46" s="13">
        <f t="shared" si="17"/>
        <v>36.033333332743496</v>
      </c>
      <c r="O46" s="13"/>
      <c r="P46" s="13"/>
      <c r="Q46" s="62"/>
      <c r="R46" s="62"/>
      <c r="T46" s="75" t="e">
        <f t="shared" si="13"/>
        <v>#VALUE!</v>
      </c>
      <c r="U46" s="75" t="e">
        <f t="shared" si="14"/>
        <v>#VALUE!</v>
      </c>
      <c r="V46" s="75">
        <f t="shared" ref="V46:V48" si="18">VALUE(LEFT(A46,3))-VALUE(LEFT(A45,3))</f>
        <v>1</v>
      </c>
      <c r="W46" s="75" t="e">
        <f t="shared" si="15"/>
        <v>#VALUE!</v>
      </c>
      <c r="X46" s="75">
        <f t="shared" si="10"/>
        <v>2.4138888888999998E-4</v>
      </c>
      <c r="Y46" s="75" t="e">
        <f t="shared" si="16"/>
        <v>#VALUE!</v>
      </c>
      <c r="Z46" s="76" t="e">
        <f>VLOOKUP(A46,Enforcements!$C$3:$J$26,8,0)</f>
        <v>#N/A</v>
      </c>
      <c r="AA46" s="76" t="e">
        <f>VLOOKUP(A46,Enforcements!$C$3:$J$26,3,0)</f>
        <v>#N/A</v>
      </c>
    </row>
    <row r="47" spans="1:27" s="2" customFormat="1" x14ac:dyDescent="0.25">
      <c r="A47" s="61" t="s">
        <v>255</v>
      </c>
      <c r="B47" s="61">
        <v>4007</v>
      </c>
      <c r="C47" s="61" t="s">
        <v>71</v>
      </c>
      <c r="D47" s="61" t="s">
        <v>166</v>
      </c>
      <c r="E47" s="30">
        <v>42500.383506944447</v>
      </c>
      <c r="F47" s="30">
        <v>42500.384409722225</v>
      </c>
      <c r="G47" s="38">
        <v>1</v>
      </c>
      <c r="H47" s="30" t="s">
        <v>256</v>
      </c>
      <c r="I47" s="30">
        <v>42500.411493055559</v>
      </c>
      <c r="J47" s="61">
        <v>0</v>
      </c>
      <c r="K47" s="61" t="str">
        <f t="shared" si="11"/>
        <v>4007/4008</v>
      </c>
      <c r="L47" s="61" t="str">
        <f>VLOOKUP(A47,'Trips&amp;Operators'!$C$1:$E$9999,3,FALSE)</f>
        <v>STARKS</v>
      </c>
      <c r="M47" s="12">
        <f t="shared" si="12"/>
        <v>2.7083333334303461E-2</v>
      </c>
      <c r="N47" s="13">
        <f t="shared" si="17"/>
        <v>39.000000001396984</v>
      </c>
      <c r="O47" s="13"/>
      <c r="P47" s="13"/>
      <c r="Q47" s="62"/>
      <c r="R47" s="62"/>
      <c r="T47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09:11:15-0600',mode:absolute,to:'2016-05-10 09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47" s="75" t="str">
        <f t="shared" si="14"/>
        <v>N</v>
      </c>
      <c r="V47" s="75">
        <f t="shared" si="18"/>
        <v>1</v>
      </c>
      <c r="W47" s="75">
        <f t="shared" si="15"/>
        <v>4.3799999999999999E-2</v>
      </c>
      <c r="X47" s="75">
        <f t="shared" si="10"/>
        <v>23.334099999999999</v>
      </c>
      <c r="Y47" s="75">
        <f t="shared" si="16"/>
        <v>23.290299999999998</v>
      </c>
      <c r="Z47" s="76" t="e">
        <f>VLOOKUP(A47,Enforcements!$C$3:$J$26,8,0)</f>
        <v>#N/A</v>
      </c>
      <c r="AA47" s="76" t="e">
        <f>VLOOKUP(A47,Enforcements!$C$3:$J$26,3,0)</f>
        <v>#N/A</v>
      </c>
    </row>
    <row r="48" spans="1:27" s="2" customFormat="1" x14ac:dyDescent="0.25">
      <c r="A48" s="61" t="s">
        <v>257</v>
      </c>
      <c r="B48" s="61">
        <v>4008</v>
      </c>
      <c r="C48" s="61" t="s">
        <v>71</v>
      </c>
      <c r="D48" s="61" t="s">
        <v>258</v>
      </c>
      <c r="E48" s="30">
        <v>42500.421863425923</v>
      </c>
      <c r="F48" s="30">
        <v>42500.425011574072</v>
      </c>
      <c r="G48" s="38">
        <v>4</v>
      </c>
      <c r="H48" s="30" t="s">
        <v>230</v>
      </c>
      <c r="I48" s="30">
        <v>42500.452881944446</v>
      </c>
      <c r="J48" s="61">
        <v>4</v>
      </c>
      <c r="K48" s="61" t="str">
        <f t="shared" si="11"/>
        <v>4007/4008</v>
      </c>
      <c r="L48" s="61" t="str">
        <f>VLOOKUP(A48,'Trips&amp;Operators'!$C$1:$E$9999,3,FALSE)</f>
        <v>STARKS</v>
      </c>
      <c r="M48" s="12">
        <f t="shared" si="12"/>
        <v>2.7870370373420883E-2</v>
      </c>
      <c r="N48" s="13">
        <f t="shared" si="17"/>
        <v>40.133333337726071</v>
      </c>
      <c r="O48" s="13"/>
      <c r="P48" s="13"/>
      <c r="Q48" s="62"/>
      <c r="R48" s="62"/>
      <c r="T48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10:06:29-0600',mode:absolute,to:'2016-05-10 10:53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48" s="75" t="str">
        <f t="shared" si="14"/>
        <v>N</v>
      </c>
      <c r="V48" s="75">
        <f t="shared" si="18"/>
        <v>1</v>
      </c>
      <c r="W48" s="75">
        <f t="shared" si="15"/>
        <v>23.302099999999999</v>
      </c>
      <c r="X48" s="75">
        <f t="shared" si="10"/>
        <v>1.38E-2</v>
      </c>
      <c r="Y48" s="75">
        <f t="shared" si="16"/>
        <v>23.2883</v>
      </c>
      <c r="Z48" s="76">
        <f>VLOOKUP(A48,Enforcements!$C$3:$J$26,8,0)</f>
        <v>229055</v>
      </c>
      <c r="AA48" s="76" t="str">
        <f>VLOOKUP(A48,Enforcements!$C$3:$J$26,3,0)</f>
        <v>PERMANENT SPEED RESTRICTION</v>
      </c>
    </row>
    <row r="49" spans="1:27" s="2" customFormat="1" x14ac:dyDescent="0.25">
      <c r="A49" s="61" t="s">
        <v>259</v>
      </c>
      <c r="B49" s="61">
        <v>4016</v>
      </c>
      <c r="C49" s="61" t="s">
        <v>71</v>
      </c>
      <c r="D49" s="61" t="s">
        <v>109</v>
      </c>
      <c r="E49" s="30">
        <v>42500.388784722221</v>
      </c>
      <c r="F49" s="30">
        <v>42500.389791666668</v>
      </c>
      <c r="G49" s="38">
        <v>1</v>
      </c>
      <c r="H49" s="30" t="s">
        <v>163</v>
      </c>
      <c r="I49" s="30">
        <v>42500.421006944445</v>
      </c>
      <c r="J49" s="61">
        <v>0</v>
      </c>
      <c r="K49" s="61" t="str">
        <f t="shared" si="11"/>
        <v>4015/4016</v>
      </c>
      <c r="L49" s="61" t="str">
        <f>VLOOKUP(A49,'Trips&amp;Operators'!$C$1:$E$9999,3,FALSE)</f>
        <v>NEWELL</v>
      </c>
      <c r="M49" s="12">
        <f t="shared" si="12"/>
        <v>3.1215277776937E-2</v>
      </c>
      <c r="N49" s="13">
        <f t="shared" si="17"/>
        <v>44.949999998789281</v>
      </c>
      <c r="O49" s="13"/>
      <c r="P49" s="13"/>
      <c r="Q49" s="62"/>
      <c r="R49" s="62"/>
      <c r="T49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09:18:51-0600',mode:absolute,to:'2016-05-10 10:07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49" s="75" t="str">
        <f t="shared" si="14"/>
        <v>N</v>
      </c>
      <c r="V49" s="75">
        <f t="shared" ref="V49:V90" si="19">VALUE(LEFT(A49,3))-VALUE(LEFT(A48,3))</f>
        <v>1</v>
      </c>
      <c r="W49" s="75">
        <f t="shared" si="15"/>
        <v>4.4600000000000001E-2</v>
      </c>
      <c r="X49" s="75">
        <f t="shared" si="10"/>
        <v>23.3323</v>
      </c>
      <c r="Y49" s="75">
        <f t="shared" si="16"/>
        <v>23.287700000000001</v>
      </c>
      <c r="Z49" s="76" t="e">
        <f>VLOOKUP(A49,Enforcements!$C$3:$J$26,8,0)</f>
        <v>#N/A</v>
      </c>
      <c r="AA49" s="76" t="e">
        <f>VLOOKUP(A49,Enforcements!$C$3:$J$26,3,0)</f>
        <v>#N/A</v>
      </c>
    </row>
    <row r="50" spans="1:27" s="2" customFormat="1" x14ac:dyDescent="0.25">
      <c r="A50" s="61" t="s">
        <v>260</v>
      </c>
      <c r="B50" s="61">
        <v>4015</v>
      </c>
      <c r="C50" s="61" t="s">
        <v>71</v>
      </c>
      <c r="D50" s="61" t="s">
        <v>110</v>
      </c>
      <c r="E50" s="30">
        <v>42500.433067129627</v>
      </c>
      <c r="F50" s="30">
        <v>42500.433993055558</v>
      </c>
      <c r="G50" s="38">
        <v>1</v>
      </c>
      <c r="H50" s="30" t="s">
        <v>81</v>
      </c>
      <c r="I50" s="30">
        <v>42500.460069444445</v>
      </c>
      <c r="J50" s="61">
        <v>1</v>
      </c>
      <c r="K50" s="61" t="str">
        <f t="shared" si="11"/>
        <v>4015/4016</v>
      </c>
      <c r="L50" s="61" t="str">
        <f>VLOOKUP(A50,'Trips&amp;Operators'!$C$1:$E$9999,3,FALSE)</f>
        <v>NEWELL</v>
      </c>
      <c r="M50" s="12">
        <f t="shared" si="12"/>
        <v>2.6076388887304347E-2</v>
      </c>
      <c r="N50" s="13">
        <f t="shared" si="17"/>
        <v>37.54999999771826</v>
      </c>
      <c r="O50" s="13"/>
      <c r="P50" s="13"/>
      <c r="Q50" s="62"/>
      <c r="R50" s="62"/>
      <c r="T50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10:22:37-0600',mode:absolute,to:'2016-05-10 11:03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50" s="75" t="str">
        <f t="shared" si="14"/>
        <v>N</v>
      </c>
      <c r="V50" s="75">
        <f t="shared" si="19"/>
        <v>1</v>
      </c>
      <c r="W50" s="75">
        <f t="shared" si="15"/>
        <v>23.299399999999999</v>
      </c>
      <c r="X50" s="75">
        <f t="shared" si="10"/>
        <v>1.43E-2</v>
      </c>
      <c r="Y50" s="75">
        <f t="shared" si="16"/>
        <v>23.2851</v>
      </c>
      <c r="Z50" s="76" t="e">
        <f>VLOOKUP(A50,Enforcements!$C$3:$J$26,8,0)</f>
        <v>#N/A</v>
      </c>
      <c r="AA50" s="76" t="e">
        <f>VLOOKUP(A50,Enforcements!$C$3:$J$26,3,0)</f>
        <v>#N/A</v>
      </c>
    </row>
    <row r="51" spans="1:27" s="2" customFormat="1" x14ac:dyDescent="0.25">
      <c r="A51" s="61" t="s">
        <v>261</v>
      </c>
      <c r="B51" s="61">
        <v>4044</v>
      </c>
      <c r="C51" s="61" t="s">
        <v>71</v>
      </c>
      <c r="D51" s="61" t="s">
        <v>103</v>
      </c>
      <c r="E51" s="30">
        <v>42500.402650462966</v>
      </c>
      <c r="F51" s="30">
        <v>42500.403449074074</v>
      </c>
      <c r="G51" s="38">
        <v>1</v>
      </c>
      <c r="H51" s="30" t="s">
        <v>262</v>
      </c>
      <c r="I51" s="30">
        <v>42500.431076388886</v>
      </c>
      <c r="J51" s="61">
        <v>0</v>
      </c>
      <c r="K51" s="61" t="str">
        <f t="shared" si="11"/>
        <v>4043/4044</v>
      </c>
      <c r="L51" s="61" t="str">
        <f>VLOOKUP(A51,'Trips&amp;Operators'!$C$1:$E$9999,3,FALSE)</f>
        <v>YORK</v>
      </c>
      <c r="M51" s="12">
        <f t="shared" si="12"/>
        <v>2.7627314811979886E-2</v>
      </c>
      <c r="N51" s="13">
        <f t="shared" si="17"/>
        <v>39.783333329251036</v>
      </c>
      <c r="O51" s="13"/>
      <c r="P51" s="13"/>
      <c r="Q51" s="62"/>
      <c r="R51" s="62"/>
      <c r="T51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09:38:49-0600',mode:absolute,to:'2016-05-10 10:21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51" s="75" t="str">
        <f t="shared" si="14"/>
        <v>N</v>
      </c>
      <c r="V51" s="75">
        <f t="shared" si="19"/>
        <v>1</v>
      </c>
      <c r="W51" s="75">
        <f t="shared" si="15"/>
        <v>4.5999999999999999E-2</v>
      </c>
      <c r="X51" s="75">
        <f t="shared" si="10"/>
        <v>23.330100000000002</v>
      </c>
      <c r="Y51" s="75">
        <f t="shared" si="16"/>
        <v>23.284100000000002</v>
      </c>
      <c r="Z51" s="76" t="e">
        <f>VLOOKUP(A51,Enforcements!$C$3:$J$26,8,0)</f>
        <v>#N/A</v>
      </c>
      <c r="AA51" s="76" t="e">
        <f>VLOOKUP(A51,Enforcements!$C$3:$J$26,3,0)</f>
        <v>#N/A</v>
      </c>
    </row>
    <row r="52" spans="1:27" s="2" customFormat="1" x14ac:dyDescent="0.25">
      <c r="A52" s="61" t="s">
        <v>263</v>
      </c>
      <c r="B52" s="61">
        <v>4043</v>
      </c>
      <c r="C52" s="61" t="s">
        <v>71</v>
      </c>
      <c r="D52" s="61" t="s">
        <v>132</v>
      </c>
      <c r="E52" s="30">
        <v>42500.437175925923</v>
      </c>
      <c r="F52" s="30">
        <v>42500.438009259262</v>
      </c>
      <c r="G52" s="38">
        <v>1</v>
      </c>
      <c r="H52" s="30" t="s">
        <v>81</v>
      </c>
      <c r="I52" s="30">
        <v>42500.471099537041</v>
      </c>
      <c r="J52" s="61">
        <v>0</v>
      </c>
      <c r="K52" s="61" t="str">
        <f t="shared" si="11"/>
        <v>4043/4044</v>
      </c>
      <c r="L52" s="61" t="str">
        <f>VLOOKUP(A52,'Trips&amp;Operators'!$C$1:$E$9999,3,FALSE)</f>
        <v>YORK</v>
      </c>
      <c r="M52" s="12">
        <f t="shared" si="12"/>
        <v>3.309027777868323E-2</v>
      </c>
      <c r="N52" s="13">
        <f t="shared" si="17"/>
        <v>47.650000001303852</v>
      </c>
      <c r="O52" s="13"/>
      <c r="P52" s="13"/>
      <c r="Q52" s="62"/>
      <c r="R52" s="62"/>
      <c r="T52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10:28:32-0600',mode:absolute,to:'2016-05-10 11:19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52" s="75" t="str">
        <f t="shared" si="14"/>
        <v>N</v>
      </c>
      <c r="V52" s="75">
        <f t="shared" si="19"/>
        <v>1</v>
      </c>
      <c r="W52" s="75">
        <f t="shared" si="15"/>
        <v>23.298999999999999</v>
      </c>
      <c r="X52" s="75">
        <f t="shared" si="10"/>
        <v>1.43E-2</v>
      </c>
      <c r="Y52" s="75">
        <f t="shared" si="16"/>
        <v>23.284700000000001</v>
      </c>
      <c r="Z52" s="76" t="e">
        <f>VLOOKUP(A52,Enforcements!$C$3:$J$26,8,0)</f>
        <v>#N/A</v>
      </c>
      <c r="AA52" s="76" t="e">
        <f>VLOOKUP(A52,Enforcements!$C$3:$J$26,3,0)</f>
        <v>#N/A</v>
      </c>
    </row>
    <row r="53" spans="1:27" s="2" customFormat="1" x14ac:dyDescent="0.25">
      <c r="A53" s="61" t="s">
        <v>264</v>
      </c>
      <c r="B53" s="61">
        <v>4009</v>
      </c>
      <c r="C53" s="61" t="s">
        <v>71</v>
      </c>
      <c r="D53" s="61" t="s">
        <v>166</v>
      </c>
      <c r="E53" s="30">
        <v>42500.411365740743</v>
      </c>
      <c r="F53" s="30">
        <v>42500.412604166668</v>
      </c>
      <c r="G53" s="38">
        <v>1</v>
      </c>
      <c r="H53" s="30" t="s">
        <v>135</v>
      </c>
      <c r="I53" s="30">
        <v>42500.44189814815</v>
      </c>
      <c r="J53" s="61">
        <v>0</v>
      </c>
      <c r="K53" s="61" t="str">
        <f t="shared" si="11"/>
        <v>4009/4010</v>
      </c>
      <c r="L53" s="61" t="str">
        <f>VLOOKUP(A53,'Trips&amp;Operators'!$C$1:$E$9999,3,FALSE)</f>
        <v>ACKERMAN</v>
      </c>
      <c r="M53" s="12">
        <f t="shared" si="12"/>
        <v>2.9293981482624076E-2</v>
      </c>
      <c r="N53" s="13">
        <f t="shared" si="17"/>
        <v>42.18333333497867</v>
      </c>
      <c r="O53" s="13"/>
      <c r="P53" s="13"/>
      <c r="Q53" s="62"/>
      <c r="R53" s="62"/>
      <c r="T53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09:51:22-0600',mode:absolute,to:'2016-05-10 10:37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53" s="75" t="str">
        <f t="shared" si="14"/>
        <v>N</v>
      </c>
      <c r="V53" s="75">
        <f t="shared" si="19"/>
        <v>1</v>
      </c>
      <c r="W53" s="75">
        <f t="shared" si="15"/>
        <v>4.3799999999999999E-2</v>
      </c>
      <c r="X53" s="75">
        <f t="shared" si="10"/>
        <v>23.331499999999998</v>
      </c>
      <c r="Y53" s="75">
        <f t="shared" si="16"/>
        <v>23.287699999999997</v>
      </c>
      <c r="Z53" s="76" t="e">
        <f>VLOOKUP(A53,Enforcements!$C$3:$J$26,8,0)</f>
        <v>#N/A</v>
      </c>
      <c r="AA53" s="76" t="e">
        <f>VLOOKUP(A53,Enforcements!$C$3:$J$26,3,0)</f>
        <v>#N/A</v>
      </c>
    </row>
    <row r="54" spans="1:27" s="2" customFormat="1" x14ac:dyDescent="0.25">
      <c r="A54" s="61" t="s">
        <v>265</v>
      </c>
      <c r="B54" s="61">
        <v>4010</v>
      </c>
      <c r="C54" s="61" t="s">
        <v>71</v>
      </c>
      <c r="D54" s="61" t="s">
        <v>104</v>
      </c>
      <c r="E54" s="30">
        <v>42500.450798611113</v>
      </c>
      <c r="F54" s="30">
        <v>42500.451666666668</v>
      </c>
      <c r="G54" s="38">
        <v>1</v>
      </c>
      <c r="H54" s="30" t="s">
        <v>266</v>
      </c>
      <c r="I54" s="30">
        <v>42500.48333333333</v>
      </c>
      <c r="J54" s="61">
        <v>0</v>
      </c>
      <c r="K54" s="61" t="str">
        <f t="shared" si="11"/>
        <v>4009/4010</v>
      </c>
      <c r="L54" s="61" t="str">
        <f>VLOOKUP(A54,'Trips&amp;Operators'!$C$1:$E$9999,3,FALSE)</f>
        <v>ACKERMAN</v>
      </c>
      <c r="M54" s="12">
        <f t="shared" si="12"/>
        <v>3.1666666662204079E-2</v>
      </c>
      <c r="N54" s="13">
        <f t="shared" si="17"/>
        <v>45.599999993573874</v>
      </c>
      <c r="O54" s="13"/>
      <c r="P54" s="13"/>
      <c r="Q54" s="62"/>
      <c r="R54" s="62"/>
      <c r="T54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10:48:09-0600',mode:absolute,to:'2016-05-10 11:37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54" s="75" t="str">
        <f t="shared" si="14"/>
        <v>N</v>
      </c>
      <c r="V54" s="75">
        <f t="shared" si="19"/>
        <v>1</v>
      </c>
      <c r="W54" s="75">
        <f t="shared" si="15"/>
        <v>23.297599999999999</v>
      </c>
      <c r="X54" s="75">
        <f t="shared" si="10"/>
        <v>1.5800000000000002E-2</v>
      </c>
      <c r="Y54" s="75">
        <f t="shared" si="16"/>
        <v>23.2818</v>
      </c>
      <c r="Z54" s="76" t="e">
        <f>VLOOKUP(A54,Enforcements!$C$3:$J$26,8,0)</f>
        <v>#N/A</v>
      </c>
      <c r="AA54" s="76" t="e">
        <f>VLOOKUP(A54,Enforcements!$C$3:$J$26,3,0)</f>
        <v>#N/A</v>
      </c>
    </row>
    <row r="55" spans="1:27" s="2" customFormat="1" x14ac:dyDescent="0.25">
      <c r="A55" s="61" t="s">
        <v>267</v>
      </c>
      <c r="B55" s="61">
        <v>4020</v>
      </c>
      <c r="C55" s="61" t="s">
        <v>71</v>
      </c>
      <c r="D55" s="61" t="s">
        <v>143</v>
      </c>
      <c r="E55" s="30">
        <v>42500.422037037039</v>
      </c>
      <c r="F55" s="30">
        <v>42500.423252314817</v>
      </c>
      <c r="G55" s="38">
        <v>1</v>
      </c>
      <c r="H55" s="30" t="s">
        <v>268</v>
      </c>
      <c r="I55" s="30">
        <v>42500.452523148146</v>
      </c>
      <c r="J55" s="61">
        <v>0</v>
      </c>
      <c r="K55" s="61" t="str">
        <f t="shared" si="11"/>
        <v>4019/4020</v>
      </c>
      <c r="L55" s="61" t="str">
        <f>VLOOKUP(A55,'Trips&amp;Operators'!$C$1:$E$9999,3,FALSE)</f>
        <v>RIVERA</v>
      </c>
      <c r="M55" s="12">
        <f t="shared" si="12"/>
        <v>2.9270833329064772E-2</v>
      </c>
      <c r="N55" s="13">
        <f t="shared" si="17"/>
        <v>42.149999993853271</v>
      </c>
      <c r="O55" s="13"/>
      <c r="P55" s="13"/>
      <c r="Q55" s="62"/>
      <c r="R55" s="62"/>
      <c r="T55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10:06:44-0600',mode:absolute,to:'2016-05-10 10:52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55" s="75" t="str">
        <f t="shared" si="14"/>
        <v>N</v>
      </c>
      <c r="V55" s="75">
        <f t="shared" si="19"/>
        <v>1</v>
      </c>
      <c r="W55" s="75">
        <f t="shared" si="15"/>
        <v>4.6199999999999998E-2</v>
      </c>
      <c r="X55" s="75">
        <f t="shared" si="10"/>
        <v>23.3276</v>
      </c>
      <c r="Y55" s="75">
        <f t="shared" si="16"/>
        <v>23.281400000000001</v>
      </c>
      <c r="Z55" s="76" t="e">
        <f>VLOOKUP(A55,Enforcements!$C$3:$J$26,8,0)</f>
        <v>#N/A</v>
      </c>
      <c r="AA55" s="76" t="e">
        <f>VLOOKUP(A55,Enforcements!$C$3:$J$26,3,0)</f>
        <v>#N/A</v>
      </c>
    </row>
    <row r="56" spans="1:27" s="2" customFormat="1" x14ac:dyDescent="0.25">
      <c r="A56" s="61" t="s">
        <v>269</v>
      </c>
      <c r="B56" s="61">
        <v>4019</v>
      </c>
      <c r="C56" s="61" t="s">
        <v>71</v>
      </c>
      <c r="D56" s="61" t="s">
        <v>129</v>
      </c>
      <c r="E56" s="30">
        <v>42500.462604166663</v>
      </c>
      <c r="F56" s="30">
        <v>42500.463888888888</v>
      </c>
      <c r="G56" s="38">
        <v>1</v>
      </c>
      <c r="H56" s="30" t="s">
        <v>230</v>
      </c>
      <c r="I56" s="30">
        <v>42500.491666666669</v>
      </c>
      <c r="J56" s="61">
        <v>0</v>
      </c>
      <c r="K56" s="61" t="str">
        <f t="shared" si="11"/>
        <v>4019/4020</v>
      </c>
      <c r="L56" s="61" t="str">
        <f>VLOOKUP(A56,'Trips&amp;Operators'!$C$1:$E$9999,3,FALSE)</f>
        <v>RIVERA</v>
      </c>
      <c r="M56" s="12">
        <f t="shared" si="12"/>
        <v>2.7777777781011537E-2</v>
      </c>
      <c r="N56" s="13">
        <f t="shared" si="17"/>
        <v>40.000000004656613</v>
      </c>
      <c r="O56" s="13"/>
      <c r="P56" s="13"/>
      <c r="Q56" s="62"/>
      <c r="R56" s="62"/>
      <c r="T56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11:05:09-0600',mode:absolute,to:'2016-05-10 11:49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56" s="75" t="str">
        <f t="shared" si="14"/>
        <v>N</v>
      </c>
      <c r="V56" s="75">
        <f t="shared" si="19"/>
        <v>1</v>
      </c>
      <c r="W56" s="75">
        <f t="shared" si="15"/>
        <v>23.297499999999999</v>
      </c>
      <c r="X56" s="75">
        <f t="shared" si="10"/>
        <v>1.38E-2</v>
      </c>
      <c r="Y56" s="75">
        <f t="shared" si="16"/>
        <v>23.2837</v>
      </c>
      <c r="Z56" s="76" t="e">
        <f>VLOOKUP(A56,Enforcements!$C$3:$J$26,8,0)</f>
        <v>#N/A</v>
      </c>
      <c r="AA56" s="76" t="e">
        <f>VLOOKUP(A56,Enforcements!$C$3:$J$26,3,0)</f>
        <v>#N/A</v>
      </c>
    </row>
    <row r="57" spans="1:27" s="2" customFormat="1" x14ac:dyDescent="0.25">
      <c r="A57" s="61" t="s">
        <v>270</v>
      </c>
      <c r="B57" s="61">
        <v>4011</v>
      </c>
      <c r="C57" s="61" t="s">
        <v>71</v>
      </c>
      <c r="D57" s="61" t="s">
        <v>271</v>
      </c>
      <c r="E57" s="30">
        <v>42500.433287037034</v>
      </c>
      <c r="F57" s="30">
        <v>42500.437685185185</v>
      </c>
      <c r="G57" s="38">
        <v>6</v>
      </c>
      <c r="H57" s="30" t="s">
        <v>73</v>
      </c>
      <c r="I57" s="30">
        <v>42500.463194444441</v>
      </c>
      <c r="J57" s="61">
        <v>0</v>
      </c>
      <c r="K57" s="61" t="str">
        <f t="shared" si="11"/>
        <v>4011/4012</v>
      </c>
      <c r="L57" s="61" t="str">
        <f>VLOOKUP(A57,'Trips&amp;Operators'!$C$1:$E$9999,3,FALSE)</f>
        <v>CANFIELD</v>
      </c>
      <c r="M57" s="12">
        <f t="shared" si="12"/>
        <v>2.5509259256068617E-2</v>
      </c>
      <c r="N57" s="13">
        <f t="shared" si="17"/>
        <v>36.733333328738809</v>
      </c>
      <c r="O57" s="13"/>
      <c r="P57" s="13"/>
      <c r="Q57" s="62"/>
      <c r="R57" s="62"/>
      <c r="T57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10:22:56-0600',mode:absolute,to:'2016-05-10 11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57" s="75" t="str">
        <f t="shared" si="14"/>
        <v>N</v>
      </c>
      <c r="V57" s="75">
        <f t="shared" si="19"/>
        <v>1</v>
      </c>
      <c r="W57" s="75">
        <f t="shared" si="15"/>
        <v>4.9700000000000001E-2</v>
      </c>
      <c r="X57" s="75">
        <f t="shared" si="10"/>
        <v>23.331</v>
      </c>
      <c r="Y57" s="75">
        <f t="shared" si="16"/>
        <v>23.281299999999998</v>
      </c>
      <c r="Z57" s="76" t="e">
        <f>VLOOKUP(A57,Enforcements!$C$3:$J$26,8,0)</f>
        <v>#N/A</v>
      </c>
      <c r="AA57" s="76" t="e">
        <f>VLOOKUP(A57,Enforcements!$C$3:$J$26,3,0)</f>
        <v>#N/A</v>
      </c>
    </row>
    <row r="58" spans="1:27" s="2" customFormat="1" x14ac:dyDescent="0.25">
      <c r="A58" s="61" t="s">
        <v>272</v>
      </c>
      <c r="B58" s="61">
        <v>4012</v>
      </c>
      <c r="C58" s="61" t="s">
        <v>71</v>
      </c>
      <c r="D58" s="61" t="s">
        <v>89</v>
      </c>
      <c r="E58" s="30">
        <v>42500.46947916667</v>
      </c>
      <c r="F58" s="30">
        <v>42500.470972222225</v>
      </c>
      <c r="G58" s="38">
        <v>2</v>
      </c>
      <c r="H58" s="30" t="s">
        <v>273</v>
      </c>
      <c r="I58" s="30">
        <v>42500.502395833333</v>
      </c>
      <c r="J58" s="61">
        <v>2</v>
      </c>
      <c r="K58" s="61" t="str">
        <f t="shared" si="11"/>
        <v>4011/4012</v>
      </c>
      <c r="L58" s="61" t="str">
        <f>VLOOKUP(A58,'Trips&amp;Operators'!$C$1:$E$9999,3,FALSE)</f>
        <v>CANFIELD</v>
      </c>
      <c r="M58" s="12">
        <f t="shared" si="12"/>
        <v>3.142361110803904E-2</v>
      </c>
      <c r="N58" s="13">
        <f t="shared" si="17"/>
        <v>45.249999995576218</v>
      </c>
      <c r="O58" s="13"/>
      <c r="P58" s="13"/>
      <c r="Q58" s="62"/>
      <c r="R58" s="62"/>
      <c r="T58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11:15:03-0600',mode:absolute,to:'2016-05-10 12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58" s="75" t="str">
        <f t="shared" si="14"/>
        <v>N</v>
      </c>
      <c r="V58" s="75">
        <f t="shared" si="19"/>
        <v>1</v>
      </c>
      <c r="W58" s="75">
        <f t="shared" si="15"/>
        <v>23.2989</v>
      </c>
      <c r="X58" s="75">
        <f t="shared" si="10"/>
        <v>6.2100000000000002E-2</v>
      </c>
      <c r="Y58" s="75">
        <f t="shared" si="16"/>
        <v>23.236799999999999</v>
      </c>
      <c r="Z58" s="76">
        <f>VLOOKUP(A58,Enforcements!$C$3:$J$26,8,0)</f>
        <v>30562</v>
      </c>
      <c r="AA58" s="76" t="str">
        <f>VLOOKUP(A58,Enforcements!$C$3:$J$26,3,0)</f>
        <v>PERMANENT SPEED RESTRICTION</v>
      </c>
    </row>
    <row r="59" spans="1:27" s="2" customFormat="1" x14ac:dyDescent="0.25">
      <c r="A59" s="61" t="s">
        <v>274</v>
      </c>
      <c r="B59" s="61">
        <v>4024</v>
      </c>
      <c r="C59" s="61" t="s">
        <v>71</v>
      </c>
      <c r="D59" s="61" t="s">
        <v>275</v>
      </c>
      <c r="E59" s="30">
        <v>42500.467685185184</v>
      </c>
      <c r="F59" s="30">
        <v>42500.468321759261</v>
      </c>
      <c r="G59" s="38">
        <v>0</v>
      </c>
      <c r="H59" s="30" t="s">
        <v>137</v>
      </c>
      <c r="I59" s="30">
        <v>42500.480138888888</v>
      </c>
      <c r="J59" s="61">
        <v>0</v>
      </c>
      <c r="K59" s="61" t="str">
        <f t="shared" si="11"/>
        <v>4023/4024</v>
      </c>
      <c r="L59" s="61" t="str">
        <f>VLOOKUP(A59,'Trips&amp;Operators'!$C$1:$E$9999,3,FALSE)</f>
        <v>STORY</v>
      </c>
      <c r="M59" s="12">
        <f t="shared" si="12"/>
        <v>1.1817129627161194E-2</v>
      </c>
      <c r="N59" s="13"/>
      <c r="O59" s="13"/>
      <c r="P59" s="13"/>
      <c r="Q59" s="62"/>
      <c r="R59" s="62"/>
      <c r="T59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11:12:28-0600',mode:absolute,to:'2016-05-10 11:32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59" s="75" t="str">
        <f t="shared" si="14"/>
        <v>Y</v>
      </c>
      <c r="V59" s="75">
        <f t="shared" si="19"/>
        <v>1</v>
      </c>
      <c r="W59" s="75">
        <f t="shared" si="15"/>
        <v>12.827400000000001</v>
      </c>
      <c r="X59" s="75">
        <f t="shared" si="10"/>
        <v>23.331099999999999</v>
      </c>
      <c r="Y59" s="75">
        <f t="shared" si="16"/>
        <v>10.503699999999998</v>
      </c>
      <c r="Z59" s="76" t="e">
        <f>VLOOKUP(A59,Enforcements!$C$3:$J$26,8,0)</f>
        <v>#N/A</v>
      </c>
      <c r="AA59" s="76" t="e">
        <f>VLOOKUP(A59,Enforcements!$C$3:$J$26,3,0)</f>
        <v>#N/A</v>
      </c>
    </row>
    <row r="60" spans="1:27" s="2" customFormat="1" x14ac:dyDescent="0.25">
      <c r="A60" s="61" t="s">
        <v>274</v>
      </c>
      <c r="B60" s="61">
        <v>4024</v>
      </c>
      <c r="C60" s="61" t="s">
        <v>71</v>
      </c>
      <c r="D60" s="61" t="s">
        <v>116</v>
      </c>
      <c r="E60" s="30">
        <v>42500.440717592595</v>
      </c>
      <c r="F60" s="30">
        <v>42500.445138888892</v>
      </c>
      <c r="G60" s="38">
        <v>6</v>
      </c>
      <c r="H60" s="30" t="s">
        <v>276</v>
      </c>
      <c r="I60" s="30">
        <v>42500.462511574071</v>
      </c>
      <c r="J60" s="61">
        <v>0</v>
      </c>
      <c r="K60" s="61" t="str">
        <f t="shared" si="11"/>
        <v>4023/4024</v>
      </c>
      <c r="L60" s="61" t="str">
        <f>VLOOKUP(A60,'Trips&amp;Operators'!$C$1:$E$9999,3,FALSE)</f>
        <v>STORY</v>
      </c>
      <c r="M60" s="12">
        <f t="shared" si="12"/>
        <v>1.7372685178997926E-2</v>
      </c>
      <c r="N60" s="13"/>
      <c r="O60" s="13"/>
      <c r="P60" s="13">
        <f>24*60*(M59+M60)</f>
        <v>42.033333320869133</v>
      </c>
      <c r="Q60" s="62" t="s">
        <v>418</v>
      </c>
      <c r="R60" s="62" t="s">
        <v>425</v>
      </c>
      <c r="T60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10:33:38-0600',mode:absolute,to:'2016-05-10 11:07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60" s="75" t="str">
        <f t="shared" si="14"/>
        <v>Y</v>
      </c>
      <c r="V60" s="75">
        <f t="shared" si="19"/>
        <v>0</v>
      </c>
      <c r="W60" s="75">
        <f t="shared" si="15"/>
        <v>4.6600000000000003E-2</v>
      </c>
      <c r="X60" s="75">
        <f t="shared" si="10"/>
        <v>10.287800000000001</v>
      </c>
      <c r="Y60" s="75">
        <f t="shared" si="16"/>
        <v>10.241200000000001</v>
      </c>
      <c r="Z60" s="76" t="e">
        <f>VLOOKUP(A60,Enforcements!$C$3:$J$26,8,0)</f>
        <v>#N/A</v>
      </c>
      <c r="AA60" s="76" t="e">
        <f>VLOOKUP(A60,Enforcements!$C$3:$J$26,3,0)</f>
        <v>#N/A</v>
      </c>
    </row>
    <row r="61" spans="1:27" s="2" customFormat="1" x14ac:dyDescent="0.25">
      <c r="A61" s="61" t="s">
        <v>277</v>
      </c>
      <c r="B61" s="61">
        <v>4023</v>
      </c>
      <c r="C61" s="61" t="s">
        <v>71</v>
      </c>
      <c r="D61" s="61" t="s">
        <v>278</v>
      </c>
      <c r="E61" s="30">
        <v>42500.482557870368</v>
      </c>
      <c r="F61" s="30">
        <v>42500.4843287037</v>
      </c>
      <c r="G61" s="38">
        <v>2</v>
      </c>
      <c r="H61" s="30" t="s">
        <v>128</v>
      </c>
      <c r="I61" s="30">
        <v>42500.51289351852</v>
      </c>
      <c r="J61" s="61">
        <v>0</v>
      </c>
      <c r="K61" s="61" t="str">
        <f t="shared" si="11"/>
        <v>4023/4024</v>
      </c>
      <c r="L61" s="61" t="str">
        <f>VLOOKUP(A61,'Trips&amp;Operators'!$C$1:$E$9999,3,FALSE)</f>
        <v>STORY</v>
      </c>
      <c r="M61" s="12">
        <f t="shared" si="12"/>
        <v>2.8564814820128959E-2</v>
      </c>
      <c r="N61" s="13">
        <f>$M61*24*60</f>
        <v>41.1333333409857</v>
      </c>
      <c r="O61" s="13"/>
      <c r="P61" s="13"/>
      <c r="Q61" s="62"/>
      <c r="R61" s="62"/>
      <c r="T61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11:33:53-0600',mode:absolute,to:'2016-05-10 12:19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61" s="75" t="str">
        <f t="shared" si="14"/>
        <v>N</v>
      </c>
      <c r="V61" s="75">
        <f t="shared" si="19"/>
        <v>1</v>
      </c>
      <c r="W61" s="75">
        <f t="shared" si="15"/>
        <v>23.298400000000001</v>
      </c>
      <c r="X61" s="75">
        <f t="shared" si="10"/>
        <v>1.4999999999999999E-2</v>
      </c>
      <c r="Y61" s="75">
        <f t="shared" si="16"/>
        <v>23.2834</v>
      </c>
      <c r="Z61" s="76" t="e">
        <f>VLOOKUP(A61,Enforcements!$C$3:$J$26,8,0)</f>
        <v>#N/A</v>
      </c>
      <c r="AA61" s="76" t="e">
        <f>VLOOKUP(A61,Enforcements!$C$3:$J$26,3,0)</f>
        <v>#N/A</v>
      </c>
    </row>
    <row r="62" spans="1:27" s="2" customFormat="1" x14ac:dyDescent="0.25">
      <c r="A62" s="61" t="s">
        <v>279</v>
      </c>
      <c r="B62" s="61">
        <v>4007</v>
      </c>
      <c r="C62" s="61" t="s">
        <v>71</v>
      </c>
      <c r="D62" s="61" t="s">
        <v>87</v>
      </c>
      <c r="E62" s="30">
        <v>42500.456944444442</v>
      </c>
      <c r="F62" s="30">
        <v>42500.45789351852</v>
      </c>
      <c r="G62" s="38">
        <v>1</v>
      </c>
      <c r="H62" s="30" t="s">
        <v>280</v>
      </c>
      <c r="I62" s="30">
        <v>42500.470023148147</v>
      </c>
      <c r="J62" s="61">
        <v>0</v>
      </c>
      <c r="K62" s="61" t="str">
        <f t="shared" si="11"/>
        <v>4007/4008</v>
      </c>
      <c r="L62" s="61" t="str">
        <f>VLOOKUP(A62,'Trips&amp;Operators'!$C$1:$E$9999,3,FALSE)</f>
        <v>SPECTOR</v>
      </c>
      <c r="M62" s="12">
        <f t="shared" si="12"/>
        <v>1.2129629627452232E-2</v>
      </c>
      <c r="N62" s="13"/>
      <c r="O62" s="13"/>
      <c r="P62" s="13"/>
      <c r="Q62" s="62"/>
      <c r="R62" s="62"/>
      <c r="T62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10:57:00-0600',mode:absolute,to:'2016-05-10 11:17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62" s="75" t="str">
        <f t="shared" si="14"/>
        <v>Y</v>
      </c>
      <c r="V62" s="75">
        <f t="shared" si="19"/>
        <v>1</v>
      </c>
      <c r="W62" s="75">
        <f t="shared" si="15"/>
        <v>4.4900000000000002E-2</v>
      </c>
      <c r="X62" s="75">
        <f t="shared" si="10"/>
        <v>6.4710000000000001</v>
      </c>
      <c r="Y62" s="75">
        <f t="shared" si="16"/>
        <v>6.4260999999999999</v>
      </c>
      <c r="Z62" s="76">
        <f>VLOOKUP(A62,Enforcements!$C$3:$J$26,8,0)</f>
        <v>81738</v>
      </c>
      <c r="AA62" s="76" t="str">
        <f>VLOOKUP(A62,Enforcements!$C$3:$J$26,3,0)</f>
        <v>SIGNAL</v>
      </c>
    </row>
    <row r="63" spans="1:27" s="2" customFormat="1" x14ac:dyDescent="0.25">
      <c r="A63" s="61" t="s">
        <v>279</v>
      </c>
      <c r="B63" s="61">
        <v>4007</v>
      </c>
      <c r="C63" s="61" t="s">
        <v>71</v>
      </c>
      <c r="D63" s="61" t="s">
        <v>281</v>
      </c>
      <c r="E63" s="30">
        <v>42500.475740740738</v>
      </c>
      <c r="F63" s="30">
        <v>42500.476377314815</v>
      </c>
      <c r="G63" s="38">
        <v>0</v>
      </c>
      <c r="H63" s="30" t="s">
        <v>146</v>
      </c>
      <c r="I63" s="30">
        <v>42500.49145833333</v>
      </c>
      <c r="J63" s="61">
        <v>1</v>
      </c>
      <c r="K63" s="61" t="str">
        <f t="shared" si="11"/>
        <v>4007/4008</v>
      </c>
      <c r="L63" s="61" t="str">
        <f>VLOOKUP(A63,'Trips&amp;Operators'!$C$1:$E$9999,3,FALSE)</f>
        <v>SPECTOR</v>
      </c>
      <c r="M63" s="12">
        <f t="shared" si="12"/>
        <v>1.5081018515047617E-2</v>
      </c>
      <c r="N63" s="13"/>
      <c r="O63" s="13"/>
      <c r="P63" s="13">
        <f>24*60*(M62+M63)</f>
        <v>39.183333325199783</v>
      </c>
      <c r="Q63" s="62" t="s">
        <v>420</v>
      </c>
      <c r="R63" s="62" t="s">
        <v>426</v>
      </c>
      <c r="T63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11:24:04-0600',mode:absolute,to:'2016-05-10 11:48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63" s="75" t="str">
        <f t="shared" si="14"/>
        <v>Y</v>
      </c>
      <c r="V63" s="75">
        <f t="shared" si="19"/>
        <v>0</v>
      </c>
      <c r="W63" s="75">
        <f t="shared" si="15"/>
        <v>8.6374999999999993</v>
      </c>
      <c r="X63" s="75">
        <f t="shared" si="10"/>
        <v>23.331700000000001</v>
      </c>
      <c r="Y63" s="75">
        <f t="shared" si="16"/>
        <v>14.694200000000002</v>
      </c>
      <c r="Z63" s="76">
        <f>VLOOKUP(A63,Enforcements!$C$3:$J$26,8,0)</f>
        <v>81738</v>
      </c>
      <c r="AA63" s="76" t="str">
        <f>VLOOKUP(A63,Enforcements!$C$3:$J$26,3,0)</f>
        <v>SIGNAL</v>
      </c>
    </row>
    <row r="64" spans="1:27" s="2" customFormat="1" x14ac:dyDescent="0.25">
      <c r="A64" s="61" t="s">
        <v>282</v>
      </c>
      <c r="B64" s="61">
        <v>4008</v>
      </c>
      <c r="C64" s="61" t="s">
        <v>71</v>
      </c>
      <c r="D64" s="61" t="s">
        <v>101</v>
      </c>
      <c r="E64" s="30">
        <v>42500.49527777778</v>
      </c>
      <c r="F64" s="30">
        <v>42500.496469907404</v>
      </c>
      <c r="G64" s="38">
        <v>1</v>
      </c>
      <c r="H64" s="30" t="s">
        <v>91</v>
      </c>
      <c r="I64" s="30">
        <v>42500.523321759261</v>
      </c>
      <c r="J64" s="61">
        <v>1</v>
      </c>
      <c r="K64" s="61" t="str">
        <f t="shared" si="11"/>
        <v>4007/4008</v>
      </c>
      <c r="L64" s="61" t="str">
        <f>VLOOKUP(A64,'Trips&amp;Operators'!$C$1:$E$9999,3,FALSE)</f>
        <v>SPECTOR</v>
      </c>
      <c r="M64" s="12">
        <f t="shared" si="12"/>
        <v>2.6851851856918074E-2</v>
      </c>
      <c r="N64" s="13">
        <f t="shared" ref="N64:N72" si="20">$M64*24*60</f>
        <v>38.666666673962027</v>
      </c>
      <c r="O64" s="13"/>
      <c r="P64" s="13"/>
      <c r="Q64" s="62"/>
      <c r="R64" s="62"/>
      <c r="T64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11:52:12-0600',mode:absolute,to:'2016-05-10 12:34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64" s="75" t="str">
        <f t="shared" si="14"/>
        <v>N</v>
      </c>
      <c r="V64" s="75">
        <f t="shared" si="19"/>
        <v>1</v>
      </c>
      <c r="W64" s="75">
        <f t="shared" si="15"/>
        <v>23.299800000000001</v>
      </c>
      <c r="X64" s="75">
        <f t="shared" si="10"/>
        <v>1.4500000000000001E-2</v>
      </c>
      <c r="Y64" s="75">
        <f t="shared" si="16"/>
        <v>23.285299999999999</v>
      </c>
      <c r="Z64" s="76" t="e">
        <f>VLOOKUP(A64,Enforcements!$C$3:$J$26,8,0)</f>
        <v>#N/A</v>
      </c>
      <c r="AA64" s="76" t="e">
        <f>VLOOKUP(A64,Enforcements!$C$3:$J$26,3,0)</f>
        <v>#N/A</v>
      </c>
    </row>
    <row r="65" spans="1:27" s="2" customFormat="1" x14ac:dyDescent="0.25">
      <c r="A65" s="61" t="s">
        <v>283</v>
      </c>
      <c r="B65" s="61">
        <v>4016</v>
      </c>
      <c r="C65" s="61" t="s">
        <v>71</v>
      </c>
      <c r="D65" s="61" t="s">
        <v>116</v>
      </c>
      <c r="E65" s="30">
        <v>42500.466469907406</v>
      </c>
      <c r="F65" s="30">
        <v>42500.46770833333</v>
      </c>
      <c r="G65" s="38">
        <v>1</v>
      </c>
      <c r="H65" s="30" t="s">
        <v>137</v>
      </c>
      <c r="I65" s="30">
        <v>42500.493981481479</v>
      </c>
      <c r="J65" s="61">
        <v>0</v>
      </c>
      <c r="K65" s="61" t="str">
        <f t="shared" si="11"/>
        <v>4015/4016</v>
      </c>
      <c r="L65" s="61" t="str">
        <f>VLOOKUP(A65,'Trips&amp;Operators'!$C$1:$E$9999,3,FALSE)</f>
        <v>ADANE</v>
      </c>
      <c r="M65" s="12">
        <f t="shared" si="12"/>
        <v>2.6273148148902692E-2</v>
      </c>
      <c r="N65" s="13">
        <f t="shared" si="20"/>
        <v>37.833333334419876</v>
      </c>
      <c r="O65" s="13"/>
      <c r="P65" s="13"/>
      <c r="Q65" s="62"/>
      <c r="R65" s="62"/>
      <c r="T65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11:10:43-0600',mode:absolute,to:'2016-05-10 11:52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65" s="75" t="str">
        <f t="shared" si="14"/>
        <v>N</v>
      </c>
      <c r="V65" s="75">
        <f t="shared" si="19"/>
        <v>1</v>
      </c>
      <c r="W65" s="75">
        <f t="shared" si="15"/>
        <v>4.6600000000000003E-2</v>
      </c>
      <c r="X65" s="75">
        <f t="shared" si="10"/>
        <v>23.331099999999999</v>
      </c>
      <c r="Y65" s="75">
        <f t="shared" si="16"/>
        <v>23.284499999999998</v>
      </c>
      <c r="Z65" s="76" t="e">
        <f>VLOOKUP(A65,Enforcements!$C$3:$J$26,8,0)</f>
        <v>#N/A</v>
      </c>
      <c r="AA65" s="76" t="e">
        <f>VLOOKUP(A65,Enforcements!$C$3:$J$26,3,0)</f>
        <v>#N/A</v>
      </c>
    </row>
    <row r="66" spans="1:27" s="2" customFormat="1" x14ac:dyDescent="0.25">
      <c r="A66" s="61" t="s">
        <v>284</v>
      </c>
      <c r="B66" s="61">
        <v>4015</v>
      </c>
      <c r="C66" s="61" t="s">
        <v>71</v>
      </c>
      <c r="D66" s="61" t="s">
        <v>165</v>
      </c>
      <c r="E66" s="30">
        <v>42500.505567129629</v>
      </c>
      <c r="F66" s="30">
        <v>42500.506701388891</v>
      </c>
      <c r="G66" s="38">
        <v>1</v>
      </c>
      <c r="H66" s="30" t="s">
        <v>91</v>
      </c>
      <c r="I66" s="30">
        <v>42500.533703703702</v>
      </c>
      <c r="J66" s="61">
        <v>1</v>
      </c>
      <c r="K66" s="61" t="str">
        <f t="shared" si="11"/>
        <v>4015/4016</v>
      </c>
      <c r="L66" s="61" t="str">
        <f>VLOOKUP(A66,'Trips&amp;Operators'!$C$1:$E$9999,3,FALSE)</f>
        <v>ADANE</v>
      </c>
      <c r="M66" s="12">
        <f t="shared" si="12"/>
        <v>2.700231481139781E-2</v>
      </c>
      <c r="N66" s="13">
        <f t="shared" si="20"/>
        <v>38.883333328412846</v>
      </c>
      <c r="O66" s="13"/>
      <c r="P66" s="13"/>
      <c r="Q66" s="62"/>
      <c r="R66" s="62"/>
      <c r="T66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12:07:01-0600',mode:absolute,to:'2016-05-10 12:49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66" s="75" t="str">
        <f t="shared" si="14"/>
        <v>N</v>
      </c>
      <c r="V66" s="75">
        <f t="shared" si="19"/>
        <v>1</v>
      </c>
      <c r="W66" s="75">
        <f t="shared" si="15"/>
        <v>23.2986</v>
      </c>
      <c r="X66" s="75">
        <f t="shared" si="10"/>
        <v>1.4500000000000001E-2</v>
      </c>
      <c r="Y66" s="75">
        <f t="shared" si="16"/>
        <v>23.284099999999999</v>
      </c>
      <c r="Z66" s="76" t="e">
        <f>VLOOKUP(A66,Enforcements!$C$3:$J$26,8,0)</f>
        <v>#N/A</v>
      </c>
      <c r="AA66" s="76" t="e">
        <f>VLOOKUP(A66,Enforcements!$C$3:$J$26,3,0)</f>
        <v>#N/A</v>
      </c>
    </row>
    <row r="67" spans="1:27" s="2" customFormat="1" x14ac:dyDescent="0.25">
      <c r="A67" s="61" t="s">
        <v>285</v>
      </c>
      <c r="B67" s="61">
        <v>4044</v>
      </c>
      <c r="C67" s="61" t="s">
        <v>71</v>
      </c>
      <c r="D67" s="61" t="s">
        <v>82</v>
      </c>
      <c r="E67" s="30">
        <v>42500.473749999997</v>
      </c>
      <c r="F67" s="30">
        <v>42500.475173611114</v>
      </c>
      <c r="G67" s="38">
        <v>2</v>
      </c>
      <c r="H67" s="30" t="s">
        <v>220</v>
      </c>
      <c r="I67" s="30">
        <v>42500.504131944443</v>
      </c>
      <c r="J67" s="61">
        <v>0</v>
      </c>
      <c r="K67" s="61" t="str">
        <f t="shared" ref="K67:K98" si="21">IF(ISEVEN(B67),(B67-1)&amp;"/"&amp;B67,B67&amp;"/"&amp;(B67+1))</f>
        <v>4043/4044</v>
      </c>
      <c r="L67" s="61" t="str">
        <f>VLOOKUP(A67,'Trips&amp;Operators'!$C$1:$E$9999,3,FALSE)</f>
        <v>COOLAHAN</v>
      </c>
      <c r="M67" s="12">
        <f t="shared" ref="M67:M90" si="22">I67-F67</f>
        <v>2.8958333328773733E-2</v>
      </c>
      <c r="N67" s="13">
        <f t="shared" si="20"/>
        <v>41.699999993434176</v>
      </c>
      <c r="O67" s="13"/>
      <c r="P67" s="13"/>
      <c r="Q67" s="62"/>
      <c r="R67" s="62"/>
      <c r="T67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11:21:12-0600',mode:absolute,to:'2016-05-10 12:06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67" s="75" t="str">
        <f t="shared" si="14"/>
        <v>N</v>
      </c>
      <c r="V67" s="75">
        <f t="shared" si="19"/>
        <v>1</v>
      </c>
      <c r="W67" s="75">
        <f t="shared" si="15"/>
        <v>4.5699999999999998E-2</v>
      </c>
      <c r="X67" s="75">
        <f t="shared" si="10"/>
        <v>23.331900000000001</v>
      </c>
      <c r="Y67" s="75">
        <f t="shared" si="16"/>
        <v>23.286200000000001</v>
      </c>
      <c r="Z67" s="76" t="e">
        <f>VLOOKUP(A67,Enforcements!$C$3:$J$26,8,0)</f>
        <v>#N/A</v>
      </c>
      <c r="AA67" s="76" t="e">
        <f>VLOOKUP(A67,Enforcements!$C$3:$J$26,3,0)</f>
        <v>#N/A</v>
      </c>
    </row>
    <row r="68" spans="1:27" s="2" customFormat="1" x14ac:dyDescent="0.25">
      <c r="A68" s="61" t="s">
        <v>286</v>
      </c>
      <c r="B68" s="61">
        <v>4043</v>
      </c>
      <c r="C68" s="61" t="s">
        <v>71</v>
      </c>
      <c r="D68" s="61" t="s">
        <v>287</v>
      </c>
      <c r="E68" s="30">
        <v>42500.510092592594</v>
      </c>
      <c r="F68" s="30">
        <v>42500.511284722219</v>
      </c>
      <c r="G68" s="38">
        <v>1</v>
      </c>
      <c r="H68" s="30" t="s">
        <v>140</v>
      </c>
      <c r="I68" s="30">
        <v>42500.543773148151</v>
      </c>
      <c r="J68" s="61">
        <v>0</v>
      </c>
      <c r="K68" s="61" t="str">
        <f t="shared" si="21"/>
        <v>4043/4044</v>
      </c>
      <c r="L68" s="61" t="str">
        <f>VLOOKUP(A68,'Trips&amp;Operators'!$C$1:$E$9999,3,FALSE)</f>
        <v>COOLAHAN</v>
      </c>
      <c r="M68" s="12">
        <f t="shared" si="22"/>
        <v>3.2488425931660458E-2</v>
      </c>
      <c r="N68" s="13">
        <f t="shared" si="20"/>
        <v>46.78333334159106</v>
      </c>
      <c r="O68" s="13"/>
      <c r="P68" s="13"/>
      <c r="Q68" s="62"/>
      <c r="R68" s="62"/>
      <c r="T68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12:13:32-0600',mode:absolute,to:'2016-05-10 13:04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68" s="75" t="str">
        <f t="shared" si="14"/>
        <v>N</v>
      </c>
      <c r="V68" s="75">
        <f t="shared" si="19"/>
        <v>1</v>
      </c>
      <c r="W68" s="75">
        <f t="shared" si="15"/>
        <v>23.3017</v>
      </c>
      <c r="X68" s="75">
        <f t="shared" si="10"/>
        <v>1.32E-2</v>
      </c>
      <c r="Y68" s="75">
        <f t="shared" si="16"/>
        <v>23.288499999999999</v>
      </c>
      <c r="Z68" s="76" t="e">
        <f>VLOOKUP(A68,Enforcements!$C$3:$J$26,8,0)</f>
        <v>#N/A</v>
      </c>
      <c r="AA68" s="76" t="e">
        <f>VLOOKUP(A68,Enforcements!$C$3:$J$26,3,0)</f>
        <v>#N/A</v>
      </c>
    </row>
    <row r="69" spans="1:27" s="2" customFormat="1" x14ac:dyDescent="0.25">
      <c r="A69" s="61" t="s">
        <v>288</v>
      </c>
      <c r="B69" s="61">
        <v>4009</v>
      </c>
      <c r="C69" s="61" t="s">
        <v>71</v>
      </c>
      <c r="D69" s="61" t="s">
        <v>87</v>
      </c>
      <c r="E69" s="30">
        <v>42500.486550925925</v>
      </c>
      <c r="F69" s="30">
        <v>42500.48778935185</v>
      </c>
      <c r="G69" s="38">
        <v>1</v>
      </c>
      <c r="H69" s="30" t="s">
        <v>289</v>
      </c>
      <c r="I69" s="30">
        <v>42500.515069444446</v>
      </c>
      <c r="J69" s="61">
        <v>0</v>
      </c>
      <c r="K69" s="61" t="str">
        <f t="shared" si="21"/>
        <v>4009/4010</v>
      </c>
      <c r="L69" s="61" t="str">
        <f>VLOOKUP(A69,'Trips&amp;Operators'!$C$1:$E$9999,3,FALSE)</f>
        <v>REBOLETTI</v>
      </c>
      <c r="M69" s="12">
        <f t="shared" si="22"/>
        <v>2.7280092595901806E-2</v>
      </c>
      <c r="N69" s="13">
        <f t="shared" si="20"/>
        <v>39.283333338098601</v>
      </c>
      <c r="O69" s="13"/>
      <c r="P69" s="13"/>
      <c r="Q69" s="62"/>
      <c r="R69" s="62"/>
      <c r="T69" s="75" t="str">
        <f t="shared" si="13"/>
        <v>https://search-rtdc-monitor-bjffxe2xuh6vdkpspy63sjmuny.us-east-1.es.amazonaws.com/_plugin/kibana/#/discover/Steve-Slow-Train-Analysis-(2080s-and-2083s)?_g=(refreshInterval:(display:Off,section:0,value:0),time:(from:'2016-05-10 11:39:38-0600',mode:absolute,to:'2016-05-10 12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69" s="75" t="str">
        <f t="shared" si="14"/>
        <v>N</v>
      </c>
      <c r="V69" s="75">
        <f t="shared" si="19"/>
        <v>1</v>
      </c>
      <c r="W69" s="75">
        <f t="shared" si="15"/>
        <v>4.4900000000000002E-2</v>
      </c>
      <c r="X69" s="75">
        <v>23.3491</v>
      </c>
      <c r="Y69" s="75">
        <f t="shared" si="16"/>
        <v>23.304200000000002</v>
      </c>
      <c r="Z69" s="76" t="e">
        <f>VLOOKUP(A69,Enforcements!$C$3:$J$26,8,0)</f>
        <v>#N/A</v>
      </c>
      <c r="AA69" s="76" t="e">
        <f>VLOOKUP(A69,Enforcements!$C$3:$J$26,3,0)</f>
        <v>#N/A</v>
      </c>
    </row>
    <row r="70" spans="1:27" s="2" customFormat="1" x14ac:dyDescent="0.25">
      <c r="A70" s="61" t="s">
        <v>290</v>
      </c>
      <c r="B70" s="61">
        <v>4010</v>
      </c>
      <c r="C70" s="61" t="s">
        <v>71</v>
      </c>
      <c r="D70" s="61" t="s">
        <v>291</v>
      </c>
      <c r="E70" s="30">
        <v>42500.523796296293</v>
      </c>
      <c r="F70" s="30">
        <v>42500.525092592594</v>
      </c>
      <c r="G70" s="38">
        <v>1</v>
      </c>
      <c r="H70" s="30" t="s">
        <v>86</v>
      </c>
      <c r="I70" s="30">
        <v>42500.555856481478</v>
      </c>
      <c r="J70" s="61">
        <v>0</v>
      </c>
      <c r="K70" s="61" t="str">
        <f t="shared" si="21"/>
        <v>4009/4010</v>
      </c>
      <c r="L70" s="61" t="str">
        <f>VLOOKUP(A70,'Trips&amp;Operators'!$C$1:$E$9999,3,FALSE)</f>
        <v>REBOLETTI</v>
      </c>
      <c r="M70" s="12">
        <f t="shared" si="22"/>
        <v>3.0763888884393964E-2</v>
      </c>
      <c r="N70" s="13">
        <f t="shared" si="20"/>
        <v>44.299999993527308</v>
      </c>
      <c r="O70" s="13"/>
      <c r="P70" s="13"/>
      <c r="Q70" s="62"/>
      <c r="R70" s="62"/>
      <c r="T70" s="75" t="str">
        <f t="shared" ref="T70:T90" si="23">"https://search-rtdc-monitor-bjffxe2xuh6vdkpspy63sjmuny.us-east-1.es.amazonaws.com/_plugin/kibana/#/discover/Steve-Slow-Train-Analysis-(2080s-and-2083s)?_g=(refreshInterval:(display:Off,section:0,value:0),time:(from:'"&amp;TEXT(E70-1/24/60,"yyyy-MM-DD hh:mm:ss")&amp;"-0600',mode:absolute,to:'"&amp;TEXT(I70+1/24/60,"yyyy-MM-DD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70&amp;"%22')),sort:!(Time,asc))"</f>
        <v>https://search-rtdc-monitor-bjffxe2xuh6vdkpspy63sjmuny.us-east-1.es.amazonaws.com/_plugin/kibana/#/discover/Steve-Slow-Train-Analysis-(2080s-and-2083s)?_g=(refreshInterval:(display:Off,section:0,value:0),time:(from:'2016-05-10 12:33:16-0600',mode:absolute,to:'2016-05-10 13:21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70" s="75" t="str">
        <f t="shared" ref="U70:U90" si="24">IF(Y70&lt;23,"Y","N")</f>
        <v>N</v>
      </c>
      <c r="V70" s="75">
        <f t="shared" si="19"/>
        <v>1</v>
      </c>
      <c r="W70" s="75">
        <f t="shared" ref="W70:W90" si="25">RIGHT(D70,LEN(D70)-4)/10000</f>
        <v>23.2957</v>
      </c>
      <c r="X70" s="75">
        <f t="shared" ref="X70:X85" si="26">RIGHT(H70,LEN(H70)-4)/10000</f>
        <v>1.6E-2</v>
      </c>
      <c r="Y70" s="75">
        <f t="shared" ref="Y70:Y90" si="27">ABS(X70-W70)</f>
        <v>23.279700000000002</v>
      </c>
      <c r="Z70" s="76" t="e">
        <f>VLOOKUP(A70,Enforcements!$C$3:$J$26,8,0)</f>
        <v>#N/A</v>
      </c>
      <c r="AA70" s="76" t="e">
        <f>VLOOKUP(A70,Enforcements!$C$3:$J$26,3,0)</f>
        <v>#N/A</v>
      </c>
    </row>
    <row r="71" spans="1:27" s="2" customFormat="1" x14ac:dyDescent="0.25">
      <c r="A71" s="61" t="s">
        <v>292</v>
      </c>
      <c r="B71" s="61">
        <v>4020</v>
      </c>
      <c r="C71" s="61" t="s">
        <v>71</v>
      </c>
      <c r="D71" s="61" t="s">
        <v>92</v>
      </c>
      <c r="E71" s="30">
        <v>42500.495115740741</v>
      </c>
      <c r="F71" s="30">
        <v>42500.496157407404</v>
      </c>
      <c r="G71" s="38">
        <v>1</v>
      </c>
      <c r="H71" s="30" t="s">
        <v>155</v>
      </c>
      <c r="I71" s="30">
        <v>42500.525104166663</v>
      </c>
      <c r="J71" s="61">
        <v>1</v>
      </c>
      <c r="K71" s="61" t="str">
        <f t="shared" si="21"/>
        <v>4019/4020</v>
      </c>
      <c r="L71" s="61" t="str">
        <f>VLOOKUP(A71,'Trips&amp;Operators'!$C$1:$E$9999,3,FALSE)</f>
        <v>RIVERA</v>
      </c>
      <c r="M71" s="12">
        <f t="shared" si="22"/>
        <v>2.8946759259270038E-2</v>
      </c>
      <c r="N71" s="13">
        <f t="shared" si="20"/>
        <v>41.683333333348855</v>
      </c>
      <c r="O71" s="13"/>
      <c r="P71" s="13"/>
      <c r="Q71" s="62"/>
      <c r="R71" s="62"/>
      <c r="T71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11:51:58-0600',mode:absolute,to:'2016-05-10 12:37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71" s="75" t="str">
        <f t="shared" si="24"/>
        <v>N</v>
      </c>
      <c r="V71" s="75">
        <f t="shared" si="19"/>
        <v>1</v>
      </c>
      <c r="W71" s="75">
        <f t="shared" si="25"/>
        <v>4.4699999999999997E-2</v>
      </c>
      <c r="X71" s="75">
        <f t="shared" si="26"/>
        <v>23.333100000000002</v>
      </c>
      <c r="Y71" s="75">
        <f t="shared" si="27"/>
        <v>23.288400000000003</v>
      </c>
      <c r="Z71" s="76" t="e">
        <f>VLOOKUP(A71,Enforcements!$C$3:$J$26,8,0)</f>
        <v>#N/A</v>
      </c>
      <c r="AA71" s="76" t="e">
        <f>VLOOKUP(A71,Enforcements!$C$3:$J$26,3,0)</f>
        <v>#N/A</v>
      </c>
    </row>
    <row r="72" spans="1:27" s="2" customFormat="1" x14ac:dyDescent="0.25">
      <c r="A72" s="61" t="s">
        <v>293</v>
      </c>
      <c r="B72" s="61">
        <v>4019</v>
      </c>
      <c r="C72" s="61" t="s">
        <v>71</v>
      </c>
      <c r="D72" s="61" t="s">
        <v>258</v>
      </c>
      <c r="E72" s="30">
        <v>42500.534861111111</v>
      </c>
      <c r="F72" s="30">
        <v>42500.535671296297</v>
      </c>
      <c r="G72" s="38">
        <v>1</v>
      </c>
      <c r="H72" s="30" t="s">
        <v>86</v>
      </c>
      <c r="I72" s="30">
        <v>42500.564745370371</v>
      </c>
      <c r="J72" s="61">
        <v>0</v>
      </c>
      <c r="K72" s="61" t="str">
        <f t="shared" si="21"/>
        <v>4019/4020</v>
      </c>
      <c r="L72" s="61" t="str">
        <f>VLOOKUP(A72,'Trips&amp;Operators'!$C$1:$E$9999,3,FALSE)</f>
        <v>RIVERA</v>
      </c>
      <c r="M72" s="12">
        <f t="shared" si="22"/>
        <v>2.9074074074742384E-2</v>
      </c>
      <c r="N72" s="13">
        <f t="shared" si="20"/>
        <v>41.866666667629033</v>
      </c>
      <c r="O72" s="13"/>
      <c r="P72" s="13"/>
      <c r="Q72" s="62"/>
      <c r="R72" s="62"/>
      <c r="T72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12:49:12-0600',mode:absolute,to:'2016-05-10 13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72" s="75" t="str">
        <f t="shared" si="24"/>
        <v>N</v>
      </c>
      <c r="V72" s="75">
        <f t="shared" si="19"/>
        <v>1</v>
      </c>
      <c r="W72" s="75">
        <f t="shared" si="25"/>
        <v>23.302099999999999</v>
      </c>
      <c r="X72" s="75">
        <f t="shared" si="26"/>
        <v>1.6E-2</v>
      </c>
      <c r="Y72" s="75">
        <f t="shared" si="27"/>
        <v>23.286100000000001</v>
      </c>
      <c r="Z72" s="76" t="e">
        <f>VLOOKUP(A72,Enforcements!$C$3:$J$26,8,0)</f>
        <v>#N/A</v>
      </c>
      <c r="AA72" s="76" t="e">
        <f>VLOOKUP(A72,Enforcements!$C$3:$J$26,3,0)</f>
        <v>#N/A</v>
      </c>
    </row>
    <row r="73" spans="1:27" s="2" customFormat="1" x14ac:dyDescent="0.25">
      <c r="A73" s="61" t="s">
        <v>294</v>
      </c>
      <c r="B73" s="61">
        <v>4011</v>
      </c>
      <c r="C73" s="61" t="s">
        <v>71</v>
      </c>
      <c r="D73" s="61" t="s">
        <v>295</v>
      </c>
      <c r="E73" s="30">
        <v>42500.514374999999</v>
      </c>
      <c r="F73" s="30">
        <v>42500.5153587963</v>
      </c>
      <c r="G73" s="38">
        <v>1</v>
      </c>
      <c r="H73" s="30" t="s">
        <v>72</v>
      </c>
      <c r="I73" s="30">
        <v>42500.537673611114</v>
      </c>
      <c r="J73" s="61">
        <v>0</v>
      </c>
      <c r="K73" s="61" t="str">
        <f t="shared" si="21"/>
        <v>4011/4012</v>
      </c>
      <c r="L73" s="61" t="str">
        <f>VLOOKUP(A73,'Trips&amp;Operators'!$C$1:$E$9999,3,FALSE)</f>
        <v>YOUNG</v>
      </c>
      <c r="M73" s="12">
        <f t="shared" si="22"/>
        <v>2.2314814814308193E-2</v>
      </c>
      <c r="N73" s="13"/>
      <c r="O73" s="13"/>
      <c r="P73" s="13">
        <f>$M73*24*60</f>
        <v>32.133333332603797</v>
      </c>
      <c r="Q73" s="62" t="s">
        <v>420</v>
      </c>
      <c r="R73" s="62" t="s">
        <v>422</v>
      </c>
      <c r="T73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12:19:42-0600',mode:absolute,to:'2016-05-10 12:55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73" s="75" t="str">
        <f t="shared" si="24"/>
        <v>Y</v>
      </c>
      <c r="V73" s="75">
        <f t="shared" si="19"/>
        <v>1</v>
      </c>
      <c r="W73" s="75">
        <f t="shared" si="25"/>
        <v>1.9134</v>
      </c>
      <c r="X73" s="75">
        <f t="shared" si="26"/>
        <v>23.329699999999999</v>
      </c>
      <c r="Y73" s="75">
        <f t="shared" si="27"/>
        <v>21.4163</v>
      </c>
      <c r="Z73" s="76" t="e">
        <f>VLOOKUP(A73,Enforcements!$C$3:$J$26,8,0)</f>
        <v>#N/A</v>
      </c>
      <c r="AA73" s="76" t="e">
        <f>VLOOKUP(A73,Enforcements!$C$3:$J$26,3,0)</f>
        <v>#N/A</v>
      </c>
    </row>
    <row r="74" spans="1:27" s="2" customFormat="1" x14ac:dyDescent="0.25">
      <c r="A74" s="61" t="s">
        <v>296</v>
      </c>
      <c r="B74" s="61">
        <v>4012</v>
      </c>
      <c r="C74" s="61" t="s">
        <v>71</v>
      </c>
      <c r="D74" s="61" t="s">
        <v>156</v>
      </c>
      <c r="E74" s="30">
        <v>42500.540694444448</v>
      </c>
      <c r="F74" s="30">
        <v>42500.542511574073</v>
      </c>
      <c r="G74" s="38">
        <v>2</v>
      </c>
      <c r="H74" s="30" t="s">
        <v>297</v>
      </c>
      <c r="I74" s="30">
        <v>42500.57708333333</v>
      </c>
      <c r="J74" s="61">
        <v>2</v>
      </c>
      <c r="K74" s="61" t="str">
        <f t="shared" si="21"/>
        <v>4011/4012</v>
      </c>
      <c r="L74" s="61" t="str">
        <f>VLOOKUP(A74,'Trips&amp;Operators'!$C$1:$E$9999,3,FALSE)</f>
        <v>YOUNG</v>
      </c>
      <c r="M74" s="12">
        <f t="shared" si="22"/>
        <v>3.457175925723277E-2</v>
      </c>
      <c r="N74" s="13">
        <f t="shared" ref="N74:N86" si="28">$M74*24*60</f>
        <v>49.783333330415189</v>
      </c>
      <c r="O74" s="13"/>
      <c r="P74" s="13"/>
      <c r="Q74" s="62"/>
      <c r="R74" s="62"/>
      <c r="T74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12:57:36-0600',mode:absolute,to:'2016-05-10 13:52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74" s="75" t="str">
        <f t="shared" si="24"/>
        <v>N</v>
      </c>
      <c r="V74" s="75">
        <f t="shared" si="19"/>
        <v>1</v>
      </c>
      <c r="W74" s="75">
        <f t="shared" si="25"/>
        <v>23.298200000000001</v>
      </c>
      <c r="X74" s="75">
        <f t="shared" si="26"/>
        <v>0.04</v>
      </c>
      <c r="Y74" s="75">
        <f t="shared" si="27"/>
        <v>23.258200000000002</v>
      </c>
      <c r="Z74" s="76">
        <f>VLOOKUP(A74,Enforcements!$C$3:$J$26,8,0)</f>
        <v>191108</v>
      </c>
      <c r="AA74" s="76" t="str">
        <f>VLOOKUP(A74,Enforcements!$C$3:$J$26,3,0)</f>
        <v>PERMANENT SPEED RESTRICTION</v>
      </c>
    </row>
    <row r="75" spans="1:27" s="2" customFormat="1" x14ac:dyDescent="0.25">
      <c r="A75" s="61" t="s">
        <v>298</v>
      </c>
      <c r="B75" s="61">
        <v>4024</v>
      </c>
      <c r="C75" s="61" t="s">
        <v>71</v>
      </c>
      <c r="D75" s="61" t="s">
        <v>103</v>
      </c>
      <c r="E75" s="30">
        <v>42500.514189814814</v>
      </c>
      <c r="F75" s="30">
        <v>42500.515231481484</v>
      </c>
      <c r="G75" s="38">
        <v>1</v>
      </c>
      <c r="H75" s="30" t="s">
        <v>112</v>
      </c>
      <c r="I75" s="30">
        <v>42500.545729166668</v>
      </c>
      <c r="J75" s="61">
        <v>0</v>
      </c>
      <c r="K75" s="61" t="str">
        <f t="shared" si="21"/>
        <v>4023/4024</v>
      </c>
      <c r="L75" s="61" t="str">
        <f>VLOOKUP(A75,'Trips&amp;Operators'!$C$1:$E$9999,3,FALSE)</f>
        <v>STORY</v>
      </c>
      <c r="M75" s="12">
        <f t="shared" si="22"/>
        <v>3.0497685183945578E-2</v>
      </c>
      <c r="N75" s="13">
        <f t="shared" si="28"/>
        <v>43.916666664881632</v>
      </c>
      <c r="O75" s="13"/>
      <c r="P75" s="13"/>
      <c r="Q75" s="62"/>
      <c r="R75" s="62"/>
      <c r="T75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12:19:26-0600',mode:absolute,to:'2016-05-10 13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75" s="75" t="str">
        <f t="shared" si="24"/>
        <v>N</v>
      </c>
      <c r="V75" s="75">
        <f t="shared" si="19"/>
        <v>1</v>
      </c>
      <c r="W75" s="75">
        <f t="shared" si="25"/>
        <v>4.5999999999999999E-2</v>
      </c>
      <c r="X75" s="75">
        <f t="shared" si="26"/>
        <v>23.331399999999999</v>
      </c>
      <c r="Y75" s="75">
        <f t="shared" si="27"/>
        <v>23.285399999999999</v>
      </c>
      <c r="Z75" s="76" t="e">
        <f>VLOOKUP(A75,Enforcements!$C$3:$J$26,8,0)</f>
        <v>#N/A</v>
      </c>
      <c r="AA75" s="76" t="e">
        <f>VLOOKUP(A75,Enforcements!$C$3:$J$26,3,0)</f>
        <v>#N/A</v>
      </c>
    </row>
    <row r="76" spans="1:27" s="2" customFormat="1" x14ac:dyDescent="0.25">
      <c r="A76" s="61" t="s">
        <v>299</v>
      </c>
      <c r="B76" s="61">
        <v>4023</v>
      </c>
      <c r="C76" s="61" t="s">
        <v>71</v>
      </c>
      <c r="D76" s="61" t="s">
        <v>96</v>
      </c>
      <c r="E76" s="30">
        <v>42500.549432870372</v>
      </c>
      <c r="F76" s="30">
        <v>42500.550706018519</v>
      </c>
      <c r="G76" s="38">
        <v>1</v>
      </c>
      <c r="H76" s="30" t="s">
        <v>128</v>
      </c>
      <c r="I76" s="30">
        <v>42500.585289351853</v>
      </c>
      <c r="J76" s="61">
        <v>0</v>
      </c>
      <c r="K76" s="61" t="str">
        <f t="shared" si="21"/>
        <v>4023/4024</v>
      </c>
      <c r="L76" s="61" t="str">
        <f>VLOOKUP(A76,'Trips&amp;Operators'!$C$1:$E$9999,3,FALSE)</f>
        <v>STORY</v>
      </c>
      <c r="M76" s="12">
        <f t="shared" si="22"/>
        <v>3.4583333334012423E-2</v>
      </c>
      <c r="N76" s="13">
        <f t="shared" si="28"/>
        <v>49.800000000977889</v>
      </c>
      <c r="O76" s="13"/>
      <c r="P76" s="13"/>
      <c r="Q76" s="62"/>
      <c r="R76" s="62"/>
      <c r="T76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13:10:11-0600',mode:absolute,to:'2016-05-10 14:03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76" s="75" t="str">
        <f t="shared" si="24"/>
        <v>N</v>
      </c>
      <c r="V76" s="75">
        <f t="shared" si="19"/>
        <v>1</v>
      </c>
      <c r="W76" s="75">
        <f t="shared" si="25"/>
        <v>23.299600000000002</v>
      </c>
      <c r="X76" s="75">
        <f t="shared" si="26"/>
        <v>1.4999999999999999E-2</v>
      </c>
      <c r="Y76" s="75">
        <f t="shared" si="27"/>
        <v>23.284600000000001</v>
      </c>
      <c r="Z76" s="76" t="e">
        <f>VLOOKUP(A76,Enforcements!$C$3:$J$26,8,0)</f>
        <v>#N/A</v>
      </c>
      <c r="AA76" s="76" t="e">
        <f>VLOOKUP(A76,Enforcements!$C$3:$J$26,3,0)</f>
        <v>#N/A</v>
      </c>
    </row>
    <row r="77" spans="1:27" s="2" customFormat="1" x14ac:dyDescent="0.25">
      <c r="A77" s="61" t="s">
        <v>300</v>
      </c>
      <c r="B77" s="61">
        <v>4007</v>
      </c>
      <c r="C77" s="61" t="s">
        <v>71</v>
      </c>
      <c r="D77" s="61" t="s">
        <v>116</v>
      </c>
      <c r="E77" s="30">
        <v>42500.526921296296</v>
      </c>
      <c r="F77" s="30">
        <v>42500.528229166666</v>
      </c>
      <c r="G77" s="38">
        <v>1</v>
      </c>
      <c r="H77" s="30" t="s">
        <v>102</v>
      </c>
      <c r="I77" s="30">
        <v>42500.556504629632</v>
      </c>
      <c r="J77" s="61">
        <v>1</v>
      </c>
      <c r="K77" s="61" t="str">
        <f t="shared" si="21"/>
        <v>4007/4008</v>
      </c>
      <c r="L77" s="61" t="str">
        <f>VLOOKUP(A77,'Trips&amp;Operators'!$C$1:$E$9999,3,FALSE)</f>
        <v>JACKSON</v>
      </c>
      <c r="M77" s="12">
        <f t="shared" si="22"/>
        <v>2.8275462966121268E-2</v>
      </c>
      <c r="N77" s="13">
        <f t="shared" si="28"/>
        <v>40.716666671214625</v>
      </c>
      <c r="O77" s="13"/>
      <c r="P77" s="13"/>
      <c r="Q77" s="62"/>
      <c r="R77" s="62"/>
      <c r="T77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12:37:46-0600',mode:absolute,to:'2016-05-10 13:22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77" s="75" t="str">
        <f t="shared" si="24"/>
        <v>N</v>
      </c>
      <c r="V77" s="75">
        <f t="shared" si="19"/>
        <v>1</v>
      </c>
      <c r="W77" s="75">
        <f t="shared" si="25"/>
        <v>4.6600000000000003E-2</v>
      </c>
      <c r="X77" s="75">
        <f t="shared" si="26"/>
        <v>23.328900000000001</v>
      </c>
      <c r="Y77" s="75">
        <f t="shared" si="27"/>
        <v>23.282299999999999</v>
      </c>
      <c r="Z77" s="76" t="e">
        <f>VLOOKUP(A77,Enforcements!$C$3:$J$26,8,0)</f>
        <v>#N/A</v>
      </c>
      <c r="AA77" s="76" t="e">
        <f>VLOOKUP(A77,Enforcements!$C$3:$J$26,3,0)</f>
        <v>#N/A</v>
      </c>
    </row>
    <row r="78" spans="1:27" s="2" customFormat="1" x14ac:dyDescent="0.25">
      <c r="A78" s="61" t="s">
        <v>301</v>
      </c>
      <c r="B78" s="61">
        <v>4008</v>
      </c>
      <c r="C78" s="61" t="s">
        <v>71</v>
      </c>
      <c r="D78" s="61" t="s">
        <v>136</v>
      </c>
      <c r="E78" s="30">
        <v>42500.562164351853</v>
      </c>
      <c r="F78" s="30">
        <v>42500.563414351855</v>
      </c>
      <c r="G78" s="38">
        <v>1</v>
      </c>
      <c r="H78" s="30" t="s">
        <v>302</v>
      </c>
      <c r="I78" s="30">
        <v>42500.596238425926</v>
      </c>
      <c r="J78" s="61">
        <v>1</v>
      </c>
      <c r="K78" s="61" t="str">
        <f t="shared" si="21"/>
        <v>4007/4008</v>
      </c>
      <c r="L78" s="61" t="str">
        <f>VLOOKUP(A78,'Trips&amp;Operators'!$C$1:$E$9999,3,FALSE)</f>
        <v>JACKSON</v>
      </c>
      <c r="M78" s="12">
        <f t="shared" si="22"/>
        <v>3.2824074070958886E-2</v>
      </c>
      <c r="N78" s="13">
        <f t="shared" si="28"/>
        <v>47.266666662180796</v>
      </c>
      <c r="O78" s="13"/>
      <c r="P78" s="13"/>
      <c r="Q78" s="62"/>
      <c r="R78" s="62"/>
      <c r="T78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13:28:31-0600',mode:absolute,to:'2016-05-10 14:19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78" s="75" t="str">
        <f t="shared" si="24"/>
        <v>N</v>
      </c>
      <c r="V78" s="75">
        <f t="shared" si="19"/>
        <v>1</v>
      </c>
      <c r="W78" s="75">
        <f t="shared" si="25"/>
        <v>23.2971</v>
      </c>
      <c r="X78" s="75">
        <f t="shared" si="26"/>
        <v>1.6899999999999998E-2</v>
      </c>
      <c r="Y78" s="75">
        <f t="shared" si="27"/>
        <v>23.280200000000001</v>
      </c>
      <c r="Z78" s="76" t="e">
        <f>VLOOKUP(A78,Enforcements!$C$3:$J$26,8,0)</f>
        <v>#N/A</v>
      </c>
      <c r="AA78" s="76" t="e">
        <f>VLOOKUP(A78,Enforcements!$C$3:$J$26,3,0)</f>
        <v>#N/A</v>
      </c>
    </row>
    <row r="79" spans="1:27" s="2" customFormat="1" x14ac:dyDescent="0.25">
      <c r="A79" s="61" t="s">
        <v>303</v>
      </c>
      <c r="B79" s="61">
        <v>4016</v>
      </c>
      <c r="C79" s="61" t="s">
        <v>71</v>
      </c>
      <c r="D79" s="61" t="s">
        <v>82</v>
      </c>
      <c r="E79" s="30">
        <v>42500.538483796299</v>
      </c>
      <c r="F79" s="30">
        <v>42500.539953703701</v>
      </c>
      <c r="G79" s="38">
        <v>2</v>
      </c>
      <c r="H79" s="30" t="s">
        <v>163</v>
      </c>
      <c r="I79" s="30">
        <v>42500.566342592596</v>
      </c>
      <c r="J79" s="61">
        <v>0</v>
      </c>
      <c r="K79" s="61" t="str">
        <f t="shared" si="21"/>
        <v>4015/4016</v>
      </c>
      <c r="L79" s="61" t="str">
        <f>VLOOKUP(A79,'Trips&amp;Operators'!$C$1:$E$9999,3,FALSE)</f>
        <v>ADANE</v>
      </c>
      <c r="M79" s="12">
        <f t="shared" si="22"/>
        <v>2.6388888894871343E-2</v>
      </c>
      <c r="N79" s="13">
        <f t="shared" si="28"/>
        <v>38.000000008614734</v>
      </c>
      <c r="O79" s="13"/>
      <c r="P79" s="13"/>
      <c r="Q79" s="62"/>
      <c r="R79" s="62"/>
      <c r="T79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12:54:25-0600',mode:absolute,to:'2016-05-10 13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79" s="75" t="str">
        <f t="shared" si="24"/>
        <v>N</v>
      </c>
      <c r="V79" s="75">
        <f t="shared" si="19"/>
        <v>1</v>
      </c>
      <c r="W79" s="75">
        <f t="shared" si="25"/>
        <v>4.5699999999999998E-2</v>
      </c>
      <c r="X79" s="75">
        <f t="shared" si="26"/>
        <v>23.3323</v>
      </c>
      <c r="Y79" s="75">
        <f t="shared" si="27"/>
        <v>23.2866</v>
      </c>
      <c r="Z79" s="76" t="e">
        <f>VLOOKUP(A79,Enforcements!$C$3:$J$26,8,0)</f>
        <v>#N/A</v>
      </c>
      <c r="AA79" s="76" t="e">
        <f>VLOOKUP(A79,Enforcements!$C$3:$J$26,3,0)</f>
        <v>#N/A</v>
      </c>
    </row>
    <row r="80" spans="1:27" s="2" customFormat="1" x14ac:dyDescent="0.25">
      <c r="A80" s="61" t="s">
        <v>304</v>
      </c>
      <c r="B80" s="61">
        <v>4015</v>
      </c>
      <c r="C80" s="61" t="s">
        <v>71</v>
      </c>
      <c r="D80" s="61" t="s">
        <v>148</v>
      </c>
      <c r="E80" s="30">
        <v>42500.577604166669</v>
      </c>
      <c r="F80" s="30">
        <v>42500.579201388886</v>
      </c>
      <c r="G80" s="38">
        <v>2</v>
      </c>
      <c r="H80" s="30" t="s">
        <v>127</v>
      </c>
      <c r="I80" s="30">
        <v>42500.605821759258</v>
      </c>
      <c r="J80" s="61">
        <v>0</v>
      </c>
      <c r="K80" s="61" t="str">
        <f t="shared" si="21"/>
        <v>4015/4016</v>
      </c>
      <c r="L80" s="61" t="str">
        <f>VLOOKUP(A80,'Trips&amp;Operators'!$C$1:$E$9999,3,FALSE)</f>
        <v>ADANE</v>
      </c>
      <c r="M80" s="12">
        <f t="shared" si="22"/>
        <v>2.662037037225673E-2</v>
      </c>
      <c r="N80" s="13">
        <f t="shared" si="28"/>
        <v>38.333333336049691</v>
      </c>
      <c r="O80" s="13"/>
      <c r="P80" s="13"/>
      <c r="Q80" s="62"/>
      <c r="R80" s="62"/>
      <c r="T80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13:50:45-0600',mode:absolute,to:'2016-05-10 14:33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80" s="75" t="str">
        <f t="shared" si="24"/>
        <v>N</v>
      </c>
      <c r="V80" s="75">
        <f t="shared" si="19"/>
        <v>1</v>
      </c>
      <c r="W80" s="75">
        <f t="shared" si="25"/>
        <v>23.3019</v>
      </c>
      <c r="X80" s="75">
        <f t="shared" si="26"/>
        <v>1.41E-2</v>
      </c>
      <c r="Y80" s="75">
        <f t="shared" si="27"/>
        <v>23.287800000000001</v>
      </c>
      <c r="Z80" s="76" t="e">
        <f>VLOOKUP(A80,Enforcements!$C$3:$J$26,8,0)</f>
        <v>#N/A</v>
      </c>
      <c r="AA80" s="76" t="e">
        <f>VLOOKUP(A80,Enforcements!$C$3:$J$26,3,0)</f>
        <v>#N/A</v>
      </c>
    </row>
    <row r="81" spans="1:27" s="2" customFormat="1" x14ac:dyDescent="0.25">
      <c r="A81" s="61" t="s">
        <v>305</v>
      </c>
      <c r="B81" s="61">
        <v>4044</v>
      </c>
      <c r="C81" s="61" t="s">
        <v>71</v>
      </c>
      <c r="D81" s="61" t="s">
        <v>162</v>
      </c>
      <c r="E81" s="30">
        <v>42500.546736111108</v>
      </c>
      <c r="F81" s="30">
        <v>42500.548043981478</v>
      </c>
      <c r="G81" s="38">
        <v>1</v>
      </c>
      <c r="H81" s="30" t="s">
        <v>84</v>
      </c>
      <c r="I81" s="30">
        <v>42500.576574074075</v>
      </c>
      <c r="J81" s="61">
        <v>0</v>
      </c>
      <c r="K81" s="61" t="str">
        <f t="shared" si="21"/>
        <v>4043/4044</v>
      </c>
      <c r="L81" s="61" t="str">
        <f>VLOOKUP(A81,'Trips&amp;Operators'!$C$1:$E$9999,3,FALSE)</f>
        <v>COOLAHAN</v>
      </c>
      <c r="M81" s="12">
        <f t="shared" si="22"/>
        <v>2.8530092597065959E-2</v>
      </c>
      <c r="N81" s="13">
        <f t="shared" si="28"/>
        <v>41.083333339774981</v>
      </c>
      <c r="O81" s="13"/>
      <c r="P81" s="13"/>
      <c r="Q81" s="62"/>
      <c r="R81" s="62"/>
      <c r="T81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13:06:18-0600',mode:absolute,to:'2016-05-10 13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81" s="75" t="str">
        <f t="shared" si="24"/>
        <v>N</v>
      </c>
      <c r="V81" s="75">
        <f t="shared" si="19"/>
        <v>1</v>
      </c>
      <c r="W81" s="75">
        <f t="shared" si="25"/>
        <v>4.3099999999999999E-2</v>
      </c>
      <c r="X81" s="75">
        <f t="shared" si="26"/>
        <v>23.330500000000001</v>
      </c>
      <c r="Y81" s="75">
        <f t="shared" si="27"/>
        <v>23.287400000000002</v>
      </c>
      <c r="Z81" s="76" t="e">
        <f>VLOOKUP(A81,Enforcements!$C$3:$J$26,8,0)</f>
        <v>#N/A</v>
      </c>
      <c r="AA81" s="76" t="e">
        <f>VLOOKUP(A81,Enforcements!$C$3:$J$26,3,0)</f>
        <v>#N/A</v>
      </c>
    </row>
    <row r="82" spans="1:27" s="2" customFormat="1" x14ac:dyDescent="0.25">
      <c r="A82" s="61" t="s">
        <v>306</v>
      </c>
      <c r="B82" s="61">
        <v>4043</v>
      </c>
      <c r="C82" s="61" t="s">
        <v>71</v>
      </c>
      <c r="D82" s="61" t="s">
        <v>132</v>
      </c>
      <c r="E82" s="30">
        <v>42500.583796296298</v>
      </c>
      <c r="F82" s="30">
        <v>42500.584583333337</v>
      </c>
      <c r="G82" s="38">
        <v>1</v>
      </c>
      <c r="H82" s="30" t="s">
        <v>85</v>
      </c>
      <c r="I82" s="30">
        <v>42500.616643518515</v>
      </c>
      <c r="J82" s="61">
        <v>2</v>
      </c>
      <c r="K82" s="61" t="str">
        <f t="shared" si="21"/>
        <v>4043/4044</v>
      </c>
      <c r="L82" s="61" t="str">
        <f>VLOOKUP(A82,'Trips&amp;Operators'!$C$1:$E$9999,3,FALSE)</f>
        <v>COOLAHAN</v>
      </c>
      <c r="M82" s="12">
        <f t="shared" si="22"/>
        <v>3.2060185178124812E-2</v>
      </c>
      <c r="N82" s="13">
        <f t="shared" si="28"/>
        <v>46.166666656499729</v>
      </c>
      <c r="O82" s="13"/>
      <c r="P82" s="13"/>
      <c r="Q82" s="62"/>
      <c r="R82" s="62"/>
      <c r="T82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13:59:40-0600',mode:absolute,to:'2016-05-10 14:48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82" s="75" t="str">
        <f t="shared" si="24"/>
        <v>N</v>
      </c>
      <c r="V82" s="75">
        <f t="shared" si="19"/>
        <v>1</v>
      </c>
      <c r="W82" s="75">
        <f t="shared" si="25"/>
        <v>23.298999999999999</v>
      </c>
      <c r="X82" s="75">
        <f t="shared" si="26"/>
        <v>1.54E-2</v>
      </c>
      <c r="Y82" s="75">
        <f t="shared" si="27"/>
        <v>23.2836</v>
      </c>
      <c r="Z82" s="76">
        <f>VLOOKUP(A82,Enforcements!$C$3:$J$26,8,0)</f>
        <v>4677</v>
      </c>
      <c r="AA82" s="76" t="str">
        <f>VLOOKUP(A82,Enforcements!$C$3:$J$26,3,0)</f>
        <v>PERMANENT SPEED RESTRICTION</v>
      </c>
    </row>
    <row r="83" spans="1:27" s="2" customFormat="1" x14ac:dyDescent="0.25">
      <c r="A83" s="61" t="s">
        <v>307</v>
      </c>
      <c r="B83" s="61">
        <v>4009</v>
      </c>
      <c r="C83" s="61" t="s">
        <v>71</v>
      </c>
      <c r="D83" s="61" t="s">
        <v>111</v>
      </c>
      <c r="E83" s="30">
        <v>42500.557766203703</v>
      </c>
      <c r="F83" s="30">
        <v>42500.558854166666</v>
      </c>
      <c r="G83" s="38">
        <v>1</v>
      </c>
      <c r="H83" s="30" t="s">
        <v>141</v>
      </c>
      <c r="I83" s="30">
        <v>42500.588090277779</v>
      </c>
      <c r="J83" s="61">
        <v>0</v>
      </c>
      <c r="K83" s="61" t="str">
        <f t="shared" si="21"/>
        <v>4009/4010</v>
      </c>
      <c r="L83" s="61" t="str">
        <f>VLOOKUP(A83,'Trips&amp;Operators'!$C$1:$E$9999,3,FALSE)</f>
        <v>REBOLETTI</v>
      </c>
      <c r="M83" s="12">
        <f t="shared" si="22"/>
        <v>2.923611111327773E-2</v>
      </c>
      <c r="N83" s="13">
        <f t="shared" si="28"/>
        <v>42.100000003119931</v>
      </c>
      <c r="O83" s="13"/>
      <c r="P83" s="13"/>
      <c r="Q83" s="62"/>
      <c r="R83" s="62"/>
      <c r="T83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13:22:11-0600',mode:absolute,to:'2016-05-10 14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83" s="75" t="str">
        <f t="shared" si="24"/>
        <v>N</v>
      </c>
      <c r="V83" s="75">
        <f t="shared" si="19"/>
        <v>1</v>
      </c>
      <c r="W83" s="75">
        <f t="shared" si="25"/>
        <v>4.6399999999999997E-2</v>
      </c>
      <c r="X83" s="75">
        <f t="shared" si="26"/>
        <v>23.332100000000001</v>
      </c>
      <c r="Y83" s="75">
        <f t="shared" si="27"/>
        <v>23.285700000000002</v>
      </c>
      <c r="Z83" s="76" t="e">
        <f>VLOOKUP(A83,Enforcements!$C$3:$J$26,8,0)</f>
        <v>#N/A</v>
      </c>
      <c r="AA83" s="76" t="e">
        <f>VLOOKUP(A83,Enforcements!$C$3:$J$26,3,0)</f>
        <v>#N/A</v>
      </c>
    </row>
    <row r="84" spans="1:27" s="2" customFormat="1" x14ac:dyDescent="0.25">
      <c r="A84" s="61" t="s">
        <v>308</v>
      </c>
      <c r="B84" s="61">
        <v>4010</v>
      </c>
      <c r="C84" s="61" t="s">
        <v>71</v>
      </c>
      <c r="D84" s="61" t="s">
        <v>110</v>
      </c>
      <c r="E84" s="30">
        <v>42500.595775462964</v>
      </c>
      <c r="F84" s="30">
        <v>42500.597129629627</v>
      </c>
      <c r="G84" s="38">
        <v>1</v>
      </c>
      <c r="H84" s="30" t="s">
        <v>128</v>
      </c>
      <c r="I84" s="30">
        <v>42500.627430555556</v>
      </c>
      <c r="J84" s="61">
        <v>0</v>
      </c>
      <c r="K84" s="61" t="str">
        <f t="shared" si="21"/>
        <v>4009/4010</v>
      </c>
      <c r="L84" s="61" t="str">
        <f>VLOOKUP(A84,'Trips&amp;Operators'!$C$1:$E$9999,3,FALSE)</f>
        <v>REBOLETTI</v>
      </c>
      <c r="M84" s="12">
        <f t="shared" si="22"/>
        <v>3.030092592962319E-2</v>
      </c>
      <c r="N84" s="13">
        <f t="shared" si="28"/>
        <v>43.633333338657394</v>
      </c>
      <c r="O84" s="13"/>
      <c r="P84" s="13"/>
      <c r="Q84" s="62"/>
      <c r="R84" s="62"/>
      <c r="T84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14:16:55-0600',mode:absolute,to:'2016-05-10 15:04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84" s="75" t="str">
        <f t="shared" si="24"/>
        <v>N</v>
      </c>
      <c r="V84" s="75">
        <f t="shared" si="19"/>
        <v>1</v>
      </c>
      <c r="W84" s="75">
        <f t="shared" si="25"/>
        <v>23.299399999999999</v>
      </c>
      <c r="X84" s="75">
        <f t="shared" si="26"/>
        <v>1.4999999999999999E-2</v>
      </c>
      <c r="Y84" s="75">
        <f t="shared" si="27"/>
        <v>23.284399999999998</v>
      </c>
      <c r="Z84" s="76" t="e">
        <f>VLOOKUP(A84,Enforcements!$C$3:$J$26,8,0)</f>
        <v>#N/A</v>
      </c>
      <c r="AA84" s="76" t="e">
        <f>VLOOKUP(A84,Enforcements!$C$3:$J$26,3,0)</f>
        <v>#N/A</v>
      </c>
    </row>
    <row r="85" spans="1:27" s="2" customFormat="1" x14ac:dyDescent="0.25">
      <c r="A85" s="61" t="s">
        <v>309</v>
      </c>
      <c r="B85" s="61">
        <v>4020</v>
      </c>
      <c r="C85" s="61" t="s">
        <v>71</v>
      </c>
      <c r="D85" s="61" t="s">
        <v>90</v>
      </c>
      <c r="E85" s="30">
        <v>42500.568993055553</v>
      </c>
      <c r="F85" s="30">
        <v>42500.569895833331</v>
      </c>
      <c r="G85" s="38">
        <v>1</v>
      </c>
      <c r="H85" s="30" t="s">
        <v>84</v>
      </c>
      <c r="I85" s="30">
        <v>42500.597881944443</v>
      </c>
      <c r="J85" s="61">
        <v>0</v>
      </c>
      <c r="K85" s="61" t="str">
        <f t="shared" si="21"/>
        <v>4019/4020</v>
      </c>
      <c r="L85" s="61" t="str">
        <f>VLOOKUP(A85,'Trips&amp;Operators'!$C$1:$E$9999,3,FALSE)</f>
        <v>RIVERA</v>
      </c>
      <c r="M85" s="12">
        <f t="shared" si="22"/>
        <v>2.7986111112113576E-2</v>
      </c>
      <c r="N85" s="13">
        <f t="shared" si="28"/>
        <v>40.30000000144355</v>
      </c>
      <c r="O85" s="13"/>
      <c r="P85" s="13"/>
      <c r="Q85" s="62"/>
      <c r="R85" s="62"/>
      <c r="T85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13:38:21-0600',mode:absolute,to:'2016-05-10 14:21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85" s="75" t="str">
        <f t="shared" si="24"/>
        <v>N</v>
      </c>
      <c r="V85" s="75">
        <f t="shared" si="19"/>
        <v>1</v>
      </c>
      <c r="W85" s="75">
        <f t="shared" si="25"/>
        <v>4.4400000000000002E-2</v>
      </c>
      <c r="X85" s="75">
        <f t="shared" si="26"/>
        <v>23.330500000000001</v>
      </c>
      <c r="Y85" s="75">
        <f t="shared" si="27"/>
        <v>23.286100000000001</v>
      </c>
      <c r="Z85" s="76" t="e">
        <f>VLOOKUP(A85,Enforcements!$C$3:$J$26,8,0)</f>
        <v>#N/A</v>
      </c>
      <c r="AA85" s="76" t="e">
        <f>VLOOKUP(A85,Enforcements!$C$3:$J$26,3,0)</f>
        <v>#N/A</v>
      </c>
    </row>
    <row r="86" spans="1:27" s="2" customFormat="1" x14ac:dyDescent="0.25">
      <c r="A86" s="61" t="s">
        <v>310</v>
      </c>
      <c r="B86" s="61">
        <v>4019</v>
      </c>
      <c r="C86" s="61" t="s">
        <v>71</v>
      </c>
      <c r="D86" s="61" t="s">
        <v>110</v>
      </c>
      <c r="E86" s="30">
        <v>42500.606261574074</v>
      </c>
      <c r="F86" s="30">
        <v>42500.607592592591</v>
      </c>
      <c r="G86" s="38">
        <v>1</v>
      </c>
      <c r="H86" s="30" t="s">
        <v>311</v>
      </c>
      <c r="I86" s="30">
        <v>42500.638287037036</v>
      </c>
      <c r="J86" s="61">
        <v>0</v>
      </c>
      <c r="K86" s="61" t="str">
        <f t="shared" si="21"/>
        <v>4019/4020</v>
      </c>
      <c r="L86" s="61" t="str">
        <f>VLOOKUP(A86,'Trips&amp;Operators'!$C$1:$E$9999,3,FALSE)</f>
        <v>RIVERA</v>
      </c>
      <c r="M86" s="12">
        <f t="shared" si="22"/>
        <v>3.0694444445543922E-2</v>
      </c>
      <c r="N86" s="13">
        <f t="shared" si="28"/>
        <v>44.200000001583248</v>
      </c>
      <c r="O86" s="13"/>
      <c r="P86" s="13"/>
      <c r="Q86" s="62"/>
      <c r="R86" s="62"/>
      <c r="T86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14:32:01-0600',mode:absolute,to:'2016-05-10 15:20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86" s="75" t="str">
        <f t="shared" si="24"/>
        <v>N</v>
      </c>
      <c r="V86" s="75">
        <f t="shared" si="19"/>
        <v>1</v>
      </c>
      <c r="W86" s="75">
        <f t="shared" si="25"/>
        <v>23.299399999999999</v>
      </c>
      <c r="X86" s="75">
        <v>0.19420000000000001</v>
      </c>
      <c r="Y86" s="75">
        <f t="shared" si="27"/>
        <v>23.1052</v>
      </c>
      <c r="Z86" s="76" t="e">
        <f>VLOOKUP(A86,Enforcements!$C$3:$J$26,8,0)</f>
        <v>#N/A</v>
      </c>
      <c r="AA86" s="76" t="e">
        <f>VLOOKUP(A86,Enforcements!$C$3:$J$26,3,0)</f>
        <v>#N/A</v>
      </c>
    </row>
    <row r="87" spans="1:27" s="2" customFormat="1" x14ac:dyDescent="0.25">
      <c r="A87" s="61" t="s">
        <v>312</v>
      </c>
      <c r="B87" s="61">
        <v>4011</v>
      </c>
      <c r="C87" s="61" t="s">
        <v>71</v>
      </c>
      <c r="D87" s="61" t="s">
        <v>313</v>
      </c>
      <c r="E87" s="30">
        <v>42500.580057870371</v>
      </c>
      <c r="F87" s="30">
        <v>42500.581238425926</v>
      </c>
      <c r="G87" s="38">
        <v>1</v>
      </c>
      <c r="H87" s="30" t="s">
        <v>314</v>
      </c>
      <c r="I87" s="30">
        <v>42500.606261574074</v>
      </c>
      <c r="J87" s="61">
        <v>1</v>
      </c>
      <c r="K87" s="61" t="str">
        <f t="shared" si="21"/>
        <v>4011/4012</v>
      </c>
      <c r="L87" s="61" t="str">
        <f>VLOOKUP(A87,'Trips&amp;Operators'!$C$1:$E$9999,3,FALSE)</f>
        <v>YOUNG</v>
      </c>
      <c r="M87" s="12">
        <f t="shared" si="22"/>
        <v>2.5023148147738539E-2</v>
      </c>
      <c r="N87" s="13"/>
      <c r="O87" s="13"/>
      <c r="P87" s="13">
        <f>$M87*24*60</f>
        <v>36.033333332743496</v>
      </c>
      <c r="Q87" s="62" t="s">
        <v>420</v>
      </c>
      <c r="R87" s="62" t="s">
        <v>421</v>
      </c>
      <c r="T87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13:54:17-0600',mode:absolute,to:'2016-05-10 14:34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87" s="75" t="str">
        <f t="shared" si="24"/>
        <v>Y</v>
      </c>
      <c r="V87" s="75">
        <f t="shared" si="19"/>
        <v>1</v>
      </c>
      <c r="W87" s="75">
        <f t="shared" si="25"/>
        <v>5.5100000000000003E-2</v>
      </c>
      <c r="X87" s="75">
        <f>RIGHT(H87,LEN(H87)-4)/10000</f>
        <v>19.9876</v>
      </c>
      <c r="Y87" s="75">
        <f t="shared" si="27"/>
        <v>19.932500000000001</v>
      </c>
      <c r="Z87" s="76">
        <f>VLOOKUP(A87,Enforcements!$C$3:$J$26,8,0)</f>
        <v>198242</v>
      </c>
      <c r="AA87" s="76" t="str">
        <f>VLOOKUP(A87,Enforcements!$C$3:$J$26,3,0)</f>
        <v>SIGNAL</v>
      </c>
    </row>
    <row r="88" spans="1:27" s="2" customFormat="1" x14ac:dyDescent="0.25">
      <c r="A88" s="61" t="s">
        <v>315</v>
      </c>
      <c r="B88" s="61">
        <v>4012</v>
      </c>
      <c r="C88" s="61" t="s">
        <v>71</v>
      </c>
      <c r="D88" s="61" t="s">
        <v>164</v>
      </c>
      <c r="E88" s="30">
        <v>42500.617372685185</v>
      </c>
      <c r="F88" s="30">
        <v>42500.618333333332</v>
      </c>
      <c r="G88" s="38">
        <v>1</v>
      </c>
      <c r="H88" s="30" t="s">
        <v>316</v>
      </c>
      <c r="I88" s="30">
        <v>42500.649386574078</v>
      </c>
      <c r="J88" s="61">
        <v>0</v>
      </c>
      <c r="K88" s="61" t="str">
        <f t="shared" si="21"/>
        <v>4011/4012</v>
      </c>
      <c r="L88" s="61" t="str">
        <f>VLOOKUP(A88,'Trips&amp;Operators'!$C$1:$E$9999,3,FALSE)</f>
        <v>YOUNG</v>
      </c>
      <c r="M88" s="12">
        <f t="shared" si="22"/>
        <v>3.1053240745677613E-2</v>
      </c>
      <c r="N88" s="13">
        <f>$M88*24*60</f>
        <v>44.716666673775762</v>
      </c>
      <c r="O88" s="13"/>
      <c r="P88" s="13"/>
      <c r="Q88" s="62"/>
      <c r="R88" s="62"/>
      <c r="T88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14:48:01-0600',mode:absolute,to:'2016-05-10 15:36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88" s="75" t="str">
        <f t="shared" si="24"/>
        <v>N</v>
      </c>
      <c r="V88" s="75">
        <f t="shared" si="19"/>
        <v>1</v>
      </c>
      <c r="W88" s="75">
        <f t="shared" si="25"/>
        <v>23.300999999999998</v>
      </c>
      <c r="X88" s="75">
        <f>RIGHT(H88,LEN(H88)-4)/10000</f>
        <v>3.9100000000000003E-2</v>
      </c>
      <c r="Y88" s="75">
        <f t="shared" si="27"/>
        <v>23.261899999999997</v>
      </c>
      <c r="Z88" s="76" t="e">
        <f>VLOOKUP(A88,Enforcements!$C$3:$J$26,8,0)</f>
        <v>#N/A</v>
      </c>
      <c r="AA88" s="76" t="e">
        <f>VLOOKUP(A88,Enforcements!$C$3:$J$26,3,0)</f>
        <v>#N/A</v>
      </c>
    </row>
    <row r="89" spans="1:27" s="2" customFormat="1" x14ac:dyDescent="0.25">
      <c r="A89" s="61" t="s">
        <v>317</v>
      </c>
      <c r="B89" s="61">
        <v>4024</v>
      </c>
      <c r="C89" s="61" t="s">
        <v>71</v>
      </c>
      <c r="D89" s="61" t="s">
        <v>103</v>
      </c>
      <c r="E89" s="30">
        <v>42500.587037037039</v>
      </c>
      <c r="F89" s="30">
        <v>42500.58829861111</v>
      </c>
      <c r="G89" s="38">
        <v>1</v>
      </c>
      <c r="H89" s="30" t="s">
        <v>318</v>
      </c>
      <c r="I89" s="30">
        <v>42500.620486111111</v>
      </c>
      <c r="J89" s="61">
        <v>1</v>
      </c>
      <c r="K89" s="61" t="str">
        <f t="shared" si="21"/>
        <v>4023/4024</v>
      </c>
      <c r="L89" s="61" t="str">
        <f>VLOOKUP(A89,'Trips&amp;Operators'!$C$1:$E$9999,3,FALSE)</f>
        <v>STORY</v>
      </c>
      <c r="M89" s="12">
        <f t="shared" si="22"/>
        <v>3.2187500000873115E-2</v>
      </c>
      <c r="N89" s="13">
        <f>$M89*24*60</f>
        <v>46.350000001257285</v>
      </c>
      <c r="O89" s="13"/>
      <c r="P89" s="13"/>
      <c r="Q89" s="62"/>
      <c r="R89" s="62"/>
      <c r="T89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14:04:20-0600',mode:absolute,to:'2016-05-10 14:54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89" s="75" t="str">
        <f t="shared" si="24"/>
        <v>N</v>
      </c>
      <c r="V89" s="75">
        <f t="shared" si="19"/>
        <v>1</v>
      </c>
      <c r="W89" s="75">
        <f t="shared" si="25"/>
        <v>4.5999999999999999E-2</v>
      </c>
      <c r="X89" s="75">
        <f>RIGHT(H89,LEN(H89)-4)/10000</f>
        <v>23.328399999999998</v>
      </c>
      <c r="Y89" s="75">
        <f t="shared" si="27"/>
        <v>23.282399999999999</v>
      </c>
      <c r="Z89" s="76" t="e">
        <f>VLOOKUP(A89,Enforcements!$C$3:$J$26,8,0)</f>
        <v>#N/A</v>
      </c>
      <c r="AA89" s="76" t="e">
        <f>VLOOKUP(A89,Enforcements!$C$3:$J$26,3,0)</f>
        <v>#N/A</v>
      </c>
    </row>
    <row r="90" spans="1:27" s="2" customFormat="1" x14ac:dyDescent="0.25">
      <c r="A90" s="61" t="s">
        <v>319</v>
      </c>
      <c r="B90" s="61">
        <v>4023</v>
      </c>
      <c r="C90" s="61" t="s">
        <v>71</v>
      </c>
      <c r="D90" s="61" t="s">
        <v>75</v>
      </c>
      <c r="E90" s="30">
        <v>42500.623518518521</v>
      </c>
      <c r="F90" s="30">
        <v>42500.624664351853</v>
      </c>
      <c r="G90" s="38">
        <v>1</v>
      </c>
      <c r="H90" s="30" t="s">
        <v>142</v>
      </c>
      <c r="I90" s="30">
        <v>42500.658796296295</v>
      </c>
      <c r="J90" s="61">
        <v>0</v>
      </c>
      <c r="K90" s="61" t="str">
        <f t="shared" si="21"/>
        <v>4023/4024</v>
      </c>
      <c r="L90" s="61" t="str">
        <f>VLOOKUP(A90,'Trips&amp;Operators'!$C$1:$E$9999,3,FALSE)</f>
        <v>STORY</v>
      </c>
      <c r="M90" s="12">
        <f t="shared" si="22"/>
        <v>3.4131944441469386E-2</v>
      </c>
      <c r="N90" s="13">
        <f>$M90*24*60</f>
        <v>49.149999995715916</v>
      </c>
      <c r="O90" s="13"/>
      <c r="P90" s="13"/>
      <c r="Q90" s="62"/>
      <c r="R90" s="62"/>
      <c r="T90" s="75" t="str">
        <f t="shared" si="23"/>
        <v>https://search-rtdc-monitor-bjffxe2xuh6vdkpspy63sjmuny.us-east-1.es.amazonaws.com/_plugin/kibana/#/discover/Steve-Slow-Train-Analysis-(2080s-and-2083s)?_g=(refreshInterval:(display:Off,section:0,value:0),time:(from:'2016-05-10 14:56:52-0600',mode:absolute,to:'2016-05-10 15:49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90" s="75" t="str">
        <f t="shared" si="24"/>
        <v>N</v>
      </c>
      <c r="V90" s="75">
        <f t="shared" si="19"/>
        <v>1</v>
      </c>
      <c r="W90" s="75">
        <f t="shared" si="25"/>
        <v>23.297699999999999</v>
      </c>
      <c r="X90" s="75">
        <f>RIGHT(H90,LEN(H90)-4)/10000</f>
        <v>1.47E-2</v>
      </c>
      <c r="Y90" s="75">
        <f t="shared" si="27"/>
        <v>23.282999999999998</v>
      </c>
      <c r="Z90" s="76" t="e">
        <f>VLOOKUP(A90,Enforcements!$C$3:$J$26,8,0)</f>
        <v>#N/A</v>
      </c>
      <c r="AA90" s="76" t="e">
        <f>VLOOKUP(A90,Enforcements!$C$3:$J$26,3,0)</f>
        <v>#N/A</v>
      </c>
    </row>
    <row r="91" spans="1:27" s="2" customFormat="1" x14ac:dyDescent="0.25">
      <c r="A91" s="61" t="s">
        <v>320</v>
      </c>
      <c r="B91" s="61">
        <v>4007</v>
      </c>
      <c r="C91" s="61" t="s">
        <v>71</v>
      </c>
      <c r="D91" s="61" t="s">
        <v>150</v>
      </c>
      <c r="E91" s="30">
        <v>42500.599733796298</v>
      </c>
      <c r="F91" s="30">
        <v>42500.600810185184</v>
      </c>
      <c r="G91" s="38">
        <v>1</v>
      </c>
      <c r="H91" s="30" t="s">
        <v>149</v>
      </c>
      <c r="I91" s="30">
        <v>42500.629247685189</v>
      </c>
      <c r="J91" s="61">
        <v>0</v>
      </c>
      <c r="K91" s="61" t="str">
        <f t="shared" si="21"/>
        <v>4007/4008</v>
      </c>
      <c r="L91" s="61" t="str">
        <f>VLOOKUP(A91,'Trips&amp;Operators'!$C$1:$E$9999,3,FALSE)</f>
        <v>JACKSON</v>
      </c>
      <c r="M91" s="12">
        <f t="shared" ref="M91:M92" si="29">I91-F91</f>
        <v>2.8437500004656613E-2</v>
      </c>
      <c r="N91" s="13">
        <f t="shared" ref="N91" si="30">$M91*24*60</f>
        <v>40.950000006705523</v>
      </c>
      <c r="O91" s="13"/>
      <c r="P91" s="13"/>
      <c r="Q91" s="62"/>
      <c r="R91" s="62"/>
      <c r="T91" s="75" t="str">
        <f t="shared" ref="T91:T94" si="31">"https://search-rtdc-monitor-bjffxe2xuh6vdkpspy63sjmuny.us-east-1.es.amazonaws.com/_plugin/kibana/#/discover/Steve-Slow-Train-Analysis-(2080s-and-2083s)?_g=(refreshInterval:(display:Off,section:0,value:0),time:(from:'"&amp;TEXT(E91-1/24/60,"yyyy-MM-DD hh:mm:ss")&amp;"-0600',mode:absolute,to:'"&amp;TEXT(I91+1/24/60,"yyyy-MM-DD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91&amp;"%22')),sort:!(Time,asc))"</f>
        <v>https://search-rtdc-monitor-bjffxe2xuh6vdkpspy63sjmuny.us-east-1.es.amazonaws.com/_plugin/kibana/#/discover/Steve-Slow-Train-Analysis-(2080s-and-2083s)?_g=(refreshInterval:(display:Off,section:0,value:0),time:(from:'2016-05-10 14:22:37-0600',mode:absolute,to:'2016-05-10 15:07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91" s="75" t="str">
        <f t="shared" ref="U91:U94" si="32">IF(Y91&lt;23,"Y","N")</f>
        <v>N</v>
      </c>
      <c r="V91" s="75">
        <f t="shared" ref="V91:V94" si="33">VALUE(LEFT(A91,3))-VALUE(LEFT(A90,3))</f>
        <v>1</v>
      </c>
      <c r="W91" s="75">
        <f t="shared" ref="W91:W94" si="34">RIGHT(D91,LEN(D91)-4)/10000</f>
        <v>4.8000000000000001E-2</v>
      </c>
      <c r="X91" s="75">
        <f t="shared" ref="X91:X94" si="35">RIGHT(H91,LEN(H91)-4)/10000</f>
        <v>23.3293</v>
      </c>
      <c r="Y91" s="75">
        <f t="shared" ref="Y91:Y94" si="36">ABS(X91-W91)</f>
        <v>23.281300000000002</v>
      </c>
      <c r="Z91" s="76" t="e">
        <f>VLOOKUP(A91,Enforcements!$C$3:$J$26,8,0)</f>
        <v>#N/A</v>
      </c>
      <c r="AA91" s="76" t="e">
        <f>VLOOKUP(A91,Enforcements!$C$3:$J$26,3,0)</f>
        <v>#N/A</v>
      </c>
    </row>
    <row r="92" spans="1:27" s="2" customFormat="1" x14ac:dyDescent="0.25">
      <c r="A92" s="61" t="s">
        <v>321</v>
      </c>
      <c r="B92" s="61">
        <v>4008</v>
      </c>
      <c r="C92" s="61" t="s">
        <v>71</v>
      </c>
      <c r="D92" s="61" t="s">
        <v>78</v>
      </c>
      <c r="E92" s="30">
        <v>42500.635300925926</v>
      </c>
      <c r="F92" s="30">
        <v>42500.637314814812</v>
      </c>
      <c r="G92" s="38">
        <v>2</v>
      </c>
      <c r="H92" s="30" t="s">
        <v>322</v>
      </c>
      <c r="I92" s="30">
        <v>42500.653182870374</v>
      </c>
      <c r="J92" s="61">
        <v>2</v>
      </c>
      <c r="K92" s="61" t="str">
        <f t="shared" si="21"/>
        <v>4007/4008</v>
      </c>
      <c r="L92" s="61" t="str">
        <f>VLOOKUP(A92,'Trips&amp;Operators'!$C$1:$E$9999,3,FALSE)</f>
        <v>JACKSON</v>
      </c>
      <c r="M92" s="12">
        <f t="shared" si="29"/>
        <v>1.5868055561440997E-2</v>
      </c>
      <c r="N92" s="13"/>
      <c r="O92" s="13"/>
      <c r="P92" s="13">
        <v>23</v>
      </c>
      <c r="Q92" s="62" t="s">
        <v>420</v>
      </c>
      <c r="R92" s="62" t="s">
        <v>416</v>
      </c>
      <c r="T92" s="75" t="str">
        <f t="shared" si="31"/>
        <v>https://search-rtdc-monitor-bjffxe2xuh6vdkpspy63sjmuny.us-east-1.es.amazonaws.com/_plugin/kibana/#/discover/Steve-Slow-Train-Analysis-(2080s-and-2083s)?_g=(refreshInterval:(display:Off,section:0,value:0),time:(from:'2016-05-10 15:13:50-0600',mode:absolute,to:'2016-05-10 15:41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92" s="75" t="str">
        <f t="shared" si="32"/>
        <v>Y</v>
      </c>
      <c r="V92" s="75">
        <f t="shared" si="33"/>
        <v>1</v>
      </c>
      <c r="W92" s="75">
        <f t="shared" si="34"/>
        <v>23.298500000000001</v>
      </c>
      <c r="X92" s="75">
        <f t="shared" si="35"/>
        <v>12.7964</v>
      </c>
      <c r="Y92" s="75">
        <f t="shared" si="36"/>
        <v>10.5021</v>
      </c>
      <c r="Z92" s="76">
        <f>VLOOKUP(A92,Enforcements!$C$3:$J$26,8,0)</f>
        <v>68497</v>
      </c>
      <c r="AA92" s="76" t="str">
        <f>VLOOKUP(A92,Enforcements!$C$3:$J$26,3,0)</f>
        <v>EQUIPMENT RESTRICTION</v>
      </c>
    </row>
    <row r="93" spans="1:27" s="2" customFormat="1" x14ac:dyDescent="0.25">
      <c r="A93" s="61" t="s">
        <v>323</v>
      </c>
      <c r="B93" s="61">
        <v>4016</v>
      </c>
      <c r="C93" s="61" t="s">
        <v>71</v>
      </c>
      <c r="D93" s="61" t="s">
        <v>228</v>
      </c>
      <c r="E93" s="30">
        <v>42500.611840277779</v>
      </c>
      <c r="F93" s="30">
        <v>42500.612881944442</v>
      </c>
      <c r="G93" s="38">
        <v>1</v>
      </c>
      <c r="H93" s="30" t="s">
        <v>154</v>
      </c>
      <c r="I93" s="30">
        <v>42500.640347222223</v>
      </c>
      <c r="J93" s="61">
        <v>1</v>
      </c>
      <c r="K93" s="61" t="str">
        <f t="shared" si="21"/>
        <v>4015/4016</v>
      </c>
      <c r="L93" s="61" t="str">
        <f>VLOOKUP(A93,'Trips&amp;Operators'!$C$1:$E$9999,3,FALSE)</f>
        <v>ADANE</v>
      </c>
      <c r="M93" s="12">
        <f t="shared" ref="M93:M124" si="37">I93-F93</f>
        <v>2.7465277780720498E-2</v>
      </c>
      <c r="N93" s="13">
        <f t="shared" ref="N93:N131" si="38">$M93*24*60</f>
        <v>39.550000004237518</v>
      </c>
      <c r="O93" s="13"/>
      <c r="P93" s="13"/>
      <c r="Q93" s="62"/>
      <c r="R93" s="62"/>
      <c r="T93" s="75" t="str">
        <f t="shared" si="31"/>
        <v>https://search-rtdc-monitor-bjffxe2xuh6vdkpspy63sjmuny.us-east-1.es.amazonaws.com/_plugin/kibana/#/discover/Steve-Slow-Train-Analysis-(2080s-and-2083s)?_g=(refreshInterval:(display:Off,section:0,value:0),time:(from:'2016-05-10 14:40:03-0600',mode:absolute,to:'2016-05-10 15:23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93" s="75" t="str">
        <f t="shared" si="32"/>
        <v>N</v>
      </c>
      <c r="V93" s="75">
        <f t="shared" si="33"/>
        <v>1</v>
      </c>
      <c r="W93" s="75">
        <f t="shared" si="34"/>
        <v>4.3999999999999997E-2</v>
      </c>
      <c r="X93" s="75">
        <f t="shared" si="35"/>
        <v>23.333400000000001</v>
      </c>
      <c r="Y93" s="75">
        <f t="shared" si="36"/>
        <v>23.289400000000001</v>
      </c>
      <c r="Z93" s="76" t="e">
        <f>VLOOKUP(A93,Enforcements!$C$3:$J$26,8,0)</f>
        <v>#N/A</v>
      </c>
      <c r="AA93" s="76" t="e">
        <f>VLOOKUP(A93,Enforcements!$C$3:$J$26,3,0)</f>
        <v>#N/A</v>
      </c>
    </row>
    <row r="94" spans="1:27" s="2" customFormat="1" x14ac:dyDescent="0.25">
      <c r="A94" s="61" t="s">
        <v>324</v>
      </c>
      <c r="B94" s="61">
        <v>4015</v>
      </c>
      <c r="C94" s="61" t="s">
        <v>71</v>
      </c>
      <c r="D94" s="61" t="s">
        <v>325</v>
      </c>
      <c r="E94" s="30">
        <v>42500.649525462963</v>
      </c>
      <c r="F94" s="30">
        <v>42500.650717592594</v>
      </c>
      <c r="G94" s="38">
        <v>1</v>
      </c>
      <c r="H94" s="30" t="s">
        <v>77</v>
      </c>
      <c r="I94" s="30">
        <v>42500.679849537039</v>
      </c>
      <c r="J94" s="61">
        <v>0</v>
      </c>
      <c r="K94" s="61" t="str">
        <f t="shared" si="21"/>
        <v>4015/4016</v>
      </c>
      <c r="L94" s="61" t="str">
        <f>VLOOKUP(A94,'Trips&amp;Operators'!$C$1:$E$9999,3,FALSE)</f>
        <v>ADANE</v>
      </c>
      <c r="M94" s="12">
        <f t="shared" si="37"/>
        <v>2.9131944444088731E-2</v>
      </c>
      <c r="N94" s="13">
        <f t="shared" si="38"/>
        <v>41.949999999487773</v>
      </c>
      <c r="O94" s="13"/>
      <c r="P94" s="13"/>
      <c r="Q94" s="62"/>
      <c r="R94" s="62"/>
      <c r="T94" s="75" t="str">
        <f t="shared" si="31"/>
        <v>https://search-rtdc-monitor-bjffxe2xuh6vdkpspy63sjmuny.us-east-1.es.amazonaws.com/_plugin/kibana/#/discover/Steve-Slow-Train-Analysis-(2080s-and-2083s)?_g=(refreshInterval:(display:Off,section:0,value:0),time:(from:'2016-05-10 15:34:19-0600',mode:absolute,to:'2016-05-10 16:19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94" s="75" t="str">
        <f t="shared" si="32"/>
        <v>N</v>
      </c>
      <c r="V94" s="75">
        <f t="shared" si="33"/>
        <v>1</v>
      </c>
      <c r="W94" s="75">
        <f t="shared" si="34"/>
        <v>23.3001</v>
      </c>
      <c r="X94" s="75">
        <f t="shared" si="35"/>
        <v>1.5599999999999999E-2</v>
      </c>
      <c r="Y94" s="75">
        <f t="shared" si="36"/>
        <v>23.284500000000001</v>
      </c>
      <c r="Z94" s="76" t="e">
        <f>VLOOKUP(A94,Enforcements!$C$3:$J$26,8,0)</f>
        <v>#N/A</v>
      </c>
      <c r="AA94" s="76" t="e">
        <f>VLOOKUP(A94,Enforcements!$C$3:$J$26,3,0)</f>
        <v>#N/A</v>
      </c>
    </row>
    <row r="95" spans="1:27" s="2" customFormat="1" x14ac:dyDescent="0.25">
      <c r="A95" s="61" t="s">
        <v>326</v>
      </c>
      <c r="B95" s="61">
        <v>4044</v>
      </c>
      <c r="C95" s="61" t="s">
        <v>71</v>
      </c>
      <c r="D95" s="61" t="s">
        <v>327</v>
      </c>
      <c r="E95" s="30">
        <v>42500.618483796294</v>
      </c>
      <c r="F95" s="30">
        <v>42500.620497685188</v>
      </c>
      <c r="G95" s="38">
        <v>2</v>
      </c>
      <c r="H95" s="30" t="s">
        <v>328</v>
      </c>
      <c r="I95" s="30">
        <v>42500.649826388886</v>
      </c>
      <c r="J95" s="61">
        <v>1</v>
      </c>
      <c r="K95" s="61" t="str">
        <f t="shared" si="21"/>
        <v>4043/4044</v>
      </c>
      <c r="L95" s="61" t="str">
        <f>VLOOKUP(A95,'Trips&amp;Operators'!$C$1:$E$9999,3,FALSE)</f>
        <v>COOLAHAN</v>
      </c>
      <c r="M95" s="12">
        <f t="shared" si="37"/>
        <v>2.9328703698411118E-2</v>
      </c>
      <c r="N95" s="13">
        <f t="shared" si="38"/>
        <v>42.23333332571201</v>
      </c>
      <c r="O95" s="13"/>
      <c r="P95" s="13"/>
      <c r="Q95" s="62"/>
      <c r="R95" s="62"/>
      <c r="T95" s="75" t="str">
        <f t="shared" ref="T95:T126" si="39">"https://search-rtdc-monitor-bjffxe2xuh6vdkpspy63sjmuny.us-east-1.es.amazonaws.com/_plugin/kibana/#/discover/Steve-Slow-Train-Analysis-(2080s-and-2083s)?_g=(refreshInterval:(display:Off,section:0,value:0),time:(from:'"&amp;TEXT(E95-1/24/60,"yyyy-MM-DD hh:mm:ss")&amp;"-0600',mode:absolute,to:'"&amp;TEXT(I95+1/24/60,"yyyy-MM-DD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95&amp;"%22')),sort:!(Time,asc))"</f>
        <v>https://search-rtdc-monitor-bjffxe2xuh6vdkpspy63sjmuny.us-east-1.es.amazonaws.com/_plugin/kibana/#/discover/Steve-Slow-Train-Analysis-(2080s-and-2083s)?_g=(refreshInterval:(display:Off,section:0,value:0),time:(from:'2016-05-10 14:49:37-0600',mode:absolute,to:'2016-05-10 15:36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95" s="75" t="str">
        <f t="shared" ref="U95:U126" si="40">IF(Y95&lt;23,"Y","N")</f>
        <v>N</v>
      </c>
      <c r="V95" s="75">
        <f t="shared" ref="V95:V126" si="41">VALUE(LEFT(A95,3))-VALUE(LEFT(A94,3))</f>
        <v>1</v>
      </c>
      <c r="W95" s="75">
        <f t="shared" ref="W95:W126" si="42">RIGHT(D95,LEN(D95)-4)/10000</f>
        <v>4.6699999999999998E-2</v>
      </c>
      <c r="X95" s="75">
        <f t="shared" ref="X95:X126" si="43">RIGHT(H95,LEN(H95)-4)/10000</f>
        <v>23.3325</v>
      </c>
      <c r="Y95" s="75">
        <f t="shared" ref="Y95:Y126" si="44">ABS(X95-W95)</f>
        <v>23.285799999999998</v>
      </c>
      <c r="Z95" s="76" t="e">
        <f>VLOOKUP(A95,Enforcements!$C$3:$J$26,8,0)</f>
        <v>#N/A</v>
      </c>
      <c r="AA95" s="76" t="e">
        <f>VLOOKUP(A95,Enforcements!$C$3:$J$26,3,0)</f>
        <v>#N/A</v>
      </c>
    </row>
    <row r="96" spans="1:27" s="2" customFormat="1" x14ac:dyDescent="0.25">
      <c r="A96" s="61" t="s">
        <v>329</v>
      </c>
      <c r="B96" s="61">
        <v>4043</v>
      </c>
      <c r="C96" s="61" t="s">
        <v>71</v>
      </c>
      <c r="D96" s="61" t="s">
        <v>113</v>
      </c>
      <c r="E96" s="30">
        <v>42500.657430555555</v>
      </c>
      <c r="F96" s="30">
        <v>42500.658206018517</v>
      </c>
      <c r="G96" s="38">
        <v>1</v>
      </c>
      <c r="H96" s="30" t="s">
        <v>79</v>
      </c>
      <c r="I96" s="30">
        <v>42500.690706018519</v>
      </c>
      <c r="J96" s="61">
        <v>1</v>
      </c>
      <c r="K96" s="61" t="str">
        <f t="shared" si="21"/>
        <v>4043/4044</v>
      </c>
      <c r="L96" s="61" t="str">
        <f>VLOOKUP(A96,'Trips&amp;Operators'!$C$1:$E$9999,3,FALSE)</f>
        <v>COOLAHAN</v>
      </c>
      <c r="M96" s="12">
        <f t="shared" si="37"/>
        <v>3.2500000001164153E-2</v>
      </c>
      <c r="N96" s="13">
        <f t="shared" si="38"/>
        <v>46.800000001676381</v>
      </c>
      <c r="O96" s="13"/>
      <c r="P96" s="13"/>
      <c r="Q96" s="62"/>
      <c r="R96" s="62"/>
      <c r="T96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15:45:42-0600',mode:absolute,to:'2016-05-10 16:35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96" s="75" t="str">
        <f t="shared" si="40"/>
        <v>N</v>
      </c>
      <c r="V96" s="75">
        <f t="shared" si="41"/>
        <v>1</v>
      </c>
      <c r="W96" s="75">
        <f t="shared" si="42"/>
        <v>23.299299999999999</v>
      </c>
      <c r="X96" s="75">
        <f t="shared" si="43"/>
        <v>1.49E-2</v>
      </c>
      <c r="Y96" s="75">
        <f t="shared" si="44"/>
        <v>23.284399999999998</v>
      </c>
      <c r="Z96" s="76">
        <f>VLOOKUP(A96,Enforcements!$C$3:$J$26,8,0)</f>
        <v>10694</v>
      </c>
      <c r="AA96" s="76" t="str">
        <f>VLOOKUP(A96,Enforcements!$C$3:$J$26,3,0)</f>
        <v>PERMANENT SPEED RESTRICTION</v>
      </c>
    </row>
    <row r="97" spans="1:27" s="2" customFormat="1" x14ac:dyDescent="0.25">
      <c r="A97" s="61" t="s">
        <v>330</v>
      </c>
      <c r="B97" s="61">
        <v>4009</v>
      </c>
      <c r="C97" s="61" t="s">
        <v>71</v>
      </c>
      <c r="D97" s="61" t="s">
        <v>87</v>
      </c>
      <c r="E97" s="30">
        <v>42500.628935185188</v>
      </c>
      <c r="F97" s="30">
        <v>42500.630208333336</v>
      </c>
      <c r="G97" s="38">
        <v>1</v>
      </c>
      <c r="H97" s="30" t="s">
        <v>318</v>
      </c>
      <c r="I97" s="30">
        <v>42500.661238425928</v>
      </c>
      <c r="J97" s="61">
        <v>0</v>
      </c>
      <c r="K97" s="61" t="str">
        <f t="shared" si="21"/>
        <v>4009/4010</v>
      </c>
      <c r="L97" s="61" t="str">
        <f>VLOOKUP(A97,'Trips&amp;Operators'!$C$1:$E$9999,3,FALSE)</f>
        <v>REBOLETTI</v>
      </c>
      <c r="M97" s="12">
        <f t="shared" si="37"/>
        <v>3.1030092592118308E-2</v>
      </c>
      <c r="N97" s="13">
        <f t="shared" si="38"/>
        <v>44.683333332650363</v>
      </c>
      <c r="O97" s="13"/>
      <c r="P97" s="13"/>
      <c r="Q97" s="62"/>
      <c r="R97" s="62"/>
      <c r="T97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15:04:40-0600',mode:absolute,to:'2016-05-10 15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97" s="75" t="str">
        <f t="shared" si="40"/>
        <v>N</v>
      </c>
      <c r="V97" s="75">
        <f t="shared" si="41"/>
        <v>1</v>
      </c>
      <c r="W97" s="75">
        <f t="shared" si="42"/>
        <v>4.4900000000000002E-2</v>
      </c>
      <c r="X97" s="75">
        <f t="shared" si="43"/>
        <v>23.328399999999998</v>
      </c>
      <c r="Y97" s="75">
        <f t="shared" si="44"/>
        <v>23.2835</v>
      </c>
      <c r="Z97" s="76" t="e">
        <f>VLOOKUP(A97,Enforcements!$C$3:$J$26,8,0)</f>
        <v>#N/A</v>
      </c>
      <c r="AA97" s="76" t="e">
        <f>VLOOKUP(A97,Enforcements!$C$3:$J$26,3,0)</f>
        <v>#N/A</v>
      </c>
    </row>
    <row r="98" spans="1:27" s="2" customFormat="1" x14ac:dyDescent="0.25">
      <c r="A98" s="61" t="s">
        <v>331</v>
      </c>
      <c r="B98" s="61">
        <v>4010</v>
      </c>
      <c r="C98" s="61" t="s">
        <v>71</v>
      </c>
      <c r="D98" s="61" t="s">
        <v>159</v>
      </c>
      <c r="E98" s="30">
        <v>42500.668796296297</v>
      </c>
      <c r="F98" s="30">
        <v>42500.670115740744</v>
      </c>
      <c r="G98" s="38">
        <v>1</v>
      </c>
      <c r="H98" s="30" t="s">
        <v>266</v>
      </c>
      <c r="I98" s="30">
        <v>42500.702025462961</v>
      </c>
      <c r="J98" s="61">
        <v>0</v>
      </c>
      <c r="K98" s="61" t="str">
        <f t="shared" si="21"/>
        <v>4009/4010</v>
      </c>
      <c r="L98" s="61" t="str">
        <f>VLOOKUP(A98,'Trips&amp;Operators'!$C$1:$E$9999,3,FALSE)</f>
        <v>REBOLETTI</v>
      </c>
      <c r="M98" s="12">
        <f t="shared" si="37"/>
        <v>3.1909722216369119E-2</v>
      </c>
      <c r="N98" s="13">
        <f t="shared" si="38"/>
        <v>45.949999991571531</v>
      </c>
      <c r="O98" s="13"/>
      <c r="P98" s="13"/>
      <c r="Q98" s="62"/>
      <c r="R98" s="62"/>
      <c r="T98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16:02:04-0600',mode:absolute,to:'2016-05-10 16:51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98" s="75" t="str">
        <f t="shared" si="40"/>
        <v>N</v>
      </c>
      <c r="V98" s="75">
        <f t="shared" si="41"/>
        <v>1</v>
      </c>
      <c r="W98" s="75">
        <f t="shared" si="42"/>
        <v>23.2959</v>
      </c>
      <c r="X98" s="75">
        <f t="shared" si="43"/>
        <v>1.5800000000000002E-2</v>
      </c>
      <c r="Y98" s="75">
        <f t="shared" si="44"/>
        <v>23.280100000000001</v>
      </c>
      <c r="Z98" s="76" t="e">
        <f>VLOOKUP(A98,Enforcements!$C$3:$J$26,8,0)</f>
        <v>#N/A</v>
      </c>
      <c r="AA98" s="76" t="e">
        <f>VLOOKUP(A98,Enforcements!$C$3:$J$26,3,0)</f>
        <v>#N/A</v>
      </c>
    </row>
    <row r="99" spans="1:27" s="2" customFormat="1" x14ac:dyDescent="0.25">
      <c r="A99" s="61" t="s">
        <v>332</v>
      </c>
      <c r="B99" s="61">
        <v>4020</v>
      </c>
      <c r="C99" s="61" t="s">
        <v>71</v>
      </c>
      <c r="D99" s="61" t="s">
        <v>333</v>
      </c>
      <c r="E99" s="30">
        <v>42500.642939814818</v>
      </c>
      <c r="F99" s="30">
        <v>42500.644386574073</v>
      </c>
      <c r="G99" s="38">
        <v>2</v>
      </c>
      <c r="H99" s="30" t="s">
        <v>73</v>
      </c>
      <c r="I99" s="30">
        <v>42500.673229166663</v>
      </c>
      <c r="J99" s="61">
        <v>0</v>
      </c>
      <c r="K99" s="61" t="str">
        <f t="shared" ref="K99:K130" si="45">IF(ISEVEN(B99),(B99-1)&amp;"/"&amp;B99,B99&amp;"/"&amp;(B99+1))</f>
        <v>4019/4020</v>
      </c>
      <c r="L99" s="61" t="str">
        <f>VLOOKUP(A99,'Trips&amp;Operators'!$C$1:$E$9999,3,FALSE)</f>
        <v>RIVERA</v>
      </c>
      <c r="M99" s="12">
        <f t="shared" si="37"/>
        <v>2.884259259008104E-2</v>
      </c>
      <c r="N99" s="13">
        <f t="shared" si="38"/>
        <v>41.533333329716697</v>
      </c>
      <c r="O99" s="13"/>
      <c r="P99" s="13"/>
      <c r="Q99" s="62"/>
      <c r="R99" s="62"/>
      <c r="T99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15:24:50-0600',mode:absolute,to:'2016-05-10 16:10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99" s="75" t="str">
        <f t="shared" si="40"/>
        <v>N</v>
      </c>
      <c r="V99" s="75">
        <f t="shared" si="41"/>
        <v>1</v>
      </c>
      <c r="W99" s="75">
        <f t="shared" si="42"/>
        <v>4.4200000000000003E-2</v>
      </c>
      <c r="X99" s="75">
        <f t="shared" si="43"/>
        <v>23.331</v>
      </c>
      <c r="Y99" s="75">
        <f t="shared" si="44"/>
        <v>23.286799999999999</v>
      </c>
      <c r="Z99" s="76" t="e">
        <f>VLOOKUP(A99,Enforcements!$C$3:$J$26,8,0)</f>
        <v>#N/A</v>
      </c>
      <c r="AA99" s="76" t="e">
        <f>VLOOKUP(A99,Enforcements!$C$3:$J$26,3,0)</f>
        <v>#N/A</v>
      </c>
    </row>
    <row r="100" spans="1:27" s="2" customFormat="1" x14ac:dyDescent="0.25">
      <c r="A100" s="61" t="s">
        <v>334</v>
      </c>
      <c r="B100" s="61">
        <v>4019</v>
      </c>
      <c r="C100" s="61" t="s">
        <v>71</v>
      </c>
      <c r="D100" s="61" t="s">
        <v>113</v>
      </c>
      <c r="E100" s="30">
        <v>42500.680902777778</v>
      </c>
      <c r="F100" s="30">
        <v>42500.683379629627</v>
      </c>
      <c r="G100" s="38">
        <v>3</v>
      </c>
      <c r="H100" s="30" t="s">
        <v>91</v>
      </c>
      <c r="I100" s="30">
        <v>42500.711539351854</v>
      </c>
      <c r="J100" s="61">
        <v>0</v>
      </c>
      <c r="K100" s="61" t="str">
        <f t="shared" si="45"/>
        <v>4019/4020</v>
      </c>
      <c r="L100" s="61" t="str">
        <f>VLOOKUP(A100,'Trips&amp;Operators'!$C$1:$E$9999,3,FALSE)</f>
        <v>RIVERA</v>
      </c>
      <c r="M100" s="12">
        <f t="shared" si="37"/>
        <v>2.8159722227428574E-2</v>
      </c>
      <c r="N100" s="13">
        <f t="shared" si="38"/>
        <v>40.550000007497147</v>
      </c>
      <c r="O100" s="13"/>
      <c r="P100" s="13"/>
      <c r="Q100" s="62"/>
      <c r="R100" s="62"/>
      <c r="T100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16:19:30-0600',mode:absolute,to:'2016-05-10 17:05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00" s="75" t="str">
        <f t="shared" si="40"/>
        <v>N</v>
      </c>
      <c r="V100" s="75">
        <f t="shared" si="41"/>
        <v>1</v>
      </c>
      <c r="W100" s="75">
        <f t="shared" si="42"/>
        <v>23.299299999999999</v>
      </c>
      <c r="X100" s="75">
        <f t="shared" si="43"/>
        <v>1.4500000000000001E-2</v>
      </c>
      <c r="Y100" s="75">
        <f t="shared" si="44"/>
        <v>23.284799999999997</v>
      </c>
      <c r="Z100" s="76" t="e">
        <f>VLOOKUP(A100,Enforcements!$C$3:$J$26,8,0)</f>
        <v>#N/A</v>
      </c>
      <c r="AA100" s="76" t="e">
        <f>VLOOKUP(A100,Enforcements!$C$3:$J$26,3,0)</f>
        <v>#N/A</v>
      </c>
    </row>
    <row r="101" spans="1:27" s="2" customFormat="1" x14ac:dyDescent="0.25">
      <c r="A101" s="61" t="s">
        <v>335</v>
      </c>
      <c r="B101" s="61">
        <v>4011</v>
      </c>
      <c r="C101" s="61" t="s">
        <v>71</v>
      </c>
      <c r="D101" s="61" t="s">
        <v>336</v>
      </c>
      <c r="E101" s="30">
        <v>42500.653935185182</v>
      </c>
      <c r="F101" s="30">
        <v>42500.654930555553</v>
      </c>
      <c r="G101" s="38">
        <v>1</v>
      </c>
      <c r="H101" s="30" t="s">
        <v>337</v>
      </c>
      <c r="I101" s="30">
        <v>42500.685416666667</v>
      </c>
      <c r="J101" s="61">
        <v>1</v>
      </c>
      <c r="K101" s="61" t="str">
        <f t="shared" si="45"/>
        <v>4011/4012</v>
      </c>
      <c r="L101" s="61" t="str">
        <f>VLOOKUP(A101,'Trips&amp;Operators'!$C$1:$E$9999,3,FALSE)</f>
        <v>YOUNG</v>
      </c>
      <c r="M101" s="12">
        <f t="shared" si="37"/>
        <v>3.0486111114441883E-2</v>
      </c>
      <c r="N101" s="13">
        <f t="shared" si="38"/>
        <v>43.900000004796311</v>
      </c>
      <c r="O101" s="13"/>
      <c r="P101" s="13"/>
      <c r="Q101" s="62"/>
      <c r="R101" s="62"/>
      <c r="T101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15:40:40-0600',mode:absolute,to:'2016-05-10 16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01" s="75" t="str">
        <f t="shared" si="40"/>
        <v>N</v>
      </c>
      <c r="V101" s="75">
        <f t="shared" si="41"/>
        <v>1</v>
      </c>
      <c r="W101" s="75">
        <f t="shared" si="42"/>
        <v>5.3699999999999998E-2</v>
      </c>
      <c r="X101" s="75">
        <f t="shared" si="43"/>
        <v>23.323799999999999</v>
      </c>
      <c r="Y101" s="75">
        <f t="shared" si="44"/>
        <v>23.270099999999999</v>
      </c>
      <c r="Z101" s="76">
        <f>VLOOKUP(A101,Enforcements!$C$3:$J$26,8,0)</f>
        <v>0</v>
      </c>
      <c r="AA101" s="76" t="str">
        <f>VLOOKUP(A101,Enforcements!$C$3:$J$26,3,0)</f>
        <v>PERMANENT SPEED RESTRICTION</v>
      </c>
    </row>
    <row r="102" spans="1:27" s="2" customFormat="1" x14ac:dyDescent="0.25">
      <c r="A102" s="61" t="s">
        <v>338</v>
      </c>
      <c r="B102" s="61">
        <v>4012</v>
      </c>
      <c r="C102" s="61" t="s">
        <v>71</v>
      </c>
      <c r="D102" s="61" t="s">
        <v>339</v>
      </c>
      <c r="E102" s="30">
        <v>42500.690578703703</v>
      </c>
      <c r="F102" s="30">
        <v>42500.691678240742</v>
      </c>
      <c r="G102" s="38">
        <v>1</v>
      </c>
      <c r="H102" s="30" t="s">
        <v>340</v>
      </c>
      <c r="I102" s="30">
        <v>42500.725798611114</v>
      </c>
      <c r="J102" s="61">
        <v>2</v>
      </c>
      <c r="K102" s="61" t="str">
        <f t="shared" si="45"/>
        <v>4011/4012</v>
      </c>
      <c r="L102" s="61" t="str">
        <f>VLOOKUP(A102,'Trips&amp;Operators'!$C$1:$E$9999,3,FALSE)</f>
        <v>YOUNG</v>
      </c>
      <c r="M102" s="12">
        <f t="shared" si="37"/>
        <v>3.4120370371965691E-2</v>
      </c>
      <c r="N102" s="13">
        <f t="shared" si="38"/>
        <v>49.133333335630596</v>
      </c>
      <c r="O102" s="13"/>
      <c r="P102" s="13"/>
      <c r="Q102" s="62"/>
      <c r="R102" s="62"/>
      <c r="T102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16:33:26-0600',mode:absolute,to:'2016-05-10 17:26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02" s="75" t="str">
        <f t="shared" si="40"/>
        <v>N</v>
      </c>
      <c r="V102" s="75">
        <f t="shared" si="41"/>
        <v>1</v>
      </c>
      <c r="W102" s="75">
        <f t="shared" si="42"/>
        <v>23.296700000000001</v>
      </c>
      <c r="X102" s="75">
        <f t="shared" si="43"/>
        <v>4.1500000000000002E-2</v>
      </c>
      <c r="Y102" s="75">
        <f t="shared" si="44"/>
        <v>23.255200000000002</v>
      </c>
      <c r="Z102" s="76">
        <f>VLOOKUP(A102,Enforcements!$C$3:$J$26,8,0)</f>
        <v>69363</v>
      </c>
      <c r="AA102" s="76" t="str">
        <f>VLOOKUP(A102,Enforcements!$C$3:$J$26,3,0)</f>
        <v>SWITCH UNKNOWN</v>
      </c>
    </row>
    <row r="103" spans="1:27" s="2" customFormat="1" x14ac:dyDescent="0.25">
      <c r="A103" s="61" t="s">
        <v>341</v>
      </c>
      <c r="B103" s="61">
        <v>4024</v>
      </c>
      <c r="C103" s="61" t="s">
        <v>71</v>
      </c>
      <c r="D103" s="61" t="s">
        <v>82</v>
      </c>
      <c r="E103" s="30">
        <v>42500.66065972222</v>
      </c>
      <c r="F103" s="30">
        <v>42500.661840277775</v>
      </c>
      <c r="G103" s="38">
        <v>1</v>
      </c>
      <c r="H103" s="30" t="s">
        <v>342</v>
      </c>
      <c r="I103" s="30">
        <v>42500.691863425927</v>
      </c>
      <c r="J103" s="61">
        <v>1</v>
      </c>
      <c r="K103" s="61" t="str">
        <f t="shared" si="45"/>
        <v>4023/4024</v>
      </c>
      <c r="L103" s="61" t="str">
        <f>VLOOKUP(A103,'Trips&amp;Operators'!$C$1:$E$9999,3,FALSE)</f>
        <v>STORY</v>
      </c>
      <c r="M103" s="12">
        <f t="shared" si="37"/>
        <v>3.0023148152395152E-2</v>
      </c>
      <c r="N103" s="13">
        <f t="shared" si="38"/>
        <v>43.233333339449018</v>
      </c>
      <c r="O103" s="13"/>
      <c r="P103" s="13"/>
      <c r="Q103" s="62"/>
      <c r="R103" s="62"/>
      <c r="T103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15:50:21-0600',mode:absolute,to:'2016-05-10 16:37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03" s="75" t="str">
        <f t="shared" si="40"/>
        <v>N</v>
      </c>
      <c r="V103" s="75">
        <f t="shared" si="41"/>
        <v>1</v>
      </c>
      <c r="W103" s="75">
        <f t="shared" si="42"/>
        <v>4.5699999999999998E-2</v>
      </c>
      <c r="X103" s="75">
        <f t="shared" si="43"/>
        <v>23.3217</v>
      </c>
      <c r="Y103" s="75">
        <f t="shared" si="44"/>
        <v>23.276</v>
      </c>
      <c r="Z103" s="76" t="e">
        <f>VLOOKUP(A103,Enforcements!$C$3:$J$26,8,0)</f>
        <v>#N/A</v>
      </c>
      <c r="AA103" s="76" t="e">
        <f>VLOOKUP(A103,Enforcements!$C$3:$J$26,3,0)</f>
        <v>#N/A</v>
      </c>
    </row>
    <row r="104" spans="1:27" s="2" customFormat="1" x14ac:dyDescent="0.25">
      <c r="A104" s="61" t="s">
        <v>343</v>
      </c>
      <c r="B104" s="61">
        <v>4023</v>
      </c>
      <c r="C104" s="61" t="s">
        <v>71</v>
      </c>
      <c r="D104" s="61" t="s">
        <v>344</v>
      </c>
      <c r="E104" s="30">
        <v>42500.694618055553</v>
      </c>
      <c r="F104" s="30">
        <v>42500.695428240739</v>
      </c>
      <c r="G104" s="38">
        <v>1</v>
      </c>
      <c r="H104" s="30" t="s">
        <v>93</v>
      </c>
      <c r="I104" s="30">
        <v>42500.73196759259</v>
      </c>
      <c r="J104" s="61">
        <v>0</v>
      </c>
      <c r="K104" s="61" t="str">
        <f t="shared" si="45"/>
        <v>4023/4024</v>
      </c>
      <c r="L104" s="61" t="str">
        <f>VLOOKUP(A104,'Trips&amp;Operators'!$C$1:$E$9999,3,FALSE)</f>
        <v>STORY</v>
      </c>
      <c r="M104" s="12">
        <f t="shared" si="37"/>
        <v>3.6539351851388346E-2</v>
      </c>
      <c r="N104" s="13">
        <f t="shared" si="38"/>
        <v>52.616666665999219</v>
      </c>
      <c r="O104" s="13"/>
      <c r="P104" s="13"/>
      <c r="Q104" s="62"/>
      <c r="R104" s="62"/>
      <c r="T104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16:39:15-0600',mode:absolute,to:'2016-05-10 17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04" s="75" t="str">
        <f t="shared" si="40"/>
        <v>N</v>
      </c>
      <c r="V104" s="75">
        <f t="shared" si="41"/>
        <v>1</v>
      </c>
      <c r="W104" s="75">
        <f t="shared" si="42"/>
        <v>23.290199999999999</v>
      </c>
      <c r="X104" s="75">
        <f t="shared" si="43"/>
        <v>1.3599999999999999E-2</v>
      </c>
      <c r="Y104" s="75">
        <f t="shared" si="44"/>
        <v>23.276599999999998</v>
      </c>
      <c r="Z104" s="76" t="e">
        <f>VLOOKUP(A104,Enforcements!$C$3:$J$26,8,0)</f>
        <v>#N/A</v>
      </c>
      <c r="AA104" s="76" t="e">
        <f>VLOOKUP(A104,Enforcements!$C$3:$J$26,3,0)</f>
        <v>#N/A</v>
      </c>
    </row>
    <row r="105" spans="1:27" s="2" customFormat="1" x14ac:dyDescent="0.25">
      <c r="A105" s="61" t="s">
        <v>345</v>
      </c>
      <c r="B105" s="61">
        <v>4016</v>
      </c>
      <c r="C105" s="61" t="s">
        <v>71</v>
      </c>
      <c r="D105" s="61" t="s">
        <v>97</v>
      </c>
      <c r="E105" s="30">
        <v>42500.682824074072</v>
      </c>
      <c r="F105" s="30">
        <v>42500.684224537035</v>
      </c>
      <c r="G105" s="38">
        <v>2</v>
      </c>
      <c r="H105" s="30" t="s">
        <v>225</v>
      </c>
      <c r="I105" s="30">
        <v>42500.713090277779</v>
      </c>
      <c r="J105" s="61">
        <v>0</v>
      </c>
      <c r="K105" s="61" t="str">
        <f t="shared" si="45"/>
        <v>4015/4016</v>
      </c>
      <c r="L105" s="61" t="str">
        <f>VLOOKUP(A105,'Trips&amp;Operators'!$C$1:$E$9999,3,FALSE)</f>
        <v>ADANE</v>
      </c>
      <c r="M105" s="12">
        <f t="shared" si="37"/>
        <v>2.8865740743640345E-2</v>
      </c>
      <c r="N105" s="13">
        <f t="shared" si="38"/>
        <v>41.566666670842096</v>
      </c>
      <c r="O105" s="13"/>
      <c r="P105" s="13"/>
      <c r="Q105" s="62"/>
      <c r="R105" s="62"/>
      <c r="T105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16:22:16-0600',mode:absolute,to:'2016-05-10 17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05" s="75" t="str">
        <f t="shared" si="40"/>
        <v>N</v>
      </c>
      <c r="V105" s="75">
        <f t="shared" si="41"/>
        <v>3</v>
      </c>
      <c r="W105" s="75">
        <f t="shared" si="42"/>
        <v>4.5499999999999999E-2</v>
      </c>
      <c r="X105" s="75">
        <f t="shared" si="43"/>
        <v>23.334199999999999</v>
      </c>
      <c r="Y105" s="75">
        <f t="shared" si="44"/>
        <v>23.288699999999999</v>
      </c>
      <c r="Z105" s="76" t="e">
        <f>VLOOKUP(A105,Enforcements!$C$3:$J$26,8,0)</f>
        <v>#N/A</v>
      </c>
      <c r="AA105" s="76" t="e">
        <f>VLOOKUP(A105,Enforcements!$C$3:$J$26,3,0)</f>
        <v>#N/A</v>
      </c>
    </row>
    <row r="106" spans="1:27" s="2" customFormat="1" x14ac:dyDescent="0.25">
      <c r="A106" s="61" t="s">
        <v>346</v>
      </c>
      <c r="B106" s="61">
        <v>4015</v>
      </c>
      <c r="C106" s="61" t="s">
        <v>71</v>
      </c>
      <c r="D106" s="61" t="s">
        <v>347</v>
      </c>
      <c r="E106" s="30">
        <v>42500.721226851849</v>
      </c>
      <c r="F106" s="30">
        <v>42500.722268518519</v>
      </c>
      <c r="G106" s="38">
        <v>1</v>
      </c>
      <c r="H106" s="30" t="s">
        <v>81</v>
      </c>
      <c r="I106" s="30">
        <v>42500.754328703704</v>
      </c>
      <c r="J106" s="61">
        <v>0</v>
      </c>
      <c r="K106" s="61" t="str">
        <f t="shared" si="45"/>
        <v>4015/4016</v>
      </c>
      <c r="L106" s="61" t="str">
        <f>VLOOKUP(A106,'Trips&amp;Operators'!$C$1:$E$9999,3,FALSE)</f>
        <v>ADANE</v>
      </c>
      <c r="M106" s="12">
        <f t="shared" si="37"/>
        <v>3.2060185185400769E-2</v>
      </c>
      <c r="N106" s="13">
        <f t="shared" si="38"/>
        <v>46.166666666977108</v>
      </c>
      <c r="O106" s="13"/>
      <c r="P106" s="13"/>
      <c r="Q106" s="62"/>
      <c r="R106" s="62"/>
      <c r="T106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17:17:34-0600',mode:absolute,to:'2016-05-10 18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06" s="75" t="str">
        <f t="shared" si="40"/>
        <v>N</v>
      </c>
      <c r="V106" s="75">
        <f t="shared" si="41"/>
        <v>1</v>
      </c>
      <c r="W106" s="75">
        <f t="shared" si="42"/>
        <v>23.303599999999999</v>
      </c>
      <c r="X106" s="75">
        <f t="shared" si="43"/>
        <v>1.43E-2</v>
      </c>
      <c r="Y106" s="75">
        <f t="shared" si="44"/>
        <v>23.289300000000001</v>
      </c>
      <c r="Z106" s="76" t="e">
        <f>VLOOKUP(A106,Enforcements!$C$3:$J$26,8,0)</f>
        <v>#N/A</v>
      </c>
      <c r="AA106" s="76" t="e">
        <f>VLOOKUP(A106,Enforcements!$C$3:$J$26,3,0)</f>
        <v>#N/A</v>
      </c>
    </row>
    <row r="107" spans="1:27" s="2" customFormat="1" x14ac:dyDescent="0.25">
      <c r="A107" s="61" t="s">
        <v>348</v>
      </c>
      <c r="B107" s="61">
        <v>4044</v>
      </c>
      <c r="C107" s="61" t="s">
        <v>71</v>
      </c>
      <c r="D107" s="61" t="s">
        <v>100</v>
      </c>
      <c r="E107" s="30">
        <v>42500.69222222222</v>
      </c>
      <c r="F107" s="30">
        <v>42500.693298611113</v>
      </c>
      <c r="G107" s="38">
        <v>1</v>
      </c>
      <c r="H107" s="30" t="s">
        <v>349</v>
      </c>
      <c r="I107" s="30">
        <v>42500.723541666666</v>
      </c>
      <c r="J107" s="61">
        <v>1</v>
      </c>
      <c r="K107" s="61" t="str">
        <f t="shared" si="45"/>
        <v>4043/4044</v>
      </c>
      <c r="L107" s="61" t="str">
        <f>VLOOKUP(A107,'Trips&amp;Operators'!$C$1:$E$9999,3,FALSE)</f>
        <v>COOLAHAN</v>
      </c>
      <c r="M107" s="12">
        <f t="shared" si="37"/>
        <v>3.0243055553000886E-2</v>
      </c>
      <c r="N107" s="13">
        <f t="shared" si="38"/>
        <v>43.549999996321276</v>
      </c>
      <c r="O107" s="13"/>
      <c r="P107" s="13"/>
      <c r="Q107" s="62"/>
      <c r="R107" s="62"/>
      <c r="T107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16:35:48-0600',mode:absolute,to:'2016-05-10 17:22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07" s="75" t="str">
        <f t="shared" si="40"/>
        <v>N</v>
      </c>
      <c r="V107" s="75">
        <f t="shared" si="41"/>
        <v>1</v>
      </c>
      <c r="W107" s="75">
        <f t="shared" si="42"/>
        <v>4.53E-2</v>
      </c>
      <c r="X107" s="75">
        <f t="shared" si="43"/>
        <v>23.327000000000002</v>
      </c>
      <c r="Y107" s="75">
        <f t="shared" si="44"/>
        <v>23.281700000000001</v>
      </c>
      <c r="Z107" s="76" t="e">
        <f>VLOOKUP(A107,Enforcements!$C$3:$J$26,8,0)</f>
        <v>#N/A</v>
      </c>
      <c r="AA107" s="76" t="e">
        <f>VLOOKUP(A107,Enforcements!$C$3:$J$26,3,0)</f>
        <v>#N/A</v>
      </c>
    </row>
    <row r="108" spans="1:27" s="2" customFormat="1" x14ac:dyDescent="0.25">
      <c r="A108" s="61" t="s">
        <v>350</v>
      </c>
      <c r="B108" s="61">
        <v>4043</v>
      </c>
      <c r="C108" s="61" t="s">
        <v>71</v>
      </c>
      <c r="D108" s="61" t="s">
        <v>159</v>
      </c>
      <c r="E108" s="30">
        <v>42500.732094907406</v>
      </c>
      <c r="F108" s="30">
        <v>42500.733229166668</v>
      </c>
      <c r="G108" s="38">
        <v>1</v>
      </c>
      <c r="H108" s="30" t="s">
        <v>77</v>
      </c>
      <c r="I108" s="30">
        <v>42500.765277777777</v>
      </c>
      <c r="J108" s="61">
        <v>0</v>
      </c>
      <c r="K108" s="61" t="str">
        <f t="shared" si="45"/>
        <v>4043/4044</v>
      </c>
      <c r="L108" s="61" t="str">
        <f>VLOOKUP(A108,'Trips&amp;Operators'!$C$1:$E$9999,3,FALSE)</f>
        <v>COOLAHAN</v>
      </c>
      <c r="M108" s="12">
        <f t="shared" si="37"/>
        <v>3.2048611108621117E-2</v>
      </c>
      <c r="N108" s="13">
        <f t="shared" si="38"/>
        <v>46.149999996414408</v>
      </c>
      <c r="O108" s="13"/>
      <c r="P108" s="13"/>
      <c r="Q108" s="62"/>
      <c r="R108" s="62"/>
      <c r="T108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17:33:13-0600',mode:absolute,to:'2016-05-10 18:23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08" s="75" t="str">
        <f t="shared" si="40"/>
        <v>N</v>
      </c>
      <c r="V108" s="75">
        <f t="shared" si="41"/>
        <v>1</v>
      </c>
      <c r="W108" s="75">
        <f t="shared" si="42"/>
        <v>23.2959</v>
      </c>
      <c r="X108" s="75">
        <f t="shared" si="43"/>
        <v>1.5599999999999999E-2</v>
      </c>
      <c r="Y108" s="75">
        <f t="shared" si="44"/>
        <v>23.2803</v>
      </c>
      <c r="Z108" s="76" t="e">
        <f>VLOOKUP(A108,Enforcements!$C$3:$J$26,8,0)</f>
        <v>#N/A</v>
      </c>
      <c r="AA108" s="76" t="e">
        <f>VLOOKUP(A108,Enforcements!$C$3:$J$26,3,0)</f>
        <v>#N/A</v>
      </c>
    </row>
    <row r="109" spans="1:27" s="2" customFormat="1" x14ac:dyDescent="0.25">
      <c r="A109" s="61" t="s">
        <v>351</v>
      </c>
      <c r="B109" s="61">
        <v>4009</v>
      </c>
      <c r="C109" s="61" t="s">
        <v>71</v>
      </c>
      <c r="D109" s="61" t="s">
        <v>82</v>
      </c>
      <c r="E109" s="30">
        <v>42500.704699074071</v>
      </c>
      <c r="F109" s="30">
        <v>42500.705752314818</v>
      </c>
      <c r="G109" s="38">
        <v>1</v>
      </c>
      <c r="H109" s="30" t="s">
        <v>352</v>
      </c>
      <c r="I109" s="30">
        <v>42500.734189814815</v>
      </c>
      <c r="J109" s="61">
        <v>0</v>
      </c>
      <c r="K109" s="61" t="str">
        <f t="shared" si="45"/>
        <v>4009/4010</v>
      </c>
      <c r="L109" s="61" t="str">
        <f>VLOOKUP(A109,'Trips&amp;Operators'!$C$1:$E$9999,3,FALSE)</f>
        <v>REBOLETTI</v>
      </c>
      <c r="M109" s="12">
        <f t="shared" si="37"/>
        <v>2.8437499997380655E-2</v>
      </c>
      <c r="N109" s="13">
        <f t="shared" si="38"/>
        <v>40.949999996228144</v>
      </c>
      <c r="O109" s="13"/>
      <c r="P109" s="13"/>
      <c r="Q109" s="62"/>
      <c r="R109" s="62"/>
      <c r="T109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16:53:46-0600',mode:absolute,to:'2016-05-10 17:38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09" s="75" t="str">
        <f t="shared" si="40"/>
        <v>N</v>
      </c>
      <c r="V109" s="75">
        <f t="shared" si="41"/>
        <v>1</v>
      </c>
      <c r="W109" s="75">
        <f t="shared" si="42"/>
        <v>4.5699999999999998E-2</v>
      </c>
      <c r="X109" s="75">
        <f t="shared" si="43"/>
        <v>23.328499999999998</v>
      </c>
      <c r="Y109" s="75">
        <f t="shared" si="44"/>
        <v>23.282799999999998</v>
      </c>
      <c r="Z109" s="76" t="e">
        <f>VLOOKUP(A109,Enforcements!$C$3:$J$26,8,0)</f>
        <v>#N/A</v>
      </c>
      <c r="AA109" s="76" t="e">
        <f>VLOOKUP(A109,Enforcements!$C$3:$J$26,3,0)</f>
        <v>#N/A</v>
      </c>
    </row>
    <row r="110" spans="1:27" s="2" customFormat="1" x14ac:dyDescent="0.25">
      <c r="A110" s="61" t="s">
        <v>353</v>
      </c>
      <c r="B110" s="61">
        <v>4010</v>
      </c>
      <c r="C110" s="61" t="s">
        <v>71</v>
      </c>
      <c r="D110" s="61" t="s">
        <v>104</v>
      </c>
      <c r="E110" s="30">
        <v>42500.743807870371</v>
      </c>
      <c r="F110" s="30">
        <v>42500.744942129626</v>
      </c>
      <c r="G110" s="38">
        <v>1</v>
      </c>
      <c r="H110" s="30" t="s">
        <v>160</v>
      </c>
      <c r="I110" s="30">
        <v>42500.773321759261</v>
      </c>
      <c r="J110" s="61">
        <v>1</v>
      </c>
      <c r="K110" s="61" t="str">
        <f t="shared" si="45"/>
        <v>4009/4010</v>
      </c>
      <c r="L110" s="61" t="str">
        <f>VLOOKUP(A110,'Trips&amp;Operators'!$C$1:$E$9999,3,FALSE)</f>
        <v>REBOLETTI</v>
      </c>
      <c r="M110" s="12">
        <f t="shared" si="37"/>
        <v>2.8379629635310266E-2</v>
      </c>
      <c r="N110" s="13">
        <f t="shared" si="38"/>
        <v>40.866666674846783</v>
      </c>
      <c r="O110" s="13"/>
      <c r="P110" s="13"/>
      <c r="Q110" s="62"/>
      <c r="R110" s="62"/>
      <c r="T110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17:50:05-0600',mode:absolute,to:'2016-05-10 18:34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10" s="75" t="str">
        <f t="shared" si="40"/>
        <v>N</v>
      </c>
      <c r="V110" s="75">
        <f t="shared" si="41"/>
        <v>1</v>
      </c>
      <c r="W110" s="75">
        <f t="shared" si="42"/>
        <v>23.297599999999999</v>
      </c>
      <c r="X110" s="75">
        <f t="shared" si="43"/>
        <v>1.67E-2</v>
      </c>
      <c r="Y110" s="75">
        <f t="shared" si="44"/>
        <v>23.280899999999999</v>
      </c>
      <c r="Z110" s="76" t="e">
        <f>VLOOKUP(A110,Enforcements!$C$3:$J$26,8,0)</f>
        <v>#N/A</v>
      </c>
      <c r="AA110" s="76" t="e">
        <f>VLOOKUP(A110,Enforcements!$C$3:$J$26,3,0)</f>
        <v>#N/A</v>
      </c>
    </row>
    <row r="111" spans="1:27" s="2" customFormat="1" x14ac:dyDescent="0.25">
      <c r="A111" s="61" t="s">
        <v>354</v>
      </c>
      <c r="B111" s="61">
        <v>4020</v>
      </c>
      <c r="C111" s="61" t="s">
        <v>71</v>
      </c>
      <c r="D111" s="61" t="s">
        <v>103</v>
      </c>
      <c r="E111" s="30">
        <v>42500.716793981483</v>
      </c>
      <c r="F111" s="30">
        <v>42500.717881944445</v>
      </c>
      <c r="G111" s="38">
        <v>1</v>
      </c>
      <c r="H111" s="30" t="s">
        <v>355</v>
      </c>
      <c r="I111" s="30">
        <v>42500.744467592594</v>
      </c>
      <c r="J111" s="61">
        <v>0</v>
      </c>
      <c r="K111" s="61" t="str">
        <f t="shared" si="45"/>
        <v>4019/4020</v>
      </c>
      <c r="L111" s="61" t="str">
        <f>VLOOKUP(A111,'Trips&amp;Operators'!$C$1:$E$9999,3,FALSE)</f>
        <v>LEVERE</v>
      </c>
      <c r="M111" s="12">
        <f t="shared" si="37"/>
        <v>2.658564814919373E-2</v>
      </c>
      <c r="N111" s="13">
        <f t="shared" si="38"/>
        <v>38.283333334838971</v>
      </c>
      <c r="O111" s="13"/>
      <c r="P111" s="13"/>
      <c r="Q111" s="62"/>
      <c r="R111" s="62"/>
      <c r="T111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17:11:11-0600',mode:absolute,to:'2016-05-10 17:53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11" s="75" t="str">
        <f t="shared" si="40"/>
        <v>N</v>
      </c>
      <c r="V111" s="75">
        <f t="shared" si="41"/>
        <v>1</v>
      </c>
      <c r="W111" s="75">
        <f t="shared" si="42"/>
        <v>4.5999999999999999E-2</v>
      </c>
      <c r="X111" s="75">
        <f t="shared" si="43"/>
        <v>23.3264</v>
      </c>
      <c r="Y111" s="75">
        <f t="shared" si="44"/>
        <v>23.2804</v>
      </c>
      <c r="Z111" s="76" t="e">
        <f>VLOOKUP(A111,Enforcements!$C$3:$J$26,8,0)</f>
        <v>#N/A</v>
      </c>
      <c r="AA111" s="76" t="e">
        <f>VLOOKUP(A111,Enforcements!$C$3:$J$26,3,0)</f>
        <v>#N/A</v>
      </c>
    </row>
    <row r="112" spans="1:27" s="2" customFormat="1" x14ac:dyDescent="0.25">
      <c r="A112" s="61" t="s">
        <v>356</v>
      </c>
      <c r="B112" s="61">
        <v>4019</v>
      </c>
      <c r="C112" s="61" t="s">
        <v>71</v>
      </c>
      <c r="D112" s="61" t="s">
        <v>357</v>
      </c>
      <c r="E112" s="30">
        <v>42500.750034722223</v>
      </c>
      <c r="F112" s="30">
        <v>42500.751018518517</v>
      </c>
      <c r="G112" s="38">
        <v>1</v>
      </c>
      <c r="H112" s="30" t="s">
        <v>266</v>
      </c>
      <c r="I112" s="30">
        <v>42500.784791666665</v>
      </c>
      <c r="J112" s="61">
        <v>0</v>
      </c>
      <c r="K112" s="61" t="str">
        <f t="shared" si="45"/>
        <v>4019/4020</v>
      </c>
      <c r="L112" s="61" t="str">
        <f>VLOOKUP(A112,'Trips&amp;Operators'!$C$1:$E$9999,3,FALSE)</f>
        <v>LEVERE</v>
      </c>
      <c r="M112" s="12">
        <f t="shared" si="37"/>
        <v>3.3773148148611654E-2</v>
      </c>
      <c r="N112" s="13">
        <f t="shared" si="38"/>
        <v>48.633333334000781</v>
      </c>
      <c r="O112" s="13"/>
      <c r="P112" s="13"/>
      <c r="Q112" s="62"/>
      <c r="R112" s="62"/>
      <c r="T112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17:59:03-0600',mode:absolute,to:'2016-05-10 18:51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12" s="75" t="str">
        <f t="shared" si="40"/>
        <v>N</v>
      </c>
      <c r="V112" s="75">
        <f t="shared" si="41"/>
        <v>1</v>
      </c>
      <c r="W112" s="75">
        <f t="shared" si="42"/>
        <v>23.294599999999999</v>
      </c>
      <c r="X112" s="75">
        <f t="shared" si="43"/>
        <v>1.5800000000000002E-2</v>
      </c>
      <c r="Y112" s="75">
        <f t="shared" si="44"/>
        <v>23.2788</v>
      </c>
      <c r="Z112" s="76" t="e">
        <f>VLOOKUP(A112,Enforcements!$C$3:$J$26,8,0)</f>
        <v>#N/A</v>
      </c>
      <c r="AA112" s="76" t="e">
        <f>VLOOKUP(A112,Enforcements!$C$3:$J$26,3,0)</f>
        <v>#N/A</v>
      </c>
    </row>
    <row r="113" spans="1:27" s="2" customFormat="1" x14ac:dyDescent="0.25">
      <c r="A113" s="61" t="s">
        <v>358</v>
      </c>
      <c r="B113" s="61">
        <v>4011</v>
      </c>
      <c r="C113" s="61" t="s">
        <v>71</v>
      </c>
      <c r="D113" s="61" t="s">
        <v>359</v>
      </c>
      <c r="E113" s="30">
        <v>42500.728078703702</v>
      </c>
      <c r="F113" s="30">
        <v>42500.728773148148</v>
      </c>
      <c r="G113" s="38">
        <v>0</v>
      </c>
      <c r="H113" s="30" t="s">
        <v>95</v>
      </c>
      <c r="I113" s="30">
        <v>42500.755254629628</v>
      </c>
      <c r="J113" s="61">
        <v>0</v>
      </c>
      <c r="K113" s="61" t="str">
        <f t="shared" si="45"/>
        <v>4011/4012</v>
      </c>
      <c r="L113" s="61" t="str">
        <f>VLOOKUP(A113,'Trips&amp;Operators'!$C$1:$E$9999,3,FALSE)</f>
        <v>YOUNG</v>
      </c>
      <c r="M113" s="12">
        <f t="shared" si="37"/>
        <v>2.6481481480004732E-2</v>
      </c>
      <c r="N113" s="13">
        <f t="shared" si="38"/>
        <v>38.133333331206813</v>
      </c>
      <c r="O113" s="13"/>
      <c r="P113" s="13"/>
      <c r="Q113" s="62"/>
      <c r="R113" s="62"/>
      <c r="T113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17:27:26-0600',mode:absolute,to:'2016-05-10 18:08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13" s="75" t="str">
        <f t="shared" si="40"/>
        <v>N</v>
      </c>
      <c r="V113" s="75">
        <f t="shared" si="41"/>
        <v>1</v>
      </c>
      <c r="W113" s="75">
        <f t="shared" si="42"/>
        <v>5.57E-2</v>
      </c>
      <c r="X113" s="75">
        <f t="shared" si="43"/>
        <v>23.3308</v>
      </c>
      <c r="Y113" s="75">
        <f t="shared" si="44"/>
        <v>23.275099999999998</v>
      </c>
      <c r="Z113" s="76" t="e">
        <f>VLOOKUP(A113,Enforcements!$C$3:$J$26,8,0)</f>
        <v>#N/A</v>
      </c>
      <c r="AA113" s="76" t="e">
        <f>VLOOKUP(A113,Enforcements!$C$3:$J$26,3,0)</f>
        <v>#N/A</v>
      </c>
    </row>
    <row r="114" spans="1:27" s="2" customFormat="1" x14ac:dyDescent="0.25">
      <c r="A114" s="61" t="s">
        <v>360</v>
      </c>
      <c r="B114" s="61">
        <v>4012</v>
      </c>
      <c r="C114" s="61" t="s">
        <v>71</v>
      </c>
      <c r="D114" s="61" t="s">
        <v>89</v>
      </c>
      <c r="E114" s="30">
        <v>42500.758472222224</v>
      </c>
      <c r="F114" s="30">
        <v>42500.759837962964</v>
      </c>
      <c r="G114" s="38">
        <v>1</v>
      </c>
      <c r="H114" s="30" t="s">
        <v>361</v>
      </c>
      <c r="I114" s="30">
        <v>42500.7971412037</v>
      </c>
      <c r="J114" s="61">
        <v>1</v>
      </c>
      <c r="K114" s="61" t="str">
        <f t="shared" si="45"/>
        <v>4011/4012</v>
      </c>
      <c r="L114" s="61" t="str">
        <f>VLOOKUP(A114,'Trips&amp;Operators'!$C$1:$E$9999,3,FALSE)</f>
        <v>YOUNG</v>
      </c>
      <c r="M114" s="12">
        <f t="shared" si="37"/>
        <v>3.7303240736946464E-2</v>
      </c>
      <c r="N114" s="13">
        <f t="shared" si="38"/>
        <v>53.716666661202908</v>
      </c>
      <c r="O114" s="13"/>
      <c r="P114" s="13"/>
      <c r="Q114" s="62"/>
      <c r="R114" s="62"/>
      <c r="T114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18:11:12-0600',mode:absolute,to:'2016-05-10 19:08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14" s="75" t="str">
        <f t="shared" si="40"/>
        <v>N</v>
      </c>
      <c r="V114" s="75">
        <f t="shared" si="41"/>
        <v>1</v>
      </c>
      <c r="W114" s="75">
        <f t="shared" si="42"/>
        <v>23.2989</v>
      </c>
      <c r="X114" s="75">
        <f t="shared" si="43"/>
        <v>3.8899999999999997E-2</v>
      </c>
      <c r="Y114" s="75">
        <f t="shared" si="44"/>
        <v>23.259999999999998</v>
      </c>
      <c r="Z114" s="76" t="e">
        <f>VLOOKUP(A114,Enforcements!$C$3:$J$26,8,0)</f>
        <v>#N/A</v>
      </c>
      <c r="AA114" s="76" t="e">
        <f>VLOOKUP(A114,Enforcements!$C$3:$J$26,3,0)</f>
        <v>#N/A</v>
      </c>
    </row>
    <row r="115" spans="1:27" s="2" customFormat="1" x14ac:dyDescent="0.25">
      <c r="A115" s="61" t="s">
        <v>362</v>
      </c>
      <c r="B115" s="61">
        <v>4024</v>
      </c>
      <c r="C115" s="61" t="s">
        <v>71</v>
      </c>
      <c r="D115" s="61" t="s">
        <v>161</v>
      </c>
      <c r="E115" s="30">
        <v>42500.734814814816</v>
      </c>
      <c r="F115" s="30">
        <v>42500.735775462963</v>
      </c>
      <c r="G115" s="38">
        <v>1</v>
      </c>
      <c r="H115" s="30" t="s">
        <v>158</v>
      </c>
      <c r="I115" s="30">
        <v>42500.764525462961</v>
      </c>
      <c r="J115" s="61">
        <v>1</v>
      </c>
      <c r="K115" s="61" t="str">
        <f t="shared" si="45"/>
        <v>4023/4024</v>
      </c>
      <c r="L115" s="61" t="str">
        <f>VLOOKUP(A115,'Trips&amp;Operators'!$C$1:$E$9999,3,FALSE)</f>
        <v>STRICKLAND</v>
      </c>
      <c r="M115" s="12">
        <f t="shared" si="37"/>
        <v>2.8749999997671694E-2</v>
      </c>
      <c r="N115" s="13">
        <f t="shared" si="38"/>
        <v>41.399999996647239</v>
      </c>
      <c r="O115" s="13"/>
      <c r="P115" s="13"/>
      <c r="Q115" s="62"/>
      <c r="R115" s="62"/>
      <c r="T115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17:37:08-0600',mode:absolute,to:'2016-05-10 18:21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15" s="75" t="str">
        <f t="shared" si="40"/>
        <v>N</v>
      </c>
      <c r="V115" s="75">
        <f t="shared" si="41"/>
        <v>1</v>
      </c>
      <c r="W115" s="75">
        <f t="shared" si="42"/>
        <v>4.2000000000000003E-2</v>
      </c>
      <c r="X115" s="75">
        <f t="shared" si="43"/>
        <v>23.328800000000001</v>
      </c>
      <c r="Y115" s="75">
        <f t="shared" si="44"/>
        <v>23.286799999999999</v>
      </c>
      <c r="Z115" s="76" t="e">
        <f>VLOOKUP(A115,Enforcements!$C$3:$J$26,8,0)</f>
        <v>#N/A</v>
      </c>
      <c r="AA115" s="76" t="e">
        <f>VLOOKUP(A115,Enforcements!$C$3:$J$26,3,0)</f>
        <v>#N/A</v>
      </c>
    </row>
    <row r="116" spans="1:27" s="2" customFormat="1" x14ac:dyDescent="0.25">
      <c r="A116" s="61" t="s">
        <v>363</v>
      </c>
      <c r="B116" s="61">
        <v>4023</v>
      </c>
      <c r="C116" s="61" t="s">
        <v>71</v>
      </c>
      <c r="D116" s="61" t="s">
        <v>278</v>
      </c>
      <c r="E116" s="30">
        <v>42500.774293981478</v>
      </c>
      <c r="F116" s="30">
        <v>42500.775300925925</v>
      </c>
      <c r="G116" s="38">
        <v>1</v>
      </c>
      <c r="H116" s="30" t="s">
        <v>142</v>
      </c>
      <c r="I116" s="30">
        <v>42500.806400462963</v>
      </c>
      <c r="J116" s="61">
        <v>0</v>
      </c>
      <c r="K116" s="61" t="str">
        <f t="shared" si="45"/>
        <v>4023/4024</v>
      </c>
      <c r="L116" s="61" t="str">
        <f>VLOOKUP(A116,'Trips&amp;Operators'!$C$1:$E$9999,3,FALSE)</f>
        <v>STRICKLAND</v>
      </c>
      <c r="M116" s="12">
        <f t="shared" si="37"/>
        <v>3.1099537038244307E-2</v>
      </c>
      <c r="N116" s="13">
        <f t="shared" si="38"/>
        <v>44.783333335071802</v>
      </c>
      <c r="O116" s="13"/>
      <c r="P116" s="13"/>
      <c r="Q116" s="62"/>
      <c r="R116" s="62"/>
      <c r="T116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18:33:59-0600',mode:absolute,to:'2016-05-10 19:22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16" s="75" t="str">
        <f t="shared" si="40"/>
        <v>N</v>
      </c>
      <c r="V116" s="75">
        <f t="shared" si="41"/>
        <v>1</v>
      </c>
      <c r="W116" s="75">
        <f t="shared" si="42"/>
        <v>23.298400000000001</v>
      </c>
      <c r="X116" s="75">
        <f t="shared" si="43"/>
        <v>1.47E-2</v>
      </c>
      <c r="Y116" s="75">
        <f t="shared" si="44"/>
        <v>23.2837</v>
      </c>
      <c r="Z116" s="76" t="e">
        <f>VLOOKUP(A116,Enforcements!$C$3:$J$26,8,0)</f>
        <v>#N/A</v>
      </c>
      <c r="AA116" s="76" t="e">
        <f>VLOOKUP(A116,Enforcements!$C$3:$J$26,3,0)</f>
        <v>#N/A</v>
      </c>
    </row>
    <row r="117" spans="1:27" s="2" customFormat="1" x14ac:dyDescent="0.25">
      <c r="A117" s="61" t="s">
        <v>364</v>
      </c>
      <c r="B117" s="61">
        <v>4007</v>
      </c>
      <c r="C117" s="61" t="s">
        <v>71</v>
      </c>
      <c r="D117" s="61" t="s">
        <v>97</v>
      </c>
      <c r="E117" s="30">
        <v>42500.750150462962</v>
      </c>
      <c r="F117" s="30">
        <v>42500.750833333332</v>
      </c>
      <c r="G117" s="38">
        <v>0</v>
      </c>
      <c r="H117" s="30" t="s">
        <v>88</v>
      </c>
      <c r="I117" s="30">
        <v>42500.783425925925</v>
      </c>
      <c r="J117" s="61">
        <v>0</v>
      </c>
      <c r="K117" s="61" t="str">
        <f t="shared" si="45"/>
        <v>4007/4008</v>
      </c>
      <c r="L117" s="61" t="str">
        <f>VLOOKUP(A117,'Trips&amp;Operators'!$C$1:$E$9999,3,FALSE)</f>
        <v>JACKSON</v>
      </c>
      <c r="M117" s="12">
        <f t="shared" si="37"/>
        <v>3.2592592593573499E-2</v>
      </c>
      <c r="N117" s="13">
        <f t="shared" si="38"/>
        <v>46.933333334745839</v>
      </c>
      <c r="O117" s="13"/>
      <c r="P117" s="13"/>
      <c r="Q117" s="62"/>
      <c r="R117" s="62"/>
      <c r="T117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17:59:13-0600',mode:absolute,to:'2016-05-10 18:49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17" s="75" t="str">
        <f t="shared" si="40"/>
        <v>N</v>
      </c>
      <c r="V117" s="75">
        <f t="shared" si="41"/>
        <v>1</v>
      </c>
      <c r="W117" s="75">
        <f t="shared" si="42"/>
        <v>4.5499999999999999E-2</v>
      </c>
      <c r="X117" s="75">
        <f t="shared" si="43"/>
        <v>23.330400000000001</v>
      </c>
      <c r="Y117" s="75">
        <f t="shared" si="44"/>
        <v>23.2849</v>
      </c>
      <c r="Z117" s="76" t="e">
        <f>VLOOKUP(A117,Enforcements!$C$3:$J$26,8,0)</f>
        <v>#N/A</v>
      </c>
      <c r="AA117" s="76" t="e">
        <f>VLOOKUP(A117,Enforcements!$C$3:$J$26,3,0)</f>
        <v>#N/A</v>
      </c>
    </row>
    <row r="118" spans="1:27" s="2" customFormat="1" x14ac:dyDescent="0.25">
      <c r="A118" s="61" t="s">
        <v>365</v>
      </c>
      <c r="B118" s="61">
        <v>4008</v>
      </c>
      <c r="C118" s="61" t="s">
        <v>71</v>
      </c>
      <c r="D118" s="61" t="s">
        <v>130</v>
      </c>
      <c r="E118" s="30">
        <v>42500.789050925923</v>
      </c>
      <c r="F118" s="30">
        <v>42500.789872685185</v>
      </c>
      <c r="G118" s="38">
        <v>1</v>
      </c>
      <c r="H118" s="30" t="s">
        <v>160</v>
      </c>
      <c r="I118" s="30">
        <v>42500.818749999999</v>
      </c>
      <c r="J118" s="61">
        <v>0</v>
      </c>
      <c r="K118" s="61" t="str">
        <f t="shared" si="45"/>
        <v>4007/4008</v>
      </c>
      <c r="L118" s="61" t="str">
        <f>VLOOKUP(A118,'Trips&amp;Operators'!$C$1:$E$9999,3,FALSE)</f>
        <v>JACKSON</v>
      </c>
      <c r="M118" s="12">
        <f t="shared" si="37"/>
        <v>2.8877314813144039E-2</v>
      </c>
      <c r="N118" s="13">
        <f t="shared" si="38"/>
        <v>41.583333330927417</v>
      </c>
      <c r="O118" s="13"/>
      <c r="P118" s="13"/>
      <c r="Q118" s="62"/>
      <c r="R118" s="62"/>
      <c r="T118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18:55:14-0600',mode:absolute,to:'2016-05-10 19:40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118" s="75" t="str">
        <f t="shared" si="40"/>
        <v>N</v>
      </c>
      <c r="V118" s="75">
        <f t="shared" si="41"/>
        <v>1</v>
      </c>
      <c r="W118" s="75">
        <f t="shared" si="42"/>
        <v>23.298100000000002</v>
      </c>
      <c r="X118" s="75">
        <f t="shared" si="43"/>
        <v>1.67E-2</v>
      </c>
      <c r="Y118" s="75">
        <f t="shared" si="44"/>
        <v>23.281400000000001</v>
      </c>
      <c r="Z118" s="76" t="e">
        <f>VLOOKUP(A118,Enforcements!$C$3:$J$26,8,0)</f>
        <v>#N/A</v>
      </c>
      <c r="AA118" s="76" t="e">
        <f>VLOOKUP(A118,Enforcements!$C$3:$J$26,3,0)</f>
        <v>#N/A</v>
      </c>
    </row>
    <row r="119" spans="1:27" s="2" customFormat="1" x14ac:dyDescent="0.25">
      <c r="A119" s="61" t="s">
        <v>366</v>
      </c>
      <c r="B119" s="61">
        <v>4016</v>
      </c>
      <c r="C119" s="61" t="s">
        <v>71</v>
      </c>
      <c r="D119" s="61" t="s">
        <v>87</v>
      </c>
      <c r="E119" s="30">
        <v>42500.757951388892</v>
      </c>
      <c r="F119" s="30">
        <v>42500.759386574071</v>
      </c>
      <c r="G119" s="38">
        <v>2</v>
      </c>
      <c r="H119" s="30" t="s">
        <v>144</v>
      </c>
      <c r="I119" s="30">
        <v>42500.788726851853</v>
      </c>
      <c r="J119" s="61">
        <v>0</v>
      </c>
      <c r="K119" s="61" t="str">
        <f t="shared" si="45"/>
        <v>4015/4016</v>
      </c>
      <c r="L119" s="61" t="str">
        <f>VLOOKUP(A119,'Trips&amp;Operators'!$C$1:$E$9999,3,FALSE)</f>
        <v>BRUDER</v>
      </c>
      <c r="M119" s="12">
        <f t="shared" si="37"/>
        <v>2.9340277782466728E-2</v>
      </c>
      <c r="N119" s="13">
        <f t="shared" si="38"/>
        <v>42.250000006752089</v>
      </c>
      <c r="O119" s="13"/>
      <c r="P119" s="13"/>
      <c r="Q119" s="62"/>
      <c r="R119" s="62"/>
      <c r="T119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18:10:27-0600',mode:absolute,to:'2016-05-10 18:56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19" s="75" t="str">
        <f t="shared" si="40"/>
        <v>N</v>
      </c>
      <c r="V119" s="75">
        <f t="shared" si="41"/>
        <v>1</v>
      </c>
      <c r="W119" s="75">
        <f t="shared" si="42"/>
        <v>4.4900000000000002E-2</v>
      </c>
      <c r="X119" s="75">
        <f t="shared" si="43"/>
        <v>23.328600000000002</v>
      </c>
      <c r="Y119" s="75">
        <f t="shared" si="44"/>
        <v>23.283700000000003</v>
      </c>
      <c r="Z119" s="76" t="e">
        <f>VLOOKUP(A119,Enforcements!$C$3:$J$26,8,0)</f>
        <v>#N/A</v>
      </c>
      <c r="AA119" s="76" t="e">
        <f>VLOOKUP(A119,Enforcements!$C$3:$J$26,3,0)</f>
        <v>#N/A</v>
      </c>
    </row>
    <row r="120" spans="1:27" s="2" customFormat="1" x14ac:dyDescent="0.25">
      <c r="A120" s="61" t="s">
        <v>367</v>
      </c>
      <c r="B120" s="61">
        <v>4015</v>
      </c>
      <c r="C120" s="61" t="s">
        <v>71</v>
      </c>
      <c r="D120" s="61" t="s">
        <v>75</v>
      </c>
      <c r="E120" s="30">
        <v>42500.790173611109</v>
      </c>
      <c r="F120" s="30">
        <v>42500.791412037041</v>
      </c>
      <c r="G120" s="38">
        <v>1</v>
      </c>
      <c r="H120" s="30" t="s">
        <v>142</v>
      </c>
      <c r="I120" s="30">
        <v>42500.825335648151</v>
      </c>
      <c r="J120" s="61">
        <v>0</v>
      </c>
      <c r="K120" s="61" t="str">
        <f t="shared" si="45"/>
        <v>4015/4016</v>
      </c>
      <c r="L120" s="61" t="str">
        <f>VLOOKUP(A120,'Trips&amp;Operators'!$C$1:$E$9999,3,FALSE)</f>
        <v>BRUDER</v>
      </c>
      <c r="M120" s="12">
        <f t="shared" si="37"/>
        <v>3.3923611110367347E-2</v>
      </c>
      <c r="N120" s="13">
        <f t="shared" si="38"/>
        <v>48.849999998928979</v>
      </c>
      <c r="O120" s="13"/>
      <c r="P120" s="13"/>
      <c r="Q120" s="62"/>
      <c r="R120" s="62"/>
      <c r="T120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18:56:51-0600',mode:absolute,to:'2016-05-10 19:49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20" s="75" t="str">
        <f t="shared" si="40"/>
        <v>N</v>
      </c>
      <c r="V120" s="75">
        <f t="shared" si="41"/>
        <v>1</v>
      </c>
      <c r="W120" s="75">
        <f t="shared" si="42"/>
        <v>23.297699999999999</v>
      </c>
      <c r="X120" s="75">
        <f t="shared" si="43"/>
        <v>1.47E-2</v>
      </c>
      <c r="Y120" s="75">
        <f t="shared" si="44"/>
        <v>23.282999999999998</v>
      </c>
      <c r="Z120" s="76" t="e">
        <f>VLOOKUP(A120,Enforcements!$C$3:$J$26,8,0)</f>
        <v>#N/A</v>
      </c>
      <c r="AA120" s="76" t="e">
        <f>VLOOKUP(A120,Enforcements!$C$3:$J$26,3,0)</f>
        <v>#N/A</v>
      </c>
    </row>
    <row r="121" spans="1:27" s="2" customFormat="1" x14ac:dyDescent="0.25">
      <c r="A121" s="61" t="s">
        <v>368</v>
      </c>
      <c r="B121" s="61">
        <v>4044</v>
      </c>
      <c r="C121" s="61" t="s">
        <v>71</v>
      </c>
      <c r="D121" s="61" t="s">
        <v>369</v>
      </c>
      <c r="E121" s="30">
        <v>42500.769270833334</v>
      </c>
      <c r="F121" s="30">
        <v>42500.770381944443</v>
      </c>
      <c r="G121" s="38">
        <v>1</v>
      </c>
      <c r="H121" s="30" t="s">
        <v>107</v>
      </c>
      <c r="I121" s="30">
        <v>42500.796469907407</v>
      </c>
      <c r="J121" s="61">
        <v>0</v>
      </c>
      <c r="K121" s="61" t="str">
        <f t="shared" si="45"/>
        <v>4043/4044</v>
      </c>
      <c r="L121" s="61" t="str">
        <f>VLOOKUP(A121,'Trips&amp;Operators'!$C$1:$E$9999,3,FALSE)</f>
        <v>BARTLETT</v>
      </c>
      <c r="M121" s="12">
        <f t="shared" si="37"/>
        <v>2.6087962964083999E-2</v>
      </c>
      <c r="N121" s="13">
        <f t="shared" si="38"/>
        <v>37.566666668280959</v>
      </c>
      <c r="O121" s="13"/>
      <c r="P121" s="13"/>
      <c r="Q121" s="62"/>
      <c r="R121" s="62"/>
      <c r="T121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18:26:45-0600',mode:absolute,to:'2016-05-10 19:07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21" s="75" t="str">
        <f t="shared" si="40"/>
        <v>N</v>
      </c>
      <c r="V121" s="75">
        <f t="shared" si="41"/>
        <v>1</v>
      </c>
      <c r="W121" s="75">
        <f t="shared" si="42"/>
        <v>4.2200000000000001E-2</v>
      </c>
      <c r="X121" s="75">
        <f t="shared" si="43"/>
        <v>23.331199999999999</v>
      </c>
      <c r="Y121" s="75">
        <f t="shared" si="44"/>
        <v>23.288999999999998</v>
      </c>
      <c r="Z121" s="76" t="e">
        <f>VLOOKUP(A121,Enforcements!$C$3:$J$26,8,0)</f>
        <v>#N/A</v>
      </c>
      <c r="AA121" s="76" t="e">
        <f>VLOOKUP(A121,Enforcements!$C$3:$J$26,3,0)</f>
        <v>#N/A</v>
      </c>
    </row>
    <row r="122" spans="1:27" s="2" customFormat="1" x14ac:dyDescent="0.25">
      <c r="A122" s="61" t="s">
        <v>370</v>
      </c>
      <c r="B122" s="61">
        <v>4043</v>
      </c>
      <c r="C122" s="61" t="s">
        <v>71</v>
      </c>
      <c r="D122" s="61" t="s">
        <v>110</v>
      </c>
      <c r="E122" s="30">
        <v>42500.805023148147</v>
      </c>
      <c r="F122" s="30">
        <v>42500.806527777779</v>
      </c>
      <c r="G122" s="38">
        <v>2</v>
      </c>
      <c r="H122" s="30" t="s">
        <v>266</v>
      </c>
      <c r="I122" s="30">
        <v>42500.836099537039</v>
      </c>
      <c r="J122" s="61">
        <v>0</v>
      </c>
      <c r="K122" s="61" t="str">
        <f t="shared" si="45"/>
        <v>4043/4044</v>
      </c>
      <c r="L122" s="61" t="str">
        <f>VLOOKUP(A122,'Trips&amp;Operators'!$C$1:$E$9999,3,FALSE)</f>
        <v>BARTLETT</v>
      </c>
      <c r="M122" s="12">
        <f t="shared" si="37"/>
        <v>2.9571759259852115E-2</v>
      </c>
      <c r="N122" s="13">
        <f t="shared" si="38"/>
        <v>42.583333334187046</v>
      </c>
      <c r="O122" s="13"/>
      <c r="P122" s="13"/>
      <c r="Q122" s="62"/>
      <c r="R122" s="62"/>
      <c r="T122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19:18:14-0600',mode:absolute,to:'2016-05-10 20:04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22" s="75" t="str">
        <f t="shared" si="40"/>
        <v>N</v>
      </c>
      <c r="V122" s="75">
        <f t="shared" si="41"/>
        <v>1</v>
      </c>
      <c r="W122" s="75">
        <f t="shared" si="42"/>
        <v>23.299399999999999</v>
      </c>
      <c r="X122" s="75">
        <f t="shared" si="43"/>
        <v>1.5800000000000002E-2</v>
      </c>
      <c r="Y122" s="75">
        <f t="shared" si="44"/>
        <v>23.2836</v>
      </c>
      <c r="Z122" s="76" t="e">
        <f>VLOOKUP(A122,Enforcements!$C$3:$J$26,8,0)</f>
        <v>#N/A</v>
      </c>
      <c r="AA122" s="76" t="e">
        <f>VLOOKUP(A122,Enforcements!$C$3:$J$26,3,0)</f>
        <v>#N/A</v>
      </c>
    </row>
    <row r="123" spans="1:27" s="2" customFormat="1" x14ac:dyDescent="0.25">
      <c r="A123" s="61" t="s">
        <v>371</v>
      </c>
      <c r="B123" s="61">
        <v>4020</v>
      </c>
      <c r="C123" s="61" t="s">
        <v>71</v>
      </c>
      <c r="D123" s="61" t="s">
        <v>111</v>
      </c>
      <c r="E123" s="30">
        <v>42500.786793981482</v>
      </c>
      <c r="F123" s="30">
        <v>42500.787835648145</v>
      </c>
      <c r="G123" s="38">
        <v>1</v>
      </c>
      <c r="H123" s="30" t="s">
        <v>352</v>
      </c>
      <c r="I123" s="30">
        <v>42500.817245370374</v>
      </c>
      <c r="J123" s="61">
        <v>0</v>
      </c>
      <c r="K123" s="61" t="str">
        <f t="shared" si="45"/>
        <v>4019/4020</v>
      </c>
      <c r="L123" s="61" t="str">
        <f>VLOOKUP(A123,'Trips&amp;Operators'!$C$1:$E$9999,3,FALSE)</f>
        <v>LEVERE</v>
      </c>
      <c r="M123" s="12">
        <f t="shared" si="37"/>
        <v>2.9409722228592727E-2</v>
      </c>
      <c r="N123" s="13">
        <f t="shared" si="38"/>
        <v>42.350000009173527</v>
      </c>
      <c r="O123" s="13"/>
      <c r="P123" s="13"/>
      <c r="Q123" s="62"/>
      <c r="R123" s="62"/>
      <c r="T123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18:51:59-0600',mode:absolute,to:'2016-05-10 19:37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23" s="75" t="str">
        <f t="shared" si="40"/>
        <v>N</v>
      </c>
      <c r="V123" s="75">
        <f t="shared" si="41"/>
        <v>1</v>
      </c>
      <c r="W123" s="75">
        <f t="shared" si="42"/>
        <v>4.6399999999999997E-2</v>
      </c>
      <c r="X123" s="75">
        <f t="shared" si="43"/>
        <v>23.328499999999998</v>
      </c>
      <c r="Y123" s="75">
        <f t="shared" si="44"/>
        <v>23.2821</v>
      </c>
      <c r="Z123" s="76" t="e">
        <f>VLOOKUP(A123,Enforcements!$C$3:$J$26,8,0)</f>
        <v>#N/A</v>
      </c>
      <c r="AA123" s="76" t="e">
        <f>VLOOKUP(A123,Enforcements!$C$3:$J$26,3,0)</f>
        <v>#N/A</v>
      </c>
    </row>
    <row r="124" spans="1:27" s="2" customFormat="1" x14ac:dyDescent="0.25">
      <c r="A124" s="61" t="s">
        <v>372</v>
      </c>
      <c r="B124" s="61">
        <v>4019</v>
      </c>
      <c r="C124" s="61" t="s">
        <v>71</v>
      </c>
      <c r="D124" s="61" t="s">
        <v>373</v>
      </c>
      <c r="E124" s="30">
        <v>42500.822106481479</v>
      </c>
      <c r="F124" s="30">
        <v>42500.823460648149</v>
      </c>
      <c r="G124" s="38">
        <v>1</v>
      </c>
      <c r="H124" s="30" t="s">
        <v>108</v>
      </c>
      <c r="I124" s="30">
        <v>42500.857534722221</v>
      </c>
      <c r="J124" s="61">
        <v>0</v>
      </c>
      <c r="K124" s="61" t="str">
        <f t="shared" si="45"/>
        <v>4019/4020</v>
      </c>
      <c r="L124" s="61" t="str">
        <f>VLOOKUP(A124,'Trips&amp;Operators'!$C$1:$E$9999,3,FALSE)</f>
        <v>LEVERE</v>
      </c>
      <c r="M124" s="12">
        <f t="shared" si="37"/>
        <v>3.407407407212304E-2</v>
      </c>
      <c r="N124" s="13">
        <f t="shared" si="38"/>
        <v>49.066666663857177</v>
      </c>
      <c r="O124" s="13"/>
      <c r="P124" s="13"/>
      <c r="Q124" s="62"/>
      <c r="R124" s="62"/>
      <c r="T124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19:42:50-0600',mode:absolute,to:'2016-05-10 20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24" s="75" t="str">
        <f t="shared" si="40"/>
        <v>N</v>
      </c>
      <c r="V124" s="75">
        <f t="shared" si="41"/>
        <v>1</v>
      </c>
      <c r="W124" s="75">
        <f t="shared" si="42"/>
        <v>23.295999999999999</v>
      </c>
      <c r="X124" s="75">
        <f t="shared" si="43"/>
        <v>1.6299999999999999E-2</v>
      </c>
      <c r="Y124" s="75">
        <f t="shared" si="44"/>
        <v>23.279699999999998</v>
      </c>
      <c r="Z124" s="76" t="e">
        <f>VLOOKUP(A124,Enforcements!$C$3:$J$26,8,0)</f>
        <v>#N/A</v>
      </c>
      <c r="AA124" s="76" t="e">
        <f>VLOOKUP(A124,Enforcements!$C$3:$J$26,3,0)</f>
        <v>#N/A</v>
      </c>
    </row>
    <row r="125" spans="1:27" s="2" customFormat="1" x14ac:dyDescent="0.25">
      <c r="A125" s="61" t="s">
        <v>374</v>
      </c>
      <c r="B125" s="61">
        <v>4024</v>
      </c>
      <c r="C125" s="61" t="s">
        <v>71</v>
      </c>
      <c r="D125" s="61" t="s">
        <v>82</v>
      </c>
      <c r="E125" s="30">
        <v>42500.808946759258</v>
      </c>
      <c r="F125" s="30">
        <v>42500.812685185185</v>
      </c>
      <c r="G125" s="38">
        <v>5</v>
      </c>
      <c r="H125" s="30" t="s">
        <v>74</v>
      </c>
      <c r="I125" s="30">
        <v>42500.838078703702</v>
      </c>
      <c r="J125" s="61">
        <v>0</v>
      </c>
      <c r="K125" s="61" t="str">
        <f t="shared" si="45"/>
        <v>4023/4024</v>
      </c>
      <c r="L125" s="61" t="str">
        <f>VLOOKUP(A125,'Trips&amp;Operators'!$C$1:$E$9999,3,FALSE)</f>
        <v>STRICKLAND</v>
      </c>
      <c r="M125" s="12">
        <f t="shared" ref="M125:M146" si="46">I125-F125</f>
        <v>2.5393518517375924E-2</v>
      </c>
      <c r="N125" s="13">
        <f t="shared" si="38"/>
        <v>36.56666666502133</v>
      </c>
      <c r="O125" s="13"/>
      <c r="P125" s="13"/>
      <c r="Q125" s="62"/>
      <c r="R125" s="62"/>
      <c r="T125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19:23:53-0600',mode:absolute,to:'2016-05-10 20:07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25" s="75" t="str">
        <f t="shared" si="40"/>
        <v>N</v>
      </c>
      <c r="V125" s="75">
        <f t="shared" si="41"/>
        <v>1</v>
      </c>
      <c r="W125" s="75">
        <f t="shared" si="42"/>
        <v>4.5699999999999998E-2</v>
      </c>
      <c r="X125" s="75">
        <f t="shared" si="43"/>
        <v>23.329499999999999</v>
      </c>
      <c r="Y125" s="75">
        <f t="shared" si="44"/>
        <v>23.283799999999999</v>
      </c>
      <c r="Z125" s="76" t="e">
        <f>VLOOKUP(A125,Enforcements!$C$3:$J$26,8,0)</f>
        <v>#N/A</v>
      </c>
      <c r="AA125" s="76" t="e">
        <f>VLOOKUP(A125,Enforcements!$C$3:$J$26,3,0)</f>
        <v>#N/A</v>
      </c>
    </row>
    <row r="126" spans="1:27" s="2" customFormat="1" x14ac:dyDescent="0.25">
      <c r="A126" s="61" t="s">
        <v>375</v>
      </c>
      <c r="B126" s="61">
        <v>4023</v>
      </c>
      <c r="C126" s="61" t="s">
        <v>71</v>
      </c>
      <c r="D126" s="61" t="s">
        <v>376</v>
      </c>
      <c r="E126" s="30">
        <v>42500.848090277781</v>
      </c>
      <c r="F126" s="30">
        <v>42500.849050925928</v>
      </c>
      <c r="G126" s="38">
        <v>1</v>
      </c>
      <c r="H126" s="30" t="s">
        <v>127</v>
      </c>
      <c r="I126" s="30">
        <v>42500.877592592595</v>
      </c>
      <c r="J126" s="61">
        <v>0</v>
      </c>
      <c r="K126" s="61" t="str">
        <f t="shared" si="45"/>
        <v>4023/4024</v>
      </c>
      <c r="L126" s="61" t="str">
        <f>VLOOKUP(A126,'Trips&amp;Operators'!$C$1:$E$9999,3,FALSE)</f>
        <v>STRICKLAND</v>
      </c>
      <c r="M126" s="12">
        <f t="shared" si="46"/>
        <v>2.8541666666569654E-2</v>
      </c>
      <c r="N126" s="13">
        <f t="shared" si="38"/>
        <v>41.099999999860302</v>
      </c>
      <c r="O126" s="13"/>
      <c r="P126" s="13"/>
      <c r="Q126" s="62"/>
      <c r="R126" s="62"/>
      <c r="T126" s="75" t="str">
        <f t="shared" si="39"/>
        <v>https://search-rtdc-monitor-bjffxe2xuh6vdkpspy63sjmuny.us-east-1.es.amazonaws.com/_plugin/kibana/#/discover/Steve-Slow-Train-Analysis-(2080s-and-2083s)?_g=(refreshInterval:(display:Off,section:0,value:0),time:(from:'2016-05-10 20:20:15-0600',mode:absolute,to:'2016-05-10 21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26" s="75" t="str">
        <f t="shared" si="40"/>
        <v>N</v>
      </c>
      <c r="V126" s="75">
        <f t="shared" si="41"/>
        <v>1</v>
      </c>
      <c r="W126" s="75">
        <f t="shared" si="42"/>
        <v>23.296800000000001</v>
      </c>
      <c r="X126" s="75">
        <f t="shared" si="43"/>
        <v>1.41E-2</v>
      </c>
      <c r="Y126" s="75">
        <f t="shared" si="44"/>
        <v>23.282700000000002</v>
      </c>
      <c r="Z126" s="76" t="e">
        <f>VLOOKUP(A126,Enforcements!$C$3:$J$26,8,0)</f>
        <v>#N/A</v>
      </c>
      <c r="AA126" s="76" t="e">
        <f>VLOOKUP(A126,Enforcements!$C$3:$J$26,3,0)</f>
        <v>#N/A</v>
      </c>
    </row>
    <row r="127" spans="1:27" s="2" customFormat="1" x14ac:dyDescent="0.25">
      <c r="A127" s="61" t="s">
        <v>377</v>
      </c>
      <c r="B127" s="61">
        <v>4016</v>
      </c>
      <c r="C127" s="61" t="s">
        <v>71</v>
      </c>
      <c r="D127" s="61" t="s">
        <v>97</v>
      </c>
      <c r="E127" s="30">
        <v>42500.826585648145</v>
      </c>
      <c r="F127" s="30">
        <v>42500.827916666669</v>
      </c>
      <c r="G127" s="38">
        <v>1</v>
      </c>
      <c r="H127" s="30" t="s">
        <v>88</v>
      </c>
      <c r="I127" s="30">
        <v>42500.858773148146</v>
      </c>
      <c r="J127" s="61">
        <v>1</v>
      </c>
      <c r="K127" s="61" t="str">
        <f t="shared" si="45"/>
        <v>4015/4016</v>
      </c>
      <c r="L127" s="61" t="str">
        <f>VLOOKUP(A127,'Trips&amp;Operators'!$C$1:$E$9999,3,FALSE)</f>
        <v>BRUDER</v>
      </c>
      <c r="M127" s="12">
        <f t="shared" si="46"/>
        <v>3.085648147680331E-2</v>
      </c>
      <c r="N127" s="13">
        <f t="shared" si="38"/>
        <v>44.433333326596767</v>
      </c>
      <c r="O127" s="13"/>
      <c r="P127" s="13"/>
      <c r="Q127" s="62"/>
      <c r="R127" s="62"/>
      <c r="T127" s="75" t="str">
        <f t="shared" ref="T127:T146" si="47">"https://search-rtdc-monitor-bjffxe2xuh6vdkpspy63sjmuny.us-east-1.es.amazonaws.com/_plugin/kibana/#/discover/Steve-Slow-Train-Analysis-(2080s-and-2083s)?_g=(refreshInterval:(display:Off,section:0,value:0),time:(from:'"&amp;TEXT(E127-1/24/60,"yyyy-MM-DD hh:mm:ss")&amp;"-0600',mode:absolute,to:'"&amp;TEXT(I127+1/24/60,"yyyy-MM-DD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127&amp;"%22')),sort:!(Time,asc))"</f>
        <v>https://search-rtdc-monitor-bjffxe2xuh6vdkpspy63sjmuny.us-east-1.es.amazonaws.com/_plugin/kibana/#/discover/Steve-Slow-Train-Analysis-(2080s-and-2083s)?_g=(refreshInterval:(display:Off,section:0,value:0),time:(from:'2016-05-10 19:49:17-0600',mode:absolute,to:'2016-05-10 20:37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27" s="75" t="str">
        <f t="shared" ref="U127:U146" si="48">IF(Y127&lt;23,"Y","N")</f>
        <v>N</v>
      </c>
      <c r="V127" s="75">
        <f t="shared" ref="V127:V146" si="49">VALUE(LEFT(A127,3))-VALUE(LEFT(A126,3))</f>
        <v>1</v>
      </c>
      <c r="W127" s="75">
        <f t="shared" ref="W127:W146" si="50">RIGHT(D127,LEN(D127)-4)/10000</f>
        <v>4.5499999999999999E-2</v>
      </c>
      <c r="X127" s="75">
        <f t="shared" ref="X127:X146" si="51">RIGHT(H127,LEN(H127)-4)/10000</f>
        <v>23.330400000000001</v>
      </c>
      <c r="Y127" s="75">
        <f t="shared" ref="Y127:Y146" si="52">ABS(X127-W127)</f>
        <v>23.2849</v>
      </c>
      <c r="Z127" s="76" t="e">
        <f>VLOOKUP(A127,Enforcements!$C$3:$J$26,8,0)</f>
        <v>#N/A</v>
      </c>
      <c r="AA127" s="76" t="e">
        <f>VLOOKUP(A127,Enforcements!$C$3:$J$26,3,0)</f>
        <v>#N/A</v>
      </c>
    </row>
    <row r="128" spans="1:27" s="2" customFormat="1" x14ac:dyDescent="0.25">
      <c r="A128" s="61" t="s">
        <v>378</v>
      </c>
      <c r="B128" s="61">
        <v>4015</v>
      </c>
      <c r="C128" s="61" t="s">
        <v>71</v>
      </c>
      <c r="D128" s="61" t="s">
        <v>99</v>
      </c>
      <c r="E128" s="30">
        <v>42500.860671296294</v>
      </c>
      <c r="F128" s="30">
        <v>42500.861631944441</v>
      </c>
      <c r="G128" s="38">
        <v>1</v>
      </c>
      <c r="H128" s="30" t="s">
        <v>127</v>
      </c>
      <c r="I128" s="30">
        <v>42500.898402777777</v>
      </c>
      <c r="J128" s="61">
        <v>0</v>
      </c>
      <c r="K128" s="61" t="str">
        <f t="shared" si="45"/>
        <v>4015/4016</v>
      </c>
      <c r="L128" s="61" t="str">
        <f>VLOOKUP(A128,'Trips&amp;Operators'!$C$1:$E$9999,3,FALSE)</f>
        <v>BRUDER</v>
      </c>
      <c r="M128" s="12">
        <f t="shared" si="46"/>
        <v>3.6770833336049691E-2</v>
      </c>
      <c r="N128" s="13">
        <f t="shared" si="38"/>
        <v>52.950000003911555</v>
      </c>
      <c r="O128" s="13"/>
      <c r="P128" s="13"/>
      <c r="Q128" s="62"/>
      <c r="R128" s="62"/>
      <c r="T128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20:38:22-0600',mode:absolute,to:'2016-05-10 21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28" s="75" t="str">
        <f t="shared" si="48"/>
        <v>N</v>
      </c>
      <c r="V128" s="75">
        <f t="shared" si="49"/>
        <v>1</v>
      </c>
      <c r="W128" s="75">
        <f t="shared" si="50"/>
        <v>23.3</v>
      </c>
      <c r="X128" s="75">
        <f t="shared" si="51"/>
        <v>1.41E-2</v>
      </c>
      <c r="Y128" s="75">
        <f t="shared" si="52"/>
        <v>23.285900000000002</v>
      </c>
      <c r="Z128" s="76" t="e">
        <f>VLOOKUP(A128,Enforcements!$C$3:$J$26,8,0)</f>
        <v>#N/A</v>
      </c>
      <c r="AA128" s="76" t="e">
        <f>VLOOKUP(A128,Enforcements!$C$3:$J$26,3,0)</f>
        <v>#N/A</v>
      </c>
    </row>
    <row r="129" spans="1:27" s="2" customFormat="1" x14ac:dyDescent="0.25">
      <c r="A129" s="61" t="s">
        <v>379</v>
      </c>
      <c r="B129" s="61">
        <v>4044</v>
      </c>
      <c r="C129" s="61" t="s">
        <v>71</v>
      </c>
      <c r="D129" s="61" t="s">
        <v>228</v>
      </c>
      <c r="E129" s="30">
        <v>42500.838958333334</v>
      </c>
      <c r="F129" s="30">
        <v>42500.841979166667</v>
      </c>
      <c r="G129" s="38">
        <v>4</v>
      </c>
      <c r="H129" s="30" t="s">
        <v>112</v>
      </c>
      <c r="I129" s="30">
        <v>42500.879872685182</v>
      </c>
      <c r="J129" s="61">
        <v>0</v>
      </c>
      <c r="K129" s="61" t="str">
        <f t="shared" si="45"/>
        <v>4043/4044</v>
      </c>
      <c r="L129" s="61" t="str">
        <f>VLOOKUP(A129,'Trips&amp;Operators'!$C$1:$E$9999,3,FALSE)</f>
        <v>BARTLETT</v>
      </c>
      <c r="M129" s="12">
        <f t="shared" si="46"/>
        <v>3.7893518514465541E-2</v>
      </c>
      <c r="N129" s="13">
        <f t="shared" si="38"/>
        <v>54.566666660830379</v>
      </c>
      <c r="O129" s="13"/>
      <c r="P129" s="13"/>
      <c r="Q129" s="62"/>
      <c r="R129" s="62"/>
      <c r="T129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20:07:06-0600',mode:absolute,to:'2016-05-10 21:08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29" s="75" t="str">
        <f t="shared" si="48"/>
        <v>N</v>
      </c>
      <c r="V129" s="75">
        <f t="shared" si="49"/>
        <v>1</v>
      </c>
      <c r="W129" s="75">
        <f t="shared" si="50"/>
        <v>4.3999999999999997E-2</v>
      </c>
      <c r="X129" s="75">
        <f t="shared" si="51"/>
        <v>23.331399999999999</v>
      </c>
      <c r="Y129" s="75">
        <f t="shared" si="52"/>
        <v>23.287399999999998</v>
      </c>
      <c r="Z129" s="76" t="e">
        <f>VLOOKUP(A129,Enforcements!$C$3:$J$26,8,0)</f>
        <v>#N/A</v>
      </c>
      <c r="AA129" s="76" t="e">
        <f>VLOOKUP(A129,Enforcements!$C$3:$J$26,3,0)</f>
        <v>#N/A</v>
      </c>
    </row>
    <row r="130" spans="1:27" s="2" customFormat="1" x14ac:dyDescent="0.25">
      <c r="A130" s="61" t="s">
        <v>380</v>
      </c>
      <c r="B130" s="61">
        <v>4043</v>
      </c>
      <c r="C130" s="61" t="s">
        <v>71</v>
      </c>
      <c r="D130" s="61" t="s">
        <v>215</v>
      </c>
      <c r="E130" s="30">
        <v>42500.889374999999</v>
      </c>
      <c r="F130" s="30">
        <v>42500.890393518515</v>
      </c>
      <c r="G130" s="38">
        <v>1</v>
      </c>
      <c r="H130" s="30" t="s">
        <v>142</v>
      </c>
      <c r="I130" s="30">
        <v>42500.919537037036</v>
      </c>
      <c r="J130" s="61">
        <v>0</v>
      </c>
      <c r="K130" s="61" t="str">
        <f t="shared" si="45"/>
        <v>4043/4044</v>
      </c>
      <c r="L130" s="61" t="str">
        <f>VLOOKUP(A130,'Trips&amp;Operators'!$C$1:$E$9999,3,FALSE)</f>
        <v>BARTLETT</v>
      </c>
      <c r="M130" s="12">
        <f t="shared" si="46"/>
        <v>2.9143518520868383E-2</v>
      </c>
      <c r="N130" s="13">
        <f t="shared" si="38"/>
        <v>41.966666670050472</v>
      </c>
      <c r="O130" s="13"/>
      <c r="P130" s="13"/>
      <c r="Q130" s="62"/>
      <c r="R130" s="62"/>
      <c r="T130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21:19:42-0600',mode:absolute,to:'2016-05-10 22:05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30" s="75" t="str">
        <f t="shared" si="48"/>
        <v>N</v>
      </c>
      <c r="V130" s="75">
        <f t="shared" si="49"/>
        <v>1</v>
      </c>
      <c r="W130" s="75">
        <f t="shared" si="50"/>
        <v>23.3002</v>
      </c>
      <c r="X130" s="75">
        <f t="shared" si="51"/>
        <v>1.47E-2</v>
      </c>
      <c r="Y130" s="75">
        <f t="shared" si="52"/>
        <v>23.285499999999999</v>
      </c>
      <c r="Z130" s="76" t="e">
        <f>VLOOKUP(A130,Enforcements!$C$3:$J$26,8,0)</f>
        <v>#N/A</v>
      </c>
      <c r="AA130" s="76" t="e">
        <f>VLOOKUP(A130,Enforcements!$C$3:$J$26,3,0)</f>
        <v>#N/A</v>
      </c>
    </row>
    <row r="131" spans="1:27" s="2" customFormat="1" x14ac:dyDescent="0.25">
      <c r="A131" s="61" t="s">
        <v>381</v>
      </c>
      <c r="B131" s="61">
        <v>4020</v>
      </c>
      <c r="C131" s="61" t="s">
        <v>71</v>
      </c>
      <c r="D131" s="61" t="s">
        <v>382</v>
      </c>
      <c r="E131" s="30">
        <v>42500.863761574074</v>
      </c>
      <c r="F131" s="30">
        <v>42500.864594907405</v>
      </c>
      <c r="G131" s="38">
        <v>1</v>
      </c>
      <c r="H131" s="30" t="s">
        <v>352</v>
      </c>
      <c r="I131" s="30">
        <v>42500.900960648149</v>
      </c>
      <c r="J131" s="61">
        <v>0</v>
      </c>
      <c r="K131" s="61" t="str">
        <f t="shared" ref="K131:K146" si="53">IF(ISEVEN(B131),(B131-1)&amp;"/"&amp;B131,B131&amp;"/"&amp;(B131+1))</f>
        <v>4019/4020</v>
      </c>
      <c r="L131" s="61" t="str">
        <f>VLOOKUP(A131,'Trips&amp;Operators'!$C$1:$E$9999,3,FALSE)</f>
        <v>LEVERE</v>
      </c>
      <c r="M131" s="12">
        <f t="shared" si="46"/>
        <v>3.6365740743349306E-2</v>
      </c>
      <c r="N131" s="13">
        <f t="shared" si="38"/>
        <v>52.366666670423001</v>
      </c>
      <c r="O131" s="13"/>
      <c r="P131" s="13"/>
      <c r="Q131" s="62"/>
      <c r="R131" s="62"/>
      <c r="T131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20:42:49-0600',mode:absolute,to:'2016-05-10 21:38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31" s="75" t="str">
        <f t="shared" si="48"/>
        <v>N</v>
      </c>
      <c r="V131" s="75">
        <f t="shared" si="49"/>
        <v>1</v>
      </c>
      <c r="W131" s="75">
        <f t="shared" si="50"/>
        <v>4.8599999999999997E-2</v>
      </c>
      <c r="X131" s="75">
        <f t="shared" si="51"/>
        <v>23.328499999999998</v>
      </c>
      <c r="Y131" s="75">
        <f t="shared" si="52"/>
        <v>23.279899999999998</v>
      </c>
      <c r="Z131" s="76" t="e">
        <f>VLOOKUP(A131,Enforcements!$C$3:$J$26,8,0)</f>
        <v>#N/A</v>
      </c>
      <c r="AA131" s="76" t="e">
        <f>VLOOKUP(A131,Enforcements!$C$3:$J$26,3,0)</f>
        <v>#N/A</v>
      </c>
    </row>
    <row r="132" spans="1:27" s="2" customFormat="1" x14ac:dyDescent="0.25">
      <c r="A132" s="61" t="s">
        <v>383</v>
      </c>
      <c r="B132" s="61">
        <v>4019</v>
      </c>
      <c r="C132" s="61" t="s">
        <v>71</v>
      </c>
      <c r="D132" s="61" t="s">
        <v>373</v>
      </c>
      <c r="E132" s="30">
        <v>42500.907731481479</v>
      </c>
      <c r="F132" s="30">
        <v>42500.908449074072</v>
      </c>
      <c r="G132" s="38">
        <v>1</v>
      </c>
      <c r="H132" s="30" t="s">
        <v>384</v>
      </c>
      <c r="I132" s="30">
        <v>42500.939606481479</v>
      </c>
      <c r="J132" s="61">
        <v>1</v>
      </c>
      <c r="K132" s="61" t="str">
        <f t="shared" si="53"/>
        <v>4019/4020</v>
      </c>
      <c r="L132" s="61" t="str">
        <f>VLOOKUP(A132,'Trips&amp;Operators'!$C$1:$E$9999,3,FALSE)</f>
        <v>LEVERE</v>
      </c>
      <c r="M132" s="12">
        <f t="shared" si="46"/>
        <v>3.1157407407590654E-2</v>
      </c>
      <c r="N132" s="13"/>
      <c r="O132" s="13"/>
      <c r="P132" s="13">
        <v>45</v>
      </c>
      <c r="Q132" s="62" t="s">
        <v>420</v>
      </c>
      <c r="R132" s="62" t="s">
        <v>419</v>
      </c>
      <c r="T132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21:46:08-0600',mode:absolute,to:'2016-05-10 22:34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32" s="75" t="str">
        <f t="shared" si="48"/>
        <v>Y</v>
      </c>
      <c r="V132" s="75">
        <f t="shared" si="49"/>
        <v>1</v>
      </c>
      <c r="W132" s="75">
        <f t="shared" si="50"/>
        <v>23.295999999999999</v>
      </c>
      <c r="X132" s="75">
        <f t="shared" si="51"/>
        <v>0.48930000000000001</v>
      </c>
      <c r="Y132" s="75">
        <f t="shared" si="52"/>
        <v>22.806699999999999</v>
      </c>
      <c r="Z132" s="76">
        <f>VLOOKUP(A132,Enforcements!$C$3:$J$26,8,0)</f>
        <v>4677</v>
      </c>
      <c r="AA132" s="76" t="str">
        <f>VLOOKUP(A132,Enforcements!$C$3:$J$26,3,0)</f>
        <v>SIGNAL</v>
      </c>
    </row>
    <row r="133" spans="1:27" s="2" customFormat="1" x14ac:dyDescent="0.25">
      <c r="A133" s="61" t="s">
        <v>385</v>
      </c>
      <c r="B133" s="61">
        <v>4024</v>
      </c>
      <c r="C133" s="61" t="s">
        <v>71</v>
      </c>
      <c r="D133" s="61" t="s">
        <v>87</v>
      </c>
      <c r="E133" s="30">
        <v>42500.890162037038</v>
      </c>
      <c r="F133" s="30">
        <v>42500.891342592593</v>
      </c>
      <c r="G133" s="38">
        <v>1</v>
      </c>
      <c r="H133" s="30" t="s">
        <v>349</v>
      </c>
      <c r="I133" s="30">
        <v>42500.921712962961</v>
      </c>
      <c r="J133" s="61">
        <v>0</v>
      </c>
      <c r="K133" s="61" t="str">
        <f t="shared" si="53"/>
        <v>4023/4024</v>
      </c>
      <c r="L133" s="61" t="str">
        <f>VLOOKUP(A133,'Trips&amp;Operators'!$C$1:$E$9999,3,FALSE)</f>
        <v>STRICKLAND</v>
      </c>
      <c r="M133" s="12">
        <f t="shared" si="46"/>
        <v>3.0370370368473232E-2</v>
      </c>
      <c r="N133" s="13">
        <f t="shared" ref="N133:N145" si="54">$M133*24*60</f>
        <v>43.733333330601454</v>
      </c>
      <c r="O133" s="13"/>
      <c r="P133" s="13"/>
      <c r="Q133" s="62"/>
      <c r="R133" s="62"/>
      <c r="T133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21:20:50-0600',mode:absolute,to:'2016-05-10 22:08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33" s="75" t="str">
        <f t="shared" si="48"/>
        <v>N</v>
      </c>
      <c r="V133" s="75">
        <f t="shared" si="49"/>
        <v>1</v>
      </c>
      <c r="W133" s="75">
        <f t="shared" si="50"/>
        <v>4.4900000000000002E-2</v>
      </c>
      <c r="X133" s="75">
        <f t="shared" si="51"/>
        <v>23.327000000000002</v>
      </c>
      <c r="Y133" s="75">
        <f t="shared" si="52"/>
        <v>23.282100000000003</v>
      </c>
      <c r="Z133" s="76" t="e">
        <f>VLOOKUP(A133,Enforcements!$C$3:$J$26,8,0)</f>
        <v>#N/A</v>
      </c>
      <c r="AA133" s="76" t="e">
        <f>VLOOKUP(A133,Enforcements!$C$3:$J$26,3,0)</f>
        <v>#N/A</v>
      </c>
    </row>
    <row r="134" spans="1:27" s="2" customFormat="1" x14ac:dyDescent="0.25">
      <c r="A134" s="61" t="s">
        <v>386</v>
      </c>
      <c r="B134" s="61">
        <v>4023</v>
      </c>
      <c r="C134" s="61" t="s">
        <v>71</v>
      </c>
      <c r="D134" s="61" t="s">
        <v>75</v>
      </c>
      <c r="E134" s="30">
        <v>42500.930937500001</v>
      </c>
      <c r="F134" s="30">
        <v>42500.932071759256</v>
      </c>
      <c r="G134" s="38">
        <v>1</v>
      </c>
      <c r="H134" s="30" t="s">
        <v>266</v>
      </c>
      <c r="I134" s="30">
        <v>42500.963252314818</v>
      </c>
      <c r="J134" s="61">
        <v>2</v>
      </c>
      <c r="K134" s="61" t="str">
        <f t="shared" si="53"/>
        <v>4023/4024</v>
      </c>
      <c r="L134" s="61" t="str">
        <f>VLOOKUP(A134,'Trips&amp;Operators'!$C$1:$E$9999,3,FALSE)</f>
        <v>STRICKLAND</v>
      </c>
      <c r="M134" s="12">
        <f t="shared" si="46"/>
        <v>3.1180555561149959E-2</v>
      </c>
      <c r="N134" s="13">
        <f t="shared" si="54"/>
        <v>44.90000000805594</v>
      </c>
      <c r="O134" s="13"/>
      <c r="P134" s="13"/>
      <c r="Q134" s="62"/>
      <c r="R134" s="62"/>
      <c r="T134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22:19:33-0600',mode:absolute,to:'2016-05-10 23:08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34" s="75" t="str">
        <f t="shared" si="48"/>
        <v>N</v>
      </c>
      <c r="V134" s="75">
        <f t="shared" si="49"/>
        <v>1</v>
      </c>
      <c r="W134" s="75">
        <f t="shared" si="50"/>
        <v>23.297699999999999</v>
      </c>
      <c r="X134" s="75">
        <f t="shared" si="51"/>
        <v>1.5800000000000002E-2</v>
      </c>
      <c r="Y134" s="75">
        <f t="shared" si="52"/>
        <v>23.2819</v>
      </c>
      <c r="Z134" s="76">
        <f>VLOOKUP(A134,Enforcements!$C$3:$J$26,8,0)</f>
        <v>86386</v>
      </c>
      <c r="AA134" s="76" t="str">
        <f>VLOOKUP(A134,Enforcements!$C$3:$J$26,3,0)</f>
        <v>GRADE CROSSING</v>
      </c>
    </row>
    <row r="135" spans="1:27" s="2" customFormat="1" x14ac:dyDescent="0.25">
      <c r="A135" s="61" t="s">
        <v>387</v>
      </c>
      <c r="B135" s="61">
        <v>4016</v>
      </c>
      <c r="C135" s="61" t="s">
        <v>71</v>
      </c>
      <c r="D135" s="61" t="s">
        <v>82</v>
      </c>
      <c r="E135" s="30">
        <v>42500.900381944448</v>
      </c>
      <c r="F135" s="30">
        <v>42500.901226851849</v>
      </c>
      <c r="G135" s="38">
        <v>1</v>
      </c>
      <c r="H135" s="30" t="s">
        <v>73</v>
      </c>
      <c r="I135" s="30">
        <v>42500.942002314812</v>
      </c>
      <c r="J135" s="61">
        <v>1</v>
      </c>
      <c r="K135" s="61" t="str">
        <f t="shared" si="53"/>
        <v>4015/4016</v>
      </c>
      <c r="L135" s="61" t="str">
        <f>VLOOKUP(A135,'Trips&amp;Operators'!$C$1:$E$9999,3,FALSE)</f>
        <v>BRUDER</v>
      </c>
      <c r="M135" s="12">
        <f t="shared" si="46"/>
        <v>4.0775462963210884E-2</v>
      </c>
      <c r="N135" s="13">
        <f t="shared" si="54"/>
        <v>58.716666667023674</v>
      </c>
      <c r="O135" s="13"/>
      <c r="P135" s="13"/>
      <c r="Q135" s="62"/>
      <c r="R135" s="62"/>
      <c r="T135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21:35:33-0600',mode:absolute,to:'2016-05-10 22:37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35" s="75" t="str">
        <f t="shared" si="48"/>
        <v>N</v>
      </c>
      <c r="V135" s="75">
        <f t="shared" si="49"/>
        <v>1</v>
      </c>
      <c r="W135" s="75">
        <f t="shared" si="50"/>
        <v>4.5699999999999998E-2</v>
      </c>
      <c r="X135" s="75">
        <f t="shared" si="51"/>
        <v>23.331</v>
      </c>
      <c r="Y135" s="75">
        <f t="shared" si="52"/>
        <v>23.285299999999999</v>
      </c>
      <c r="Z135" s="76" t="e">
        <f>VLOOKUP(A135,Enforcements!$C$3:$J$26,8,0)</f>
        <v>#N/A</v>
      </c>
      <c r="AA135" s="76" t="e">
        <f>VLOOKUP(A135,Enforcements!$C$3:$J$26,3,0)</f>
        <v>#N/A</v>
      </c>
    </row>
    <row r="136" spans="1:27" s="2" customFormat="1" x14ac:dyDescent="0.25">
      <c r="A136" s="61" t="s">
        <v>388</v>
      </c>
      <c r="B136" s="61">
        <v>4015</v>
      </c>
      <c r="C136" s="61" t="s">
        <v>71</v>
      </c>
      <c r="D136" s="61" t="s">
        <v>78</v>
      </c>
      <c r="E136" s="30">
        <v>42500.944421296299</v>
      </c>
      <c r="F136" s="30">
        <v>42500.945393518516</v>
      </c>
      <c r="G136" s="38">
        <v>1</v>
      </c>
      <c r="H136" s="30" t="s">
        <v>139</v>
      </c>
      <c r="I136" s="30">
        <v>42500.981782407405</v>
      </c>
      <c r="J136" s="61">
        <v>0</v>
      </c>
      <c r="K136" s="61" t="str">
        <f t="shared" si="53"/>
        <v>4015/4016</v>
      </c>
      <c r="L136" s="61" t="str">
        <f>VLOOKUP(A136,'Trips&amp;Operators'!$C$1:$E$9999,3,FALSE)</f>
        <v>BRUDER</v>
      </c>
      <c r="M136" s="12">
        <f t="shared" si="46"/>
        <v>3.6388888889632653E-2</v>
      </c>
      <c r="N136" s="13">
        <f t="shared" si="54"/>
        <v>52.400000001071021</v>
      </c>
      <c r="O136" s="13"/>
      <c r="P136" s="13"/>
      <c r="Q136" s="62"/>
      <c r="R136" s="62"/>
      <c r="T136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22:38:58-0600',mode:absolute,to:'2016-05-10 23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36" s="75" t="str">
        <f t="shared" si="48"/>
        <v>N</v>
      </c>
      <c r="V136" s="75">
        <f t="shared" si="49"/>
        <v>1</v>
      </c>
      <c r="W136" s="75">
        <f t="shared" si="50"/>
        <v>23.298500000000001</v>
      </c>
      <c r="X136" s="75">
        <f t="shared" si="51"/>
        <v>1.34E-2</v>
      </c>
      <c r="Y136" s="75">
        <f t="shared" si="52"/>
        <v>23.2851</v>
      </c>
      <c r="Z136" s="76" t="e">
        <f>VLOOKUP(A136,Enforcements!$C$3:$J$26,8,0)</f>
        <v>#N/A</v>
      </c>
      <c r="AA136" s="76" t="e">
        <f>VLOOKUP(A136,Enforcements!$C$3:$J$26,3,0)</f>
        <v>#N/A</v>
      </c>
    </row>
    <row r="137" spans="1:27" s="2" customFormat="1" x14ac:dyDescent="0.25">
      <c r="A137" s="61" t="s">
        <v>389</v>
      </c>
      <c r="B137" s="61">
        <v>4044</v>
      </c>
      <c r="C137" s="61" t="s">
        <v>71</v>
      </c>
      <c r="D137" s="61" t="s">
        <v>98</v>
      </c>
      <c r="E137" s="30">
        <v>42500.922002314815</v>
      </c>
      <c r="F137" s="30">
        <v>42500.923356481479</v>
      </c>
      <c r="G137" s="38">
        <v>1</v>
      </c>
      <c r="H137" s="30" t="s">
        <v>146</v>
      </c>
      <c r="I137" s="30">
        <v>42500.962905092594</v>
      </c>
      <c r="J137" s="61">
        <v>0</v>
      </c>
      <c r="K137" s="61" t="str">
        <f t="shared" si="53"/>
        <v>4043/4044</v>
      </c>
      <c r="L137" s="61" t="str">
        <f>VLOOKUP(A137,'Trips&amp;Operators'!$C$1:$E$9999,3,FALSE)</f>
        <v>BARTLETT</v>
      </c>
      <c r="M137" s="12">
        <f t="shared" si="46"/>
        <v>3.9548611115606036E-2</v>
      </c>
      <c r="N137" s="13">
        <f t="shared" si="54"/>
        <v>56.950000006472692</v>
      </c>
      <c r="O137" s="13"/>
      <c r="P137" s="13"/>
      <c r="Q137" s="62"/>
      <c r="R137" s="62"/>
      <c r="T137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22:06:41-0600',mode:absolute,to:'2016-05-10 23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37" s="75" t="str">
        <f t="shared" si="48"/>
        <v>N</v>
      </c>
      <c r="V137" s="75">
        <f t="shared" si="49"/>
        <v>1</v>
      </c>
      <c r="W137" s="75">
        <f t="shared" si="50"/>
        <v>4.5100000000000001E-2</v>
      </c>
      <c r="X137" s="75">
        <f t="shared" si="51"/>
        <v>23.331700000000001</v>
      </c>
      <c r="Y137" s="75">
        <f t="shared" si="52"/>
        <v>23.2866</v>
      </c>
      <c r="Z137" s="76" t="e">
        <f>VLOOKUP(A137,Enforcements!$C$3:$J$26,8,0)</f>
        <v>#N/A</v>
      </c>
      <c r="AA137" s="76" t="e">
        <f>VLOOKUP(A137,Enforcements!$C$3:$J$26,3,0)</f>
        <v>#N/A</v>
      </c>
    </row>
    <row r="138" spans="1:27" s="2" customFormat="1" x14ac:dyDescent="0.25">
      <c r="A138" s="61" t="s">
        <v>390</v>
      </c>
      <c r="B138" s="61">
        <v>4043</v>
      </c>
      <c r="C138" s="61" t="s">
        <v>71</v>
      </c>
      <c r="D138" s="61" t="s">
        <v>101</v>
      </c>
      <c r="E138" s="30">
        <v>42500.969189814816</v>
      </c>
      <c r="F138" s="30">
        <v>42500.970983796295</v>
      </c>
      <c r="G138" s="38">
        <v>2</v>
      </c>
      <c r="H138" s="30" t="s">
        <v>266</v>
      </c>
      <c r="I138" s="30">
        <v>42501.004155092596</v>
      </c>
      <c r="J138" s="61">
        <v>0</v>
      </c>
      <c r="K138" s="61" t="str">
        <f t="shared" si="53"/>
        <v>4043/4044</v>
      </c>
      <c r="L138" s="61" t="str">
        <f>VLOOKUP(A138,'Trips&amp;Operators'!$C$1:$E$9999,3,FALSE)</f>
        <v>BARTLETT</v>
      </c>
      <c r="M138" s="12">
        <f t="shared" si="46"/>
        <v>3.3171296301588882E-2</v>
      </c>
      <c r="N138" s="13">
        <f t="shared" si="54"/>
        <v>47.76666667428799</v>
      </c>
      <c r="O138" s="13"/>
      <c r="P138" s="13"/>
      <c r="Q138" s="62"/>
      <c r="R138" s="62"/>
      <c r="T138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23:14:38-0600',mode:absolute,to:'2016-05-11 00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38" s="75" t="str">
        <f t="shared" si="48"/>
        <v>N</v>
      </c>
      <c r="V138" s="75">
        <f t="shared" si="49"/>
        <v>1</v>
      </c>
      <c r="W138" s="75">
        <f t="shared" si="50"/>
        <v>23.299800000000001</v>
      </c>
      <c r="X138" s="75">
        <f t="shared" si="51"/>
        <v>1.5800000000000002E-2</v>
      </c>
      <c r="Y138" s="75">
        <f t="shared" si="52"/>
        <v>23.284000000000002</v>
      </c>
      <c r="Z138" s="76" t="e">
        <f>VLOOKUP(A138,Enforcements!$C$3:$J$26,8,0)</f>
        <v>#N/A</v>
      </c>
      <c r="AA138" s="76" t="e">
        <f>VLOOKUP(A138,Enforcements!$C$3:$J$26,3,0)</f>
        <v>#N/A</v>
      </c>
    </row>
    <row r="139" spans="1:27" s="2" customFormat="1" x14ac:dyDescent="0.25">
      <c r="A139" s="61" t="s">
        <v>391</v>
      </c>
      <c r="B139" s="61">
        <v>4020</v>
      </c>
      <c r="C139" s="61" t="s">
        <v>71</v>
      </c>
      <c r="D139" s="61" t="s">
        <v>92</v>
      </c>
      <c r="E139" s="30">
        <v>42500.948067129626</v>
      </c>
      <c r="F139" s="30">
        <v>42500.94908564815</v>
      </c>
      <c r="G139" s="38">
        <v>1</v>
      </c>
      <c r="H139" s="30" t="s">
        <v>392</v>
      </c>
      <c r="I139" s="30">
        <v>42500.985671296294</v>
      </c>
      <c r="J139" s="61">
        <v>0</v>
      </c>
      <c r="K139" s="61" t="str">
        <f t="shared" si="53"/>
        <v>4019/4020</v>
      </c>
      <c r="L139" s="61" t="str">
        <f>VLOOKUP(A139,'Trips&amp;Operators'!$C$1:$E$9999,3,FALSE)</f>
        <v>LEVERE</v>
      </c>
      <c r="M139" s="12">
        <f t="shared" si="46"/>
        <v>3.6585648143955041E-2</v>
      </c>
      <c r="N139" s="13">
        <f t="shared" si="54"/>
        <v>52.683333327295259</v>
      </c>
      <c r="O139" s="13"/>
      <c r="P139" s="13"/>
      <c r="Q139" s="62"/>
      <c r="R139" s="62"/>
      <c r="T139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22:44:13-0600',mode:absolute,to:'2016-05-10 23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39" s="75" t="str">
        <f t="shared" si="48"/>
        <v>N</v>
      </c>
      <c r="V139" s="75">
        <f t="shared" si="49"/>
        <v>1</v>
      </c>
      <c r="W139" s="75">
        <f t="shared" si="50"/>
        <v>4.4699999999999997E-2</v>
      </c>
      <c r="X139" s="75">
        <f t="shared" si="51"/>
        <v>23.3278</v>
      </c>
      <c r="Y139" s="75">
        <f t="shared" si="52"/>
        <v>23.283100000000001</v>
      </c>
      <c r="Z139" s="76" t="e">
        <f>VLOOKUP(A139,Enforcements!$C$3:$J$26,8,0)</f>
        <v>#N/A</v>
      </c>
      <c r="AA139" s="76" t="e">
        <f>VLOOKUP(A139,Enforcements!$C$3:$J$26,3,0)</f>
        <v>#N/A</v>
      </c>
    </row>
    <row r="140" spans="1:27" s="2" customFormat="1" x14ac:dyDescent="0.25">
      <c r="A140" s="61" t="s">
        <v>393</v>
      </c>
      <c r="B140" s="61">
        <v>4019</v>
      </c>
      <c r="C140" s="61" t="s">
        <v>71</v>
      </c>
      <c r="D140" s="61" t="s">
        <v>394</v>
      </c>
      <c r="E140" s="30">
        <v>42500.991562499999</v>
      </c>
      <c r="F140" s="30">
        <v>42500.992604166669</v>
      </c>
      <c r="G140" s="38">
        <v>1</v>
      </c>
      <c r="H140" s="30" t="s">
        <v>395</v>
      </c>
      <c r="I140" s="30">
        <v>42501.029120370367</v>
      </c>
      <c r="J140" s="61">
        <v>0</v>
      </c>
      <c r="K140" s="61" t="str">
        <f t="shared" si="53"/>
        <v>4019/4020</v>
      </c>
      <c r="L140" s="61" t="str">
        <f>VLOOKUP(A140,'Trips&amp;Operators'!$C$1:$E$9999,3,FALSE)</f>
        <v>LEVERE</v>
      </c>
      <c r="M140" s="12">
        <f t="shared" si="46"/>
        <v>3.6516203697829042E-2</v>
      </c>
      <c r="N140" s="13">
        <f t="shared" si="54"/>
        <v>52.58333332487382</v>
      </c>
      <c r="O140" s="13"/>
      <c r="P140" s="13"/>
      <c r="Q140" s="62"/>
      <c r="R140" s="62"/>
      <c r="T140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23:46:51-0600',mode:absolute,to:'2016-05-11 00:42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40" s="75" t="str">
        <f t="shared" si="48"/>
        <v>N</v>
      </c>
      <c r="V140" s="75">
        <f t="shared" si="49"/>
        <v>1</v>
      </c>
      <c r="W140" s="75">
        <f t="shared" si="50"/>
        <v>23.295500000000001</v>
      </c>
      <c r="X140" s="75">
        <f t="shared" si="51"/>
        <v>2.07E-2</v>
      </c>
      <c r="Y140" s="75">
        <f t="shared" si="52"/>
        <v>23.274799999999999</v>
      </c>
      <c r="Z140" s="76" t="e">
        <f>VLOOKUP(A140,Enforcements!$C$3:$J$26,8,0)</f>
        <v>#N/A</v>
      </c>
      <c r="AA140" s="76" t="e">
        <f>VLOOKUP(A140,Enforcements!$C$3:$J$26,3,0)</f>
        <v>#N/A</v>
      </c>
    </row>
    <row r="141" spans="1:27" s="2" customFormat="1" x14ac:dyDescent="0.25">
      <c r="A141" s="61" t="s">
        <v>396</v>
      </c>
      <c r="B141" s="61">
        <v>4024</v>
      </c>
      <c r="C141" s="61" t="s">
        <v>71</v>
      </c>
      <c r="D141" s="61" t="s">
        <v>116</v>
      </c>
      <c r="E141" s="30">
        <v>42500.974930555552</v>
      </c>
      <c r="F141" s="30">
        <v>42500.97587962963</v>
      </c>
      <c r="G141" s="38">
        <v>1</v>
      </c>
      <c r="H141" s="30" t="s">
        <v>145</v>
      </c>
      <c r="I141" s="30">
        <v>42501.003912037035</v>
      </c>
      <c r="J141" s="61">
        <v>0</v>
      </c>
      <c r="K141" s="61" t="str">
        <f t="shared" si="53"/>
        <v>4023/4024</v>
      </c>
      <c r="L141" s="61" t="str">
        <f>VLOOKUP(A141,'Trips&amp;Operators'!$C$1:$E$9999,3,FALSE)</f>
        <v>STRICKLAND</v>
      </c>
      <c r="M141" s="12">
        <f t="shared" si="46"/>
        <v>2.8032407404680271E-2</v>
      </c>
      <c r="N141" s="13">
        <f t="shared" si="54"/>
        <v>40.36666666273959</v>
      </c>
      <c r="O141" s="13"/>
      <c r="P141" s="13"/>
      <c r="Q141" s="62"/>
      <c r="R141" s="62"/>
      <c r="T141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23:22:54-0600',mode:absolute,to:'2016-05-11 00:06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41" s="75" t="str">
        <f t="shared" si="48"/>
        <v>N</v>
      </c>
      <c r="V141" s="75">
        <f t="shared" si="49"/>
        <v>1</v>
      </c>
      <c r="W141" s="75">
        <f t="shared" si="50"/>
        <v>4.6600000000000003E-2</v>
      </c>
      <c r="X141" s="75">
        <f t="shared" si="51"/>
        <v>23.33</v>
      </c>
      <c r="Y141" s="75">
        <f t="shared" si="52"/>
        <v>23.283399999999997</v>
      </c>
      <c r="Z141" s="76" t="e">
        <f>VLOOKUP(A141,Enforcements!$C$3:$J$26,8,0)</f>
        <v>#N/A</v>
      </c>
      <c r="AA141" s="76" t="e">
        <f>VLOOKUP(A141,Enforcements!$C$3:$J$26,3,0)</f>
        <v>#N/A</v>
      </c>
    </row>
    <row r="142" spans="1:27" s="2" customFormat="1" x14ac:dyDescent="0.25">
      <c r="A142" s="61" t="s">
        <v>397</v>
      </c>
      <c r="B142" s="61">
        <v>4023</v>
      </c>
      <c r="C142" s="61" t="s">
        <v>71</v>
      </c>
      <c r="D142" s="61" t="s">
        <v>130</v>
      </c>
      <c r="E142" s="30">
        <v>42501.016284722224</v>
      </c>
      <c r="F142" s="30">
        <v>42501.017210648148</v>
      </c>
      <c r="G142" s="38">
        <v>1</v>
      </c>
      <c r="H142" s="30" t="s">
        <v>128</v>
      </c>
      <c r="I142" s="30">
        <v>42501.044224537036</v>
      </c>
      <c r="J142" s="61">
        <v>0</v>
      </c>
      <c r="K142" s="61" t="str">
        <f t="shared" si="53"/>
        <v>4023/4024</v>
      </c>
      <c r="L142" s="61" t="str">
        <f>VLOOKUP(A142,'Trips&amp;Operators'!$C$1:$E$9999,3,FALSE)</f>
        <v>STRICKLAND</v>
      </c>
      <c r="M142" s="12">
        <f t="shared" si="46"/>
        <v>2.7013888888177462E-2</v>
      </c>
      <c r="N142" s="13">
        <f t="shared" si="54"/>
        <v>38.899999998975545</v>
      </c>
      <c r="O142" s="13"/>
      <c r="P142" s="13"/>
      <c r="Q142" s="62"/>
      <c r="R142" s="62"/>
      <c r="T142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https://search-rtdc-monitor-bjffxe2xuh6vdkpspy63sjmuny.us-east-1.es.amazonaws.com/_plugin/kibana/#/discover/Steve-Slow-Train-Analysis-(2080s-and-2083s)?_g=(refreshInterval:(display:Off,section:0,value:0),time:(from:'2016-05-11 00:22:27-0600',mode:absolute,to:'2016-05-11 01:04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42" s="75" t="str">
        <f t="shared" si="48"/>
        <v>N</v>
      </c>
      <c r="V142" s="75">
        <f t="shared" si="49"/>
        <v>1</v>
      </c>
      <c r="W142" s="75">
        <f t="shared" si="50"/>
        <v>23.298100000000002</v>
      </c>
      <c r="X142" s="75">
        <f t="shared" si="51"/>
        <v>1.4999999999999999E-2</v>
      </c>
      <c r="Y142" s="75">
        <f t="shared" si="52"/>
        <v>23.283100000000001</v>
      </c>
      <c r="Z142" s="76" t="e">
        <f>VLOOKUP(A142,Enforcements!$C$3:$J$26,8,0)</f>
        <v>#N/A</v>
      </c>
      <c r="AA142" s="76" t="e">
        <f>VLOOKUP(A142,Enforcements!$C$3:$J$26,3,0)</f>
        <v>#N/A</v>
      </c>
    </row>
    <row r="143" spans="1:27" s="2" customFormat="1" x14ac:dyDescent="0.25">
      <c r="A143" s="61" t="s">
        <v>398</v>
      </c>
      <c r="B143" s="61">
        <v>4016</v>
      </c>
      <c r="C143" s="61" t="s">
        <v>71</v>
      </c>
      <c r="D143" s="61" t="s">
        <v>147</v>
      </c>
      <c r="E143" s="30">
        <v>42500.989259259259</v>
      </c>
      <c r="F143" s="30">
        <v>42500.989965277775</v>
      </c>
      <c r="G143" s="38">
        <v>1</v>
      </c>
      <c r="H143" s="30" t="s">
        <v>220</v>
      </c>
      <c r="I143" s="30">
        <v>42501.025011574071</v>
      </c>
      <c r="J143" s="61">
        <v>1</v>
      </c>
      <c r="K143" s="61" t="str">
        <f t="shared" si="53"/>
        <v>4015/4016</v>
      </c>
      <c r="L143" s="61" t="str">
        <f>VLOOKUP(A143,'Trips&amp;Operators'!$C$1:$E$9999,3,FALSE)</f>
        <v>BRUDER</v>
      </c>
      <c r="M143" s="12">
        <f t="shared" si="46"/>
        <v>3.5046296296059154E-2</v>
      </c>
      <c r="N143" s="13">
        <f t="shared" si="54"/>
        <v>50.466666666325182</v>
      </c>
      <c r="O143" s="13"/>
      <c r="P143" s="13"/>
      <c r="Q143" s="62"/>
      <c r="R143" s="62"/>
      <c r="T143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https://search-rtdc-monitor-bjffxe2xuh6vdkpspy63sjmuny.us-east-1.es.amazonaws.com/_plugin/kibana/#/discover/Steve-Slow-Train-Analysis-(2080s-and-2083s)?_g=(refreshInterval:(display:Off,section:0,value:0),time:(from:'2016-05-10 23:43:32-0600',mode:absolute,to:'2016-05-11 00:37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43" s="75" t="str">
        <f t="shared" si="48"/>
        <v>N</v>
      </c>
      <c r="V143" s="75">
        <f t="shared" si="49"/>
        <v>1</v>
      </c>
      <c r="W143" s="75">
        <f t="shared" si="50"/>
        <v>4.3299999999999998E-2</v>
      </c>
      <c r="X143" s="75">
        <f t="shared" si="51"/>
        <v>23.331900000000001</v>
      </c>
      <c r="Y143" s="75">
        <f t="shared" si="52"/>
        <v>23.288600000000002</v>
      </c>
      <c r="Z143" s="76" t="e">
        <f>VLOOKUP(A143,Enforcements!$C$3:$J$26,8,0)</f>
        <v>#N/A</v>
      </c>
      <c r="AA143" s="76" t="e">
        <f>VLOOKUP(A143,Enforcements!$C$3:$J$26,3,0)</f>
        <v>#N/A</v>
      </c>
    </row>
    <row r="144" spans="1:27" s="2" customFormat="1" x14ac:dyDescent="0.25">
      <c r="A144" s="61" t="s">
        <v>399</v>
      </c>
      <c r="B144" s="61">
        <v>4015</v>
      </c>
      <c r="C144" s="61" t="s">
        <v>71</v>
      </c>
      <c r="D144" s="61" t="s">
        <v>83</v>
      </c>
      <c r="E144" s="30">
        <v>42501.029328703706</v>
      </c>
      <c r="F144" s="30">
        <v>42501.030555555553</v>
      </c>
      <c r="G144" s="38">
        <v>1</v>
      </c>
      <c r="H144" s="30" t="s">
        <v>400</v>
      </c>
      <c r="I144" s="30">
        <v>42501.064560185187</v>
      </c>
      <c r="J144" s="61">
        <v>0</v>
      </c>
      <c r="K144" s="61" t="str">
        <f t="shared" si="53"/>
        <v>4015/4016</v>
      </c>
      <c r="L144" s="61" t="str">
        <f>VLOOKUP(A144,'Trips&amp;Operators'!$C$1:$E$9999,3,FALSE)</f>
        <v>BRUDER</v>
      </c>
      <c r="M144" s="12">
        <f t="shared" si="46"/>
        <v>3.4004629633272998E-2</v>
      </c>
      <c r="N144" s="13">
        <f t="shared" si="54"/>
        <v>48.966666671913117</v>
      </c>
      <c r="O144" s="13"/>
      <c r="P144" s="13"/>
      <c r="Q144" s="62"/>
      <c r="R144" s="62"/>
      <c r="T144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https://search-rtdc-monitor-bjffxe2xuh6vdkpspy63sjmuny.us-east-1.es.amazonaws.com/_plugin/kibana/#/discover/Steve-Slow-Train-Analysis-(2080s-and-2083s)?_g=(refreshInterval:(display:Off,section:0,value:0),time:(from:'2016-05-11 00:41:14-0600',mode:absolute,to:'2016-05-11 01:33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44" s="75" t="str">
        <f t="shared" si="48"/>
        <v>N</v>
      </c>
      <c r="V144" s="75">
        <f t="shared" si="49"/>
        <v>1</v>
      </c>
      <c r="W144" s="75">
        <f t="shared" si="50"/>
        <v>23.299099999999999</v>
      </c>
      <c r="X144" s="75">
        <f t="shared" si="51"/>
        <v>1.7600000000000001E-2</v>
      </c>
      <c r="Y144" s="75">
        <f t="shared" si="52"/>
        <v>23.281499999999998</v>
      </c>
      <c r="Z144" s="76" t="e">
        <f>VLOOKUP(A144,Enforcements!$C$3:$J$26,8,0)</f>
        <v>#N/A</v>
      </c>
      <c r="AA144" s="76" t="e">
        <f>VLOOKUP(A144,Enforcements!$C$3:$J$26,3,0)</f>
        <v>#N/A</v>
      </c>
    </row>
    <row r="145" spans="1:27" s="2" customFormat="1" x14ac:dyDescent="0.25">
      <c r="A145" s="61" t="s">
        <v>401</v>
      </c>
      <c r="B145" s="61">
        <v>4044</v>
      </c>
      <c r="C145" s="61" t="s">
        <v>71</v>
      </c>
      <c r="D145" s="61" t="s">
        <v>111</v>
      </c>
      <c r="E145" s="30">
        <v>42501.015706018516</v>
      </c>
      <c r="F145" s="30">
        <v>42501.016736111109</v>
      </c>
      <c r="G145" s="38">
        <v>1</v>
      </c>
      <c r="H145" s="30" t="s">
        <v>158</v>
      </c>
      <c r="I145" s="30">
        <v>42501.053576388891</v>
      </c>
      <c r="J145" s="61">
        <v>0</v>
      </c>
      <c r="K145" s="61" t="str">
        <f t="shared" si="53"/>
        <v>4043/4044</v>
      </c>
      <c r="L145" s="61" t="str">
        <f>VLOOKUP(A145,'Trips&amp;Operators'!$C$1:$E$9999,3,FALSE)</f>
        <v>BARTLETT</v>
      </c>
      <c r="M145" s="12">
        <f t="shared" si="46"/>
        <v>3.684027778217569E-2</v>
      </c>
      <c r="N145" s="13">
        <f t="shared" si="54"/>
        <v>53.050000006332994</v>
      </c>
      <c r="O145" s="13"/>
      <c r="P145" s="13"/>
      <c r="Q145" s="62"/>
      <c r="R145" s="62"/>
      <c r="T145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https://search-rtdc-monitor-bjffxe2xuh6vdkpspy63sjmuny.us-east-1.es.amazonaws.com/_plugin/kibana/#/discover/Steve-Slow-Train-Analysis-(2080s-and-2083s)?_g=(refreshInterval:(display:Off,section:0,value:0),time:(from:'2016-05-11 00:21:37-0600',mode:absolute,to:'2016-05-11 01:18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45" s="75" t="str">
        <f t="shared" si="48"/>
        <v>N</v>
      </c>
      <c r="V145" s="75">
        <f t="shared" si="49"/>
        <v>1</v>
      </c>
      <c r="W145" s="75">
        <f t="shared" si="50"/>
        <v>4.6399999999999997E-2</v>
      </c>
      <c r="X145" s="75">
        <f t="shared" si="51"/>
        <v>23.328800000000001</v>
      </c>
      <c r="Y145" s="75">
        <f t="shared" si="52"/>
        <v>23.282400000000003</v>
      </c>
      <c r="Z145" s="76" t="e">
        <f>VLOOKUP(A145,Enforcements!$C$3:$J$26,8,0)</f>
        <v>#N/A</v>
      </c>
      <c r="AA145" s="76" t="e">
        <f>VLOOKUP(A145,Enforcements!$C$3:$J$26,3,0)</f>
        <v>#N/A</v>
      </c>
    </row>
    <row r="146" spans="1:27" s="2" customFormat="1" x14ac:dyDescent="0.25">
      <c r="A146" s="61" t="s">
        <v>402</v>
      </c>
      <c r="B146" s="61">
        <v>4043</v>
      </c>
      <c r="C146" s="61" t="s">
        <v>71</v>
      </c>
      <c r="D146" s="61" t="s">
        <v>76</v>
      </c>
      <c r="E146" s="30">
        <v>42501.056041666663</v>
      </c>
      <c r="F146" s="30">
        <v>42501.056921296295</v>
      </c>
      <c r="G146" s="38">
        <v>1</v>
      </c>
      <c r="H146" s="30" t="s">
        <v>403</v>
      </c>
      <c r="I146" s="30">
        <v>42501.085092592592</v>
      </c>
      <c r="J146" s="61">
        <v>0</v>
      </c>
      <c r="K146" s="61" t="str">
        <f t="shared" si="53"/>
        <v>4043/4044</v>
      </c>
      <c r="L146" s="61" t="str">
        <f>VLOOKUP(A146,'Trips&amp;Operators'!$C$1:$E$9999,3,FALSE)</f>
        <v>BARTLETT</v>
      </c>
      <c r="M146" s="12">
        <f t="shared" si="46"/>
        <v>2.8171296296932269E-2</v>
      </c>
      <c r="N146" s="13"/>
      <c r="O146" s="13"/>
      <c r="P146" s="13">
        <v>41</v>
      </c>
      <c r="Q146" s="62" t="s">
        <v>418</v>
      </c>
      <c r="R146" s="62" t="s">
        <v>417</v>
      </c>
      <c r="T146" s="75" t="str">
        <f t="shared" si="47"/>
        <v>https://search-rtdc-monitor-bjffxe2xuh6vdkpspy63sjmuny.us-east-1.es.amazonaws.com/_plugin/kibana/#/discover/Steve-Slow-Train-Analysis-(2080s-and-2083s)?_g=(refreshInterval:(display:Off,section:0,value:0),time:(from:'2016-05-11 01:19:42-0600',mode:absolute,to:'2016-05-11 02:03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46" s="75" t="str">
        <f t="shared" si="48"/>
        <v>Y</v>
      </c>
      <c r="V146" s="75">
        <f t="shared" si="49"/>
        <v>1</v>
      </c>
      <c r="W146" s="75">
        <f t="shared" si="50"/>
        <v>23.297799999999999</v>
      </c>
      <c r="X146" s="75">
        <f t="shared" si="51"/>
        <v>0.3705</v>
      </c>
      <c r="Y146" s="75">
        <f t="shared" si="52"/>
        <v>22.927299999999999</v>
      </c>
      <c r="Z146" s="76" t="e">
        <f>VLOOKUP(A146,Enforcements!$C$3:$J$26,8,0)</f>
        <v>#N/A</v>
      </c>
      <c r="AA146" s="76" t="e">
        <f>VLOOKUP(A146,Enforcements!$C$3:$J$26,3,0)</f>
        <v>#N/A</v>
      </c>
    </row>
    <row r="147" spans="1:27" s="2" customFormat="1" ht="15.75" thickBot="1" x14ac:dyDescent="0.3">
      <c r="A147" s="64"/>
      <c r="B147" s="64"/>
      <c r="C147" s="64"/>
      <c r="D147" s="64"/>
      <c r="E147" s="65"/>
      <c r="F147" s="65"/>
      <c r="G147" s="66"/>
      <c r="H147" s="65"/>
      <c r="I147" s="65"/>
      <c r="J147" s="64"/>
      <c r="K147" s="64"/>
      <c r="L147" s="64"/>
      <c r="M147" s="67"/>
      <c r="N147" s="68"/>
      <c r="O147" s="68"/>
      <c r="P147" s="68"/>
      <c r="Q147" s="69"/>
      <c r="R147" s="69"/>
      <c r="T147" s="70"/>
      <c r="U147" s="70"/>
      <c r="V147" s="70"/>
      <c r="W147" s="70"/>
      <c r="X147" s="70"/>
      <c r="Y147" s="70"/>
      <c r="Z147" s="71"/>
      <c r="AA147" s="71"/>
    </row>
    <row r="148" spans="1:27" s="2" customFormat="1" ht="15.75" thickBot="1" x14ac:dyDescent="0.3">
      <c r="E148" s="31"/>
      <c r="F148" s="31"/>
      <c r="G148" s="39"/>
      <c r="H148" s="31"/>
      <c r="I148" s="78">
        <f>Variables!A2</f>
        <v>42500</v>
      </c>
      <c r="J148" s="79"/>
      <c r="K148" s="77"/>
      <c r="L148" s="77"/>
      <c r="M148" s="80" t="s">
        <v>8</v>
      </c>
      <c r="N148" s="81"/>
      <c r="O148" s="82"/>
      <c r="P148" s="5"/>
      <c r="T148" s="57"/>
      <c r="U148" s="57"/>
      <c r="V148" s="57"/>
      <c r="W148" s="57"/>
      <c r="X148" s="57"/>
      <c r="Y148" s="57"/>
      <c r="Z148" s="58"/>
      <c r="AA148" s="58"/>
    </row>
    <row r="149" spans="1:27" s="2" customFormat="1" ht="15.75" thickBot="1" x14ac:dyDescent="0.3">
      <c r="E149" s="31"/>
      <c r="F149" s="31"/>
      <c r="G149" s="39"/>
      <c r="H149" s="31"/>
      <c r="I149" s="83" t="s">
        <v>10</v>
      </c>
      <c r="J149" s="84"/>
      <c r="K149" s="35"/>
      <c r="L149" s="59"/>
      <c r="M149" s="9" t="s">
        <v>11</v>
      </c>
      <c r="N149" s="6" t="s">
        <v>12</v>
      </c>
      <c r="O149" s="7" t="s">
        <v>13</v>
      </c>
      <c r="P149" s="5"/>
      <c r="T149" s="57"/>
      <c r="U149" s="57"/>
      <c r="V149" s="57"/>
      <c r="W149" s="57"/>
      <c r="X149" s="57"/>
      <c r="Y149" s="57"/>
      <c r="Z149" s="58"/>
      <c r="AA149" s="58"/>
    </row>
    <row r="150" spans="1:27" s="2" customFormat="1" ht="15.75" thickBot="1" x14ac:dyDescent="0.3">
      <c r="E150" s="31"/>
      <c r="F150" s="31"/>
      <c r="G150" s="39"/>
      <c r="H150" s="31"/>
      <c r="I150" s="32" t="s">
        <v>14</v>
      </c>
      <c r="J150" s="3">
        <f>COUNT(N3:P146)</f>
        <v>142</v>
      </c>
      <c r="K150" s="3"/>
      <c r="L150" s="3"/>
      <c r="M150" s="72" t="s">
        <v>15</v>
      </c>
      <c r="N150" s="6" t="s">
        <v>15</v>
      </c>
      <c r="O150" s="7" t="s">
        <v>15</v>
      </c>
      <c r="P150" s="5"/>
      <c r="T150" s="57"/>
      <c r="U150" s="57"/>
      <c r="V150" s="57"/>
      <c r="W150" s="57"/>
      <c r="X150" s="57"/>
      <c r="Y150" s="57"/>
      <c r="Z150" s="58"/>
      <c r="AA150" s="58"/>
    </row>
    <row r="151" spans="1:27" s="2" customFormat="1" ht="15.75" thickBot="1" x14ac:dyDescent="0.3">
      <c r="E151" s="31"/>
      <c r="F151" s="31"/>
      <c r="G151" s="39"/>
      <c r="H151" s="31"/>
      <c r="I151" s="32" t="s">
        <v>17</v>
      </c>
      <c r="J151" s="3">
        <f>COUNT(N3:N146)</f>
        <v>133</v>
      </c>
      <c r="K151" s="3"/>
      <c r="L151" s="3"/>
      <c r="M151" s="72">
        <f>AVERAGE(N3:N146)</f>
        <v>43.794862155538205</v>
      </c>
      <c r="N151" s="6">
        <f>MIN(N3:N146)</f>
        <v>34.983333328273147</v>
      </c>
      <c r="O151" s="7">
        <f>MAX(N3:N146)</f>
        <v>58.716666667023674</v>
      </c>
      <c r="P151" s="5"/>
      <c r="T151" s="57"/>
      <c r="U151" s="57"/>
      <c r="V151" s="57"/>
      <c r="W151" s="57"/>
      <c r="X151" s="57"/>
      <c r="Y151" s="57"/>
      <c r="Z151" s="58"/>
      <c r="AA151" s="58"/>
    </row>
    <row r="152" spans="1:27" s="2" customFormat="1" ht="15.75" thickBot="1" x14ac:dyDescent="0.3">
      <c r="B152"/>
      <c r="C152"/>
      <c r="D152"/>
      <c r="E152" s="14"/>
      <c r="F152" s="14"/>
      <c r="G152" s="40"/>
      <c r="H152" s="14"/>
      <c r="I152" s="33" t="s">
        <v>45</v>
      </c>
      <c r="J152" s="3">
        <f>COUNT(O3:O146)</f>
        <v>0</v>
      </c>
      <c r="K152" s="3"/>
      <c r="L152" s="3"/>
      <c r="M152" s="72">
        <f>IFERROR(AVERAGE(O3:O146),0)</f>
        <v>0</v>
      </c>
      <c r="N152" s="6">
        <f>MIN(O3:O146)</f>
        <v>0</v>
      </c>
      <c r="O152" s="7">
        <f>MAX(O3:O146)</f>
        <v>0</v>
      </c>
      <c r="P152" s="4"/>
      <c r="Q152"/>
      <c r="R152"/>
      <c r="S152"/>
      <c r="T152" s="55"/>
      <c r="U152" s="55"/>
      <c r="V152" s="55"/>
      <c r="W152" s="55"/>
      <c r="X152" s="55"/>
      <c r="Y152" s="55"/>
      <c r="Z152" s="56"/>
      <c r="AA152" s="56"/>
    </row>
    <row r="153" spans="1:27" s="2" customFormat="1" ht="15.75" thickBot="1" x14ac:dyDescent="0.3">
      <c r="B153"/>
      <c r="C153"/>
      <c r="D153"/>
      <c r="E153" s="14"/>
      <c r="F153" s="14"/>
      <c r="G153" s="40"/>
      <c r="H153" s="14"/>
      <c r="I153" s="34" t="s">
        <v>9</v>
      </c>
      <c r="J153" s="3">
        <f>COUNT(P3:P146)</f>
        <v>9</v>
      </c>
      <c r="K153" s="3"/>
      <c r="L153" s="3"/>
      <c r="M153" s="72" t="s">
        <v>15</v>
      </c>
      <c r="N153" s="6" t="s">
        <v>15</v>
      </c>
      <c r="O153" s="7" t="s">
        <v>15</v>
      </c>
      <c r="P153" s="4"/>
      <c r="Q153"/>
      <c r="R153"/>
      <c r="S153"/>
      <c r="T153" s="55"/>
      <c r="U153" s="55"/>
      <c r="V153" s="55"/>
      <c r="W153" s="55"/>
      <c r="X153" s="55"/>
      <c r="Y153" s="55"/>
      <c r="Z153" s="56"/>
      <c r="AA153" s="56"/>
    </row>
    <row r="154" spans="1:27" s="2" customFormat="1" ht="30.75" thickBot="1" x14ac:dyDescent="0.3">
      <c r="E154" s="31"/>
      <c r="F154" s="31"/>
      <c r="G154" s="39"/>
      <c r="H154" s="31"/>
      <c r="I154" s="32" t="s">
        <v>16</v>
      </c>
      <c r="J154" s="3">
        <f>COUNT(N3:O146)</f>
        <v>133</v>
      </c>
      <c r="K154" s="3"/>
      <c r="L154" s="3"/>
      <c r="M154" s="72">
        <f>AVERAGE(N3:P146)</f>
        <v>43.142253521112664</v>
      </c>
      <c r="N154" s="6">
        <f>MIN(N3:O146)</f>
        <v>34.983333328273147</v>
      </c>
      <c r="O154" s="7">
        <f>MAX(N3:O146)</f>
        <v>58.716666667023674</v>
      </c>
      <c r="P154" s="5"/>
      <c r="T154" s="57"/>
      <c r="U154" s="57"/>
      <c r="V154" s="57"/>
      <c r="W154" s="57"/>
      <c r="X154" s="57"/>
      <c r="Y154" s="57"/>
      <c r="Z154" s="58"/>
      <c r="AA154" s="58"/>
    </row>
    <row r="155" spans="1:27" s="2" customFormat="1" ht="30.75" thickBot="1" x14ac:dyDescent="0.3">
      <c r="B155"/>
      <c r="C155"/>
      <c r="D155"/>
      <c r="E155" s="14"/>
      <c r="F155" s="14"/>
      <c r="G155" s="40"/>
      <c r="H155" s="14"/>
      <c r="I155" s="32" t="s">
        <v>19</v>
      </c>
      <c r="J155" s="8">
        <f>J154/J150</f>
        <v>0.93661971830985913</v>
      </c>
      <c r="K155" s="8"/>
      <c r="L155" s="8"/>
      <c r="M155" s="1"/>
      <c r="N155" s="4"/>
      <c r="O155" s="4"/>
      <c r="P155" s="4"/>
      <c r="Q155"/>
      <c r="R155"/>
      <c r="S155"/>
      <c r="T155" s="55"/>
      <c r="U155" s="55"/>
      <c r="V155" s="55"/>
      <c r="W155" s="55"/>
      <c r="X155" s="55"/>
      <c r="Y155" s="55"/>
      <c r="Z155" s="56"/>
      <c r="AA155" s="56"/>
    </row>
    <row r="156" spans="1:27" s="2" customFormat="1" x14ac:dyDescent="0.25">
      <c r="B156"/>
      <c r="C156"/>
      <c r="D156"/>
      <c r="E156" s="14"/>
      <c r="F156" s="14"/>
      <c r="G156" s="40"/>
      <c r="H156" s="14"/>
      <c r="I156" s="14"/>
      <c r="J156"/>
      <c r="K156"/>
      <c r="L156" s="60"/>
      <c r="M156" s="1"/>
      <c r="N156" s="4"/>
      <c r="O156" s="4"/>
      <c r="P156" s="4"/>
      <c r="Q156"/>
      <c r="R156"/>
      <c r="S156"/>
      <c r="T156" s="55"/>
      <c r="U156" s="55"/>
      <c r="V156" s="55"/>
      <c r="W156" s="55"/>
      <c r="X156" s="55"/>
      <c r="Y156" s="55"/>
      <c r="Z156" s="56"/>
      <c r="AA156" s="56"/>
    </row>
    <row r="157" spans="1:27" s="2" customFormat="1" x14ac:dyDescent="0.25">
      <c r="B157"/>
      <c r="C157"/>
      <c r="D157"/>
      <c r="E157" s="14"/>
      <c r="F157" s="14"/>
      <c r="G157" s="40"/>
      <c r="H157" s="14"/>
      <c r="I157" s="14"/>
      <c r="J157"/>
      <c r="K157"/>
      <c r="L157" s="60"/>
      <c r="M157" s="1"/>
      <c r="N157" s="4"/>
      <c r="O157" s="4"/>
      <c r="P157" s="4"/>
      <c r="Q157"/>
      <c r="R157"/>
      <c r="S157"/>
      <c r="T157" s="55"/>
      <c r="U157" s="55"/>
      <c r="V157" s="55"/>
      <c r="W157" s="55"/>
      <c r="X157" s="55"/>
      <c r="Y157" s="55"/>
      <c r="Z157" s="56"/>
      <c r="AA157" s="56"/>
    </row>
    <row r="158" spans="1:27" s="2" customFormat="1" x14ac:dyDescent="0.25">
      <c r="B158"/>
      <c r="C158"/>
      <c r="D158"/>
      <c r="E158" s="14"/>
      <c r="F158" s="14"/>
      <c r="G158" s="40"/>
      <c r="H158" s="14"/>
      <c r="I158" s="14"/>
      <c r="J158"/>
      <c r="K158"/>
      <c r="L158" s="60"/>
      <c r="M158" s="1"/>
      <c r="N158" s="4"/>
      <c r="O158" s="4"/>
      <c r="P158" s="4"/>
      <c r="Q158"/>
      <c r="R158"/>
      <c r="S158"/>
      <c r="T158" s="55"/>
      <c r="U158" s="55"/>
      <c r="V158" s="55"/>
      <c r="W158" s="55"/>
      <c r="X158" s="55"/>
      <c r="Y158" s="55"/>
      <c r="Z158" s="56"/>
      <c r="AA158" s="56"/>
    </row>
    <row r="159" spans="1:27" s="2" customFormat="1" x14ac:dyDescent="0.25">
      <c r="B159"/>
      <c r="C159"/>
      <c r="D159"/>
      <c r="E159" s="14"/>
      <c r="F159" s="14"/>
      <c r="G159" s="40"/>
      <c r="H159" s="14"/>
      <c r="I159" s="14"/>
      <c r="J159"/>
      <c r="K159"/>
      <c r="L159" s="60"/>
      <c r="M159" s="1"/>
      <c r="N159" s="4"/>
      <c r="O159" s="4"/>
      <c r="P159" s="4"/>
      <c r="Q159"/>
      <c r="R159"/>
      <c r="S159"/>
      <c r="T159" s="55"/>
      <c r="U159" s="55"/>
      <c r="V159" s="55"/>
      <c r="W159" s="55"/>
      <c r="X159" s="55"/>
      <c r="Y159" s="55"/>
      <c r="Z159" s="56"/>
      <c r="AA159" s="56"/>
    </row>
    <row r="160" spans="1:27" s="2" customFormat="1" x14ac:dyDescent="0.25">
      <c r="B160"/>
      <c r="C160"/>
      <c r="D160"/>
      <c r="E160" s="14"/>
      <c r="F160" s="14"/>
      <c r="G160" s="40"/>
      <c r="H160" s="14"/>
      <c r="I160" s="14"/>
      <c r="J160"/>
      <c r="K160"/>
      <c r="L160" s="60"/>
      <c r="M160" s="1"/>
      <c r="N160" s="4"/>
      <c r="O160" s="4"/>
      <c r="P160" s="4"/>
      <c r="Q160"/>
      <c r="R160"/>
      <c r="S160"/>
      <c r="T160" s="55"/>
      <c r="U160" s="55"/>
      <c r="V160" s="55"/>
      <c r="W160" s="55"/>
      <c r="X160" s="55"/>
      <c r="Y160" s="55"/>
      <c r="Z160" s="56"/>
      <c r="AA160" s="56"/>
    </row>
    <row r="163" spans="2:27" s="2" customFormat="1" x14ac:dyDescent="0.25">
      <c r="B163"/>
      <c r="C163"/>
      <c r="D163"/>
      <c r="E163" s="14"/>
      <c r="F163" s="14"/>
      <c r="G163" s="40"/>
      <c r="H163" s="14"/>
      <c r="I163" s="14"/>
      <c r="J163"/>
      <c r="K163"/>
      <c r="L163" s="60"/>
      <c r="M163" s="1"/>
      <c r="N163" s="4"/>
      <c r="O163" s="4"/>
      <c r="P163" s="4"/>
      <c r="Q163"/>
      <c r="R163"/>
      <c r="S163"/>
      <c r="T163" s="55"/>
      <c r="U163" s="55"/>
      <c r="V163" s="55"/>
      <c r="W163" s="55"/>
      <c r="X163" s="55"/>
      <c r="Y163" s="55"/>
      <c r="Z163" s="56"/>
      <c r="AA163" s="56"/>
    </row>
  </sheetData>
  <autoFilter ref="A2:AA146"/>
  <sortState ref="A3:Y144">
    <sortCondition ref="A3:A144"/>
  </sortState>
  <mergeCells count="4">
    <mergeCell ref="I148:J148"/>
    <mergeCell ref="M148:O148"/>
    <mergeCell ref="I149:J149"/>
    <mergeCell ref="A1:P1"/>
  </mergeCells>
  <conditionalFormatting sqref="U1:V1 U2 U3:V1048576">
    <cfRule type="cellIs" dxfId="9" priority="20" operator="equal">
      <formula>"Y"</formula>
    </cfRule>
  </conditionalFormatting>
  <conditionalFormatting sqref="V1 V3:V1048576">
    <cfRule type="cellIs" dxfId="8" priority="3" operator="greaterThan">
      <formula>1</formula>
    </cfRule>
  </conditionalFormatting>
  <conditionalFormatting sqref="A147:P147 A3:R146">
    <cfRule type="expression" dxfId="7" priority="34">
      <formula>$P3&gt;0</formula>
    </cfRule>
    <cfRule type="expression" dxfId="6" priority="35">
      <formula>$O3&gt;0</formula>
    </cfRule>
  </conditionalFormatting>
  <conditionalFormatting sqref="Q147:R147">
    <cfRule type="expression" dxfId="5" priority="76">
      <formula>$P147&gt;0</formula>
    </cfRule>
    <cfRule type="expression" dxfId="4" priority="77">
      <formula>$O166&gt;0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BC54A837-71A9-4A94-B0E2-11F0B57C895C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A3:R147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zoomScaleNormal="100" workbookViewId="0">
      <selection activeCell="N57" sqref="N57"/>
    </sheetView>
  </sheetViews>
  <sheetFormatPr defaultRowHeight="15" x14ac:dyDescent="0.25"/>
  <cols>
    <col min="1" max="1" width="18.42578125" style="14" customWidth="1"/>
    <col min="2" max="2" width="17.5703125" customWidth="1"/>
    <col min="3" max="3" width="9.140625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43.5703125" bestFit="1" customWidth="1"/>
  </cols>
  <sheetData>
    <row r="1" spans="1:14" s="26" customFormat="1" ht="15" customHeight="1" x14ac:dyDescent="0.25">
      <c r="A1" s="86" t="str">
        <f>"Eagle P3 Braking Events - "&amp;TEXT(Variables!$A$2,"YYYY-mm-dd")</f>
        <v>Eagle P3 Braking Events - 2016-05-10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27"/>
    </row>
    <row r="2" spans="1:14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</row>
    <row r="3" spans="1:14" s="19" customFormat="1" x14ac:dyDescent="0.25">
      <c r="A3" s="23">
        <v>42500.65221064815</v>
      </c>
      <c r="B3" s="22" t="s">
        <v>123</v>
      </c>
      <c r="C3" s="22" t="s">
        <v>321</v>
      </c>
      <c r="D3" s="22" t="s">
        <v>53</v>
      </c>
      <c r="E3" s="22" t="s">
        <v>408</v>
      </c>
      <c r="F3" s="22">
        <v>790</v>
      </c>
      <c r="G3" s="22">
        <v>187</v>
      </c>
      <c r="H3" s="22">
        <v>28002</v>
      </c>
      <c r="I3" s="22" t="s">
        <v>62</v>
      </c>
      <c r="J3" s="22">
        <v>68497</v>
      </c>
      <c r="K3" s="21" t="s">
        <v>57</v>
      </c>
      <c r="L3" s="21" t="str">
        <f>VLOOKUP(C3,'Trips&amp;Operators'!$C$1:$E$9999,3,FALSE)</f>
        <v>JACKSON</v>
      </c>
      <c r="M3" s="20" t="s">
        <v>117</v>
      </c>
      <c r="N3" s="21"/>
    </row>
    <row r="4" spans="1:14" s="19" customFormat="1" x14ac:dyDescent="0.25">
      <c r="A4" s="23">
        <v>42500.24927083333</v>
      </c>
      <c r="B4" s="22" t="s">
        <v>123</v>
      </c>
      <c r="C4" s="22" t="s">
        <v>198</v>
      </c>
      <c r="D4" s="22" t="s">
        <v>53</v>
      </c>
      <c r="E4" s="22" t="s">
        <v>125</v>
      </c>
      <c r="F4" s="22">
        <v>0</v>
      </c>
      <c r="G4" s="22">
        <v>713</v>
      </c>
      <c r="H4" s="22">
        <v>56915</v>
      </c>
      <c r="I4" s="22" t="s">
        <v>126</v>
      </c>
      <c r="J4" s="22">
        <v>58118</v>
      </c>
      <c r="K4" s="21" t="s">
        <v>56</v>
      </c>
      <c r="L4" s="21" t="str">
        <f>VLOOKUP(C4,'Trips&amp;Operators'!$C$1:$E$9999,3,FALSE)</f>
        <v>STARKS</v>
      </c>
      <c r="M4" s="20" t="s">
        <v>117</v>
      </c>
      <c r="N4" s="21"/>
    </row>
    <row r="5" spans="1:14" s="19" customFormat="1" x14ac:dyDescent="0.25">
      <c r="A5" s="23">
        <v>42500.255358796298</v>
      </c>
      <c r="B5" s="22" t="s">
        <v>123</v>
      </c>
      <c r="C5" s="22" t="s">
        <v>198</v>
      </c>
      <c r="D5" s="22" t="s">
        <v>53</v>
      </c>
      <c r="E5" s="22" t="s">
        <v>125</v>
      </c>
      <c r="F5" s="22">
        <v>530</v>
      </c>
      <c r="G5" s="22">
        <v>715</v>
      </c>
      <c r="H5" s="22">
        <v>105379</v>
      </c>
      <c r="I5" s="22" t="s">
        <v>126</v>
      </c>
      <c r="J5" s="22">
        <v>108954</v>
      </c>
      <c r="K5" s="21" t="s">
        <v>56</v>
      </c>
      <c r="L5" s="21" t="str">
        <f>VLOOKUP(C5,'Trips&amp;Operators'!$C$1:$E$9999,3,FALSE)</f>
        <v>STARKS</v>
      </c>
      <c r="M5" s="20" t="s">
        <v>118</v>
      </c>
      <c r="N5" s="21"/>
    </row>
    <row r="6" spans="1:14" s="19" customFormat="1" x14ac:dyDescent="0.25">
      <c r="A6" s="23">
        <v>42500.948125000003</v>
      </c>
      <c r="B6" s="22" t="s">
        <v>63</v>
      </c>
      <c r="C6" s="22" t="s">
        <v>386</v>
      </c>
      <c r="D6" s="22" t="s">
        <v>58</v>
      </c>
      <c r="E6" s="22" t="s">
        <v>125</v>
      </c>
      <c r="F6" s="22">
        <v>0</v>
      </c>
      <c r="G6" s="22">
        <v>286</v>
      </c>
      <c r="H6" s="22">
        <v>86384</v>
      </c>
      <c r="I6" s="22" t="s">
        <v>126</v>
      </c>
      <c r="J6" s="22">
        <v>86386</v>
      </c>
      <c r="K6" s="21" t="s">
        <v>57</v>
      </c>
      <c r="L6" s="21" t="str">
        <f>VLOOKUP(C6,'Trips&amp;Operators'!$C$1:$E$9999,3,FALSE)</f>
        <v>STRICKLAND</v>
      </c>
      <c r="M6" s="20" t="s">
        <v>117</v>
      </c>
      <c r="N6" s="21"/>
    </row>
    <row r="7" spans="1:14" s="19" customFormat="1" x14ac:dyDescent="0.25">
      <c r="A7" s="23">
        <v>42500.321539351855</v>
      </c>
      <c r="B7" s="22" t="s">
        <v>70</v>
      </c>
      <c r="C7" s="22" t="s">
        <v>229</v>
      </c>
      <c r="D7" s="22" t="s">
        <v>53</v>
      </c>
      <c r="E7" s="22" t="s">
        <v>61</v>
      </c>
      <c r="F7" s="22">
        <v>150</v>
      </c>
      <c r="G7" s="22">
        <v>193</v>
      </c>
      <c r="H7" s="22">
        <v>229264</v>
      </c>
      <c r="I7" s="22" t="s">
        <v>62</v>
      </c>
      <c r="J7" s="22">
        <v>229055</v>
      </c>
      <c r="K7" s="21" t="s">
        <v>57</v>
      </c>
      <c r="L7" s="21" t="str">
        <f>VLOOKUP(C7,'Trips&amp;Operators'!$C$1:$E$9999,3,FALSE)</f>
        <v>CANFIELD</v>
      </c>
      <c r="M7" s="20" t="s">
        <v>118</v>
      </c>
      <c r="N7" s="21"/>
    </row>
    <row r="8" spans="1:14" s="19" customFormat="1" x14ac:dyDescent="0.25">
      <c r="A8" s="23">
        <v>42500.336921296293</v>
      </c>
      <c r="B8" s="22" t="s">
        <v>124</v>
      </c>
      <c r="C8" s="22" t="s">
        <v>237</v>
      </c>
      <c r="D8" s="22" t="s">
        <v>53</v>
      </c>
      <c r="E8" s="22" t="s">
        <v>61</v>
      </c>
      <c r="F8" s="22">
        <v>150</v>
      </c>
      <c r="G8" s="22">
        <v>235</v>
      </c>
      <c r="H8" s="22">
        <v>229430</v>
      </c>
      <c r="I8" s="22" t="s">
        <v>62</v>
      </c>
      <c r="J8" s="22">
        <v>230436</v>
      </c>
      <c r="K8" s="21" t="s">
        <v>56</v>
      </c>
      <c r="L8" s="21" t="str">
        <f>VLOOKUP(C8,'Trips&amp;Operators'!$C$1:$E$9999,3,FALSE)</f>
        <v>STARKS</v>
      </c>
      <c r="M8" s="20" t="s">
        <v>118</v>
      </c>
      <c r="N8" s="21"/>
    </row>
    <row r="9" spans="1:14" s="19" customFormat="1" x14ac:dyDescent="0.25">
      <c r="A9" s="23">
        <v>42500.366180555553</v>
      </c>
      <c r="B9" s="22" t="s">
        <v>63</v>
      </c>
      <c r="C9" s="22" t="s">
        <v>235</v>
      </c>
      <c r="D9" s="22" t="s">
        <v>53</v>
      </c>
      <c r="E9" s="22" t="s">
        <v>61</v>
      </c>
      <c r="F9" s="22">
        <v>200</v>
      </c>
      <c r="G9" s="22">
        <v>308</v>
      </c>
      <c r="H9" s="22">
        <v>6471</v>
      </c>
      <c r="I9" s="22" t="s">
        <v>62</v>
      </c>
      <c r="J9" s="22">
        <v>5439</v>
      </c>
      <c r="K9" s="21" t="s">
        <v>57</v>
      </c>
      <c r="L9" s="21" t="str">
        <f>VLOOKUP(C9,'Trips&amp;Operators'!$C$1:$E$9999,3,FALSE)</f>
        <v>SPECTOR</v>
      </c>
      <c r="M9" s="20" t="s">
        <v>118</v>
      </c>
      <c r="N9" s="21"/>
    </row>
    <row r="10" spans="1:14" s="19" customFormat="1" x14ac:dyDescent="0.25">
      <c r="A10" s="23">
        <v>42500.426111111112</v>
      </c>
      <c r="B10" s="22" t="s">
        <v>123</v>
      </c>
      <c r="C10" s="22" t="s">
        <v>257</v>
      </c>
      <c r="D10" s="22" t="s">
        <v>53</v>
      </c>
      <c r="E10" s="22" t="s">
        <v>61</v>
      </c>
      <c r="F10" s="22">
        <v>150</v>
      </c>
      <c r="G10" s="22">
        <v>181</v>
      </c>
      <c r="H10" s="22">
        <v>229514</v>
      </c>
      <c r="I10" s="22" t="s">
        <v>62</v>
      </c>
      <c r="J10" s="22">
        <v>229055</v>
      </c>
      <c r="K10" s="21" t="s">
        <v>57</v>
      </c>
      <c r="L10" s="21" t="str">
        <f>VLOOKUP(C10,'Trips&amp;Operators'!$C$1:$E$9999,3,FALSE)</f>
        <v>STARKS</v>
      </c>
      <c r="M10" s="20" t="s">
        <v>118</v>
      </c>
      <c r="N10" s="21"/>
    </row>
    <row r="11" spans="1:14" s="19" customFormat="1" x14ac:dyDescent="0.25">
      <c r="A11" s="23">
        <v>42500.448958333334</v>
      </c>
      <c r="B11" s="22" t="s">
        <v>123</v>
      </c>
      <c r="C11" s="22" t="s">
        <v>257</v>
      </c>
      <c r="D11" s="22" t="s">
        <v>53</v>
      </c>
      <c r="E11" s="22" t="s">
        <v>61</v>
      </c>
      <c r="F11" s="22">
        <v>450</v>
      </c>
      <c r="G11" s="22">
        <v>453</v>
      </c>
      <c r="H11" s="22">
        <v>17787</v>
      </c>
      <c r="I11" s="22" t="s">
        <v>62</v>
      </c>
      <c r="J11" s="22">
        <v>15167</v>
      </c>
      <c r="K11" s="21" t="s">
        <v>57</v>
      </c>
      <c r="L11" s="21" t="str">
        <f>VLOOKUP(C11,'Trips&amp;Operators'!$C$1:$E$9999,3,FALSE)</f>
        <v>STARKS</v>
      </c>
      <c r="M11" s="20" t="s">
        <v>118</v>
      </c>
      <c r="N11" s="21"/>
    </row>
    <row r="12" spans="1:14" s="19" customFormat="1" x14ac:dyDescent="0.25">
      <c r="A12" s="23">
        <v>42500.450578703705</v>
      </c>
      <c r="B12" s="22" t="s">
        <v>123</v>
      </c>
      <c r="C12" s="22" t="s">
        <v>257</v>
      </c>
      <c r="D12" s="22" t="s">
        <v>53</v>
      </c>
      <c r="E12" s="22" t="s">
        <v>61</v>
      </c>
      <c r="F12" s="22">
        <v>200</v>
      </c>
      <c r="G12" s="22">
        <v>274</v>
      </c>
      <c r="H12" s="22">
        <v>6080</v>
      </c>
      <c r="I12" s="22" t="s">
        <v>62</v>
      </c>
      <c r="J12" s="22">
        <v>5439</v>
      </c>
      <c r="K12" s="21" t="s">
        <v>57</v>
      </c>
      <c r="L12" s="21" t="str">
        <f>VLOOKUP(C12,'Trips&amp;Operators'!$C$1:$E$9999,3,FALSE)</f>
        <v>STARKS</v>
      </c>
      <c r="M12" s="20" t="s">
        <v>118</v>
      </c>
      <c r="N12" s="21"/>
    </row>
    <row r="13" spans="1:14" s="19" customFormat="1" x14ac:dyDescent="0.25">
      <c r="A13" s="23">
        <v>42500.496203703704</v>
      </c>
      <c r="B13" s="22" t="s">
        <v>65</v>
      </c>
      <c r="C13" s="22" t="s">
        <v>272</v>
      </c>
      <c r="D13" s="22" t="s">
        <v>53</v>
      </c>
      <c r="E13" s="22" t="s">
        <v>61</v>
      </c>
      <c r="F13" s="22">
        <v>200</v>
      </c>
      <c r="G13" s="22">
        <v>230</v>
      </c>
      <c r="H13" s="22">
        <v>31113</v>
      </c>
      <c r="I13" s="22" t="s">
        <v>62</v>
      </c>
      <c r="J13" s="22">
        <v>30562</v>
      </c>
      <c r="K13" s="21" t="s">
        <v>57</v>
      </c>
      <c r="L13" s="21" t="str">
        <f>VLOOKUP(C13,'Trips&amp;Operators'!$C$1:$E$9999,3,FALSE)</f>
        <v>CANFIELD</v>
      </c>
      <c r="M13" s="20" t="s">
        <v>118</v>
      </c>
      <c r="N13" s="21"/>
    </row>
    <row r="14" spans="1:14" s="19" customFormat="1" x14ac:dyDescent="0.25">
      <c r="A14" s="23">
        <v>42500.553819444445</v>
      </c>
      <c r="B14" s="22" t="s">
        <v>65</v>
      </c>
      <c r="C14" s="22" t="s">
        <v>296</v>
      </c>
      <c r="D14" s="22" t="s">
        <v>53</v>
      </c>
      <c r="E14" s="22" t="s">
        <v>61</v>
      </c>
      <c r="F14" s="22">
        <v>450</v>
      </c>
      <c r="G14" s="22">
        <v>461</v>
      </c>
      <c r="H14" s="22">
        <v>192729</v>
      </c>
      <c r="I14" s="22" t="s">
        <v>62</v>
      </c>
      <c r="J14" s="22">
        <v>191108</v>
      </c>
      <c r="K14" s="21" t="s">
        <v>57</v>
      </c>
      <c r="L14" s="21" t="str">
        <f>VLOOKUP(C14,'Trips&amp;Operators'!$C$1:$E$9999,3,FALSE)</f>
        <v>YOUNG</v>
      </c>
      <c r="M14" s="20" t="s">
        <v>118</v>
      </c>
      <c r="N14" s="21"/>
    </row>
    <row r="15" spans="1:14" s="19" customFormat="1" x14ac:dyDescent="0.25">
      <c r="A15" s="23">
        <v>42500.614629629628</v>
      </c>
      <c r="B15" s="22" t="s">
        <v>172</v>
      </c>
      <c r="C15" s="22" t="s">
        <v>306</v>
      </c>
      <c r="D15" s="22" t="s">
        <v>53</v>
      </c>
      <c r="E15" s="22" t="s">
        <v>61</v>
      </c>
      <c r="F15" s="22">
        <v>150</v>
      </c>
      <c r="G15" s="22">
        <v>193</v>
      </c>
      <c r="H15" s="22">
        <v>5033</v>
      </c>
      <c r="I15" s="22" t="s">
        <v>62</v>
      </c>
      <c r="J15" s="22">
        <v>4677</v>
      </c>
      <c r="K15" s="21" t="s">
        <v>57</v>
      </c>
      <c r="L15" s="21" t="str">
        <f>VLOOKUP(C15,'Trips&amp;Operators'!$C$1:$E$9999,3,FALSE)</f>
        <v>COOLAHAN</v>
      </c>
      <c r="M15" s="20" t="s">
        <v>118</v>
      </c>
      <c r="N15" s="21"/>
    </row>
    <row r="16" spans="1:14" s="19" customFormat="1" x14ac:dyDescent="0.25">
      <c r="A16" s="23">
        <v>42500.657893518517</v>
      </c>
      <c r="B16" s="22" t="s">
        <v>52</v>
      </c>
      <c r="C16" s="22" t="s">
        <v>335</v>
      </c>
      <c r="D16" s="22" t="s">
        <v>53</v>
      </c>
      <c r="E16" s="22" t="s">
        <v>61</v>
      </c>
      <c r="F16" s="22">
        <v>150</v>
      </c>
      <c r="G16" s="22">
        <v>77</v>
      </c>
      <c r="H16" s="22">
        <v>806</v>
      </c>
      <c r="I16" s="22" t="s">
        <v>62</v>
      </c>
      <c r="J16" s="22">
        <v>0</v>
      </c>
      <c r="K16" s="21" t="s">
        <v>56</v>
      </c>
      <c r="L16" s="21" t="str">
        <f>VLOOKUP(C16,'Trips&amp;Operators'!$C$1:$E$9999,3,FALSE)</f>
        <v>YOUNG</v>
      </c>
      <c r="M16" s="20" t="s">
        <v>118</v>
      </c>
      <c r="N16" s="21"/>
    </row>
    <row r="17" spans="1:14" s="19" customFormat="1" x14ac:dyDescent="0.25">
      <c r="A17" s="23">
        <v>42500.687893518516</v>
      </c>
      <c r="B17" s="22" t="s">
        <v>172</v>
      </c>
      <c r="C17" s="22" t="s">
        <v>329</v>
      </c>
      <c r="D17" s="22" t="s">
        <v>53</v>
      </c>
      <c r="E17" s="22" t="s">
        <v>61</v>
      </c>
      <c r="F17" s="22">
        <v>600</v>
      </c>
      <c r="G17" s="22">
        <v>650</v>
      </c>
      <c r="H17" s="22">
        <v>12580</v>
      </c>
      <c r="I17" s="22" t="s">
        <v>62</v>
      </c>
      <c r="J17" s="22">
        <v>10694</v>
      </c>
      <c r="K17" s="21" t="s">
        <v>57</v>
      </c>
      <c r="L17" s="21" t="str">
        <f>VLOOKUP(C17,'Trips&amp;Operators'!$C$1:$E$9999,3,FALSE)</f>
        <v>COOLAHAN</v>
      </c>
      <c r="M17" s="20" t="s">
        <v>118</v>
      </c>
      <c r="N17" s="21"/>
    </row>
    <row r="18" spans="1:14" s="19" customFormat="1" x14ac:dyDescent="0.25">
      <c r="A18" s="23">
        <v>42500.37672453704</v>
      </c>
      <c r="B18" s="22" t="s">
        <v>69</v>
      </c>
      <c r="C18" s="22" t="s">
        <v>247</v>
      </c>
      <c r="D18" s="22" t="s">
        <v>53</v>
      </c>
      <c r="E18" s="22" t="s">
        <v>59</v>
      </c>
      <c r="F18" s="22">
        <v>0</v>
      </c>
      <c r="G18" s="22">
        <v>633</v>
      </c>
      <c r="H18" s="22">
        <v>216992</v>
      </c>
      <c r="I18" s="22" t="s">
        <v>60</v>
      </c>
      <c r="J18" s="22">
        <v>217106</v>
      </c>
      <c r="K18" s="21" t="s">
        <v>56</v>
      </c>
      <c r="L18" s="21" t="str">
        <f>VLOOKUP(C18,'Trips&amp;Operators'!$C$1:$E$9999,3,FALSE)</f>
        <v>CANFIELD</v>
      </c>
      <c r="M18" s="20" t="s">
        <v>117</v>
      </c>
      <c r="N18" s="21"/>
    </row>
    <row r="19" spans="1:14" s="19" customFormat="1" x14ac:dyDescent="0.25">
      <c r="A19" s="23">
        <v>42500.476990740739</v>
      </c>
      <c r="B19" s="22" t="s">
        <v>124</v>
      </c>
      <c r="C19" s="22" t="s">
        <v>279</v>
      </c>
      <c r="D19" s="22" t="s">
        <v>58</v>
      </c>
      <c r="E19" s="22" t="s">
        <v>59</v>
      </c>
      <c r="F19" s="22">
        <v>200</v>
      </c>
      <c r="G19" s="22">
        <v>267</v>
      </c>
      <c r="H19" s="22">
        <v>87244</v>
      </c>
      <c r="I19" s="22" t="s">
        <v>60</v>
      </c>
      <c r="J19" s="22">
        <v>81738</v>
      </c>
      <c r="K19" s="21" t="s">
        <v>56</v>
      </c>
      <c r="L19" s="21" t="str">
        <f>VLOOKUP(C19,'Trips&amp;Operators'!$C$1:$E$9999,3,FALSE)</f>
        <v>SPECTOR</v>
      </c>
      <c r="M19" s="20" t="s">
        <v>117</v>
      </c>
      <c r="N19" s="21"/>
    </row>
    <row r="20" spans="1:14" s="19" customFormat="1" x14ac:dyDescent="0.25">
      <c r="A20" s="23">
        <v>42500.600104166668</v>
      </c>
      <c r="B20" s="22" t="s">
        <v>172</v>
      </c>
      <c r="C20" s="22" t="s">
        <v>306</v>
      </c>
      <c r="D20" s="22" t="s">
        <v>53</v>
      </c>
      <c r="E20" s="22" t="s">
        <v>59</v>
      </c>
      <c r="F20" s="22">
        <v>0</v>
      </c>
      <c r="G20" s="22">
        <v>511</v>
      </c>
      <c r="H20" s="22">
        <v>130353</v>
      </c>
      <c r="I20" s="22" t="s">
        <v>60</v>
      </c>
      <c r="J20" s="22">
        <v>127587</v>
      </c>
      <c r="K20" s="21" t="s">
        <v>57</v>
      </c>
      <c r="L20" s="21" t="str">
        <f>VLOOKUP(C20,'Trips&amp;Operators'!$C$1:$E$9999,3,FALSE)</f>
        <v>COOLAHAN</v>
      </c>
      <c r="M20" s="20" t="s">
        <v>117</v>
      </c>
      <c r="N20" s="21"/>
    </row>
    <row r="21" spans="1:14" s="19" customFormat="1" x14ac:dyDescent="0.25">
      <c r="A21" s="23">
        <v>42500.605231481481</v>
      </c>
      <c r="B21" s="22" t="s">
        <v>52</v>
      </c>
      <c r="C21" s="22" t="s">
        <v>312</v>
      </c>
      <c r="D21" s="22" t="s">
        <v>53</v>
      </c>
      <c r="E21" s="22" t="s">
        <v>59</v>
      </c>
      <c r="F21" s="22">
        <v>0</v>
      </c>
      <c r="G21" s="22">
        <v>722</v>
      </c>
      <c r="H21" s="22">
        <v>196398</v>
      </c>
      <c r="I21" s="22" t="s">
        <v>60</v>
      </c>
      <c r="J21" s="22">
        <v>198242</v>
      </c>
      <c r="K21" s="21" t="s">
        <v>56</v>
      </c>
      <c r="L21" s="21" t="str">
        <f>VLOOKUP(C21,'Trips&amp;Operators'!$C$1:$E$9999,3,FALSE)</f>
        <v>YOUNG</v>
      </c>
      <c r="M21" s="20" t="s">
        <v>117</v>
      </c>
      <c r="N21" s="21"/>
    </row>
    <row r="22" spans="1:14" s="19" customFormat="1" x14ac:dyDescent="0.25">
      <c r="A22" s="23">
        <v>42500.651956018519</v>
      </c>
      <c r="B22" s="22" t="s">
        <v>123</v>
      </c>
      <c r="C22" s="22" t="s">
        <v>321</v>
      </c>
      <c r="D22" s="22" t="s">
        <v>53</v>
      </c>
      <c r="E22" s="22" t="s">
        <v>59</v>
      </c>
      <c r="F22" s="22">
        <v>0</v>
      </c>
      <c r="G22" s="22">
        <v>402</v>
      </c>
      <c r="H22" s="22">
        <v>130183</v>
      </c>
      <c r="I22" s="22" t="s">
        <v>60</v>
      </c>
      <c r="J22" s="22">
        <v>127587</v>
      </c>
      <c r="K22" s="21" t="s">
        <v>57</v>
      </c>
      <c r="L22" s="21" t="str">
        <f>VLOOKUP(C22,'Trips&amp;Operators'!$C$1:$E$9999,3,FALSE)</f>
        <v>JACKSON</v>
      </c>
      <c r="M22" s="20" t="s">
        <v>117</v>
      </c>
      <c r="N22" s="21"/>
    </row>
    <row r="23" spans="1:14" s="19" customFormat="1" x14ac:dyDescent="0.25">
      <c r="A23" s="23">
        <v>42500.939236111109</v>
      </c>
      <c r="B23" s="22" t="s">
        <v>70</v>
      </c>
      <c r="C23" s="22" t="s">
        <v>383</v>
      </c>
      <c r="D23" s="22" t="s">
        <v>53</v>
      </c>
      <c r="E23" s="22" t="s">
        <v>59</v>
      </c>
      <c r="F23" s="22">
        <v>0</v>
      </c>
      <c r="G23" s="22">
        <v>163</v>
      </c>
      <c r="H23" s="22">
        <v>5151</v>
      </c>
      <c r="I23" s="22" t="s">
        <v>60</v>
      </c>
      <c r="J23" s="22">
        <v>4677</v>
      </c>
      <c r="K23" s="21" t="s">
        <v>57</v>
      </c>
      <c r="L23" s="21" t="str">
        <f>VLOOKUP(C23,'Trips&amp;Operators'!$C$1:$E$9999,3,FALSE)</f>
        <v>LEVERE</v>
      </c>
      <c r="M23" s="20" t="s">
        <v>117</v>
      </c>
      <c r="N23" s="21"/>
    </row>
    <row r="24" spans="1:14" s="19" customFormat="1" x14ac:dyDescent="0.25">
      <c r="A24" s="23">
        <v>42500.713425925926</v>
      </c>
      <c r="B24" s="22" t="s">
        <v>65</v>
      </c>
      <c r="C24" s="22" t="s">
        <v>338</v>
      </c>
      <c r="D24" s="22" t="s">
        <v>58</v>
      </c>
      <c r="E24" s="22" t="s">
        <v>409</v>
      </c>
      <c r="F24" s="22">
        <v>0</v>
      </c>
      <c r="G24" s="22">
        <v>492</v>
      </c>
      <c r="H24" s="22">
        <v>69177</v>
      </c>
      <c r="I24" s="22" t="s">
        <v>410</v>
      </c>
      <c r="J24" s="22">
        <v>69363</v>
      </c>
      <c r="K24" s="21" t="s">
        <v>57</v>
      </c>
      <c r="L24" s="21" t="str">
        <f>VLOOKUP(C24,'Trips&amp;Operators'!$C$1:$E$9999,3,FALSE)</f>
        <v>YOUNG</v>
      </c>
      <c r="M24" s="20" t="s">
        <v>117</v>
      </c>
      <c r="N24" s="21"/>
    </row>
    <row r="25" spans="1:14" s="19" customFormat="1" x14ac:dyDescent="0.25">
      <c r="A25" s="23">
        <v>42500.951782407406</v>
      </c>
      <c r="B25" s="22" t="s">
        <v>63</v>
      </c>
      <c r="C25" s="22" t="s">
        <v>386</v>
      </c>
      <c r="D25" s="22" t="s">
        <v>58</v>
      </c>
      <c r="E25" s="22" t="s">
        <v>409</v>
      </c>
      <c r="F25" s="22">
        <v>0</v>
      </c>
      <c r="G25" s="22">
        <v>588</v>
      </c>
      <c r="H25" s="22">
        <v>68534</v>
      </c>
      <c r="I25" s="22" t="s">
        <v>410</v>
      </c>
      <c r="J25" s="22">
        <v>69363</v>
      </c>
      <c r="K25" s="21" t="s">
        <v>57</v>
      </c>
      <c r="L25" s="21" t="str">
        <f>VLOOKUP(C25,'Trips&amp;Operators'!$C$1:$E$9999,3,FALSE)</f>
        <v>STRICKLAND</v>
      </c>
      <c r="M25" s="20" t="s">
        <v>117</v>
      </c>
      <c r="N25" s="21"/>
    </row>
    <row r="26" spans="1:14" s="19" customFormat="1" x14ac:dyDescent="0.25">
      <c r="A26" s="23">
        <v>42500.213217592594</v>
      </c>
      <c r="B26" s="22" t="s">
        <v>170</v>
      </c>
      <c r="C26" s="22" t="s">
        <v>206</v>
      </c>
      <c r="D26" s="22" t="s">
        <v>53</v>
      </c>
      <c r="E26" s="22" t="s">
        <v>54</v>
      </c>
      <c r="F26" s="22">
        <v>0</v>
      </c>
      <c r="G26" s="22">
        <v>5</v>
      </c>
      <c r="H26" s="22">
        <v>233332</v>
      </c>
      <c r="I26" s="22" t="s">
        <v>55</v>
      </c>
      <c r="J26" s="22">
        <v>233491</v>
      </c>
      <c r="K26" s="21" t="s">
        <v>56</v>
      </c>
      <c r="L26" s="21" t="str">
        <f>VLOOKUP(C26,'Trips&amp;Operators'!$C$1:$E$9999,3,FALSE)</f>
        <v>YORK</v>
      </c>
      <c r="M26" s="20" t="s">
        <v>118</v>
      </c>
      <c r="N26" s="21"/>
    </row>
    <row r="27" spans="1:14" s="19" customFormat="1" x14ac:dyDescent="0.25">
      <c r="A27" s="23">
        <v>42500.22314814815</v>
      </c>
      <c r="B27" s="22" t="s">
        <v>123</v>
      </c>
      <c r="C27" s="22" t="s">
        <v>198</v>
      </c>
      <c r="D27" s="22" t="s">
        <v>53</v>
      </c>
      <c r="E27" s="22" t="s">
        <v>54</v>
      </c>
      <c r="F27" s="22">
        <v>0</v>
      </c>
      <c r="G27" s="22">
        <v>41</v>
      </c>
      <c r="H27" s="22">
        <v>200</v>
      </c>
      <c r="I27" s="22" t="s">
        <v>55</v>
      </c>
      <c r="J27" s="22">
        <v>1</v>
      </c>
      <c r="K27" s="21" t="s">
        <v>57</v>
      </c>
      <c r="L27" s="21" t="str">
        <f>VLOOKUP(C27,'Trips&amp;Operators'!$C$1:$E$9999,3,FALSE)</f>
        <v>STARKS</v>
      </c>
      <c r="M27" s="20" t="s">
        <v>118</v>
      </c>
      <c r="N27" s="21"/>
    </row>
    <row r="28" spans="1:14" s="19" customFormat="1" x14ac:dyDescent="0.25">
      <c r="A28" s="23">
        <v>42500.265486111108</v>
      </c>
      <c r="B28" s="22" t="s">
        <v>189</v>
      </c>
      <c r="C28" s="22" t="s">
        <v>197</v>
      </c>
      <c r="D28" s="22" t="s">
        <v>53</v>
      </c>
      <c r="E28" s="22" t="s">
        <v>54</v>
      </c>
      <c r="F28" s="22">
        <v>0</v>
      </c>
      <c r="G28" s="22">
        <v>38</v>
      </c>
      <c r="H28" s="22">
        <v>132</v>
      </c>
      <c r="I28" s="22" t="s">
        <v>55</v>
      </c>
      <c r="J28" s="22">
        <v>1</v>
      </c>
      <c r="K28" s="21" t="s">
        <v>57</v>
      </c>
      <c r="L28" s="21" t="str">
        <f>VLOOKUP(C28,'Trips&amp;Operators'!$C$1:$E$9999,3,FALSE)</f>
        <v>ACKERMAN</v>
      </c>
      <c r="M28" s="20" t="s">
        <v>118</v>
      </c>
      <c r="N28" s="21"/>
    </row>
    <row r="29" spans="1:14" s="19" customFormat="1" x14ac:dyDescent="0.25">
      <c r="A29" s="23">
        <v>42500.26734953704</v>
      </c>
      <c r="B29" s="22" t="s">
        <v>124</v>
      </c>
      <c r="C29" s="22" t="s">
        <v>185</v>
      </c>
      <c r="D29" s="22" t="s">
        <v>53</v>
      </c>
      <c r="E29" s="22" t="s">
        <v>54</v>
      </c>
      <c r="F29" s="22">
        <v>0</v>
      </c>
      <c r="G29" s="22">
        <v>53</v>
      </c>
      <c r="H29" s="22">
        <v>233234</v>
      </c>
      <c r="I29" s="22" t="s">
        <v>55</v>
      </c>
      <c r="J29" s="22">
        <v>233491</v>
      </c>
      <c r="K29" s="21" t="s">
        <v>56</v>
      </c>
      <c r="L29" s="21" t="str">
        <f>VLOOKUP(C29,'Trips&amp;Operators'!$C$1:$E$9999,3,FALSE)</f>
        <v>STARKS</v>
      </c>
      <c r="M29" s="20" t="s">
        <v>118</v>
      </c>
      <c r="N29" s="21"/>
    </row>
    <row r="30" spans="1:14" s="19" customFormat="1" x14ac:dyDescent="0.25">
      <c r="A30" s="23">
        <v>42500.26734953704</v>
      </c>
      <c r="B30" s="22" t="s">
        <v>123</v>
      </c>
      <c r="C30" s="22" t="s">
        <v>198</v>
      </c>
      <c r="D30" s="22" t="s">
        <v>53</v>
      </c>
      <c r="E30" s="22" t="s">
        <v>54</v>
      </c>
      <c r="F30" s="22">
        <v>0</v>
      </c>
      <c r="G30" s="22">
        <v>155</v>
      </c>
      <c r="H30" s="22">
        <v>232725</v>
      </c>
      <c r="I30" s="22" t="s">
        <v>55</v>
      </c>
      <c r="J30" s="22">
        <v>233491</v>
      </c>
      <c r="K30" s="21" t="s">
        <v>56</v>
      </c>
      <c r="L30" s="21" t="str">
        <f>VLOOKUP(C30,'Trips&amp;Operators'!$C$1:$E$9999,3,FALSE)</f>
        <v>STARKS</v>
      </c>
      <c r="M30" s="20" t="s">
        <v>118</v>
      </c>
      <c r="N30" s="21"/>
    </row>
    <row r="31" spans="1:14" s="19" customFormat="1" x14ac:dyDescent="0.25">
      <c r="A31" s="23">
        <v>42500.289780092593</v>
      </c>
      <c r="B31" s="22" t="s">
        <v>65</v>
      </c>
      <c r="C31" s="22" t="s">
        <v>173</v>
      </c>
      <c r="D31" s="22" t="s">
        <v>53</v>
      </c>
      <c r="E31" s="22" t="s">
        <v>54</v>
      </c>
      <c r="F31" s="22">
        <v>0</v>
      </c>
      <c r="G31" s="22">
        <v>26</v>
      </c>
      <c r="H31" s="22">
        <v>63</v>
      </c>
      <c r="I31" s="22" t="s">
        <v>55</v>
      </c>
      <c r="J31" s="22">
        <v>1</v>
      </c>
      <c r="K31" s="21" t="s">
        <v>57</v>
      </c>
      <c r="L31" s="21" t="str">
        <f>VLOOKUP(C31,'Trips&amp;Operators'!$C$1:$E$9999,3,FALSE)</f>
        <v>CHANDLER</v>
      </c>
      <c r="M31" s="20" t="s">
        <v>118</v>
      </c>
      <c r="N31" s="21"/>
    </row>
    <row r="32" spans="1:14" s="19" customFormat="1" x14ac:dyDescent="0.25">
      <c r="A32" s="23">
        <v>42500.307592592595</v>
      </c>
      <c r="B32" s="22" t="s">
        <v>123</v>
      </c>
      <c r="C32" s="22" t="s">
        <v>194</v>
      </c>
      <c r="D32" s="22" t="s">
        <v>53</v>
      </c>
      <c r="E32" s="22" t="s">
        <v>54</v>
      </c>
      <c r="F32" s="22">
        <v>0</v>
      </c>
      <c r="G32" s="22">
        <v>9</v>
      </c>
      <c r="H32" s="22">
        <v>101</v>
      </c>
      <c r="I32" s="22" t="s">
        <v>55</v>
      </c>
      <c r="J32" s="22">
        <v>1</v>
      </c>
      <c r="K32" s="21" t="s">
        <v>57</v>
      </c>
      <c r="L32" s="21" t="str">
        <f>VLOOKUP(C32,'Trips&amp;Operators'!$C$1:$E$9999,3,FALSE)</f>
        <v>STARKS</v>
      </c>
      <c r="M32" s="20" t="s">
        <v>118</v>
      </c>
      <c r="N32" s="21"/>
    </row>
    <row r="33" spans="1:14" s="19" customFormat="1" x14ac:dyDescent="0.25">
      <c r="A33" s="23">
        <v>42500.335150462961</v>
      </c>
      <c r="B33" s="22" t="s">
        <v>189</v>
      </c>
      <c r="C33" s="22" t="s">
        <v>227</v>
      </c>
      <c r="D33" s="22" t="s">
        <v>53</v>
      </c>
      <c r="E33" s="22" t="s">
        <v>54</v>
      </c>
      <c r="F33" s="22">
        <v>0</v>
      </c>
      <c r="G33" s="22">
        <v>87</v>
      </c>
      <c r="H33" s="22">
        <v>303</v>
      </c>
      <c r="I33" s="22" t="s">
        <v>55</v>
      </c>
      <c r="J33" s="22">
        <v>1</v>
      </c>
      <c r="K33" s="21" t="s">
        <v>57</v>
      </c>
      <c r="L33" s="21" t="str">
        <f>VLOOKUP(C33,'Trips&amp;Operators'!$C$1:$E$9999,3,FALSE)</f>
        <v>ACKERMAN</v>
      </c>
      <c r="M33" s="20" t="s">
        <v>118</v>
      </c>
      <c r="N33" s="21"/>
    </row>
    <row r="34" spans="1:14" s="19" customFormat="1" x14ac:dyDescent="0.25">
      <c r="A34" s="23">
        <v>42500.335543981484</v>
      </c>
      <c r="B34" s="22" t="s">
        <v>189</v>
      </c>
      <c r="C34" s="22" t="s">
        <v>227</v>
      </c>
      <c r="D34" s="22" t="s">
        <v>53</v>
      </c>
      <c r="E34" s="22" t="s">
        <v>54</v>
      </c>
      <c r="F34" s="22">
        <v>0</v>
      </c>
      <c r="G34" s="22">
        <v>47</v>
      </c>
      <c r="H34" s="22">
        <v>123</v>
      </c>
      <c r="I34" s="22" t="s">
        <v>55</v>
      </c>
      <c r="J34" s="22">
        <v>1</v>
      </c>
      <c r="K34" s="21" t="s">
        <v>57</v>
      </c>
      <c r="L34" s="21" t="str">
        <f>VLOOKUP(C34,'Trips&amp;Operators'!$C$1:$E$9999,3,FALSE)</f>
        <v>ACKERMAN</v>
      </c>
      <c r="M34" s="20" t="s">
        <v>118</v>
      </c>
      <c r="N34" s="21"/>
    </row>
    <row r="35" spans="1:14" s="19" customFormat="1" x14ac:dyDescent="0.25">
      <c r="A35" s="23">
        <v>42500.337708333333</v>
      </c>
      <c r="B35" s="22" t="s">
        <v>124</v>
      </c>
      <c r="C35" s="22" t="s">
        <v>237</v>
      </c>
      <c r="D35" s="22" t="s">
        <v>53</v>
      </c>
      <c r="E35" s="22" t="s">
        <v>54</v>
      </c>
      <c r="F35" s="22">
        <v>0</v>
      </c>
      <c r="G35" s="22">
        <v>3</v>
      </c>
      <c r="H35" s="22">
        <v>231185</v>
      </c>
      <c r="I35" s="22" t="s">
        <v>55</v>
      </c>
      <c r="J35" s="22">
        <v>233491</v>
      </c>
      <c r="K35" s="21" t="s">
        <v>56</v>
      </c>
      <c r="L35" s="21" t="str">
        <f>VLOOKUP(C35,'Trips&amp;Operators'!$C$1:$E$9999,3,FALSE)</f>
        <v>STARKS</v>
      </c>
      <c r="M35" s="20" t="s">
        <v>118</v>
      </c>
      <c r="N35" s="21"/>
    </row>
    <row r="36" spans="1:14" s="19" customFormat="1" x14ac:dyDescent="0.25">
      <c r="A36" s="23">
        <v>42500.338865740741</v>
      </c>
      <c r="B36" s="22" t="s">
        <v>124</v>
      </c>
      <c r="C36" s="22" t="s">
        <v>237</v>
      </c>
      <c r="D36" s="22" t="s">
        <v>53</v>
      </c>
      <c r="E36" s="22" t="s">
        <v>54</v>
      </c>
      <c r="F36" s="22">
        <v>0</v>
      </c>
      <c r="G36" s="22">
        <v>5</v>
      </c>
      <c r="H36" s="22">
        <v>233380</v>
      </c>
      <c r="I36" s="22" t="s">
        <v>55</v>
      </c>
      <c r="J36" s="22">
        <v>233491</v>
      </c>
      <c r="K36" s="21" t="s">
        <v>56</v>
      </c>
      <c r="L36" s="21" t="str">
        <f>VLOOKUP(C36,'Trips&amp;Operators'!$C$1:$E$9999,3,FALSE)</f>
        <v>STARKS</v>
      </c>
      <c r="M36" s="20" t="s">
        <v>118</v>
      </c>
      <c r="N36" s="21"/>
    </row>
    <row r="37" spans="1:14" s="19" customFormat="1" x14ac:dyDescent="0.25">
      <c r="A37" s="23">
        <v>42500.345347222225</v>
      </c>
      <c r="B37" s="22" t="s">
        <v>70</v>
      </c>
      <c r="C37" s="22" t="s">
        <v>229</v>
      </c>
      <c r="D37" s="22" t="s">
        <v>53</v>
      </c>
      <c r="E37" s="22" t="s">
        <v>54</v>
      </c>
      <c r="F37" s="22">
        <v>0</v>
      </c>
      <c r="G37" s="22">
        <v>8</v>
      </c>
      <c r="H37" s="22">
        <v>118</v>
      </c>
      <c r="I37" s="22" t="s">
        <v>55</v>
      </c>
      <c r="J37" s="22">
        <v>1</v>
      </c>
      <c r="K37" s="21" t="s">
        <v>57</v>
      </c>
      <c r="L37" s="21" t="str">
        <f>VLOOKUP(C37,'Trips&amp;Operators'!$C$1:$E$9999,3,FALSE)</f>
        <v>CANFIELD</v>
      </c>
      <c r="M37" s="20" t="s">
        <v>118</v>
      </c>
      <c r="N37" s="21"/>
    </row>
    <row r="38" spans="1:14" s="19" customFormat="1" x14ac:dyDescent="0.25">
      <c r="A38" s="23">
        <v>42500.387569444443</v>
      </c>
      <c r="B38" s="22" t="s">
        <v>68</v>
      </c>
      <c r="C38" s="22" t="s">
        <v>242</v>
      </c>
      <c r="D38" s="22" t="s">
        <v>53</v>
      </c>
      <c r="E38" s="22" t="s">
        <v>54</v>
      </c>
      <c r="F38" s="22">
        <v>0</v>
      </c>
      <c r="G38" s="22">
        <v>7</v>
      </c>
      <c r="H38" s="22">
        <v>119</v>
      </c>
      <c r="I38" s="22" t="s">
        <v>55</v>
      </c>
      <c r="J38" s="22">
        <v>1</v>
      </c>
      <c r="K38" s="21" t="s">
        <v>57</v>
      </c>
      <c r="L38" s="21" t="str">
        <f>VLOOKUP(C38,'Trips&amp;Operators'!$C$1:$E$9999,3,FALSE)</f>
        <v>NEWELL</v>
      </c>
      <c r="M38" s="20" t="s">
        <v>118</v>
      </c>
      <c r="N38" s="21"/>
    </row>
    <row r="39" spans="1:14" s="19" customFormat="1" x14ac:dyDescent="0.25">
      <c r="A39" s="23">
        <v>42500.390648148146</v>
      </c>
      <c r="B39" s="22" t="s">
        <v>52</v>
      </c>
      <c r="C39" s="22" t="s">
        <v>250</v>
      </c>
      <c r="D39" s="22" t="s">
        <v>53</v>
      </c>
      <c r="E39" s="22" t="s">
        <v>54</v>
      </c>
      <c r="F39" s="22">
        <v>0</v>
      </c>
      <c r="G39" s="22">
        <v>8</v>
      </c>
      <c r="H39" s="22">
        <v>233324</v>
      </c>
      <c r="I39" s="22" t="s">
        <v>55</v>
      </c>
      <c r="J39" s="22">
        <v>233491</v>
      </c>
      <c r="K39" s="21" t="s">
        <v>56</v>
      </c>
      <c r="L39" s="21" t="str">
        <f>VLOOKUP(C39,'Trips&amp;Operators'!$C$1:$E$9999,3,FALSE)</f>
        <v>CHANDLER</v>
      </c>
      <c r="M39" s="20" t="s">
        <v>118</v>
      </c>
      <c r="N39" s="21"/>
    </row>
    <row r="40" spans="1:14" s="19" customFormat="1" x14ac:dyDescent="0.25">
      <c r="A40" s="23">
        <v>42500.430555555555</v>
      </c>
      <c r="B40" s="22" t="s">
        <v>65</v>
      </c>
      <c r="C40" s="22" t="s">
        <v>251</v>
      </c>
      <c r="D40" s="22" t="s">
        <v>53</v>
      </c>
      <c r="E40" s="22" t="s">
        <v>54</v>
      </c>
      <c r="F40" s="22">
        <v>0</v>
      </c>
      <c r="G40" s="22">
        <v>60</v>
      </c>
      <c r="H40" s="22">
        <v>249</v>
      </c>
      <c r="I40" s="22" t="s">
        <v>55</v>
      </c>
      <c r="J40" s="22">
        <v>1</v>
      </c>
      <c r="K40" s="21" t="s">
        <v>57</v>
      </c>
      <c r="L40" s="21" t="str">
        <f>VLOOKUP(C40,'Trips&amp;Operators'!$C$1:$E$9999,3,FALSE)</f>
        <v>CHANDLER</v>
      </c>
      <c r="M40" s="20" t="s">
        <v>118</v>
      </c>
      <c r="N40" s="21"/>
    </row>
    <row r="41" spans="1:14" s="19" customFormat="1" x14ac:dyDescent="0.25">
      <c r="A41" s="23">
        <v>42500.439085648148</v>
      </c>
      <c r="B41" s="22" t="s">
        <v>63</v>
      </c>
      <c r="C41" s="22" t="s">
        <v>407</v>
      </c>
      <c r="D41" s="22" t="s">
        <v>53</v>
      </c>
      <c r="E41" s="22" t="s">
        <v>54</v>
      </c>
      <c r="F41" s="22">
        <v>0</v>
      </c>
      <c r="G41" s="22">
        <v>46</v>
      </c>
      <c r="H41" s="22">
        <v>160</v>
      </c>
      <c r="I41" s="22" t="s">
        <v>55</v>
      </c>
      <c r="J41" s="22">
        <v>1</v>
      </c>
      <c r="K41" s="21" t="s">
        <v>57</v>
      </c>
      <c r="L41" s="21" t="str">
        <f>VLOOKUP(C41,'Trips&amp;Operators'!$C$1:$E$9999,3,FALSE)</f>
        <v>SPECTOR</v>
      </c>
      <c r="M41" s="20" t="s">
        <v>118</v>
      </c>
      <c r="N41" s="21"/>
    </row>
    <row r="42" spans="1:14" s="19" customFormat="1" x14ac:dyDescent="0.25">
      <c r="A42" s="23">
        <v>42500.452777777777</v>
      </c>
      <c r="B42" s="22" t="s">
        <v>123</v>
      </c>
      <c r="C42" s="22" t="s">
        <v>257</v>
      </c>
      <c r="D42" s="22" t="s">
        <v>53</v>
      </c>
      <c r="E42" s="22" t="s">
        <v>54</v>
      </c>
      <c r="F42" s="22">
        <v>0</v>
      </c>
      <c r="G42" s="22">
        <v>9</v>
      </c>
      <c r="H42" s="22">
        <v>118</v>
      </c>
      <c r="I42" s="22" t="s">
        <v>55</v>
      </c>
      <c r="J42" s="22">
        <v>1</v>
      </c>
      <c r="K42" s="21" t="s">
        <v>57</v>
      </c>
      <c r="L42" s="21" t="str">
        <f>VLOOKUP(C42,'Trips&amp;Operators'!$C$1:$E$9999,3,FALSE)</f>
        <v>STARKS</v>
      </c>
      <c r="M42" s="20" t="s">
        <v>118</v>
      </c>
      <c r="N42" s="21"/>
    </row>
    <row r="43" spans="1:14" s="19" customFormat="1" x14ac:dyDescent="0.25">
      <c r="A43" s="23">
        <v>42500.459965277776</v>
      </c>
      <c r="B43" s="22" t="s">
        <v>68</v>
      </c>
      <c r="C43" s="22" t="s">
        <v>260</v>
      </c>
      <c r="D43" s="22" t="s">
        <v>53</v>
      </c>
      <c r="E43" s="22" t="s">
        <v>54</v>
      </c>
      <c r="F43" s="22">
        <v>0</v>
      </c>
      <c r="G43" s="22">
        <v>5</v>
      </c>
      <c r="H43" s="22">
        <v>114</v>
      </c>
      <c r="I43" s="22" t="s">
        <v>55</v>
      </c>
      <c r="J43" s="22">
        <v>1</v>
      </c>
      <c r="K43" s="21" t="s">
        <v>57</v>
      </c>
      <c r="L43" s="21" t="str">
        <f>VLOOKUP(C43,'Trips&amp;Operators'!$C$1:$E$9999,3,FALSE)</f>
        <v>NEWELL</v>
      </c>
      <c r="M43" s="20" t="s">
        <v>118</v>
      </c>
      <c r="N43" s="21"/>
    </row>
    <row r="44" spans="1:14" s="19" customFormat="1" x14ac:dyDescent="0.25">
      <c r="A44" s="23">
        <v>42500.502280092594</v>
      </c>
      <c r="B44" s="22" t="s">
        <v>65</v>
      </c>
      <c r="C44" s="22" t="s">
        <v>272</v>
      </c>
      <c r="D44" s="22" t="s">
        <v>53</v>
      </c>
      <c r="E44" s="22" t="s">
        <v>54</v>
      </c>
      <c r="F44" s="22">
        <v>0</v>
      </c>
      <c r="G44" s="22">
        <v>96</v>
      </c>
      <c r="H44" s="22">
        <v>400</v>
      </c>
      <c r="I44" s="22" t="s">
        <v>55</v>
      </c>
      <c r="J44" s="22">
        <v>1</v>
      </c>
      <c r="K44" s="21" t="s">
        <v>57</v>
      </c>
      <c r="L44" s="21" t="str">
        <f>VLOOKUP(C44,'Trips&amp;Operators'!$C$1:$E$9999,3,FALSE)</f>
        <v>CANFIELD</v>
      </c>
      <c r="M44" s="20" t="s">
        <v>118</v>
      </c>
      <c r="N44" s="21"/>
    </row>
    <row r="45" spans="1:14" s="19" customFormat="1" x14ac:dyDescent="0.25">
      <c r="A45" s="23">
        <v>42500.523206018515</v>
      </c>
      <c r="B45" s="22" t="s">
        <v>123</v>
      </c>
      <c r="C45" s="22" t="s">
        <v>282</v>
      </c>
      <c r="D45" s="22" t="s">
        <v>53</v>
      </c>
      <c r="E45" s="22" t="s">
        <v>54</v>
      </c>
      <c r="F45" s="22">
        <v>0</v>
      </c>
      <c r="G45" s="22">
        <v>8</v>
      </c>
      <c r="H45" s="22">
        <v>119</v>
      </c>
      <c r="I45" s="22" t="s">
        <v>55</v>
      </c>
      <c r="J45" s="22">
        <v>1</v>
      </c>
      <c r="K45" s="21" t="s">
        <v>57</v>
      </c>
      <c r="L45" s="21" t="str">
        <f>VLOOKUP(C45,'Trips&amp;Operators'!$C$1:$E$9999,3,FALSE)</f>
        <v>SPECTOR</v>
      </c>
      <c r="M45" s="20" t="s">
        <v>118</v>
      </c>
      <c r="N45" s="21"/>
    </row>
    <row r="46" spans="1:14" s="19" customFormat="1" x14ac:dyDescent="0.25">
      <c r="A46" s="23">
        <v>42500.525000000001</v>
      </c>
      <c r="B46" s="22" t="s">
        <v>69</v>
      </c>
      <c r="C46" s="22" t="s">
        <v>292</v>
      </c>
      <c r="D46" s="22" t="s">
        <v>53</v>
      </c>
      <c r="E46" s="22" t="s">
        <v>54</v>
      </c>
      <c r="F46" s="22">
        <v>0</v>
      </c>
      <c r="G46" s="22">
        <v>45</v>
      </c>
      <c r="H46" s="22">
        <v>233331</v>
      </c>
      <c r="I46" s="22" t="s">
        <v>55</v>
      </c>
      <c r="J46" s="22">
        <v>233491</v>
      </c>
      <c r="K46" s="21" t="s">
        <v>56</v>
      </c>
      <c r="L46" s="21" t="str">
        <f>VLOOKUP(C46,'Trips&amp;Operators'!$C$1:$E$9999,3,FALSE)</f>
        <v>RIVERA</v>
      </c>
      <c r="M46" s="20" t="s">
        <v>118</v>
      </c>
      <c r="N46" s="21"/>
    </row>
    <row r="47" spans="1:14" s="19" customFormat="1" x14ac:dyDescent="0.25">
      <c r="A47" s="23">
        <v>42500.533599537041</v>
      </c>
      <c r="B47" s="22" t="s">
        <v>68</v>
      </c>
      <c r="C47" s="22" t="s">
        <v>284</v>
      </c>
      <c r="D47" s="22" t="s">
        <v>53</v>
      </c>
      <c r="E47" s="22" t="s">
        <v>54</v>
      </c>
      <c r="F47" s="22">
        <v>0</v>
      </c>
      <c r="G47" s="22">
        <v>7</v>
      </c>
      <c r="H47" s="22">
        <v>119</v>
      </c>
      <c r="I47" s="22" t="s">
        <v>55</v>
      </c>
      <c r="J47" s="22">
        <v>1</v>
      </c>
      <c r="K47" s="21" t="s">
        <v>57</v>
      </c>
      <c r="L47" s="21" t="str">
        <f>VLOOKUP(C47,'Trips&amp;Operators'!$C$1:$E$9999,3,FALSE)</f>
        <v>ADANE</v>
      </c>
      <c r="M47" s="20" t="s">
        <v>118</v>
      </c>
      <c r="N47" s="21"/>
    </row>
    <row r="48" spans="1:14" s="19" customFormat="1" x14ac:dyDescent="0.25">
      <c r="A48" s="23">
        <v>42500.556226851855</v>
      </c>
      <c r="B48" s="22" t="s">
        <v>124</v>
      </c>
      <c r="C48" s="22" t="s">
        <v>300</v>
      </c>
      <c r="D48" s="22" t="s">
        <v>53</v>
      </c>
      <c r="E48" s="22" t="s">
        <v>54</v>
      </c>
      <c r="F48" s="22">
        <v>0</v>
      </c>
      <c r="G48" s="22">
        <v>7</v>
      </c>
      <c r="H48" s="22">
        <v>233316</v>
      </c>
      <c r="I48" s="22" t="s">
        <v>55</v>
      </c>
      <c r="J48" s="22">
        <v>233491</v>
      </c>
      <c r="K48" s="21" t="s">
        <v>56</v>
      </c>
      <c r="L48" s="21" t="str">
        <f>VLOOKUP(C48,'Trips&amp;Operators'!$C$1:$E$9999,3,FALSE)</f>
        <v>JACKSON</v>
      </c>
      <c r="M48" s="20" t="s">
        <v>118</v>
      </c>
      <c r="N48" s="21"/>
    </row>
    <row r="49" spans="1:14" s="19" customFormat="1" x14ac:dyDescent="0.25">
      <c r="A49" s="23">
        <v>42500.576967592591</v>
      </c>
      <c r="B49" s="22" t="s">
        <v>65</v>
      </c>
      <c r="C49" s="22" t="s">
        <v>296</v>
      </c>
      <c r="D49" s="22" t="s">
        <v>53</v>
      </c>
      <c r="E49" s="22" t="s">
        <v>54</v>
      </c>
      <c r="F49" s="22">
        <v>0</v>
      </c>
      <c r="G49" s="22">
        <v>22</v>
      </c>
      <c r="H49" s="22">
        <v>79</v>
      </c>
      <c r="I49" s="22" t="s">
        <v>55</v>
      </c>
      <c r="J49" s="22">
        <v>1</v>
      </c>
      <c r="K49" s="21" t="s">
        <v>57</v>
      </c>
      <c r="L49" s="21" t="str">
        <f>VLOOKUP(C49,'Trips&amp;Operators'!$C$1:$E$9999,3,FALSE)</f>
        <v>YOUNG</v>
      </c>
      <c r="M49" s="20" t="s">
        <v>118</v>
      </c>
      <c r="N49" s="21"/>
    </row>
    <row r="50" spans="1:14" s="19" customFormat="1" x14ac:dyDescent="0.25">
      <c r="A50" s="23">
        <v>42500.596134259256</v>
      </c>
      <c r="B50" s="22" t="s">
        <v>123</v>
      </c>
      <c r="C50" s="22" t="s">
        <v>301</v>
      </c>
      <c r="D50" s="22" t="s">
        <v>53</v>
      </c>
      <c r="E50" s="22" t="s">
        <v>54</v>
      </c>
      <c r="F50" s="22">
        <v>0</v>
      </c>
      <c r="G50" s="22">
        <v>54</v>
      </c>
      <c r="H50" s="22">
        <v>178</v>
      </c>
      <c r="I50" s="22" t="s">
        <v>55</v>
      </c>
      <c r="J50" s="22">
        <v>1</v>
      </c>
      <c r="K50" s="21" t="s">
        <v>57</v>
      </c>
      <c r="L50" s="21" t="str">
        <f>VLOOKUP(C50,'Trips&amp;Operators'!$C$1:$E$9999,3,FALSE)</f>
        <v>JACKSON</v>
      </c>
      <c r="M50" s="20" t="s">
        <v>118</v>
      </c>
      <c r="N50" s="21"/>
    </row>
    <row r="51" spans="1:14" s="19" customFormat="1" x14ac:dyDescent="0.25">
      <c r="A51" s="23">
        <v>42500.620358796295</v>
      </c>
      <c r="B51" s="22" t="s">
        <v>64</v>
      </c>
      <c r="C51" s="22" t="s">
        <v>317</v>
      </c>
      <c r="D51" s="22" t="s">
        <v>53</v>
      </c>
      <c r="E51" s="22" t="s">
        <v>54</v>
      </c>
      <c r="F51" s="22">
        <v>0</v>
      </c>
      <c r="G51" s="22">
        <v>5</v>
      </c>
      <c r="H51" s="22">
        <v>233314</v>
      </c>
      <c r="I51" s="22" t="s">
        <v>55</v>
      </c>
      <c r="J51" s="22">
        <v>233491</v>
      </c>
      <c r="K51" s="21" t="s">
        <v>56</v>
      </c>
      <c r="L51" s="21" t="str">
        <f>VLOOKUP(C51,'Trips&amp;Operators'!$C$1:$E$9999,3,FALSE)</f>
        <v>STORY</v>
      </c>
      <c r="M51" s="20" t="s">
        <v>118</v>
      </c>
      <c r="N51" s="21"/>
    </row>
    <row r="52" spans="1:14" s="19" customFormat="1" x14ac:dyDescent="0.25">
      <c r="A52" s="23">
        <v>42500.639097222222</v>
      </c>
      <c r="B52" s="22" t="s">
        <v>122</v>
      </c>
      <c r="C52" s="22" t="s">
        <v>323</v>
      </c>
      <c r="D52" s="22" t="s">
        <v>53</v>
      </c>
      <c r="E52" s="22" t="s">
        <v>54</v>
      </c>
      <c r="F52" s="22">
        <v>0</v>
      </c>
      <c r="G52" s="22">
        <v>127</v>
      </c>
      <c r="H52" s="22">
        <v>232946</v>
      </c>
      <c r="I52" s="22" t="s">
        <v>55</v>
      </c>
      <c r="J52" s="22">
        <v>233491</v>
      </c>
      <c r="K52" s="21" t="s">
        <v>56</v>
      </c>
      <c r="L52" s="21" t="str">
        <f>VLOOKUP(C52,'Trips&amp;Operators'!$C$1:$E$9999,3,FALSE)</f>
        <v>ADANE</v>
      </c>
      <c r="M52" s="20" t="s">
        <v>118</v>
      </c>
      <c r="N52" s="21"/>
    </row>
    <row r="53" spans="1:14" s="19" customFormat="1" x14ac:dyDescent="0.25">
      <c r="A53" s="23">
        <v>42500.649722222224</v>
      </c>
      <c r="B53" s="22" t="s">
        <v>170</v>
      </c>
      <c r="C53" s="22" t="s">
        <v>326</v>
      </c>
      <c r="D53" s="22" t="s">
        <v>53</v>
      </c>
      <c r="E53" s="22" t="s">
        <v>54</v>
      </c>
      <c r="F53" s="22">
        <v>0</v>
      </c>
      <c r="G53" s="22">
        <v>9</v>
      </c>
      <c r="H53" s="22">
        <v>233342</v>
      </c>
      <c r="I53" s="22" t="s">
        <v>55</v>
      </c>
      <c r="J53" s="22">
        <v>233491</v>
      </c>
      <c r="K53" s="21" t="s">
        <v>56</v>
      </c>
      <c r="L53" s="21" t="str">
        <f>VLOOKUP(C53,'Trips&amp;Operators'!$C$1:$E$9999,3,FALSE)</f>
        <v>COOLAHAN</v>
      </c>
      <c r="M53" s="20" t="s">
        <v>118</v>
      </c>
      <c r="N53" s="21"/>
    </row>
    <row r="54" spans="1:14" s="19" customFormat="1" x14ac:dyDescent="0.25">
      <c r="A54" s="23">
        <v>42500.691759259258</v>
      </c>
      <c r="B54" s="22" t="s">
        <v>64</v>
      </c>
      <c r="C54" s="22" t="s">
        <v>341</v>
      </c>
      <c r="D54" s="22" t="s">
        <v>53</v>
      </c>
      <c r="E54" s="22" t="s">
        <v>54</v>
      </c>
      <c r="F54" s="22">
        <v>0</v>
      </c>
      <c r="G54" s="22">
        <v>89</v>
      </c>
      <c r="H54" s="22">
        <v>233170</v>
      </c>
      <c r="I54" s="22" t="s">
        <v>55</v>
      </c>
      <c r="J54" s="22">
        <v>233491</v>
      </c>
      <c r="K54" s="21" t="s">
        <v>56</v>
      </c>
      <c r="L54" s="21" t="str">
        <f>VLOOKUP(C54,'Trips&amp;Operators'!$C$1:$E$9999,3,FALSE)</f>
        <v>STORY</v>
      </c>
      <c r="M54" s="20" t="s">
        <v>118</v>
      </c>
      <c r="N54" s="21"/>
    </row>
    <row r="55" spans="1:14" s="19" customFormat="1" x14ac:dyDescent="0.25">
      <c r="A55" s="23">
        <v>42500.723437499997</v>
      </c>
      <c r="B55" s="22" t="s">
        <v>170</v>
      </c>
      <c r="C55" s="22" t="s">
        <v>348</v>
      </c>
      <c r="D55" s="22" t="s">
        <v>53</v>
      </c>
      <c r="E55" s="22" t="s">
        <v>54</v>
      </c>
      <c r="F55" s="22">
        <v>0</v>
      </c>
      <c r="G55" s="22">
        <v>79</v>
      </c>
      <c r="H55" s="22">
        <v>233207</v>
      </c>
      <c r="I55" s="22" t="s">
        <v>55</v>
      </c>
      <c r="J55" s="22">
        <v>233491</v>
      </c>
      <c r="K55" s="21" t="s">
        <v>56</v>
      </c>
      <c r="L55" s="21" t="str">
        <f>VLOOKUP(C55,'Trips&amp;Operators'!$C$1:$E$9999,3,FALSE)</f>
        <v>COOLAHAN</v>
      </c>
      <c r="M55" s="20" t="s">
        <v>118</v>
      </c>
      <c r="N55" s="21"/>
    </row>
    <row r="56" spans="1:14" s="19" customFormat="1" x14ac:dyDescent="0.25">
      <c r="A56" s="23">
        <v>42500.72556712963</v>
      </c>
      <c r="B56" s="22" t="s">
        <v>65</v>
      </c>
      <c r="C56" s="22" t="s">
        <v>338</v>
      </c>
      <c r="D56" s="22" t="s">
        <v>53</v>
      </c>
      <c r="E56" s="22" t="s">
        <v>54</v>
      </c>
      <c r="F56" s="22">
        <v>0</v>
      </c>
      <c r="G56" s="22">
        <v>25</v>
      </c>
      <c r="H56" s="22">
        <v>79</v>
      </c>
      <c r="I56" s="22" t="s">
        <v>55</v>
      </c>
      <c r="J56" s="22">
        <v>1</v>
      </c>
      <c r="K56" s="21" t="s">
        <v>57</v>
      </c>
      <c r="L56" s="21" t="str">
        <f>VLOOKUP(C56,'Trips&amp;Operators'!$C$1:$E$9999,3,FALSE)</f>
        <v>YOUNG</v>
      </c>
      <c r="M56" s="20" t="s">
        <v>118</v>
      </c>
      <c r="N56" s="21"/>
    </row>
    <row r="57" spans="1:14" s="19" customFormat="1" x14ac:dyDescent="0.25">
      <c r="A57" s="23">
        <v>42500.764421296299</v>
      </c>
      <c r="B57" s="22" t="s">
        <v>64</v>
      </c>
      <c r="C57" s="22" t="s">
        <v>362</v>
      </c>
      <c r="D57" s="22" t="s">
        <v>53</v>
      </c>
      <c r="E57" s="22" t="s">
        <v>54</v>
      </c>
      <c r="F57" s="22">
        <v>0</v>
      </c>
      <c r="G57" s="22">
        <v>7</v>
      </c>
      <c r="H57" s="22">
        <v>233330</v>
      </c>
      <c r="I57" s="22" t="s">
        <v>55</v>
      </c>
      <c r="J57" s="22">
        <v>233491</v>
      </c>
      <c r="K57" s="21" t="s">
        <v>56</v>
      </c>
      <c r="L57" s="21" t="str">
        <f>VLOOKUP(C57,'Trips&amp;Operators'!$C$1:$E$9999,3,FALSE)</f>
        <v>STRICKLAND</v>
      </c>
      <c r="M57" s="20" t="s">
        <v>118</v>
      </c>
      <c r="N57" s="21"/>
    </row>
    <row r="58" spans="1:14" s="19" customFormat="1" x14ac:dyDescent="0.25">
      <c r="A58" s="23">
        <v>42500.773217592592</v>
      </c>
      <c r="B58" s="22" t="s">
        <v>189</v>
      </c>
      <c r="C58" s="22" t="s">
        <v>353</v>
      </c>
      <c r="D58" s="22" t="s">
        <v>53</v>
      </c>
      <c r="E58" s="22" t="s">
        <v>54</v>
      </c>
      <c r="F58" s="22">
        <v>0</v>
      </c>
      <c r="G58" s="22">
        <v>3</v>
      </c>
      <c r="H58" s="22">
        <v>134</v>
      </c>
      <c r="I58" s="22" t="s">
        <v>55</v>
      </c>
      <c r="J58" s="22">
        <v>1</v>
      </c>
      <c r="K58" s="21" t="s">
        <v>57</v>
      </c>
      <c r="L58" s="21" t="str">
        <f>VLOOKUP(C58,'Trips&amp;Operators'!$C$1:$E$9999,3,FALSE)</f>
        <v>REBOLETTI</v>
      </c>
      <c r="M58" s="20" t="s">
        <v>118</v>
      </c>
      <c r="N58" s="21"/>
    </row>
    <row r="59" spans="1:14" s="19" customFormat="1" x14ac:dyDescent="0.25">
      <c r="A59" s="23">
        <v>42500.797025462962</v>
      </c>
      <c r="B59" s="22" t="s">
        <v>65</v>
      </c>
      <c r="C59" s="22" t="s">
        <v>360</v>
      </c>
      <c r="D59" s="22" t="s">
        <v>53</v>
      </c>
      <c r="E59" s="22" t="s">
        <v>54</v>
      </c>
      <c r="F59" s="22">
        <v>0</v>
      </c>
      <c r="G59" s="22">
        <v>7</v>
      </c>
      <c r="H59" s="22">
        <v>59</v>
      </c>
      <c r="I59" s="22" t="s">
        <v>55</v>
      </c>
      <c r="J59" s="22">
        <v>1</v>
      </c>
      <c r="K59" s="21" t="s">
        <v>57</v>
      </c>
      <c r="L59" s="21" t="str">
        <f>VLOOKUP(C59,'Trips&amp;Operators'!$C$1:$E$9999,3,FALSE)</f>
        <v>YOUNG</v>
      </c>
      <c r="M59" s="20" t="s">
        <v>118</v>
      </c>
      <c r="N59" s="21"/>
    </row>
    <row r="60" spans="1:14" s="19" customFormat="1" x14ac:dyDescent="0.25">
      <c r="A60" s="23">
        <v>42500.858564814815</v>
      </c>
      <c r="B60" s="22" t="s">
        <v>122</v>
      </c>
      <c r="C60" s="22" t="s">
        <v>377</v>
      </c>
      <c r="D60" s="22" t="s">
        <v>53</v>
      </c>
      <c r="E60" s="22" t="s">
        <v>54</v>
      </c>
      <c r="F60" s="22">
        <v>0</v>
      </c>
      <c r="G60" s="22">
        <v>9</v>
      </c>
      <c r="H60" s="22">
        <v>233346</v>
      </c>
      <c r="I60" s="22" t="s">
        <v>55</v>
      </c>
      <c r="J60" s="22">
        <v>233491</v>
      </c>
      <c r="K60" s="21" t="s">
        <v>56</v>
      </c>
      <c r="L60" s="21" t="str">
        <f>VLOOKUP(C60,'Trips&amp;Operators'!$C$1:$E$9999,3,FALSE)</f>
        <v>BRUDER</v>
      </c>
      <c r="M60" s="20" t="s">
        <v>118</v>
      </c>
      <c r="N60" s="21"/>
    </row>
    <row r="61" spans="1:14" s="19" customFormat="1" x14ac:dyDescent="0.25">
      <c r="A61" s="23">
        <v>42500.941840277781</v>
      </c>
      <c r="B61" s="22" t="s">
        <v>122</v>
      </c>
      <c r="C61" s="22" t="s">
        <v>387</v>
      </c>
      <c r="D61" s="22" t="s">
        <v>53</v>
      </c>
      <c r="E61" s="22" t="s">
        <v>54</v>
      </c>
      <c r="F61" s="22">
        <v>0</v>
      </c>
      <c r="G61" s="22">
        <v>7</v>
      </c>
      <c r="H61" s="22">
        <v>233344</v>
      </c>
      <c r="I61" s="22" t="s">
        <v>55</v>
      </c>
      <c r="J61" s="22">
        <v>233491</v>
      </c>
      <c r="K61" s="21" t="s">
        <v>56</v>
      </c>
      <c r="L61" s="21" t="str">
        <f>VLOOKUP(C61,'Trips&amp;Operators'!$C$1:$E$9999,3,FALSE)</f>
        <v>BRUDER</v>
      </c>
      <c r="M61" s="20" t="s">
        <v>118</v>
      </c>
      <c r="N61" s="21"/>
    </row>
    <row r="62" spans="1:14" s="19" customFormat="1" x14ac:dyDescent="0.25">
      <c r="A62" s="23">
        <v>42501.024907407409</v>
      </c>
      <c r="B62" s="22" t="s">
        <v>122</v>
      </c>
      <c r="C62" s="22" t="s">
        <v>398</v>
      </c>
      <c r="D62" s="22" t="s">
        <v>53</v>
      </c>
      <c r="E62" s="22" t="s">
        <v>54</v>
      </c>
      <c r="F62" s="22">
        <v>0</v>
      </c>
      <c r="G62" s="22">
        <v>8</v>
      </c>
      <c r="H62" s="22">
        <v>233344</v>
      </c>
      <c r="I62" s="22" t="s">
        <v>55</v>
      </c>
      <c r="J62" s="22">
        <v>233491</v>
      </c>
      <c r="K62" s="21" t="s">
        <v>56</v>
      </c>
      <c r="L62" s="21" t="str">
        <f>VLOOKUP(C62,'Trips&amp;Operators'!$C$1:$E$9999,3,FALSE)</f>
        <v>BRUDER</v>
      </c>
      <c r="M62" s="20" t="s">
        <v>118</v>
      </c>
      <c r="N62" s="21"/>
    </row>
    <row r="63" spans="1:14" s="19" customFormat="1" x14ac:dyDescent="0.25">
      <c r="A63" s="23">
        <v>42500.264606481483</v>
      </c>
      <c r="B63" s="22" t="s">
        <v>65</v>
      </c>
      <c r="C63" s="22" t="s">
        <v>173</v>
      </c>
      <c r="D63" s="22" t="s">
        <v>58</v>
      </c>
      <c r="E63" s="22" t="s">
        <v>405</v>
      </c>
      <c r="F63" s="22">
        <v>0</v>
      </c>
      <c r="G63" s="22">
        <v>4</v>
      </c>
      <c r="H63" s="22">
        <v>192931</v>
      </c>
      <c r="I63" s="22" t="s">
        <v>406</v>
      </c>
      <c r="J63" s="22">
        <v>156300</v>
      </c>
      <c r="K63" s="21" t="s">
        <v>56</v>
      </c>
      <c r="L63" s="21" t="str">
        <f>VLOOKUP(C63,'Trips&amp;Operators'!$C$1:$E$9999,3,FALSE)</f>
        <v>CHANDLER</v>
      </c>
      <c r="M63" s="20" t="s">
        <v>117</v>
      </c>
      <c r="N63" s="21"/>
    </row>
    <row r="64" spans="1:14" s="19" customFormat="1" x14ac:dyDescent="0.25">
      <c r="A64" s="41"/>
      <c r="B64" s="42"/>
      <c r="C64" s="42"/>
      <c r="D64" s="42"/>
      <c r="E64" s="42"/>
      <c r="F64" s="42"/>
      <c r="G64" s="42"/>
      <c r="H64" s="42"/>
      <c r="I64" s="42"/>
      <c r="J64" s="42"/>
      <c r="K64" s="43"/>
      <c r="L64" s="43"/>
      <c r="M64" s="44"/>
      <c r="N64" s="43"/>
    </row>
    <row r="65" spans="1:14" s="19" customFormat="1" ht="15.75" thickBot="1" x14ac:dyDescent="0.3">
      <c r="A65" s="41"/>
      <c r="B65" s="42"/>
      <c r="C65" s="42"/>
      <c r="D65" s="42"/>
      <c r="E65" s="42"/>
      <c r="F65" s="42"/>
      <c r="G65" s="42"/>
      <c r="H65" s="42"/>
      <c r="I65" s="42"/>
      <c r="J65" s="42"/>
      <c r="K65" s="43"/>
      <c r="L65" s="43"/>
      <c r="M65" s="44"/>
      <c r="N65" s="43"/>
    </row>
    <row r="66" spans="1:14" ht="30" x14ac:dyDescent="0.25">
      <c r="B66" s="60"/>
      <c r="C66" s="60"/>
      <c r="D66" s="60"/>
      <c r="E66" s="60"/>
      <c r="F66" s="60"/>
      <c r="G66" s="60"/>
      <c r="H66" s="60"/>
      <c r="I66" s="60"/>
      <c r="J66" s="60"/>
      <c r="K66" s="18" t="s">
        <v>28</v>
      </c>
      <c r="L66" s="53"/>
      <c r="M66" s="17">
        <f>COUNTIF(M3:M63,"=Y")</f>
        <v>12</v>
      </c>
    </row>
    <row r="67" spans="1:14" ht="15.75" thickBot="1" x14ac:dyDescent="0.3">
      <c r="K67" s="16" t="s">
        <v>27</v>
      </c>
      <c r="L67" s="54"/>
      <c r="M67" s="15">
        <f>COUNTA(M3:M63)-M66</f>
        <v>49</v>
      </c>
    </row>
  </sheetData>
  <autoFilter ref="A2:N2">
    <sortState ref="A3:N63">
      <sortCondition ref="E2"/>
    </sortState>
  </autoFilter>
  <sortState ref="A3:N63">
    <sortCondition ref="E3:E63"/>
  </sortState>
  <mergeCells count="1">
    <mergeCell ref="A1:M1"/>
  </mergeCells>
  <conditionalFormatting sqref="N2 M2:M1048576">
    <cfRule type="cellIs" dxfId="2" priority="5" operator="equal">
      <formula>"Y"</formula>
    </cfRule>
  </conditionalFormatting>
  <conditionalFormatting sqref="B63:N65 B3:N26 B27:L28 N27:N28 B46:L62 N46:N62 M27:M62">
    <cfRule type="expression" dxfId="1" priority="4">
      <formula>$M3="Y"</formula>
    </cfRule>
  </conditionalFormatting>
  <conditionalFormatting sqref="B29:L45 N29:N45">
    <cfRule type="expression" dxfId="0" priority="1">
      <formula>$M29="Y"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s="60" customFormat="1" x14ac:dyDescent="0.25">
      <c r="A1" s="63" t="str">
        <f>"Trips that did not appear in PTC Data "&amp;TEXT(Variables!$A$2,"YYYY-mm-dd")</f>
        <v>Trips that did not appear in PTC Data 2016-05-10</v>
      </c>
    </row>
    <row r="2" spans="1:1" x14ac:dyDescent="0.25">
      <c r="A2" t="s">
        <v>414</v>
      </c>
    </row>
    <row r="3" spans="1:1" x14ac:dyDescent="0.25">
      <c r="A3" t="s">
        <v>415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59"/>
  <sheetViews>
    <sheetView workbookViewId="0">
      <selection sqref="A1:E159"/>
    </sheetView>
  </sheetViews>
  <sheetFormatPr defaultRowHeight="15" x14ac:dyDescent="0.25"/>
  <cols>
    <col min="1" max="1" width="18.28515625" style="14" bestFit="1" customWidth="1"/>
    <col min="2" max="2" width="17" bestFit="1" customWidth="1"/>
    <col min="3" max="3" width="6.7109375" bestFit="1" customWidth="1"/>
    <col min="4" max="4" width="8" bestFit="1" customWidth="1"/>
    <col min="5" max="5" width="12.140625" bestFit="1" customWidth="1"/>
  </cols>
  <sheetData>
    <row r="1" spans="1:5" x14ac:dyDescent="0.25">
      <c r="A1" s="14">
        <v>42500.174097222225</v>
      </c>
      <c r="B1" t="s">
        <v>65</v>
      </c>
      <c r="C1" t="s">
        <v>201</v>
      </c>
      <c r="D1">
        <v>1800000</v>
      </c>
      <c r="E1" t="s">
        <v>174</v>
      </c>
    </row>
    <row r="2" spans="1:5" x14ac:dyDescent="0.25">
      <c r="A2" s="14">
        <v>42500.661099537036</v>
      </c>
      <c r="B2" t="s">
        <v>64</v>
      </c>
      <c r="C2" t="s">
        <v>341</v>
      </c>
      <c r="D2">
        <v>1740000</v>
      </c>
      <c r="E2" t="s">
        <v>176</v>
      </c>
    </row>
    <row r="3" spans="1:5" x14ac:dyDescent="0.25">
      <c r="A3" s="14">
        <v>42500.721550925926</v>
      </c>
      <c r="B3" t="s">
        <v>68</v>
      </c>
      <c r="C3" t="s">
        <v>346</v>
      </c>
      <c r="D3">
        <v>1820000</v>
      </c>
      <c r="E3" t="s">
        <v>178</v>
      </c>
    </row>
    <row r="4" spans="1:5" x14ac:dyDescent="0.25">
      <c r="A4" s="14">
        <v>42500.728437500002</v>
      </c>
      <c r="B4" t="s">
        <v>52</v>
      </c>
      <c r="C4" t="s">
        <v>358</v>
      </c>
      <c r="D4">
        <v>1140000</v>
      </c>
      <c r="E4" t="s">
        <v>66</v>
      </c>
    </row>
    <row r="5" spans="1:5" x14ac:dyDescent="0.25">
      <c r="A5" s="14">
        <v>42500.612199074072</v>
      </c>
      <c r="B5" t="s">
        <v>122</v>
      </c>
      <c r="C5" t="s">
        <v>323</v>
      </c>
      <c r="D5">
        <v>1820000</v>
      </c>
      <c r="E5" t="s">
        <v>178</v>
      </c>
    </row>
    <row r="6" spans="1:5" x14ac:dyDescent="0.25">
      <c r="A6" s="14">
        <v>42500.305</v>
      </c>
      <c r="B6" t="s">
        <v>189</v>
      </c>
      <c r="C6" t="s">
        <v>227</v>
      </c>
      <c r="D6">
        <v>1260000</v>
      </c>
      <c r="E6" t="s">
        <v>152</v>
      </c>
    </row>
    <row r="7" spans="1:5" x14ac:dyDescent="0.25">
      <c r="A7" s="14">
        <v>42500.328090277777</v>
      </c>
      <c r="B7" t="s">
        <v>170</v>
      </c>
      <c r="C7" t="s">
        <v>243</v>
      </c>
      <c r="D7">
        <v>1830000</v>
      </c>
      <c r="E7" t="s">
        <v>175</v>
      </c>
    </row>
    <row r="8" spans="1:5" x14ac:dyDescent="0.25">
      <c r="A8" s="14">
        <v>42500.351284722223</v>
      </c>
      <c r="B8" t="s">
        <v>68</v>
      </c>
      <c r="C8" t="s">
        <v>242</v>
      </c>
      <c r="D8">
        <v>1810000</v>
      </c>
      <c r="E8" t="s">
        <v>180</v>
      </c>
    </row>
    <row r="9" spans="1:5" x14ac:dyDescent="0.25">
      <c r="A9" s="14">
        <v>42500.506261574075</v>
      </c>
      <c r="B9" t="s">
        <v>68</v>
      </c>
      <c r="C9" t="s">
        <v>284</v>
      </c>
      <c r="D9">
        <v>1820000</v>
      </c>
      <c r="E9" t="s">
        <v>178</v>
      </c>
    </row>
    <row r="10" spans="1:5" x14ac:dyDescent="0.25">
      <c r="A10" s="14">
        <v>42500.514652777776</v>
      </c>
      <c r="B10" t="s">
        <v>64</v>
      </c>
      <c r="C10" t="s">
        <v>298</v>
      </c>
      <c r="D10">
        <v>1740000</v>
      </c>
      <c r="E10" t="s">
        <v>176</v>
      </c>
    </row>
    <row r="11" spans="1:5" x14ac:dyDescent="0.25">
      <c r="A11" s="14">
        <v>42500.558206018519</v>
      </c>
      <c r="B11" t="s">
        <v>177</v>
      </c>
      <c r="C11" t="s">
        <v>307</v>
      </c>
      <c r="D11">
        <v>1750000</v>
      </c>
      <c r="E11" t="s">
        <v>411</v>
      </c>
    </row>
    <row r="12" spans="1:5" x14ac:dyDescent="0.25">
      <c r="A12" s="14">
        <v>42500.587627314817</v>
      </c>
      <c r="B12" t="s">
        <v>64</v>
      </c>
      <c r="C12" t="s">
        <v>317</v>
      </c>
      <c r="D12">
        <v>1740000</v>
      </c>
      <c r="E12" t="s">
        <v>176</v>
      </c>
    </row>
    <row r="13" spans="1:5" x14ac:dyDescent="0.25">
      <c r="A13" s="14">
        <v>42500.524629629632</v>
      </c>
      <c r="B13" t="s">
        <v>189</v>
      </c>
      <c r="C13" t="s">
        <v>290</v>
      </c>
      <c r="D13">
        <v>1750000</v>
      </c>
      <c r="E13" t="s">
        <v>411</v>
      </c>
    </row>
    <row r="14" spans="1:5" x14ac:dyDescent="0.25">
      <c r="A14" s="14">
        <v>42500.682118055556</v>
      </c>
      <c r="B14" t="s">
        <v>70</v>
      </c>
      <c r="C14" t="s">
        <v>334</v>
      </c>
      <c r="D14">
        <v>1470000</v>
      </c>
      <c r="E14" t="s">
        <v>153</v>
      </c>
    </row>
    <row r="15" spans="1:5" x14ac:dyDescent="0.25">
      <c r="A15" s="14">
        <v>42500.508240740739</v>
      </c>
      <c r="B15" t="s">
        <v>52</v>
      </c>
      <c r="C15" t="s">
        <v>294</v>
      </c>
      <c r="D15">
        <v>1140000</v>
      </c>
      <c r="E15" t="s">
        <v>66</v>
      </c>
    </row>
    <row r="16" spans="1:5" x14ac:dyDescent="0.25">
      <c r="A16" s="14">
        <v>42500.787175925929</v>
      </c>
      <c r="B16" t="s">
        <v>123</v>
      </c>
      <c r="C16" t="s">
        <v>365</v>
      </c>
      <c r="D16">
        <v>970000</v>
      </c>
      <c r="E16" t="s">
        <v>192</v>
      </c>
    </row>
    <row r="17" spans="1:5" x14ac:dyDescent="0.25">
      <c r="A17" s="14">
        <v>42500.467870370368</v>
      </c>
      <c r="B17" t="s">
        <v>64</v>
      </c>
      <c r="C17" t="s">
        <v>274</v>
      </c>
      <c r="D17">
        <v>1740000</v>
      </c>
      <c r="E17" t="s">
        <v>176</v>
      </c>
    </row>
    <row r="18" spans="1:5" x14ac:dyDescent="0.25">
      <c r="A18" s="14">
        <v>42500.169004629628</v>
      </c>
      <c r="B18" t="s">
        <v>122</v>
      </c>
      <c r="C18" t="s">
        <v>179</v>
      </c>
      <c r="D18">
        <v>1810000</v>
      </c>
      <c r="E18" t="s">
        <v>180</v>
      </c>
    </row>
    <row r="19" spans="1:5" x14ac:dyDescent="0.25">
      <c r="A19" s="14">
        <v>42500.463240740741</v>
      </c>
      <c r="B19" t="s">
        <v>70</v>
      </c>
      <c r="C19" t="s">
        <v>269</v>
      </c>
      <c r="D19">
        <v>1470000</v>
      </c>
      <c r="E19" t="s">
        <v>153</v>
      </c>
    </row>
    <row r="20" spans="1:5" x14ac:dyDescent="0.25">
      <c r="A20" s="14">
        <v>42500.399861111109</v>
      </c>
      <c r="B20" t="s">
        <v>65</v>
      </c>
      <c r="C20" t="s">
        <v>251</v>
      </c>
      <c r="D20">
        <v>1800000</v>
      </c>
      <c r="E20" t="s">
        <v>174</v>
      </c>
    </row>
    <row r="21" spans="1:5" x14ac:dyDescent="0.25">
      <c r="A21" s="14">
        <v>42500.422407407408</v>
      </c>
      <c r="B21" t="s">
        <v>123</v>
      </c>
      <c r="C21" t="s">
        <v>257</v>
      </c>
      <c r="D21">
        <v>1110000</v>
      </c>
      <c r="E21" t="s">
        <v>186</v>
      </c>
    </row>
    <row r="22" spans="1:5" x14ac:dyDescent="0.25">
      <c r="A22" s="14">
        <v>42500.495868055557</v>
      </c>
      <c r="B22" t="s">
        <v>123</v>
      </c>
      <c r="C22" t="s">
        <v>282</v>
      </c>
      <c r="D22">
        <v>1090000</v>
      </c>
      <c r="E22" t="s">
        <v>171</v>
      </c>
    </row>
    <row r="23" spans="1:5" x14ac:dyDescent="0.25">
      <c r="A23" s="14">
        <v>42500.373854166668</v>
      </c>
      <c r="B23" t="s">
        <v>64</v>
      </c>
      <c r="C23" t="s">
        <v>253</v>
      </c>
      <c r="D23">
        <v>1090000</v>
      </c>
      <c r="E23" t="s">
        <v>171</v>
      </c>
    </row>
    <row r="24" spans="1:5" x14ac:dyDescent="0.25">
      <c r="A24" s="14">
        <v>42500.650138888886</v>
      </c>
      <c r="B24" t="s">
        <v>68</v>
      </c>
      <c r="C24" t="s">
        <v>324</v>
      </c>
      <c r="D24">
        <v>1820000</v>
      </c>
      <c r="E24" t="s">
        <v>178</v>
      </c>
    </row>
    <row r="25" spans="1:5" x14ac:dyDescent="0.25">
      <c r="A25" s="14">
        <v>42500.291296296295</v>
      </c>
      <c r="B25" t="s">
        <v>52</v>
      </c>
      <c r="C25" t="s">
        <v>173</v>
      </c>
      <c r="D25">
        <v>1800000</v>
      </c>
      <c r="E25" t="s">
        <v>174</v>
      </c>
    </row>
    <row r="26" spans="1:5" x14ac:dyDescent="0.25">
      <c r="A26" s="14">
        <v>42500.654340277775</v>
      </c>
      <c r="B26" t="s">
        <v>52</v>
      </c>
      <c r="C26" t="s">
        <v>335</v>
      </c>
      <c r="D26">
        <v>1140000</v>
      </c>
      <c r="E26" t="s">
        <v>66</v>
      </c>
    </row>
    <row r="27" spans="1:5" x14ac:dyDescent="0.25">
      <c r="A27" s="14">
        <v>42500.992013888892</v>
      </c>
      <c r="B27" t="s">
        <v>70</v>
      </c>
      <c r="C27" t="s">
        <v>393</v>
      </c>
      <c r="D27">
        <v>1180000</v>
      </c>
      <c r="E27" t="s">
        <v>412</v>
      </c>
    </row>
    <row r="28" spans="1:5" x14ac:dyDescent="0.25">
      <c r="A28" s="14">
        <v>42500.681446759256</v>
      </c>
      <c r="B28" t="s">
        <v>70</v>
      </c>
      <c r="C28" t="s">
        <v>334</v>
      </c>
      <c r="D28">
        <v>1470000</v>
      </c>
      <c r="E28" t="s">
        <v>153</v>
      </c>
    </row>
    <row r="29" spans="1:5" x14ac:dyDescent="0.25">
      <c r="A29" s="14">
        <v>42500.806018518517</v>
      </c>
      <c r="B29" t="s">
        <v>172</v>
      </c>
      <c r="C29" t="s">
        <v>370</v>
      </c>
      <c r="D29">
        <v>1280000</v>
      </c>
      <c r="E29" t="s">
        <v>67</v>
      </c>
    </row>
    <row r="30" spans="1:5" x14ac:dyDescent="0.25">
      <c r="A30" s="14">
        <v>42500.695069444446</v>
      </c>
      <c r="B30" t="s">
        <v>63</v>
      </c>
      <c r="C30" t="s">
        <v>343</v>
      </c>
      <c r="D30">
        <v>1740000</v>
      </c>
      <c r="E30" t="s">
        <v>176</v>
      </c>
    </row>
    <row r="31" spans="1:5" x14ac:dyDescent="0.25">
      <c r="A31" s="14">
        <v>42500.769768518519</v>
      </c>
      <c r="B31" t="s">
        <v>170</v>
      </c>
      <c r="C31" t="s">
        <v>368</v>
      </c>
      <c r="D31">
        <v>1280000</v>
      </c>
      <c r="E31" t="s">
        <v>67</v>
      </c>
    </row>
    <row r="32" spans="1:5" x14ac:dyDescent="0.25">
      <c r="A32" s="14">
        <v>42500.822847222225</v>
      </c>
      <c r="B32" t="s">
        <v>70</v>
      </c>
      <c r="C32" t="s">
        <v>372</v>
      </c>
      <c r="D32">
        <v>1180000</v>
      </c>
      <c r="E32" t="s">
        <v>412</v>
      </c>
    </row>
    <row r="33" spans="1:5" x14ac:dyDescent="0.25">
      <c r="A33" s="14">
        <v>42500.743379629632</v>
      </c>
      <c r="B33" t="s">
        <v>124</v>
      </c>
      <c r="C33" t="s">
        <v>364</v>
      </c>
      <c r="D33">
        <v>970000</v>
      </c>
      <c r="E33" t="s">
        <v>192</v>
      </c>
    </row>
    <row r="34" spans="1:5" x14ac:dyDescent="0.25">
      <c r="A34" s="14">
        <v>42500.931446759256</v>
      </c>
      <c r="B34" t="s">
        <v>63</v>
      </c>
      <c r="C34" t="s">
        <v>386</v>
      </c>
      <c r="D34">
        <v>1760000</v>
      </c>
      <c r="E34" t="s">
        <v>168</v>
      </c>
    </row>
    <row r="35" spans="1:5" x14ac:dyDescent="0.25">
      <c r="A35" s="14">
        <v>42501.029976851853</v>
      </c>
      <c r="B35" t="s">
        <v>68</v>
      </c>
      <c r="C35" t="s">
        <v>399</v>
      </c>
      <c r="D35">
        <v>1770000</v>
      </c>
      <c r="E35" t="s">
        <v>169</v>
      </c>
    </row>
    <row r="36" spans="1:5" x14ac:dyDescent="0.25">
      <c r="A36" s="14">
        <v>42500.948495370372</v>
      </c>
      <c r="B36" t="s">
        <v>69</v>
      </c>
      <c r="C36" t="s">
        <v>391</v>
      </c>
      <c r="D36">
        <v>1180000</v>
      </c>
      <c r="E36" t="s">
        <v>412</v>
      </c>
    </row>
    <row r="37" spans="1:5" x14ac:dyDescent="0.25">
      <c r="A37" s="14">
        <v>42500.705081018517</v>
      </c>
      <c r="B37" t="s">
        <v>177</v>
      </c>
      <c r="C37" t="s">
        <v>351</v>
      </c>
      <c r="D37">
        <v>1750000</v>
      </c>
      <c r="E37" t="s">
        <v>411</v>
      </c>
    </row>
    <row r="38" spans="1:5" x14ac:dyDescent="0.25">
      <c r="A38" s="14">
        <v>42500.153425925928</v>
      </c>
      <c r="B38" t="s">
        <v>64</v>
      </c>
      <c r="C38" t="s">
        <v>188</v>
      </c>
      <c r="D38">
        <v>1110000</v>
      </c>
      <c r="E38" t="s">
        <v>186</v>
      </c>
    </row>
    <row r="39" spans="1:5" x14ac:dyDescent="0.25">
      <c r="A39" s="14">
        <v>42500.643796296295</v>
      </c>
      <c r="B39" t="s">
        <v>69</v>
      </c>
      <c r="C39" t="s">
        <v>332</v>
      </c>
      <c r="D39">
        <v>1470000</v>
      </c>
      <c r="E39" t="s">
        <v>153</v>
      </c>
    </row>
    <row r="40" spans="1:5" x14ac:dyDescent="0.25">
      <c r="A40" s="14">
        <v>42500.155925925923</v>
      </c>
      <c r="B40" t="s">
        <v>64</v>
      </c>
      <c r="C40" t="s">
        <v>188</v>
      </c>
      <c r="D40">
        <v>1110000</v>
      </c>
      <c r="E40" t="s">
        <v>186</v>
      </c>
    </row>
    <row r="41" spans="1:5" x14ac:dyDescent="0.25">
      <c r="A41" s="14">
        <v>42500.600173611114</v>
      </c>
      <c r="B41" t="s">
        <v>124</v>
      </c>
      <c r="C41" t="s">
        <v>320</v>
      </c>
      <c r="D41">
        <v>970000</v>
      </c>
      <c r="E41" t="s">
        <v>192</v>
      </c>
    </row>
    <row r="42" spans="1:5" x14ac:dyDescent="0.25">
      <c r="A42" s="14">
        <v>42500.246736111112</v>
      </c>
      <c r="B42" t="s">
        <v>70</v>
      </c>
      <c r="C42" t="s">
        <v>190</v>
      </c>
      <c r="D42">
        <v>1840000</v>
      </c>
      <c r="E42" t="s">
        <v>191</v>
      </c>
    </row>
    <row r="43" spans="1:5" x14ac:dyDescent="0.25">
      <c r="A43" s="14">
        <v>42500.55028935185</v>
      </c>
      <c r="B43" t="s">
        <v>63</v>
      </c>
      <c r="C43" t="s">
        <v>299</v>
      </c>
      <c r="D43">
        <v>1740000</v>
      </c>
      <c r="E43" t="s">
        <v>176</v>
      </c>
    </row>
    <row r="44" spans="1:5" x14ac:dyDescent="0.25">
      <c r="A44" s="14">
        <v>42500.255486111113</v>
      </c>
      <c r="B44" t="s">
        <v>65</v>
      </c>
      <c r="C44" t="s">
        <v>173</v>
      </c>
      <c r="D44">
        <v>1800000</v>
      </c>
      <c r="E44" t="s">
        <v>174</v>
      </c>
    </row>
    <row r="45" spans="1:5" x14ac:dyDescent="0.25">
      <c r="A45" s="14">
        <v>42500.470219907409</v>
      </c>
      <c r="B45" t="s">
        <v>65</v>
      </c>
      <c r="C45" t="s">
        <v>272</v>
      </c>
      <c r="D45">
        <v>1840000</v>
      </c>
      <c r="E45" t="s">
        <v>191</v>
      </c>
    </row>
    <row r="46" spans="1:5" x14ac:dyDescent="0.25">
      <c r="A46" s="14">
        <v>42500.210821759261</v>
      </c>
      <c r="B46" t="s">
        <v>69</v>
      </c>
      <c r="C46" t="s">
        <v>195</v>
      </c>
      <c r="D46">
        <v>1840000</v>
      </c>
      <c r="E46" t="s">
        <v>191</v>
      </c>
    </row>
    <row r="47" spans="1:5" x14ac:dyDescent="0.25">
      <c r="A47" s="14">
        <v>42500.433958333335</v>
      </c>
      <c r="B47" t="s">
        <v>52</v>
      </c>
      <c r="C47" t="s">
        <v>270</v>
      </c>
      <c r="D47">
        <v>1840000</v>
      </c>
      <c r="E47" t="s">
        <v>191</v>
      </c>
    </row>
    <row r="48" spans="1:5" x14ac:dyDescent="0.25">
      <c r="A48" s="14">
        <v>42500.383888888886</v>
      </c>
      <c r="B48" t="s">
        <v>124</v>
      </c>
      <c r="C48" t="s">
        <v>255</v>
      </c>
      <c r="D48">
        <v>1110000</v>
      </c>
      <c r="E48" t="s">
        <v>186</v>
      </c>
    </row>
    <row r="49" spans="1:5" x14ac:dyDescent="0.25">
      <c r="A49" s="14">
        <v>42500.359652777777</v>
      </c>
      <c r="B49" t="s">
        <v>52</v>
      </c>
      <c r="C49" t="s">
        <v>250</v>
      </c>
      <c r="D49">
        <v>1800000</v>
      </c>
      <c r="E49" t="s">
        <v>174</v>
      </c>
    </row>
    <row r="50" spans="1:5" x14ac:dyDescent="0.25">
      <c r="A50" s="14">
        <v>42500.422662037039</v>
      </c>
      <c r="B50" t="s">
        <v>69</v>
      </c>
      <c r="C50" t="s">
        <v>267</v>
      </c>
      <c r="D50">
        <v>1470000</v>
      </c>
      <c r="E50" t="s">
        <v>153</v>
      </c>
    </row>
    <row r="51" spans="1:5" x14ac:dyDescent="0.25">
      <c r="A51" s="14">
        <v>42500.349872685183</v>
      </c>
      <c r="B51" t="s">
        <v>123</v>
      </c>
      <c r="C51" t="s">
        <v>239</v>
      </c>
      <c r="D51">
        <v>1110000</v>
      </c>
      <c r="E51" t="s">
        <v>186</v>
      </c>
    </row>
    <row r="52" spans="1:5" x14ac:dyDescent="0.25">
      <c r="A52" s="14">
        <v>42500.569537037038</v>
      </c>
      <c r="B52" t="s">
        <v>69</v>
      </c>
      <c r="C52" t="s">
        <v>309</v>
      </c>
      <c r="D52">
        <v>1470000</v>
      </c>
      <c r="E52" t="s">
        <v>153</v>
      </c>
    </row>
    <row r="53" spans="1:5" x14ac:dyDescent="0.25">
      <c r="A53" s="14">
        <v>42500.295370370368</v>
      </c>
      <c r="B53" t="s">
        <v>172</v>
      </c>
      <c r="C53" t="s">
        <v>226</v>
      </c>
      <c r="D53">
        <v>1830000</v>
      </c>
      <c r="E53" t="s">
        <v>175</v>
      </c>
    </row>
    <row r="54" spans="1:5" x14ac:dyDescent="0.25">
      <c r="A54" s="14">
        <v>42500.596631944441</v>
      </c>
      <c r="B54" t="s">
        <v>189</v>
      </c>
      <c r="C54" t="s">
        <v>308</v>
      </c>
      <c r="D54">
        <v>1750000</v>
      </c>
      <c r="E54" t="s">
        <v>411</v>
      </c>
    </row>
    <row r="55" spans="1:5" x14ac:dyDescent="0.25">
      <c r="A55" s="14">
        <v>42500.211354166669</v>
      </c>
      <c r="B55" t="s">
        <v>183</v>
      </c>
      <c r="C55" t="s">
        <v>184</v>
      </c>
      <c r="D55">
        <v>1810000</v>
      </c>
      <c r="E55" t="s">
        <v>180</v>
      </c>
    </row>
    <row r="56" spans="1:5" x14ac:dyDescent="0.25">
      <c r="A56" s="14">
        <v>42500.692696759259</v>
      </c>
      <c r="B56" t="s">
        <v>170</v>
      </c>
      <c r="C56" t="s">
        <v>348</v>
      </c>
      <c r="D56">
        <v>1290000</v>
      </c>
      <c r="E56" t="s">
        <v>413</v>
      </c>
    </row>
    <row r="57" spans="1:5" x14ac:dyDescent="0.25">
      <c r="A57" s="14">
        <v>42500.617731481485</v>
      </c>
      <c r="B57" t="s">
        <v>65</v>
      </c>
      <c r="C57" t="s">
        <v>315</v>
      </c>
      <c r="D57">
        <v>1140000</v>
      </c>
      <c r="E57" t="s">
        <v>66</v>
      </c>
    </row>
    <row r="58" spans="1:5" x14ac:dyDescent="0.25">
      <c r="A58" s="14">
        <v>42500.890775462962</v>
      </c>
      <c r="B58" t="s">
        <v>64</v>
      </c>
      <c r="C58" t="s">
        <v>385</v>
      </c>
      <c r="D58">
        <v>1760000</v>
      </c>
      <c r="E58" t="s">
        <v>168</v>
      </c>
    </row>
    <row r="59" spans="1:5" x14ac:dyDescent="0.25">
      <c r="A59" s="14">
        <v>42500.495578703703</v>
      </c>
      <c r="B59" t="s">
        <v>69</v>
      </c>
      <c r="C59" t="s">
        <v>292</v>
      </c>
      <c r="D59">
        <v>1470000</v>
      </c>
      <c r="E59" t="s">
        <v>153</v>
      </c>
    </row>
    <row r="60" spans="1:5" x14ac:dyDescent="0.25">
      <c r="A60" s="14">
        <v>42500.326354166667</v>
      </c>
      <c r="B60" t="s">
        <v>65</v>
      </c>
      <c r="C60" t="s">
        <v>232</v>
      </c>
      <c r="D60">
        <v>1800000</v>
      </c>
      <c r="E60" t="s">
        <v>174</v>
      </c>
    </row>
    <row r="61" spans="1:5" x14ac:dyDescent="0.25">
      <c r="A61" s="14">
        <v>42500.457430555558</v>
      </c>
      <c r="B61" t="s">
        <v>124</v>
      </c>
      <c r="C61" t="s">
        <v>279</v>
      </c>
      <c r="D61">
        <v>1090000</v>
      </c>
      <c r="E61" t="s">
        <v>171</v>
      </c>
    </row>
    <row r="62" spans="1:5" x14ac:dyDescent="0.25">
      <c r="A62" s="14">
        <v>42500.407430555555</v>
      </c>
      <c r="B62" t="s">
        <v>63</v>
      </c>
      <c r="C62" t="s">
        <v>407</v>
      </c>
      <c r="D62">
        <v>1090000</v>
      </c>
      <c r="E62" t="s">
        <v>171</v>
      </c>
    </row>
    <row r="63" spans="1:5" x14ac:dyDescent="0.25">
      <c r="A63" s="14">
        <v>42500.377592592595</v>
      </c>
      <c r="B63" t="s">
        <v>189</v>
      </c>
      <c r="C63" t="s">
        <v>246</v>
      </c>
      <c r="D63">
        <v>1260000</v>
      </c>
      <c r="E63" t="s">
        <v>152</v>
      </c>
    </row>
    <row r="64" spans="1:5" x14ac:dyDescent="0.25">
      <c r="A64" s="14">
        <v>42500.433425925927</v>
      </c>
      <c r="B64" t="s">
        <v>68</v>
      </c>
      <c r="C64" t="s">
        <v>260</v>
      </c>
      <c r="D64">
        <v>1810000</v>
      </c>
      <c r="E64" t="s">
        <v>180</v>
      </c>
    </row>
    <row r="65" spans="1:5" x14ac:dyDescent="0.25">
      <c r="A65" s="14">
        <v>42500.318530092591</v>
      </c>
      <c r="B65" t="s">
        <v>122</v>
      </c>
      <c r="C65" t="s">
        <v>241</v>
      </c>
      <c r="D65">
        <v>1810000</v>
      </c>
      <c r="E65" t="s">
        <v>180</v>
      </c>
    </row>
    <row r="66" spans="1:5" x14ac:dyDescent="0.25">
      <c r="A66" s="14">
        <v>42500.475914351853</v>
      </c>
      <c r="B66" t="s">
        <v>124</v>
      </c>
      <c r="C66" t="s">
        <v>279</v>
      </c>
      <c r="D66">
        <v>1090000</v>
      </c>
      <c r="E66" t="s">
        <v>171</v>
      </c>
    </row>
    <row r="67" spans="1:5" x14ac:dyDescent="0.25">
      <c r="A67" s="14">
        <v>42500.311192129629</v>
      </c>
      <c r="B67" t="s">
        <v>124</v>
      </c>
      <c r="C67" t="s">
        <v>237</v>
      </c>
      <c r="D67">
        <v>1110000</v>
      </c>
      <c r="E67" t="s">
        <v>186</v>
      </c>
    </row>
    <row r="68" spans="1:5" x14ac:dyDescent="0.25">
      <c r="A68" s="14">
        <v>42500.541909722226</v>
      </c>
      <c r="B68" t="s">
        <v>65</v>
      </c>
      <c r="C68" t="s">
        <v>296</v>
      </c>
      <c r="D68">
        <v>1140000</v>
      </c>
      <c r="E68" t="s">
        <v>66</v>
      </c>
    </row>
    <row r="69" spans="1:5" x14ac:dyDescent="0.25">
      <c r="A69" s="14">
        <v>42500.299155092594</v>
      </c>
      <c r="B69" t="s">
        <v>64</v>
      </c>
      <c r="C69" t="s">
        <v>233</v>
      </c>
      <c r="D69">
        <v>1090000</v>
      </c>
      <c r="E69" t="s">
        <v>171</v>
      </c>
    </row>
    <row r="70" spans="1:5" x14ac:dyDescent="0.25">
      <c r="A70" s="14">
        <v>42500.562939814816</v>
      </c>
      <c r="B70" t="s">
        <v>123</v>
      </c>
      <c r="C70" t="s">
        <v>301</v>
      </c>
      <c r="D70">
        <v>970000</v>
      </c>
      <c r="E70" t="s">
        <v>192</v>
      </c>
    </row>
    <row r="71" spans="1:5" x14ac:dyDescent="0.25">
      <c r="A71" s="14">
        <v>42500.237847222219</v>
      </c>
      <c r="B71" t="s">
        <v>124</v>
      </c>
      <c r="C71" t="s">
        <v>185</v>
      </c>
      <c r="D71">
        <v>1110000</v>
      </c>
      <c r="E71" t="s">
        <v>186</v>
      </c>
    </row>
    <row r="72" spans="1:5" x14ac:dyDescent="0.25">
      <c r="A72" s="14">
        <v>42500.629479166666</v>
      </c>
      <c r="B72" t="s">
        <v>177</v>
      </c>
      <c r="C72" t="s">
        <v>330</v>
      </c>
      <c r="D72">
        <v>1750000</v>
      </c>
      <c r="E72" t="s">
        <v>411</v>
      </c>
    </row>
    <row r="73" spans="1:5" x14ac:dyDescent="0.25">
      <c r="A73" s="14">
        <v>42500.212951388887</v>
      </c>
      <c r="B73" t="s">
        <v>52</v>
      </c>
      <c r="C73" t="s">
        <v>187</v>
      </c>
      <c r="D73">
        <v>1800000</v>
      </c>
      <c r="E73" t="s">
        <v>174</v>
      </c>
    </row>
    <row r="74" spans="1:5" x14ac:dyDescent="0.25">
      <c r="A74" s="14">
        <v>42500.717291666668</v>
      </c>
      <c r="B74" t="s">
        <v>69</v>
      </c>
      <c r="C74" t="s">
        <v>354</v>
      </c>
      <c r="D74">
        <v>1180000</v>
      </c>
      <c r="E74" t="s">
        <v>412</v>
      </c>
    </row>
    <row r="75" spans="1:5" x14ac:dyDescent="0.25">
      <c r="A75" s="14">
        <v>42500.154444444444</v>
      </c>
      <c r="B75" t="s">
        <v>64</v>
      </c>
      <c r="C75" t="s">
        <v>188</v>
      </c>
      <c r="D75">
        <v>1110000</v>
      </c>
      <c r="E75" t="s">
        <v>186</v>
      </c>
    </row>
    <row r="76" spans="1:5" x14ac:dyDescent="0.25">
      <c r="A76" s="14">
        <v>42500.750601851854</v>
      </c>
      <c r="B76" t="s">
        <v>70</v>
      </c>
      <c r="C76" t="s">
        <v>356</v>
      </c>
      <c r="D76">
        <v>1180000</v>
      </c>
      <c r="E76" t="s">
        <v>412</v>
      </c>
    </row>
    <row r="77" spans="1:5" x14ac:dyDescent="0.25">
      <c r="A77" s="14">
        <v>42500.547418981485</v>
      </c>
      <c r="B77" t="s">
        <v>170</v>
      </c>
      <c r="C77" t="s">
        <v>305</v>
      </c>
      <c r="D77">
        <v>1290000</v>
      </c>
      <c r="E77" t="s">
        <v>413</v>
      </c>
    </row>
    <row r="78" spans="1:5" x14ac:dyDescent="0.25">
      <c r="A78" s="14">
        <v>42500.861238425925</v>
      </c>
      <c r="B78" t="s">
        <v>68</v>
      </c>
      <c r="C78" t="s">
        <v>378</v>
      </c>
      <c r="D78">
        <v>1770000</v>
      </c>
      <c r="E78" t="s">
        <v>169</v>
      </c>
    </row>
    <row r="79" spans="1:5" x14ac:dyDescent="0.25">
      <c r="A79" s="14">
        <v>42500.467083333337</v>
      </c>
      <c r="B79" t="s">
        <v>122</v>
      </c>
      <c r="C79" t="s">
        <v>283</v>
      </c>
      <c r="D79">
        <v>1820000</v>
      </c>
      <c r="E79" t="s">
        <v>178</v>
      </c>
    </row>
    <row r="80" spans="1:5" x14ac:dyDescent="0.25">
      <c r="A80" s="14">
        <v>42500.989618055559</v>
      </c>
      <c r="B80" t="s">
        <v>122</v>
      </c>
      <c r="C80" t="s">
        <v>398</v>
      </c>
      <c r="D80">
        <v>1770000</v>
      </c>
      <c r="E80" t="s">
        <v>169</v>
      </c>
    </row>
    <row r="81" spans="1:5" x14ac:dyDescent="0.25">
      <c r="A81" s="14">
        <v>42500.441412037035</v>
      </c>
      <c r="B81" t="s">
        <v>64</v>
      </c>
      <c r="C81" t="s">
        <v>274</v>
      </c>
      <c r="D81">
        <v>1740000</v>
      </c>
      <c r="E81" t="s">
        <v>176</v>
      </c>
    </row>
    <row r="82" spans="1:5" x14ac:dyDescent="0.25">
      <c r="A82" s="14">
        <v>42501.016747685186</v>
      </c>
      <c r="B82" t="s">
        <v>63</v>
      </c>
      <c r="C82" t="s">
        <v>397</v>
      </c>
      <c r="D82">
        <v>1760000</v>
      </c>
      <c r="E82" t="s">
        <v>168</v>
      </c>
    </row>
    <row r="83" spans="1:5" x14ac:dyDescent="0.25">
      <c r="A83" s="14">
        <v>42500.411805555559</v>
      </c>
      <c r="B83" t="s">
        <v>177</v>
      </c>
      <c r="C83" t="s">
        <v>264</v>
      </c>
      <c r="D83">
        <v>1260000</v>
      </c>
      <c r="E83" t="s">
        <v>152</v>
      </c>
    </row>
    <row r="84" spans="1:5" x14ac:dyDescent="0.25">
      <c r="A84" s="14">
        <v>42500.389317129629</v>
      </c>
      <c r="B84" t="s">
        <v>122</v>
      </c>
      <c r="C84" t="s">
        <v>259</v>
      </c>
      <c r="D84">
        <v>1810000</v>
      </c>
      <c r="E84" t="s">
        <v>180</v>
      </c>
    </row>
    <row r="85" spans="1:5" x14ac:dyDescent="0.25">
      <c r="A85" s="14">
        <v>42500.268622685187</v>
      </c>
      <c r="B85" t="s">
        <v>177</v>
      </c>
      <c r="C85" t="s">
        <v>181</v>
      </c>
      <c r="D85">
        <v>1260000</v>
      </c>
      <c r="E85" t="s">
        <v>152</v>
      </c>
    </row>
    <row r="86" spans="1:5" x14ac:dyDescent="0.25">
      <c r="A86" s="14">
        <v>42500.389004629629</v>
      </c>
      <c r="B86" t="s">
        <v>70</v>
      </c>
      <c r="C86" t="s">
        <v>249</v>
      </c>
      <c r="D86">
        <v>1840000</v>
      </c>
      <c r="E86" t="s">
        <v>191</v>
      </c>
    </row>
    <row r="87" spans="1:5" x14ac:dyDescent="0.25">
      <c r="A87" s="14">
        <v>42500.257395833331</v>
      </c>
      <c r="B87" t="s">
        <v>170</v>
      </c>
      <c r="C87" t="s">
        <v>182</v>
      </c>
      <c r="D87">
        <v>1830000</v>
      </c>
      <c r="E87" t="s">
        <v>175</v>
      </c>
    </row>
    <row r="88" spans="1:5" x14ac:dyDescent="0.25">
      <c r="A88" s="14">
        <v>42500.474618055552</v>
      </c>
      <c r="B88" t="s">
        <v>170</v>
      </c>
      <c r="C88" t="s">
        <v>285</v>
      </c>
      <c r="D88">
        <v>1290000</v>
      </c>
      <c r="E88" t="s">
        <v>413</v>
      </c>
    </row>
    <row r="89" spans="1:5" x14ac:dyDescent="0.25">
      <c r="A89" s="14">
        <v>42500.922731481478</v>
      </c>
      <c r="B89" t="s">
        <v>170</v>
      </c>
      <c r="C89" t="s">
        <v>389</v>
      </c>
      <c r="D89">
        <v>1280000</v>
      </c>
      <c r="E89" t="s">
        <v>67</v>
      </c>
    </row>
    <row r="90" spans="1:5" x14ac:dyDescent="0.25">
      <c r="A90" s="14">
        <v>42500.624166666668</v>
      </c>
      <c r="B90" t="s">
        <v>63</v>
      </c>
      <c r="C90" t="s">
        <v>319</v>
      </c>
      <c r="D90">
        <v>1740000</v>
      </c>
      <c r="E90" t="s">
        <v>176</v>
      </c>
    </row>
    <row r="91" spans="1:5" x14ac:dyDescent="0.25">
      <c r="A91" s="14">
        <v>42500.908090277779</v>
      </c>
      <c r="B91" t="s">
        <v>70</v>
      </c>
      <c r="C91" t="s">
        <v>383</v>
      </c>
      <c r="D91">
        <v>1180000</v>
      </c>
      <c r="E91" t="s">
        <v>412</v>
      </c>
    </row>
    <row r="92" spans="1:5" x14ac:dyDescent="0.25">
      <c r="A92" s="14">
        <v>42500.657812500001</v>
      </c>
      <c r="B92" t="s">
        <v>172</v>
      </c>
      <c r="C92" t="s">
        <v>329</v>
      </c>
      <c r="D92">
        <v>1290000</v>
      </c>
      <c r="E92" t="s">
        <v>413</v>
      </c>
    </row>
    <row r="93" spans="1:5" x14ac:dyDescent="0.25">
      <c r="A93" s="14">
        <v>42500.827291666668</v>
      </c>
      <c r="B93" t="s">
        <v>122</v>
      </c>
      <c r="C93" t="s">
        <v>377</v>
      </c>
      <c r="D93">
        <v>1770000</v>
      </c>
      <c r="E93" t="s">
        <v>169</v>
      </c>
    </row>
    <row r="94" spans="1:5" x14ac:dyDescent="0.25">
      <c r="A94" s="14">
        <v>42500.786168981482</v>
      </c>
      <c r="B94" t="s">
        <v>123</v>
      </c>
      <c r="C94" t="s">
        <v>365</v>
      </c>
      <c r="D94">
        <v>970000</v>
      </c>
      <c r="E94" t="s">
        <v>192</v>
      </c>
    </row>
    <row r="95" spans="1:5" x14ac:dyDescent="0.25">
      <c r="A95" s="14">
        <v>42500.822962962964</v>
      </c>
      <c r="B95" t="s">
        <v>124</v>
      </c>
      <c r="C95" t="s">
        <v>404</v>
      </c>
      <c r="D95">
        <v>970000</v>
      </c>
      <c r="E95" t="s">
        <v>192</v>
      </c>
    </row>
    <row r="96" spans="1:5" x14ac:dyDescent="0.25">
      <c r="A96" s="14">
        <v>42500.848645833335</v>
      </c>
      <c r="B96" t="s">
        <v>63</v>
      </c>
      <c r="C96" t="s">
        <v>375</v>
      </c>
      <c r="D96">
        <v>1760000</v>
      </c>
      <c r="E96" t="s">
        <v>168</v>
      </c>
    </row>
    <row r="97" spans="1:5" x14ac:dyDescent="0.25">
      <c r="A97" s="14">
        <v>42500.790891203702</v>
      </c>
      <c r="B97" t="s">
        <v>68</v>
      </c>
      <c r="C97" t="s">
        <v>367</v>
      </c>
      <c r="D97">
        <v>1770000</v>
      </c>
      <c r="E97" t="s">
        <v>169</v>
      </c>
    </row>
    <row r="98" spans="1:5" x14ac:dyDescent="0.25">
      <c r="A98" s="14">
        <v>42501.056527777779</v>
      </c>
      <c r="B98" t="s">
        <v>172</v>
      </c>
      <c r="C98" t="s">
        <v>402</v>
      </c>
      <c r="D98">
        <v>1280000</v>
      </c>
      <c r="E98" t="s">
        <v>67</v>
      </c>
    </row>
    <row r="99" spans="1:5" x14ac:dyDescent="0.25">
      <c r="A99" s="14">
        <v>42500.759189814817</v>
      </c>
      <c r="B99" t="s">
        <v>65</v>
      </c>
      <c r="C99" t="s">
        <v>360</v>
      </c>
      <c r="D99">
        <v>1140000</v>
      </c>
      <c r="E99" t="s">
        <v>66</v>
      </c>
    </row>
    <row r="100" spans="1:5" x14ac:dyDescent="0.25">
      <c r="A100" s="14">
        <v>42500.17260416667</v>
      </c>
      <c r="B100" t="s">
        <v>65</v>
      </c>
      <c r="C100" t="s">
        <v>201</v>
      </c>
      <c r="D100">
        <v>1800000</v>
      </c>
      <c r="E100" t="s">
        <v>174</v>
      </c>
    </row>
    <row r="101" spans="1:5" x14ac:dyDescent="0.25">
      <c r="A101" s="14">
        <v>42500.735300925924</v>
      </c>
      <c r="B101" t="s">
        <v>64</v>
      </c>
      <c r="C101" t="s">
        <v>362</v>
      </c>
      <c r="D101">
        <v>1760000</v>
      </c>
      <c r="E101" t="s">
        <v>168</v>
      </c>
    </row>
    <row r="102" spans="1:5" x14ac:dyDescent="0.25">
      <c r="A102" s="14">
        <v>42500.244837962964</v>
      </c>
      <c r="B102" t="s">
        <v>70</v>
      </c>
      <c r="C102" t="s">
        <v>190</v>
      </c>
      <c r="D102">
        <v>1840000</v>
      </c>
      <c r="E102" t="s">
        <v>191</v>
      </c>
    </row>
    <row r="103" spans="1:5" x14ac:dyDescent="0.25">
      <c r="A103" s="14">
        <v>42500.514791666668</v>
      </c>
      <c r="B103" t="s">
        <v>52</v>
      </c>
      <c r="C103" t="s">
        <v>294</v>
      </c>
      <c r="D103">
        <v>1140000</v>
      </c>
      <c r="E103" t="s">
        <v>66</v>
      </c>
    </row>
    <row r="104" spans="1:5" x14ac:dyDescent="0.25">
      <c r="A104" s="14">
        <v>42500.257754629631</v>
      </c>
      <c r="B104" t="s">
        <v>65</v>
      </c>
      <c r="C104" t="s">
        <v>173</v>
      </c>
      <c r="D104">
        <v>1800000</v>
      </c>
      <c r="E104" t="s">
        <v>174</v>
      </c>
    </row>
    <row r="105" spans="1:5" x14ac:dyDescent="0.25">
      <c r="A105" s="14">
        <v>42500.2815625</v>
      </c>
      <c r="B105" t="s">
        <v>68</v>
      </c>
      <c r="C105" t="s">
        <v>199</v>
      </c>
      <c r="D105">
        <v>1810000</v>
      </c>
      <c r="E105" t="s">
        <v>180</v>
      </c>
    </row>
    <row r="106" spans="1:5" x14ac:dyDescent="0.25">
      <c r="A106" s="14">
        <v>42500.291886574072</v>
      </c>
      <c r="B106" t="s">
        <v>52</v>
      </c>
      <c r="C106" t="s">
        <v>207</v>
      </c>
      <c r="D106">
        <v>1800000</v>
      </c>
      <c r="E106" t="s">
        <v>174</v>
      </c>
    </row>
    <row r="107" spans="1:5" x14ac:dyDescent="0.25">
      <c r="A107" s="14">
        <v>42500.27915509259</v>
      </c>
      <c r="B107" t="s">
        <v>69</v>
      </c>
      <c r="C107" t="s">
        <v>200</v>
      </c>
      <c r="D107">
        <v>1840000</v>
      </c>
      <c r="E107" t="s">
        <v>191</v>
      </c>
    </row>
    <row r="108" spans="1:5" x14ac:dyDescent="0.25">
      <c r="A108" s="14">
        <v>42500.539282407408</v>
      </c>
      <c r="B108" t="s">
        <v>122</v>
      </c>
      <c r="C108" t="s">
        <v>303</v>
      </c>
      <c r="D108">
        <v>1820000</v>
      </c>
      <c r="E108" t="s">
        <v>178</v>
      </c>
    </row>
    <row r="109" spans="1:5" x14ac:dyDescent="0.25">
      <c r="A109" s="14">
        <v>42500.256550925929</v>
      </c>
      <c r="B109" t="s">
        <v>65</v>
      </c>
      <c r="C109" t="s">
        <v>173</v>
      </c>
      <c r="D109">
        <v>1800000</v>
      </c>
      <c r="E109" t="s">
        <v>174</v>
      </c>
    </row>
    <row r="110" spans="1:5" x14ac:dyDescent="0.25">
      <c r="A110" s="14">
        <v>42500.578159722223</v>
      </c>
      <c r="B110" t="s">
        <v>68</v>
      </c>
      <c r="C110" t="s">
        <v>304</v>
      </c>
      <c r="D110">
        <v>1820000</v>
      </c>
      <c r="E110" t="s">
        <v>178</v>
      </c>
    </row>
    <row r="111" spans="1:5" x14ac:dyDescent="0.25">
      <c r="A111" s="14">
        <v>42500.975312499999</v>
      </c>
      <c r="B111" t="s">
        <v>64</v>
      </c>
      <c r="C111" t="s">
        <v>396</v>
      </c>
      <c r="D111">
        <v>1760000</v>
      </c>
      <c r="E111" t="s">
        <v>168</v>
      </c>
    </row>
    <row r="112" spans="1:5" x14ac:dyDescent="0.25">
      <c r="A112" s="14">
        <v>42500.363692129627</v>
      </c>
      <c r="B112" t="s">
        <v>172</v>
      </c>
      <c r="C112" t="s">
        <v>244</v>
      </c>
      <c r="D112">
        <v>1830000</v>
      </c>
      <c r="E112" t="s">
        <v>175</v>
      </c>
    </row>
    <row r="113" spans="1:5" x14ac:dyDescent="0.25">
      <c r="A113" s="14">
        <v>42500.944780092592</v>
      </c>
      <c r="B113" t="s">
        <v>68</v>
      </c>
      <c r="C113" t="s">
        <v>388</v>
      </c>
      <c r="D113">
        <v>1770000</v>
      </c>
      <c r="E113" t="s">
        <v>169</v>
      </c>
    </row>
    <row r="114" spans="1:5" x14ac:dyDescent="0.25">
      <c r="A114" s="14">
        <v>42500.402974537035</v>
      </c>
      <c r="B114" t="s">
        <v>170</v>
      </c>
      <c r="C114" t="s">
        <v>261</v>
      </c>
      <c r="D114">
        <v>1830000</v>
      </c>
      <c r="E114" t="s">
        <v>175</v>
      </c>
    </row>
    <row r="115" spans="1:5" x14ac:dyDescent="0.25">
      <c r="A115" s="14">
        <v>42500.841608796298</v>
      </c>
      <c r="B115" t="s">
        <v>170</v>
      </c>
      <c r="C115" t="s">
        <v>379</v>
      </c>
      <c r="D115">
        <v>1280000</v>
      </c>
      <c r="E115" t="s">
        <v>67</v>
      </c>
    </row>
    <row r="116" spans="1:5" x14ac:dyDescent="0.25">
      <c r="A116" s="14">
        <v>42500.483460648145</v>
      </c>
      <c r="B116" t="s">
        <v>63</v>
      </c>
      <c r="C116" t="s">
        <v>277</v>
      </c>
      <c r="D116">
        <v>1740000</v>
      </c>
      <c r="E116" t="s">
        <v>176</v>
      </c>
    </row>
    <row r="117" spans="1:5" x14ac:dyDescent="0.25">
      <c r="A117" s="14">
        <v>42500.758773148147</v>
      </c>
      <c r="B117" t="s">
        <v>122</v>
      </c>
      <c r="C117" t="s">
        <v>366</v>
      </c>
      <c r="D117">
        <v>1770000</v>
      </c>
      <c r="E117" t="s">
        <v>169</v>
      </c>
    </row>
    <row r="118" spans="1:5" x14ac:dyDescent="0.25">
      <c r="A118" s="14">
        <v>42500.510636574072</v>
      </c>
      <c r="B118" t="s">
        <v>172</v>
      </c>
      <c r="C118" t="s">
        <v>286</v>
      </c>
      <c r="D118">
        <v>1290000</v>
      </c>
      <c r="E118" t="s">
        <v>413</v>
      </c>
    </row>
    <row r="119" spans="1:5" x14ac:dyDescent="0.25">
      <c r="A119" s="14">
        <v>42500.744432870371</v>
      </c>
      <c r="B119" t="s">
        <v>189</v>
      </c>
      <c r="C119" t="s">
        <v>353</v>
      </c>
      <c r="D119">
        <v>1750000</v>
      </c>
      <c r="E119" t="s">
        <v>411</v>
      </c>
    </row>
    <row r="120" spans="1:5" x14ac:dyDescent="0.25">
      <c r="A120" s="14">
        <v>42500.580625000002</v>
      </c>
      <c r="B120" t="s">
        <v>52</v>
      </c>
      <c r="C120" t="s">
        <v>312</v>
      </c>
      <c r="D120">
        <v>1140000</v>
      </c>
      <c r="E120" t="s">
        <v>66</v>
      </c>
    </row>
    <row r="121" spans="1:5" x14ac:dyDescent="0.25">
      <c r="A121" s="14">
        <v>42500.683449074073</v>
      </c>
      <c r="B121" t="s">
        <v>122</v>
      </c>
      <c r="C121" t="s">
        <v>345</v>
      </c>
      <c r="D121">
        <v>1820000</v>
      </c>
      <c r="E121" t="s">
        <v>178</v>
      </c>
    </row>
    <row r="122" spans="1:5" x14ac:dyDescent="0.25">
      <c r="A122" s="14">
        <v>42500.607152777775</v>
      </c>
      <c r="B122" t="s">
        <v>70</v>
      </c>
      <c r="C122" t="s">
        <v>310</v>
      </c>
      <c r="D122">
        <v>1470000</v>
      </c>
      <c r="E122" t="s">
        <v>153</v>
      </c>
    </row>
    <row r="123" spans="1:5" x14ac:dyDescent="0.25">
      <c r="A123" s="14">
        <v>42500.319131944445</v>
      </c>
      <c r="B123" t="s">
        <v>70</v>
      </c>
      <c r="C123" t="s">
        <v>229</v>
      </c>
      <c r="D123">
        <v>1840000</v>
      </c>
      <c r="E123" t="s">
        <v>191</v>
      </c>
    </row>
    <row r="124" spans="1:5" x14ac:dyDescent="0.25">
      <c r="A124" s="14">
        <v>42500.130277777775</v>
      </c>
      <c r="B124" t="s">
        <v>69</v>
      </c>
      <c r="C124" t="s">
        <v>205</v>
      </c>
      <c r="D124">
        <v>1800000</v>
      </c>
      <c r="E124" t="s">
        <v>174</v>
      </c>
    </row>
    <row r="125" spans="1:5" x14ac:dyDescent="0.25">
      <c r="A125" s="14">
        <v>42500.277094907404</v>
      </c>
      <c r="B125" t="s">
        <v>123</v>
      </c>
      <c r="C125" t="s">
        <v>194</v>
      </c>
      <c r="D125">
        <v>1110000</v>
      </c>
      <c r="E125" t="s">
        <v>186</v>
      </c>
    </row>
    <row r="126" spans="1:5" x14ac:dyDescent="0.25">
      <c r="A126" s="14">
        <v>42500.17864583333</v>
      </c>
      <c r="B126" t="s">
        <v>170</v>
      </c>
      <c r="C126" t="s">
        <v>206</v>
      </c>
      <c r="D126">
        <v>1830000</v>
      </c>
      <c r="E126" t="s">
        <v>175</v>
      </c>
    </row>
    <row r="127" spans="1:5" x14ac:dyDescent="0.25">
      <c r="A127" s="14">
        <v>42500.265196759261</v>
      </c>
      <c r="B127" t="s">
        <v>63</v>
      </c>
      <c r="C127" t="s">
        <v>196</v>
      </c>
      <c r="D127">
        <v>1090000</v>
      </c>
      <c r="E127" t="s">
        <v>171</v>
      </c>
    </row>
    <row r="128" spans="1:5" x14ac:dyDescent="0.25">
      <c r="A128" s="14">
        <v>42500.347210648149</v>
      </c>
      <c r="B128" t="s">
        <v>69</v>
      </c>
      <c r="C128" t="s">
        <v>247</v>
      </c>
      <c r="D128">
        <v>1840000</v>
      </c>
      <c r="E128" t="s">
        <v>191</v>
      </c>
    </row>
    <row r="129" spans="1:5" x14ac:dyDescent="0.25">
      <c r="A129" s="14">
        <v>42500.232997685183</v>
      </c>
      <c r="B129" t="s">
        <v>189</v>
      </c>
      <c r="C129" t="s">
        <v>197</v>
      </c>
      <c r="D129">
        <v>1260000</v>
      </c>
      <c r="E129" t="s">
        <v>152</v>
      </c>
    </row>
    <row r="130" spans="1:5" x14ac:dyDescent="0.25">
      <c r="A130" s="14">
        <v>42500.437557870369</v>
      </c>
      <c r="B130" t="s">
        <v>172</v>
      </c>
      <c r="C130" t="s">
        <v>263</v>
      </c>
      <c r="D130">
        <v>1830000</v>
      </c>
      <c r="E130" t="s">
        <v>175</v>
      </c>
    </row>
    <row r="131" spans="1:5" x14ac:dyDescent="0.25">
      <c r="A131" s="14">
        <v>42500.19090277778</v>
      </c>
      <c r="B131" t="s">
        <v>123</v>
      </c>
      <c r="C131" t="s">
        <v>198</v>
      </c>
      <c r="D131">
        <v>1110000</v>
      </c>
      <c r="E131" t="s">
        <v>186</v>
      </c>
    </row>
    <row r="132" spans="1:5" x14ac:dyDescent="0.25">
      <c r="A132" s="14">
        <v>42500.636863425927</v>
      </c>
      <c r="B132" t="s">
        <v>123</v>
      </c>
      <c r="C132" t="s">
        <v>321</v>
      </c>
      <c r="D132">
        <v>970000</v>
      </c>
      <c r="E132" t="s">
        <v>192</v>
      </c>
    </row>
    <row r="133" spans="1:5" x14ac:dyDescent="0.25">
      <c r="A133" s="14">
        <v>42501.016122685185</v>
      </c>
      <c r="B133" t="s">
        <v>170</v>
      </c>
      <c r="C133" t="s">
        <v>401</v>
      </c>
      <c r="D133">
        <v>1280000</v>
      </c>
      <c r="E133" t="s">
        <v>67</v>
      </c>
    </row>
    <row r="134" spans="1:5" x14ac:dyDescent="0.25">
      <c r="A134" s="14">
        <v>42500.219733796293</v>
      </c>
      <c r="B134" t="s">
        <v>172</v>
      </c>
      <c r="C134" t="s">
        <v>202</v>
      </c>
      <c r="D134">
        <v>1830000</v>
      </c>
      <c r="E134" t="s">
        <v>175</v>
      </c>
    </row>
    <row r="135" spans="1:5" x14ac:dyDescent="0.25">
      <c r="A135" s="14">
        <v>42500.900856481479</v>
      </c>
      <c r="B135" t="s">
        <v>122</v>
      </c>
      <c r="C135" t="s">
        <v>387</v>
      </c>
      <c r="D135">
        <v>1770000</v>
      </c>
      <c r="E135" t="s">
        <v>169</v>
      </c>
    </row>
    <row r="136" spans="1:5" x14ac:dyDescent="0.25">
      <c r="A136" s="14">
        <v>42500.228807870371</v>
      </c>
      <c r="B136" t="s">
        <v>64</v>
      </c>
      <c r="C136" t="s">
        <v>203</v>
      </c>
      <c r="D136">
        <v>1090000</v>
      </c>
      <c r="E136" t="s">
        <v>171</v>
      </c>
    </row>
    <row r="137" spans="1:5" x14ac:dyDescent="0.25">
      <c r="A137" s="14">
        <v>42500.889803240738</v>
      </c>
      <c r="B137" t="s">
        <v>172</v>
      </c>
      <c r="C137" t="s">
        <v>380</v>
      </c>
      <c r="D137">
        <v>1280000</v>
      </c>
      <c r="E137" t="s">
        <v>67</v>
      </c>
    </row>
    <row r="138" spans="1:5" x14ac:dyDescent="0.25">
      <c r="A138" s="14">
        <v>42500.249131944445</v>
      </c>
      <c r="B138" t="s">
        <v>122</v>
      </c>
      <c r="C138" t="s">
        <v>204</v>
      </c>
      <c r="D138">
        <v>1810000</v>
      </c>
      <c r="E138" t="s">
        <v>180</v>
      </c>
    </row>
    <row r="139" spans="1:5" x14ac:dyDescent="0.25">
      <c r="A139" s="14">
        <v>42500.774791666663</v>
      </c>
      <c r="B139" t="s">
        <v>63</v>
      </c>
      <c r="C139" t="s">
        <v>363</v>
      </c>
      <c r="D139">
        <v>1760000</v>
      </c>
      <c r="E139" t="s">
        <v>168</v>
      </c>
    </row>
    <row r="140" spans="1:5" x14ac:dyDescent="0.25">
      <c r="A140" s="14">
        <v>42500.527638888889</v>
      </c>
      <c r="B140" t="s">
        <v>124</v>
      </c>
      <c r="C140" t="s">
        <v>300</v>
      </c>
      <c r="D140">
        <v>970000</v>
      </c>
      <c r="E140" t="s">
        <v>192</v>
      </c>
    </row>
    <row r="141" spans="1:5" x14ac:dyDescent="0.25">
      <c r="A141" s="14">
        <v>42500.61891203704</v>
      </c>
      <c r="B141" t="s">
        <v>170</v>
      </c>
      <c r="C141" t="s">
        <v>326</v>
      </c>
      <c r="D141">
        <v>1290000</v>
      </c>
      <c r="E141" t="s">
        <v>413</v>
      </c>
    </row>
    <row r="142" spans="1:5" x14ac:dyDescent="0.25">
      <c r="A142" s="14">
        <v>42500.746562499997</v>
      </c>
      <c r="B142" t="s">
        <v>124</v>
      </c>
      <c r="C142" t="s">
        <v>364</v>
      </c>
      <c r="D142">
        <v>970000</v>
      </c>
      <c r="E142" t="s">
        <v>192</v>
      </c>
    </row>
    <row r="143" spans="1:5" x14ac:dyDescent="0.25">
      <c r="A143" s="14">
        <v>42500.535231481481</v>
      </c>
      <c r="B143" t="s">
        <v>70</v>
      </c>
      <c r="C143" t="s">
        <v>293</v>
      </c>
      <c r="D143">
        <v>1470000</v>
      </c>
      <c r="E143" t="s">
        <v>153</v>
      </c>
    </row>
    <row r="144" spans="1:5" x14ac:dyDescent="0.25">
      <c r="A144" s="14">
        <v>42500.787233796298</v>
      </c>
      <c r="B144" t="s">
        <v>69</v>
      </c>
      <c r="C144" t="s">
        <v>371</v>
      </c>
      <c r="D144">
        <v>1180000</v>
      </c>
      <c r="E144" t="s">
        <v>412</v>
      </c>
    </row>
    <row r="145" spans="1:5" x14ac:dyDescent="0.25">
      <c r="A145" s="14">
        <v>42500.338750000003</v>
      </c>
      <c r="B145" t="s">
        <v>177</v>
      </c>
      <c r="C145" t="s">
        <v>245</v>
      </c>
      <c r="D145">
        <v>1260000</v>
      </c>
      <c r="E145" t="s">
        <v>152</v>
      </c>
    </row>
    <row r="146" spans="1:5" x14ac:dyDescent="0.25">
      <c r="A146" s="14">
        <v>42500.669664351852</v>
      </c>
      <c r="B146" t="s">
        <v>189</v>
      </c>
      <c r="C146" t="s">
        <v>331</v>
      </c>
      <c r="D146">
        <v>1750000</v>
      </c>
      <c r="E146" t="s">
        <v>411</v>
      </c>
    </row>
    <row r="147" spans="1:5" x14ac:dyDescent="0.25">
      <c r="A147" s="14">
        <v>42500.332824074074</v>
      </c>
      <c r="B147" t="s">
        <v>63</v>
      </c>
      <c r="C147" t="s">
        <v>235</v>
      </c>
      <c r="D147">
        <v>1090000</v>
      </c>
      <c r="E147" t="s">
        <v>171</v>
      </c>
    </row>
    <row r="148" spans="1:5" x14ac:dyDescent="0.25">
      <c r="A148" s="14">
        <v>42500.691006944442</v>
      </c>
      <c r="B148" t="s">
        <v>65</v>
      </c>
      <c r="C148" t="s">
        <v>338</v>
      </c>
      <c r="D148">
        <v>1140000</v>
      </c>
      <c r="E148" t="s">
        <v>66</v>
      </c>
    </row>
    <row r="149" spans="1:5" x14ac:dyDescent="0.25">
      <c r="A149" s="14">
        <v>42500.195810185185</v>
      </c>
      <c r="B149" t="s">
        <v>177</v>
      </c>
      <c r="C149" t="s">
        <v>193</v>
      </c>
      <c r="D149">
        <v>1260000</v>
      </c>
      <c r="E149" t="s">
        <v>152</v>
      </c>
    </row>
    <row r="150" spans="1:5" x14ac:dyDescent="0.25">
      <c r="A150" s="14">
        <v>42500.732581018521</v>
      </c>
      <c r="B150" t="s">
        <v>172</v>
      </c>
      <c r="C150" t="s">
        <v>350</v>
      </c>
      <c r="D150">
        <v>1290000</v>
      </c>
      <c r="E150" t="s">
        <v>413</v>
      </c>
    </row>
    <row r="151" spans="1:5" x14ac:dyDescent="0.25">
      <c r="A151" s="14">
        <v>42500.970393518517</v>
      </c>
      <c r="B151" t="s">
        <v>172</v>
      </c>
      <c r="C151" t="s">
        <v>390</v>
      </c>
      <c r="D151">
        <v>1280000</v>
      </c>
      <c r="E151" t="s">
        <v>67</v>
      </c>
    </row>
    <row r="152" spans="1:5" x14ac:dyDescent="0.25">
      <c r="A152" s="14">
        <v>42500.750497685185</v>
      </c>
      <c r="B152" t="s">
        <v>124</v>
      </c>
      <c r="C152" t="s">
        <v>364</v>
      </c>
      <c r="D152">
        <v>970000</v>
      </c>
      <c r="E152" t="s">
        <v>192</v>
      </c>
    </row>
    <row r="153" spans="1:5" x14ac:dyDescent="0.25">
      <c r="A153" s="14">
        <v>42500.584189814814</v>
      </c>
      <c r="B153" t="s">
        <v>172</v>
      </c>
      <c r="C153" t="s">
        <v>306</v>
      </c>
      <c r="D153">
        <v>1290000</v>
      </c>
      <c r="E153" t="s">
        <v>413</v>
      </c>
    </row>
    <row r="154" spans="1:5" x14ac:dyDescent="0.25">
      <c r="A154" s="14">
        <v>42500.747986111113</v>
      </c>
      <c r="B154" t="s">
        <v>124</v>
      </c>
      <c r="C154" t="s">
        <v>364</v>
      </c>
      <c r="D154">
        <v>970000</v>
      </c>
      <c r="E154" t="s">
        <v>192</v>
      </c>
    </row>
    <row r="155" spans="1:5" x14ac:dyDescent="0.25">
      <c r="A155" s="14">
        <v>42500.487256944441</v>
      </c>
      <c r="B155" t="s">
        <v>177</v>
      </c>
      <c r="C155" t="s">
        <v>288</v>
      </c>
      <c r="D155">
        <v>1750000</v>
      </c>
      <c r="E155" t="s">
        <v>411</v>
      </c>
    </row>
    <row r="156" spans="1:5" x14ac:dyDescent="0.25">
      <c r="A156" s="14">
        <v>42500.809733796297</v>
      </c>
      <c r="B156" t="s">
        <v>64</v>
      </c>
      <c r="C156" t="s">
        <v>374</v>
      </c>
      <c r="D156">
        <v>1760000</v>
      </c>
      <c r="E156" t="s">
        <v>168</v>
      </c>
    </row>
    <row r="157" spans="1:5" x14ac:dyDescent="0.25">
      <c r="A157" s="14">
        <v>42500.451226851852</v>
      </c>
      <c r="B157" t="s">
        <v>189</v>
      </c>
      <c r="C157" t="s">
        <v>265</v>
      </c>
      <c r="D157">
        <v>1260000</v>
      </c>
      <c r="E157" t="s">
        <v>152</v>
      </c>
    </row>
    <row r="158" spans="1:5" x14ac:dyDescent="0.25">
      <c r="A158" s="14">
        <v>42500.864131944443</v>
      </c>
      <c r="B158" t="s">
        <v>69</v>
      </c>
      <c r="C158" t="s">
        <v>381</v>
      </c>
      <c r="D158">
        <v>1180000</v>
      </c>
      <c r="E158" t="s">
        <v>412</v>
      </c>
    </row>
    <row r="159" spans="1:5" x14ac:dyDescent="0.25">
      <c r="A159" s="14">
        <v>42500.789548611108</v>
      </c>
      <c r="B159" t="s">
        <v>123</v>
      </c>
      <c r="C159" t="s">
        <v>365</v>
      </c>
      <c r="D159">
        <v>970000</v>
      </c>
      <c r="E159" t="s">
        <v>192</v>
      </c>
    </row>
  </sheetData>
  <sortState ref="A1:E215">
    <sortCondition ref="A1:A2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</cols>
  <sheetData>
    <row r="1" spans="1:6" ht="45.75" x14ac:dyDescent="0.3">
      <c r="A1" s="28" t="s">
        <v>25</v>
      </c>
      <c r="C1" s="36" t="s">
        <v>48</v>
      </c>
    </row>
    <row r="2" spans="1:6" ht="15.75" thickBot="1" x14ac:dyDescent="0.3">
      <c r="A2" s="29">
        <v>42500</v>
      </c>
      <c r="B2" s="10"/>
      <c r="C2" s="37">
        <v>50</v>
      </c>
      <c r="F2" t="s">
        <v>119</v>
      </c>
    </row>
    <row r="3" spans="1:6" x14ac:dyDescent="0.25">
      <c r="F3" t="s">
        <v>120</v>
      </c>
    </row>
    <row r="4" spans="1:6" x14ac:dyDescent="0.25"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2016-05-11T15:33:30Z</dcterms:modified>
</cp:coreProperties>
</file>