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btec\Documents\GitHub\eaglep3-reporting\EC\"/>
    </mc:Choice>
  </mc:AlternateContent>
  <bookViews>
    <workbookView xWindow="0" yWindow="0" windowWidth="28800" windowHeight="1482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externalReferences>
    <externalReference r:id="rId6"/>
  </externalReferences>
  <definedNames>
    <definedName name="_xlnm._FilterDatabase" localSheetId="1" hidden="1">Enforcements!$A$6:$N$32</definedName>
    <definedName name="_xlnm._FilterDatabase" localSheetId="2" hidden="1">'Missing Trips'!$A$2:$G$2</definedName>
    <definedName name="_xlnm._FilterDatabase" localSheetId="0" hidden="1">'Train Runs'!$A$12:$AC$144</definedName>
    <definedName name="_xlnm._FilterDatabase" localSheetId="3" hidden="1">'Trips&amp;Operators'!$A$1:$E$211</definedName>
    <definedName name="Denver_Train_Runs_04122016" localSheetId="0">'Train Runs'!$A$12:$J$146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3" l="1"/>
  <c r="L9" i="3"/>
  <c r="L10" i="3"/>
  <c r="L18" i="3"/>
  <c r="L19" i="3"/>
  <c r="L24" i="3"/>
  <c r="L25" i="3"/>
  <c r="L26" i="3"/>
  <c r="L27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11" i="3"/>
  <c r="L12" i="3"/>
  <c r="L13" i="3"/>
  <c r="L47" i="3"/>
  <c r="L20" i="3"/>
  <c r="L49" i="3"/>
  <c r="L14" i="3"/>
  <c r="L50" i="3"/>
  <c r="L59" i="3"/>
  <c r="L51" i="3"/>
  <c r="L52" i="3"/>
  <c r="L15" i="3"/>
  <c r="L16" i="3"/>
  <c r="L17" i="3"/>
  <c r="L22" i="3"/>
  <c r="L53" i="3"/>
  <c r="L54" i="3"/>
  <c r="L55" i="3"/>
  <c r="L8" i="3"/>
  <c r="L56" i="3"/>
  <c r="L23" i="3"/>
  <c r="L57" i="3"/>
  <c r="L58" i="3"/>
  <c r="U58" i="1"/>
  <c r="U79" i="1"/>
  <c r="U107" i="1"/>
  <c r="K127" i="1"/>
  <c r="L127" i="1"/>
  <c r="M127" i="1"/>
  <c r="N127" i="1" s="1"/>
  <c r="T127" i="1"/>
  <c r="V127" i="1"/>
  <c r="X127" i="1"/>
  <c r="Y127" i="1"/>
  <c r="Z127" i="1"/>
  <c r="AB127" i="1"/>
  <c r="AC127" i="1"/>
  <c r="K128" i="1"/>
  <c r="L128" i="1"/>
  <c r="M128" i="1"/>
  <c r="N128" i="1" s="1"/>
  <c r="T128" i="1"/>
  <c r="V128" i="1"/>
  <c r="X128" i="1"/>
  <c r="Y128" i="1"/>
  <c r="Z128" i="1"/>
  <c r="AB128" i="1"/>
  <c r="AC128" i="1"/>
  <c r="K129" i="1"/>
  <c r="L129" i="1"/>
  <c r="M129" i="1"/>
  <c r="N129" i="1" s="1"/>
  <c r="T129" i="1"/>
  <c r="V129" i="1"/>
  <c r="X129" i="1"/>
  <c r="Y129" i="1"/>
  <c r="Z129" i="1"/>
  <c r="AB129" i="1"/>
  <c r="AC129" i="1"/>
  <c r="K130" i="1"/>
  <c r="L130" i="1"/>
  <c r="M130" i="1"/>
  <c r="N130" i="1" s="1"/>
  <c r="T130" i="1"/>
  <c r="V130" i="1"/>
  <c r="X130" i="1"/>
  <c r="Y130" i="1"/>
  <c r="Z130" i="1"/>
  <c r="AA130" i="1" s="1"/>
  <c r="W130" i="1" s="1"/>
  <c r="AB130" i="1"/>
  <c r="AC130" i="1"/>
  <c r="K131" i="1"/>
  <c r="L131" i="1"/>
  <c r="M131" i="1"/>
  <c r="N131" i="1" s="1"/>
  <c r="T131" i="1"/>
  <c r="V131" i="1"/>
  <c r="X131" i="1"/>
  <c r="Y131" i="1"/>
  <c r="Z131" i="1"/>
  <c r="AB131" i="1"/>
  <c r="AC131" i="1"/>
  <c r="K133" i="1"/>
  <c r="L133" i="1"/>
  <c r="M133" i="1"/>
  <c r="N133" i="1" s="1"/>
  <c r="T133" i="1"/>
  <c r="V133" i="1"/>
  <c r="X133" i="1"/>
  <c r="Y133" i="1"/>
  <c r="Z133" i="1"/>
  <c r="AB133" i="1"/>
  <c r="AC133" i="1"/>
  <c r="K132" i="1"/>
  <c r="L132" i="1"/>
  <c r="M132" i="1"/>
  <c r="N132" i="1" s="1"/>
  <c r="T132" i="1"/>
  <c r="V132" i="1"/>
  <c r="X132" i="1"/>
  <c r="Y132" i="1"/>
  <c r="Z132" i="1"/>
  <c r="AB132" i="1"/>
  <c r="AC132" i="1"/>
  <c r="K134" i="1"/>
  <c r="L134" i="1"/>
  <c r="M134" i="1"/>
  <c r="N134" i="1" s="1"/>
  <c r="T134" i="1"/>
  <c r="V134" i="1"/>
  <c r="X134" i="1"/>
  <c r="Y134" i="1"/>
  <c r="Z134" i="1"/>
  <c r="AB134" i="1"/>
  <c r="AC134" i="1"/>
  <c r="K135" i="1"/>
  <c r="L135" i="1"/>
  <c r="M135" i="1"/>
  <c r="N135" i="1" s="1"/>
  <c r="T135" i="1"/>
  <c r="V135" i="1"/>
  <c r="X135" i="1"/>
  <c r="Y135" i="1"/>
  <c r="Z135" i="1"/>
  <c r="AB135" i="1"/>
  <c r="AC135" i="1"/>
  <c r="K136" i="1"/>
  <c r="L136" i="1"/>
  <c r="M136" i="1"/>
  <c r="N136" i="1" s="1"/>
  <c r="T136" i="1"/>
  <c r="V136" i="1"/>
  <c r="X136" i="1"/>
  <c r="Y136" i="1"/>
  <c r="Z136" i="1"/>
  <c r="AB136" i="1"/>
  <c r="AC136" i="1"/>
  <c r="K137" i="1"/>
  <c r="L137" i="1"/>
  <c r="M137" i="1"/>
  <c r="N137" i="1" s="1"/>
  <c r="T137" i="1"/>
  <c r="V137" i="1"/>
  <c r="X137" i="1"/>
  <c r="Y137" i="1"/>
  <c r="Z137" i="1"/>
  <c r="AB137" i="1"/>
  <c r="AC137" i="1"/>
  <c r="K138" i="1"/>
  <c r="L138" i="1"/>
  <c r="M138" i="1"/>
  <c r="N138" i="1" s="1"/>
  <c r="T138" i="1"/>
  <c r="V138" i="1"/>
  <c r="X138" i="1"/>
  <c r="Y138" i="1"/>
  <c r="Z138" i="1"/>
  <c r="AB138" i="1"/>
  <c r="AC138" i="1"/>
  <c r="K139" i="1"/>
  <c r="L139" i="1"/>
  <c r="M139" i="1"/>
  <c r="N139" i="1" s="1"/>
  <c r="T139" i="1"/>
  <c r="V139" i="1"/>
  <c r="X139" i="1"/>
  <c r="Y139" i="1"/>
  <c r="Z139" i="1"/>
  <c r="AB139" i="1"/>
  <c r="AC139" i="1"/>
  <c r="K140" i="1"/>
  <c r="L140" i="1"/>
  <c r="M140" i="1"/>
  <c r="N140" i="1" s="1"/>
  <c r="T140" i="1"/>
  <c r="V140" i="1"/>
  <c r="X140" i="1"/>
  <c r="Y140" i="1"/>
  <c r="Z140" i="1"/>
  <c r="AB140" i="1"/>
  <c r="AC140" i="1"/>
  <c r="K141" i="1"/>
  <c r="L141" i="1"/>
  <c r="M141" i="1"/>
  <c r="N141" i="1" s="1"/>
  <c r="T141" i="1"/>
  <c r="V141" i="1"/>
  <c r="X141" i="1"/>
  <c r="Y141" i="1"/>
  <c r="Z141" i="1"/>
  <c r="AB141" i="1"/>
  <c r="AC141" i="1"/>
  <c r="K142" i="1"/>
  <c r="L142" i="1"/>
  <c r="M142" i="1"/>
  <c r="N142" i="1" s="1"/>
  <c r="T142" i="1"/>
  <c r="V142" i="1"/>
  <c r="X142" i="1"/>
  <c r="Y142" i="1"/>
  <c r="Z142" i="1"/>
  <c r="AB142" i="1"/>
  <c r="AC142" i="1"/>
  <c r="K143" i="1"/>
  <c r="L143" i="1"/>
  <c r="M143" i="1"/>
  <c r="N143" i="1" s="1"/>
  <c r="T143" i="1"/>
  <c r="V143" i="1"/>
  <c r="X143" i="1"/>
  <c r="Y143" i="1"/>
  <c r="Z143" i="1"/>
  <c r="AB143" i="1"/>
  <c r="AC143" i="1"/>
  <c r="K144" i="1"/>
  <c r="L144" i="1"/>
  <c r="M144" i="1"/>
  <c r="N144" i="1" s="1"/>
  <c r="T144" i="1"/>
  <c r="V144" i="1"/>
  <c r="X144" i="1"/>
  <c r="Y144" i="1"/>
  <c r="Z144" i="1"/>
  <c r="AB144" i="1"/>
  <c r="AC144" i="1"/>
  <c r="K145" i="1"/>
  <c r="L145" i="1"/>
  <c r="M145" i="1"/>
  <c r="N145" i="1" s="1"/>
  <c r="T145" i="1"/>
  <c r="V145" i="1"/>
  <c r="X145" i="1"/>
  <c r="Y145" i="1"/>
  <c r="Z145" i="1"/>
  <c r="AB145" i="1"/>
  <c r="AC145" i="1"/>
  <c r="K146" i="1"/>
  <c r="L146" i="1"/>
  <c r="M146" i="1"/>
  <c r="N146" i="1" s="1"/>
  <c r="T146" i="1"/>
  <c r="V146" i="1"/>
  <c r="X146" i="1"/>
  <c r="Y146" i="1"/>
  <c r="Z146" i="1"/>
  <c r="AB146" i="1"/>
  <c r="AC146" i="1"/>
  <c r="K147" i="1"/>
  <c r="L147" i="1"/>
  <c r="M147" i="1"/>
  <c r="N147" i="1" s="1"/>
  <c r="T147" i="1"/>
  <c r="V147" i="1"/>
  <c r="X147" i="1"/>
  <c r="Y147" i="1"/>
  <c r="Z147" i="1"/>
  <c r="AB147" i="1"/>
  <c r="AC147" i="1"/>
  <c r="K148" i="1"/>
  <c r="L148" i="1"/>
  <c r="M148" i="1"/>
  <c r="N148" i="1" s="1"/>
  <c r="T148" i="1"/>
  <c r="V148" i="1"/>
  <c r="X148" i="1"/>
  <c r="Y148" i="1"/>
  <c r="Z148" i="1"/>
  <c r="AB148" i="1"/>
  <c r="AC148" i="1"/>
  <c r="K149" i="1"/>
  <c r="L149" i="1"/>
  <c r="M149" i="1"/>
  <c r="N149" i="1" s="1"/>
  <c r="T149" i="1"/>
  <c r="V149" i="1"/>
  <c r="X149" i="1"/>
  <c r="Y149" i="1"/>
  <c r="Z149" i="1"/>
  <c r="AA149" i="1" s="1"/>
  <c r="W149" i="1" s="1"/>
  <c r="AB149" i="1"/>
  <c r="AC149" i="1"/>
  <c r="K150" i="1"/>
  <c r="L150" i="1"/>
  <c r="M150" i="1"/>
  <c r="N150" i="1" s="1"/>
  <c r="T150" i="1"/>
  <c r="V150" i="1"/>
  <c r="X150" i="1"/>
  <c r="Y150" i="1"/>
  <c r="Z150" i="1"/>
  <c r="AB150" i="1"/>
  <c r="AC150" i="1"/>
  <c r="K153" i="1"/>
  <c r="L153" i="1"/>
  <c r="M153" i="1"/>
  <c r="N153" i="1" s="1"/>
  <c r="T153" i="1"/>
  <c r="V153" i="1"/>
  <c r="X153" i="1"/>
  <c r="Y153" i="1"/>
  <c r="Z153" i="1"/>
  <c r="AB153" i="1"/>
  <c r="AC153" i="1"/>
  <c r="K151" i="1"/>
  <c r="L151" i="1"/>
  <c r="M151" i="1"/>
  <c r="N151" i="1" s="1"/>
  <c r="T151" i="1"/>
  <c r="V151" i="1"/>
  <c r="X151" i="1"/>
  <c r="Y151" i="1"/>
  <c r="Z151" i="1"/>
  <c r="AB151" i="1"/>
  <c r="AC151" i="1"/>
  <c r="K152" i="1"/>
  <c r="L152" i="1"/>
  <c r="M152" i="1"/>
  <c r="N152" i="1" s="1"/>
  <c r="T152" i="1"/>
  <c r="V152" i="1"/>
  <c r="X152" i="1"/>
  <c r="Y152" i="1"/>
  <c r="Z152" i="1"/>
  <c r="AB152" i="1"/>
  <c r="AC152" i="1"/>
  <c r="K154" i="1"/>
  <c r="L154" i="1"/>
  <c r="M154" i="1"/>
  <c r="N154" i="1" s="1"/>
  <c r="T154" i="1"/>
  <c r="V154" i="1"/>
  <c r="X154" i="1"/>
  <c r="Y154" i="1"/>
  <c r="Z154" i="1"/>
  <c r="AB154" i="1"/>
  <c r="AC154" i="1"/>
  <c r="K155" i="1"/>
  <c r="L155" i="1"/>
  <c r="M155" i="1"/>
  <c r="N155" i="1" s="1"/>
  <c r="T155" i="1"/>
  <c r="V155" i="1"/>
  <c r="X155" i="1"/>
  <c r="Y155" i="1"/>
  <c r="Z155" i="1"/>
  <c r="AB155" i="1"/>
  <c r="AC155" i="1"/>
  <c r="K156" i="1"/>
  <c r="L156" i="1"/>
  <c r="M156" i="1"/>
  <c r="N156" i="1" s="1"/>
  <c r="T156" i="1"/>
  <c r="V156" i="1"/>
  <c r="X156" i="1"/>
  <c r="Y156" i="1"/>
  <c r="Z156" i="1"/>
  <c r="AA156" i="1" s="1"/>
  <c r="W156" i="1" s="1"/>
  <c r="AB156" i="1"/>
  <c r="AC156" i="1"/>
  <c r="K157" i="1"/>
  <c r="L157" i="1"/>
  <c r="M157" i="1"/>
  <c r="N157" i="1" s="1"/>
  <c r="T157" i="1"/>
  <c r="V157" i="1"/>
  <c r="X157" i="1"/>
  <c r="Y157" i="1"/>
  <c r="Z157" i="1"/>
  <c r="AB157" i="1"/>
  <c r="AC157" i="1"/>
  <c r="K158" i="1"/>
  <c r="L158" i="1"/>
  <c r="M158" i="1"/>
  <c r="N158" i="1" s="1"/>
  <c r="T158" i="1"/>
  <c r="V158" i="1"/>
  <c r="X158" i="1"/>
  <c r="Y158" i="1"/>
  <c r="Z158" i="1"/>
  <c r="AA158" i="1" s="1"/>
  <c r="W158" i="1" s="1"/>
  <c r="AB158" i="1"/>
  <c r="AC158" i="1"/>
  <c r="K159" i="1"/>
  <c r="L159" i="1"/>
  <c r="M159" i="1"/>
  <c r="N159" i="1" s="1"/>
  <c r="T159" i="1"/>
  <c r="V159" i="1"/>
  <c r="X159" i="1"/>
  <c r="Y159" i="1"/>
  <c r="Z159" i="1"/>
  <c r="AA159" i="1" s="1"/>
  <c r="W159" i="1" s="1"/>
  <c r="AB159" i="1"/>
  <c r="AC159" i="1"/>
  <c r="K160" i="1"/>
  <c r="L160" i="1"/>
  <c r="M160" i="1"/>
  <c r="N160" i="1" s="1"/>
  <c r="T160" i="1"/>
  <c r="V160" i="1"/>
  <c r="X160" i="1"/>
  <c r="Y160" i="1"/>
  <c r="Z160" i="1"/>
  <c r="AA160" i="1" s="1"/>
  <c r="W160" i="1" s="1"/>
  <c r="AB160" i="1"/>
  <c r="AC160" i="1"/>
  <c r="K161" i="1"/>
  <c r="L161" i="1"/>
  <c r="M161" i="1"/>
  <c r="N161" i="1" s="1"/>
  <c r="T161" i="1"/>
  <c r="V161" i="1"/>
  <c r="X161" i="1"/>
  <c r="Y161" i="1"/>
  <c r="Z161" i="1"/>
  <c r="AB161" i="1"/>
  <c r="AC161" i="1"/>
  <c r="K162" i="1"/>
  <c r="L162" i="1"/>
  <c r="M162" i="1"/>
  <c r="N162" i="1" s="1"/>
  <c r="T162" i="1"/>
  <c r="V162" i="1"/>
  <c r="X162" i="1"/>
  <c r="Y162" i="1"/>
  <c r="Z162" i="1"/>
  <c r="AB162" i="1"/>
  <c r="AC162" i="1"/>
  <c r="K163" i="1"/>
  <c r="L163" i="1"/>
  <c r="M163" i="1"/>
  <c r="N163" i="1" s="1"/>
  <c r="T163" i="1"/>
  <c r="V163" i="1"/>
  <c r="X163" i="1"/>
  <c r="Y163" i="1"/>
  <c r="Z163" i="1"/>
  <c r="AA163" i="1" s="1"/>
  <c r="W163" i="1" s="1"/>
  <c r="AB163" i="1"/>
  <c r="AC163" i="1"/>
  <c r="K164" i="1"/>
  <c r="L164" i="1"/>
  <c r="M164" i="1"/>
  <c r="N164" i="1" s="1"/>
  <c r="T164" i="1"/>
  <c r="V164" i="1"/>
  <c r="X164" i="1"/>
  <c r="Y164" i="1"/>
  <c r="Z164" i="1"/>
  <c r="AB164" i="1"/>
  <c r="AC164" i="1"/>
  <c r="K165" i="1"/>
  <c r="L165" i="1"/>
  <c r="M165" i="1"/>
  <c r="N165" i="1" s="1"/>
  <c r="T165" i="1"/>
  <c r="V165" i="1"/>
  <c r="X165" i="1"/>
  <c r="Y165" i="1"/>
  <c r="Z165" i="1"/>
  <c r="AB165" i="1"/>
  <c r="AC165" i="1"/>
  <c r="K166" i="1"/>
  <c r="L166" i="1"/>
  <c r="M166" i="1"/>
  <c r="N166" i="1" s="1"/>
  <c r="T166" i="1"/>
  <c r="V166" i="1"/>
  <c r="X166" i="1"/>
  <c r="Y166" i="1"/>
  <c r="Z166" i="1"/>
  <c r="AB166" i="1"/>
  <c r="AC166" i="1"/>
  <c r="K13" i="1"/>
  <c r="AA166" i="1" l="1"/>
  <c r="W166" i="1" s="1"/>
  <c r="U148" i="1"/>
  <c r="AA147" i="1"/>
  <c r="W147" i="1" s="1"/>
  <c r="U150" i="1"/>
  <c r="AA144" i="1"/>
  <c r="W144" i="1" s="1"/>
  <c r="AA133" i="1"/>
  <c r="W133" i="1" s="1"/>
  <c r="U145" i="1"/>
  <c r="AA153" i="1"/>
  <c r="W153" i="1" s="1"/>
  <c r="AA134" i="1"/>
  <c r="W134" i="1" s="1"/>
  <c r="AA141" i="1"/>
  <c r="W141" i="1" s="1"/>
  <c r="U163" i="1"/>
  <c r="S163" i="1" s="1"/>
  <c r="U164" i="1"/>
  <c r="U162" i="1"/>
  <c r="S162" i="1" s="1"/>
  <c r="U158" i="1"/>
  <c r="U159" i="1"/>
  <c r="S159" i="1" s="1"/>
  <c r="U152" i="1"/>
  <c r="AA155" i="1"/>
  <c r="W155" i="1" s="1"/>
  <c r="AA148" i="1"/>
  <c r="W148" i="1" s="1"/>
  <c r="U161" i="1"/>
  <c r="S161" i="1" s="1"/>
  <c r="AA143" i="1"/>
  <c r="W143" i="1" s="1"/>
  <c r="U166" i="1"/>
  <c r="S166" i="1" s="1"/>
  <c r="AA164" i="1"/>
  <c r="W164" i="1" s="1"/>
  <c r="U157" i="1"/>
  <c r="S157" i="1" s="1"/>
  <c r="AA150" i="1"/>
  <c r="W150" i="1" s="1"/>
  <c r="U154" i="1"/>
  <c r="S154" i="1" s="1"/>
  <c r="U146" i="1"/>
  <c r="S146" i="1" s="1"/>
  <c r="AA145" i="1"/>
  <c r="W145" i="1" s="1"/>
  <c r="AA132" i="1"/>
  <c r="W132" i="1" s="1"/>
  <c r="AA139" i="1"/>
  <c r="W139" i="1" s="1"/>
  <c r="AA127" i="1"/>
  <c r="W127" i="1" s="1"/>
  <c r="U127" i="1"/>
  <c r="S127" i="1" s="1"/>
  <c r="AA140" i="1"/>
  <c r="W140" i="1" s="1"/>
  <c r="U137" i="1"/>
  <c r="S137" i="1" s="1"/>
  <c r="U141" i="1"/>
  <c r="S141" i="1" s="1"/>
  <c r="AA135" i="1"/>
  <c r="W135" i="1" s="1"/>
  <c r="U138" i="1"/>
  <c r="S138" i="1" s="1"/>
  <c r="U165" i="1"/>
  <c r="S165" i="1" s="1"/>
  <c r="U149" i="1"/>
  <c r="S149" i="1" s="1"/>
  <c r="U135" i="1"/>
  <c r="S135" i="1" s="1"/>
  <c r="AA128" i="1"/>
  <c r="W128" i="1" s="1"/>
  <c r="U129" i="1"/>
  <c r="S129" i="1" s="1"/>
  <c r="U140" i="1"/>
  <c r="S140" i="1" s="1"/>
  <c r="U147" i="1"/>
  <c r="S147" i="1" s="1"/>
  <c r="AA152" i="1"/>
  <c r="W152" i="1" s="1"/>
  <c r="U153" i="1"/>
  <c r="S153" i="1" s="1"/>
  <c r="U143" i="1"/>
  <c r="S143" i="1" s="1"/>
  <c r="U139" i="1"/>
  <c r="S139" i="1" s="1"/>
  <c r="U130" i="1"/>
  <c r="S130" i="1" s="1"/>
  <c r="U151" i="1"/>
  <c r="S151" i="1" s="1"/>
  <c r="U156" i="1"/>
  <c r="S156" i="1" s="1"/>
  <c r="U132" i="1"/>
  <c r="S132" i="1" s="1"/>
  <c r="U133" i="1"/>
  <c r="S133" i="1" s="1"/>
  <c r="U134" i="1"/>
  <c r="S134" i="1" s="1"/>
  <c r="AA157" i="1"/>
  <c r="W157" i="1" s="1"/>
  <c r="U155" i="1"/>
  <c r="S155" i="1" s="1"/>
  <c r="S148" i="1"/>
  <c r="U160" i="1"/>
  <c r="S160" i="1" s="1"/>
  <c r="U144" i="1"/>
  <c r="S144" i="1" s="1"/>
  <c r="U142" i="1"/>
  <c r="S142" i="1" s="1"/>
  <c r="AA151" i="1"/>
  <c r="W151" i="1" s="1"/>
  <c r="AA136" i="1"/>
  <c r="W136" i="1" s="1"/>
  <c r="U128" i="1"/>
  <c r="S128" i="1" s="1"/>
  <c r="U136" i="1"/>
  <c r="S136" i="1" s="1"/>
  <c r="AA165" i="1"/>
  <c r="W165" i="1" s="1"/>
  <c r="AA129" i="1"/>
  <c r="W129" i="1" s="1"/>
  <c r="U131" i="1"/>
  <c r="S131" i="1" s="1"/>
  <c r="S158" i="1"/>
  <c r="S164" i="1"/>
  <c r="S152" i="1"/>
  <c r="AA142" i="1"/>
  <c r="W142" i="1" s="1"/>
  <c r="S145" i="1"/>
  <c r="AA131" i="1"/>
  <c r="W131" i="1" s="1"/>
  <c r="S150" i="1"/>
  <c r="AA137" i="1"/>
  <c r="W137" i="1" s="1"/>
  <c r="AA161" i="1"/>
  <c r="W161" i="1" s="1"/>
  <c r="AA162" i="1"/>
  <c r="W162" i="1" s="1"/>
  <c r="AA154" i="1"/>
  <c r="W154" i="1" s="1"/>
  <c r="AA146" i="1"/>
  <c r="W146" i="1" s="1"/>
  <c r="AA138" i="1"/>
  <c r="W138" i="1" s="1"/>
  <c r="Q33" i="3" l="1"/>
  <c r="Q34" i="3"/>
  <c r="Q35" i="3"/>
  <c r="Q36" i="3"/>
  <c r="Q37" i="3"/>
  <c r="Q38" i="3"/>
  <c r="Q39" i="3"/>
  <c r="Q40" i="3"/>
  <c r="Q41" i="3"/>
  <c r="Q42" i="3"/>
  <c r="Q43" i="3"/>
  <c r="P44" i="3"/>
  <c r="Q44" i="3"/>
  <c r="P45" i="3"/>
  <c r="Q45" i="3"/>
  <c r="L21" i="3"/>
  <c r="P46" i="3"/>
  <c r="Q46" i="3"/>
  <c r="P47" i="3"/>
  <c r="Q47" i="3"/>
  <c r="P48" i="3"/>
  <c r="Q48" i="3"/>
  <c r="P49" i="3"/>
  <c r="Q49" i="3"/>
  <c r="P50" i="3"/>
  <c r="Q50" i="3"/>
  <c r="P51" i="3"/>
  <c r="Q51" i="3"/>
  <c r="P52" i="3"/>
  <c r="Q52" i="3"/>
  <c r="P53" i="3"/>
  <c r="Q53" i="3"/>
  <c r="P54" i="3"/>
  <c r="Q54" i="3"/>
  <c r="P55" i="3"/>
  <c r="Q55" i="3"/>
  <c r="P56" i="3"/>
  <c r="Q56" i="3"/>
  <c r="P57" i="3"/>
  <c r="Q57" i="3"/>
  <c r="P58" i="3"/>
  <c r="Q58" i="3"/>
  <c r="P59" i="3"/>
  <c r="Q59" i="3"/>
  <c r="P60" i="3"/>
  <c r="Q60" i="3"/>
  <c r="P61" i="3"/>
  <c r="Q61" i="3"/>
  <c r="P62" i="3"/>
  <c r="Q62" i="3"/>
  <c r="P63" i="3"/>
  <c r="Q63" i="3"/>
  <c r="P64" i="3"/>
  <c r="Q64" i="3"/>
  <c r="P65" i="3"/>
  <c r="Q65" i="3"/>
  <c r="P66" i="3"/>
  <c r="Q66" i="3"/>
  <c r="P67" i="3"/>
  <c r="Q67" i="3"/>
  <c r="P68" i="3"/>
  <c r="Q68" i="3"/>
  <c r="P69" i="3"/>
  <c r="Q69" i="3"/>
  <c r="P70" i="3"/>
  <c r="Q70" i="3"/>
  <c r="P71" i="3"/>
  <c r="Q71" i="3"/>
  <c r="P72" i="3"/>
  <c r="Q72" i="3"/>
  <c r="P73" i="3"/>
  <c r="Q73" i="3"/>
  <c r="P74" i="3"/>
  <c r="Q74" i="3"/>
  <c r="P75" i="3"/>
  <c r="Q75" i="3"/>
  <c r="P76" i="3"/>
  <c r="Q76" i="3"/>
  <c r="L48" i="3"/>
  <c r="P77" i="3"/>
  <c r="Q77" i="3"/>
  <c r="P78" i="3"/>
  <c r="Q78" i="3"/>
  <c r="P79" i="3"/>
  <c r="Q79" i="3"/>
  <c r="P80" i="3"/>
  <c r="Q80" i="3"/>
  <c r="L28" i="3"/>
  <c r="P81" i="3"/>
  <c r="Q81" i="3"/>
  <c r="T121" i="1"/>
  <c r="T120" i="1"/>
  <c r="T123" i="1"/>
  <c r="T122" i="1"/>
  <c r="T124" i="1"/>
  <c r="T125" i="1"/>
  <c r="T126" i="1"/>
  <c r="V121" i="1"/>
  <c r="X121" i="1"/>
  <c r="Y121" i="1"/>
  <c r="Z121" i="1"/>
  <c r="AB121" i="1"/>
  <c r="AC121" i="1"/>
  <c r="V120" i="1"/>
  <c r="X120" i="1"/>
  <c r="Y120" i="1"/>
  <c r="Z120" i="1"/>
  <c r="AA120" i="1" s="1"/>
  <c r="W120" i="1" s="1"/>
  <c r="AB120" i="1"/>
  <c r="AC120" i="1"/>
  <c r="V123" i="1"/>
  <c r="X123" i="1"/>
  <c r="Y123" i="1"/>
  <c r="Z123" i="1"/>
  <c r="AB123" i="1"/>
  <c r="AC123" i="1"/>
  <c r="V122" i="1"/>
  <c r="X122" i="1"/>
  <c r="Y122" i="1"/>
  <c r="Z122" i="1"/>
  <c r="AB122" i="1"/>
  <c r="AC122" i="1"/>
  <c r="V124" i="1"/>
  <c r="P42" i="3" s="1"/>
  <c r="X124" i="1"/>
  <c r="Y124" i="1"/>
  <c r="Z124" i="1"/>
  <c r="AB124" i="1"/>
  <c r="AC124" i="1"/>
  <c r="V125" i="1"/>
  <c r="X125" i="1"/>
  <c r="Y125" i="1"/>
  <c r="Z125" i="1"/>
  <c r="AB125" i="1"/>
  <c r="AC125" i="1"/>
  <c r="V126" i="1"/>
  <c r="P43" i="3" s="1"/>
  <c r="X126" i="1"/>
  <c r="Y126" i="1"/>
  <c r="Z126" i="1"/>
  <c r="AB126" i="1"/>
  <c r="AC126" i="1"/>
  <c r="K119" i="1"/>
  <c r="L119" i="1"/>
  <c r="M119" i="1"/>
  <c r="N119" i="1" s="1"/>
  <c r="K121" i="1"/>
  <c r="L121" i="1"/>
  <c r="M121" i="1"/>
  <c r="N121" i="1" s="1"/>
  <c r="K120" i="1"/>
  <c r="L120" i="1"/>
  <c r="M120" i="1"/>
  <c r="N120" i="1" s="1"/>
  <c r="K123" i="1"/>
  <c r="L123" i="1"/>
  <c r="M123" i="1"/>
  <c r="N123" i="1" s="1"/>
  <c r="K122" i="1"/>
  <c r="L122" i="1"/>
  <c r="M122" i="1"/>
  <c r="N122" i="1" s="1"/>
  <c r="K124" i="1"/>
  <c r="L124" i="1"/>
  <c r="M124" i="1"/>
  <c r="N124" i="1" s="1"/>
  <c r="K125" i="1"/>
  <c r="L125" i="1"/>
  <c r="M125" i="1"/>
  <c r="N125" i="1" s="1"/>
  <c r="K126" i="1"/>
  <c r="L126" i="1"/>
  <c r="M126" i="1"/>
  <c r="N126" i="1" s="1"/>
  <c r="U122" i="1" l="1"/>
  <c r="AA124" i="1"/>
  <c r="W124" i="1" s="1"/>
  <c r="AA121" i="1"/>
  <c r="W121" i="1" s="1"/>
  <c r="U126" i="1"/>
  <c r="S126" i="1" s="1"/>
  <c r="U123" i="1"/>
  <c r="S123" i="1" s="1"/>
  <c r="U124" i="1"/>
  <c r="S124" i="1" s="1"/>
  <c r="U121" i="1"/>
  <c r="S121" i="1" s="1"/>
  <c r="U125" i="1"/>
  <c r="S125" i="1" s="1"/>
  <c r="U120" i="1"/>
  <c r="S120" i="1" s="1"/>
  <c r="AA126" i="1"/>
  <c r="W126" i="1" s="1"/>
  <c r="AA123" i="1"/>
  <c r="W123" i="1" s="1"/>
  <c r="S122" i="1"/>
  <c r="AA122" i="1"/>
  <c r="W122" i="1" s="1"/>
  <c r="AA125" i="1"/>
  <c r="W125" i="1" s="1"/>
  <c r="K79" i="1" l="1"/>
  <c r="L79" i="1"/>
  <c r="M79" i="1"/>
  <c r="N79" i="1" s="1"/>
  <c r="T79" i="1"/>
  <c r="V79" i="1"/>
  <c r="X79" i="1"/>
  <c r="S79" i="1"/>
  <c r="AA79" i="1"/>
  <c r="W79" i="1" s="1"/>
  <c r="AB79" i="1"/>
  <c r="AC79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T106" i="1"/>
  <c r="V106" i="1"/>
  <c r="X106" i="1"/>
  <c r="Y106" i="1"/>
  <c r="Z106" i="1"/>
  <c r="AB106" i="1"/>
  <c r="AC106" i="1"/>
  <c r="T65" i="1"/>
  <c r="V65" i="1"/>
  <c r="Y65" i="1"/>
  <c r="Z65" i="1"/>
  <c r="AB65" i="1"/>
  <c r="AC65" i="1"/>
  <c r="K106" i="1"/>
  <c r="L106" i="1"/>
  <c r="M106" i="1"/>
  <c r="N106" i="1" s="1"/>
  <c r="K65" i="1"/>
  <c r="L65" i="1"/>
  <c r="M65" i="1"/>
  <c r="N65" i="1" s="1"/>
  <c r="E6" i="6"/>
  <c r="F6" i="6"/>
  <c r="G6" i="6"/>
  <c r="E4" i="6"/>
  <c r="F4" i="6"/>
  <c r="G4" i="6"/>
  <c r="E3" i="6"/>
  <c r="F3" i="6"/>
  <c r="G3" i="6"/>
  <c r="E5" i="6"/>
  <c r="F5" i="6"/>
  <c r="G5" i="6"/>
  <c r="X39" i="1"/>
  <c r="X38" i="1"/>
  <c r="X40" i="1"/>
  <c r="X42" i="1"/>
  <c r="X41" i="1"/>
  <c r="X43" i="1"/>
  <c r="X26" i="1"/>
  <c r="X27" i="1"/>
  <c r="X28" i="1"/>
  <c r="X29" i="1"/>
  <c r="X30" i="1"/>
  <c r="X31" i="1"/>
  <c r="X32" i="1"/>
  <c r="X33" i="1"/>
  <c r="U106" i="1" l="1"/>
  <c r="S106" i="1" s="1"/>
  <c r="U65" i="1"/>
  <c r="S65" i="1" s="1"/>
  <c r="AA65" i="1"/>
  <c r="W65" i="1" s="1"/>
  <c r="AA106" i="1"/>
  <c r="W106" i="1" s="1"/>
  <c r="X111" i="1"/>
  <c r="X110" i="1"/>
  <c r="X112" i="1"/>
  <c r="X113" i="1"/>
  <c r="X114" i="1"/>
  <c r="X115" i="1"/>
  <c r="X116" i="1"/>
  <c r="X117" i="1"/>
  <c r="X118" i="1"/>
  <c r="X119" i="1"/>
  <c r="S58" i="1"/>
  <c r="S107" i="1"/>
  <c r="T119" i="1" l="1"/>
  <c r="V119" i="1"/>
  <c r="Y119" i="1"/>
  <c r="Z119" i="1"/>
  <c r="AB119" i="1"/>
  <c r="AC119" i="1"/>
  <c r="O6" i="1"/>
  <c r="N6" i="1"/>
  <c r="M6" i="1"/>
  <c r="J6" i="1"/>
  <c r="U119" i="1" l="1"/>
  <c r="S119" i="1" s="1"/>
  <c r="AA119" i="1"/>
  <c r="W119" i="1" s="1"/>
  <c r="I2" i="1"/>
  <c r="AB14" i="1" l="1"/>
  <c r="AC14" i="1"/>
  <c r="AB15" i="1"/>
  <c r="AC15" i="1"/>
  <c r="AB16" i="1"/>
  <c r="AC16" i="1"/>
  <c r="AB17" i="1"/>
  <c r="AC17" i="1"/>
  <c r="AB18" i="1"/>
  <c r="AC18" i="1"/>
  <c r="AB19" i="1"/>
  <c r="AC19" i="1"/>
  <c r="AB20" i="1"/>
  <c r="AC20" i="1"/>
  <c r="AB21" i="1"/>
  <c r="AC21" i="1"/>
  <c r="AB22" i="1"/>
  <c r="AC22" i="1"/>
  <c r="AB23" i="1"/>
  <c r="AC23" i="1"/>
  <c r="AB24" i="1"/>
  <c r="AC24" i="1"/>
  <c r="AB25" i="1"/>
  <c r="AC25" i="1"/>
  <c r="AB26" i="1"/>
  <c r="AC26" i="1"/>
  <c r="AB27" i="1"/>
  <c r="AC27" i="1"/>
  <c r="AB28" i="1"/>
  <c r="AC28" i="1"/>
  <c r="AB29" i="1"/>
  <c r="AC29" i="1"/>
  <c r="AB30" i="1"/>
  <c r="AC30" i="1"/>
  <c r="AB31" i="1"/>
  <c r="AC31" i="1"/>
  <c r="AB32" i="1"/>
  <c r="AC32" i="1"/>
  <c r="AB33" i="1"/>
  <c r="AC33" i="1"/>
  <c r="AB34" i="1"/>
  <c r="AC34" i="1"/>
  <c r="AB35" i="1"/>
  <c r="AC35" i="1"/>
  <c r="AB36" i="1"/>
  <c r="AC36" i="1"/>
  <c r="AB37" i="1"/>
  <c r="AC37" i="1"/>
  <c r="AB39" i="1"/>
  <c r="AC39" i="1"/>
  <c r="AB38" i="1"/>
  <c r="AC38" i="1"/>
  <c r="AB40" i="1"/>
  <c r="AC40" i="1"/>
  <c r="AB42" i="1"/>
  <c r="AC42" i="1"/>
  <c r="AB41" i="1"/>
  <c r="AC41" i="1"/>
  <c r="AB43" i="1"/>
  <c r="AC43" i="1"/>
  <c r="AB44" i="1"/>
  <c r="AC44" i="1"/>
  <c r="AB45" i="1"/>
  <c r="AC45" i="1"/>
  <c r="AB46" i="1"/>
  <c r="AC46" i="1"/>
  <c r="AB47" i="1"/>
  <c r="AC47" i="1"/>
  <c r="AB48" i="1"/>
  <c r="AC48" i="1"/>
  <c r="AB49" i="1"/>
  <c r="AC49" i="1"/>
  <c r="AB50" i="1"/>
  <c r="AC50" i="1"/>
  <c r="AB51" i="1"/>
  <c r="AC51" i="1"/>
  <c r="AB52" i="1"/>
  <c r="AC52" i="1"/>
  <c r="AB54" i="1"/>
  <c r="AC54" i="1"/>
  <c r="AB53" i="1"/>
  <c r="AC53" i="1"/>
  <c r="AB55" i="1"/>
  <c r="AC55" i="1"/>
  <c r="AB56" i="1"/>
  <c r="AC56" i="1"/>
  <c r="AB57" i="1"/>
  <c r="AC57" i="1"/>
  <c r="AB58" i="1"/>
  <c r="AC58" i="1"/>
  <c r="AB59" i="1"/>
  <c r="AC59" i="1"/>
  <c r="AB60" i="1"/>
  <c r="AC60" i="1"/>
  <c r="AB61" i="1"/>
  <c r="AC61" i="1"/>
  <c r="AB62" i="1"/>
  <c r="AC62" i="1"/>
  <c r="AB63" i="1"/>
  <c r="AC63" i="1"/>
  <c r="AB64" i="1"/>
  <c r="AC64" i="1"/>
  <c r="AB66" i="1"/>
  <c r="AC66" i="1"/>
  <c r="AB67" i="1"/>
  <c r="AC67" i="1"/>
  <c r="AB68" i="1"/>
  <c r="AC68" i="1"/>
  <c r="AB69" i="1"/>
  <c r="AC69" i="1"/>
  <c r="AB70" i="1"/>
  <c r="AC70" i="1"/>
  <c r="AB71" i="1"/>
  <c r="AC71" i="1"/>
  <c r="AB72" i="1"/>
  <c r="AC72" i="1"/>
  <c r="AB73" i="1"/>
  <c r="AC73" i="1"/>
  <c r="AB74" i="1"/>
  <c r="AC74" i="1"/>
  <c r="AB75" i="1"/>
  <c r="AC75" i="1"/>
  <c r="AB76" i="1"/>
  <c r="AC76" i="1"/>
  <c r="AB77" i="1"/>
  <c r="AC77" i="1"/>
  <c r="AB78" i="1"/>
  <c r="AC78" i="1"/>
  <c r="AB81" i="1"/>
  <c r="AC81" i="1"/>
  <c r="AB80" i="1"/>
  <c r="AC80" i="1"/>
  <c r="AB82" i="1"/>
  <c r="AC82" i="1"/>
  <c r="AB83" i="1"/>
  <c r="AC83" i="1"/>
  <c r="AB84" i="1"/>
  <c r="AC84" i="1"/>
  <c r="AB85" i="1"/>
  <c r="AC85" i="1"/>
  <c r="AB86" i="1"/>
  <c r="AC86" i="1"/>
  <c r="AB87" i="1"/>
  <c r="AC87" i="1"/>
  <c r="AB88" i="1"/>
  <c r="AC88" i="1"/>
  <c r="AB89" i="1"/>
  <c r="AC89" i="1"/>
  <c r="AB90" i="1"/>
  <c r="AC90" i="1"/>
  <c r="AB91" i="1"/>
  <c r="AC91" i="1"/>
  <c r="AB92" i="1"/>
  <c r="AC92" i="1"/>
  <c r="AB93" i="1"/>
  <c r="AC93" i="1"/>
  <c r="AB94" i="1"/>
  <c r="AC94" i="1"/>
  <c r="AB95" i="1"/>
  <c r="AC95" i="1"/>
  <c r="AB96" i="1"/>
  <c r="AC96" i="1"/>
  <c r="AB97" i="1"/>
  <c r="AC97" i="1"/>
  <c r="AB98" i="1"/>
  <c r="AC98" i="1"/>
  <c r="AB99" i="1"/>
  <c r="AC99" i="1"/>
  <c r="AB100" i="1"/>
  <c r="AC100" i="1"/>
  <c r="AB101" i="1"/>
  <c r="AC101" i="1"/>
  <c r="AB102" i="1"/>
  <c r="AC102" i="1"/>
  <c r="AB103" i="1"/>
  <c r="AC103" i="1"/>
  <c r="AB104" i="1"/>
  <c r="AC104" i="1"/>
  <c r="AB105" i="1"/>
  <c r="AC105" i="1"/>
  <c r="AB107" i="1"/>
  <c r="AC107" i="1"/>
  <c r="AB108" i="1"/>
  <c r="AC108" i="1"/>
  <c r="AB109" i="1"/>
  <c r="AC109" i="1"/>
  <c r="AB111" i="1"/>
  <c r="AC111" i="1"/>
  <c r="AB110" i="1"/>
  <c r="AC110" i="1"/>
  <c r="AB112" i="1"/>
  <c r="AC112" i="1"/>
  <c r="AB113" i="1"/>
  <c r="AC113" i="1"/>
  <c r="AB115" i="1"/>
  <c r="AC115" i="1"/>
  <c r="AB114" i="1"/>
  <c r="AC114" i="1"/>
  <c r="AB116" i="1"/>
  <c r="AC116" i="1"/>
  <c r="AB117" i="1"/>
  <c r="AC117" i="1"/>
  <c r="AB118" i="1"/>
  <c r="AC118" i="1"/>
  <c r="AC13" i="1"/>
  <c r="AB13" i="1"/>
  <c r="M14" i="5" l="1"/>
  <c r="M13" i="5"/>
  <c r="M12" i="5"/>
  <c r="M11" i="5"/>
  <c r="M10" i="5"/>
  <c r="M9" i="5"/>
  <c r="M8" i="5"/>
  <c r="M7" i="5"/>
  <c r="M6" i="5"/>
  <c r="M5" i="5"/>
  <c r="M4" i="5"/>
  <c r="M3" i="5"/>
  <c r="V57" i="1" l="1"/>
  <c r="X57" i="1"/>
  <c r="Y57" i="1"/>
  <c r="Z57" i="1"/>
  <c r="V58" i="1"/>
  <c r="X58" i="1"/>
  <c r="AA58" i="1"/>
  <c r="W58" i="1" s="1"/>
  <c r="V97" i="1"/>
  <c r="X97" i="1"/>
  <c r="Y97" i="1"/>
  <c r="Z97" i="1"/>
  <c r="V107" i="1"/>
  <c r="X107" i="1"/>
  <c r="AA107" i="1"/>
  <c r="W107" i="1" s="1"/>
  <c r="K107" i="1"/>
  <c r="L107" i="1"/>
  <c r="M107" i="1"/>
  <c r="N107" i="1" s="1"/>
  <c r="K58" i="1"/>
  <c r="L58" i="1"/>
  <c r="M58" i="1"/>
  <c r="N58" i="1" s="1"/>
  <c r="T107" i="1"/>
  <c r="T58" i="1"/>
  <c r="X80" i="1"/>
  <c r="X82" i="1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Z118" i="1"/>
  <c r="Y118" i="1"/>
  <c r="U118" i="1" s="1"/>
  <c r="V118" i="1"/>
  <c r="P41" i="3" s="1"/>
  <c r="T118" i="1"/>
  <c r="M118" i="1"/>
  <c r="N118" i="1" s="1"/>
  <c r="L118" i="1"/>
  <c r="K118" i="1"/>
  <c r="Z117" i="1"/>
  <c r="Y117" i="1"/>
  <c r="U117" i="1" s="1"/>
  <c r="V117" i="1"/>
  <c r="T117" i="1"/>
  <c r="M117" i="1"/>
  <c r="N117" i="1" s="1"/>
  <c r="L117" i="1"/>
  <c r="K117" i="1"/>
  <c r="Z116" i="1"/>
  <c r="Y116" i="1"/>
  <c r="V116" i="1"/>
  <c r="T116" i="1"/>
  <c r="M116" i="1"/>
  <c r="N116" i="1" s="1"/>
  <c r="L116" i="1"/>
  <c r="K116" i="1"/>
  <c r="Z114" i="1"/>
  <c r="Y114" i="1"/>
  <c r="V114" i="1"/>
  <c r="T114" i="1"/>
  <c r="M114" i="1"/>
  <c r="N114" i="1" s="1"/>
  <c r="L114" i="1"/>
  <c r="K114" i="1"/>
  <c r="Z115" i="1"/>
  <c r="Y115" i="1"/>
  <c r="U115" i="1" s="1"/>
  <c r="V115" i="1"/>
  <c r="T115" i="1"/>
  <c r="M115" i="1"/>
  <c r="N115" i="1" s="1"/>
  <c r="L115" i="1"/>
  <c r="K115" i="1"/>
  <c r="Z113" i="1"/>
  <c r="Y113" i="1"/>
  <c r="U113" i="1" s="1"/>
  <c r="V113" i="1"/>
  <c r="T113" i="1"/>
  <c r="M113" i="1"/>
  <c r="N113" i="1" s="1"/>
  <c r="L113" i="1"/>
  <c r="K113" i="1"/>
  <c r="Z112" i="1"/>
  <c r="Y112" i="1"/>
  <c r="U112" i="1" s="1"/>
  <c r="V112" i="1"/>
  <c r="T112" i="1"/>
  <c r="M112" i="1"/>
  <c r="N112" i="1" s="1"/>
  <c r="L112" i="1"/>
  <c r="K112" i="1"/>
  <c r="Z110" i="1"/>
  <c r="Y110" i="1"/>
  <c r="V110" i="1"/>
  <c r="P38" i="3" s="1"/>
  <c r="T110" i="1"/>
  <c r="M110" i="1"/>
  <c r="N110" i="1" s="1"/>
  <c r="L110" i="1"/>
  <c r="K110" i="1"/>
  <c r="Z111" i="1"/>
  <c r="Y111" i="1"/>
  <c r="U111" i="1" s="1"/>
  <c r="V111" i="1"/>
  <c r="T111" i="1"/>
  <c r="M111" i="1"/>
  <c r="N111" i="1" s="1"/>
  <c r="L111" i="1"/>
  <c r="K111" i="1"/>
  <c r="Z109" i="1"/>
  <c r="Y109" i="1"/>
  <c r="X109" i="1"/>
  <c r="V109" i="1"/>
  <c r="T109" i="1"/>
  <c r="M109" i="1"/>
  <c r="N109" i="1" s="1"/>
  <c r="L109" i="1"/>
  <c r="K109" i="1"/>
  <c r="Z108" i="1"/>
  <c r="Y108" i="1"/>
  <c r="X108" i="1"/>
  <c r="V108" i="1"/>
  <c r="T108" i="1"/>
  <c r="M108" i="1"/>
  <c r="N108" i="1" s="1"/>
  <c r="L108" i="1"/>
  <c r="K108" i="1"/>
  <c r="Z105" i="1"/>
  <c r="Y105" i="1"/>
  <c r="U105" i="1" s="1"/>
  <c r="X105" i="1"/>
  <c r="V105" i="1"/>
  <c r="P37" i="3" s="1"/>
  <c r="T105" i="1"/>
  <c r="M105" i="1"/>
  <c r="N105" i="1" s="1"/>
  <c r="L105" i="1"/>
  <c r="K105" i="1"/>
  <c r="Z104" i="1"/>
  <c r="Y104" i="1"/>
  <c r="X104" i="1"/>
  <c r="V104" i="1"/>
  <c r="T104" i="1"/>
  <c r="M104" i="1"/>
  <c r="N104" i="1" s="1"/>
  <c r="L104" i="1"/>
  <c r="K104" i="1"/>
  <c r="T15" i="1"/>
  <c r="U104" i="1" l="1"/>
  <c r="P39" i="3"/>
  <c r="P40" i="3"/>
  <c r="U110" i="1"/>
  <c r="U57" i="1"/>
  <c r="U114" i="1"/>
  <c r="U116" i="1"/>
  <c r="U97" i="1"/>
  <c r="S97" i="1" s="1"/>
  <c r="U108" i="1"/>
  <c r="S108" i="1" s="1"/>
  <c r="U109" i="1"/>
  <c r="S109" i="1" s="1"/>
  <c r="S113" i="1"/>
  <c r="S117" i="1"/>
  <c r="S116" i="1"/>
  <c r="S118" i="1"/>
  <c r="S111" i="1"/>
  <c r="S114" i="1"/>
  <c r="S112" i="1"/>
  <c r="S110" i="1"/>
  <c r="S104" i="1"/>
  <c r="S115" i="1"/>
  <c r="M2" i="3"/>
  <c r="M3" i="3" s="1"/>
  <c r="S57" i="1"/>
  <c r="S105" i="1"/>
  <c r="AA57" i="1"/>
  <c r="W57" i="1" s="1"/>
  <c r="AA97" i="1"/>
  <c r="W97" i="1" s="1"/>
  <c r="AA105" i="1"/>
  <c r="W105" i="1" s="1"/>
  <c r="AA115" i="1"/>
  <c r="W115" i="1" s="1"/>
  <c r="AA118" i="1"/>
  <c r="W118" i="1" s="1"/>
  <c r="AA116" i="1"/>
  <c r="W116" i="1" s="1"/>
  <c r="AA108" i="1"/>
  <c r="W108" i="1" s="1"/>
  <c r="AA110" i="1"/>
  <c r="W110" i="1" s="1"/>
  <c r="AA109" i="1"/>
  <c r="W109" i="1" s="1"/>
  <c r="AA114" i="1"/>
  <c r="W114" i="1" s="1"/>
  <c r="AA112" i="1"/>
  <c r="W112" i="1" s="1"/>
  <c r="AA104" i="1"/>
  <c r="W104" i="1" s="1"/>
  <c r="AA113" i="1"/>
  <c r="W113" i="1" s="1"/>
  <c r="AA111" i="1"/>
  <c r="W111" i="1" s="1"/>
  <c r="AA117" i="1"/>
  <c r="W117" i="1" s="1"/>
  <c r="Q7" i="3"/>
  <c r="Q8" i="3"/>
  <c r="Q9" i="3"/>
  <c r="Q10" i="3"/>
  <c r="Q11" i="3"/>
  <c r="T14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4" i="1"/>
  <c r="T33" i="1"/>
  <c r="T35" i="1"/>
  <c r="T36" i="1"/>
  <c r="T37" i="1"/>
  <c r="T39" i="1"/>
  <c r="T38" i="1"/>
  <c r="T40" i="1"/>
  <c r="T42" i="1"/>
  <c r="T41" i="1"/>
  <c r="T43" i="1"/>
  <c r="T44" i="1"/>
  <c r="T45" i="1"/>
  <c r="T46" i="1"/>
  <c r="T47" i="1"/>
  <c r="T48" i="1"/>
  <c r="T49" i="1"/>
  <c r="T50" i="1"/>
  <c r="T51" i="1"/>
  <c r="T52" i="1"/>
  <c r="T54" i="1"/>
  <c r="T53" i="1"/>
  <c r="T55" i="1"/>
  <c r="T56" i="1"/>
  <c r="T57" i="1"/>
  <c r="T59" i="1"/>
  <c r="T60" i="1"/>
  <c r="T61" i="1"/>
  <c r="T62" i="1"/>
  <c r="T63" i="1"/>
  <c r="T64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81" i="1"/>
  <c r="T80" i="1"/>
  <c r="T82" i="1"/>
  <c r="T83" i="1"/>
  <c r="T85" i="1"/>
  <c r="T84" i="1"/>
  <c r="T86" i="1"/>
  <c r="T87" i="1"/>
  <c r="T88" i="1"/>
  <c r="T90" i="1"/>
  <c r="T89" i="1"/>
  <c r="T91" i="1"/>
  <c r="T92" i="1"/>
  <c r="T93" i="1"/>
  <c r="T94" i="1"/>
  <c r="T95" i="1"/>
  <c r="T97" i="1"/>
  <c r="T96" i="1"/>
  <c r="T98" i="1"/>
  <c r="T99" i="1"/>
  <c r="T100" i="1"/>
  <c r="T101" i="1"/>
  <c r="T102" i="1"/>
  <c r="T103" i="1"/>
  <c r="T13" i="1"/>
  <c r="M40" i="1" l="1"/>
  <c r="N40" i="1" s="1"/>
  <c r="M67" i="1"/>
  <c r="N67" i="1" s="1"/>
  <c r="L40" i="1"/>
  <c r="L67" i="1"/>
  <c r="K67" i="1"/>
  <c r="K40" i="1"/>
  <c r="K100" i="1"/>
  <c r="L100" i="1"/>
  <c r="M100" i="1"/>
  <c r="N100" i="1" s="1"/>
  <c r="V100" i="1"/>
  <c r="X100" i="1"/>
  <c r="Y100" i="1"/>
  <c r="Z100" i="1"/>
  <c r="K101" i="1"/>
  <c r="L101" i="1"/>
  <c r="M101" i="1"/>
  <c r="N101" i="1" s="1"/>
  <c r="K102" i="1"/>
  <c r="L102" i="1"/>
  <c r="M102" i="1"/>
  <c r="N102" i="1" s="1"/>
  <c r="K103" i="1"/>
  <c r="L103" i="1"/>
  <c r="M103" i="1"/>
  <c r="N103" i="1" s="1"/>
  <c r="V101" i="1"/>
  <c r="X101" i="1"/>
  <c r="Y101" i="1"/>
  <c r="Z101" i="1"/>
  <c r="V102" i="1"/>
  <c r="P33" i="3" s="1"/>
  <c r="X102" i="1"/>
  <c r="Y102" i="1"/>
  <c r="Z102" i="1"/>
  <c r="V103" i="1"/>
  <c r="X103" i="1"/>
  <c r="Y103" i="1"/>
  <c r="Z103" i="1"/>
  <c r="P34" i="3" l="1"/>
  <c r="P35" i="3"/>
  <c r="P36" i="3"/>
  <c r="U103" i="1"/>
  <c r="S103" i="1" s="1"/>
  <c r="U100" i="1"/>
  <c r="S100" i="1" s="1"/>
  <c r="U101" i="1"/>
  <c r="S101" i="1" s="1"/>
  <c r="U102" i="1"/>
  <c r="S102" i="1" s="1"/>
  <c r="AA100" i="1"/>
  <c r="W100" i="1" s="1"/>
  <c r="AA101" i="1"/>
  <c r="W101" i="1" s="1"/>
  <c r="AA103" i="1"/>
  <c r="W103" i="1" s="1"/>
  <c r="AA102" i="1"/>
  <c r="W102" i="1" s="1"/>
  <c r="X60" i="1" l="1"/>
  <c r="X61" i="1"/>
  <c r="V15" i="1"/>
  <c r="X15" i="1"/>
  <c r="Y15" i="1"/>
  <c r="Z15" i="1"/>
  <c r="V14" i="1"/>
  <c r="X14" i="1"/>
  <c r="Y14" i="1"/>
  <c r="Z14" i="1"/>
  <c r="V16" i="1"/>
  <c r="X16" i="1"/>
  <c r="Y16" i="1"/>
  <c r="Z16" i="1"/>
  <c r="V17" i="1"/>
  <c r="X17" i="1"/>
  <c r="Y17" i="1"/>
  <c r="Z17" i="1"/>
  <c r="V18" i="1"/>
  <c r="X18" i="1"/>
  <c r="Y18" i="1"/>
  <c r="Z18" i="1"/>
  <c r="V19" i="1"/>
  <c r="X19" i="1"/>
  <c r="Y19" i="1"/>
  <c r="U19" i="1" s="1"/>
  <c r="Z19" i="1"/>
  <c r="V20" i="1"/>
  <c r="X20" i="1"/>
  <c r="Y20" i="1"/>
  <c r="Z20" i="1"/>
  <c r="V21" i="1"/>
  <c r="X21" i="1"/>
  <c r="Y21" i="1"/>
  <c r="Z21" i="1"/>
  <c r="V22" i="1"/>
  <c r="X22" i="1"/>
  <c r="Y22" i="1"/>
  <c r="Z22" i="1"/>
  <c r="V23" i="1"/>
  <c r="X23" i="1"/>
  <c r="Y23" i="1"/>
  <c r="Z23" i="1"/>
  <c r="V24" i="1"/>
  <c r="X24" i="1"/>
  <c r="Y24" i="1"/>
  <c r="Z24" i="1"/>
  <c r="V25" i="1"/>
  <c r="X25" i="1"/>
  <c r="Y25" i="1"/>
  <c r="U25" i="1" s="1"/>
  <c r="Z25" i="1"/>
  <c r="V26" i="1"/>
  <c r="Y26" i="1"/>
  <c r="Z26" i="1"/>
  <c r="V27" i="1"/>
  <c r="Y27" i="1"/>
  <c r="U27" i="1" s="1"/>
  <c r="Z27" i="1"/>
  <c r="V28" i="1"/>
  <c r="Y28" i="1"/>
  <c r="Z28" i="1"/>
  <c r="V29" i="1"/>
  <c r="Y29" i="1"/>
  <c r="Z29" i="1"/>
  <c r="V30" i="1"/>
  <c r="Y30" i="1"/>
  <c r="Z30" i="1"/>
  <c r="V31" i="1"/>
  <c r="Y31" i="1"/>
  <c r="Z31" i="1"/>
  <c r="V32" i="1"/>
  <c r="Y32" i="1"/>
  <c r="Z32" i="1"/>
  <c r="V34" i="1"/>
  <c r="X34" i="1"/>
  <c r="Y34" i="1"/>
  <c r="Z34" i="1"/>
  <c r="V33" i="1"/>
  <c r="Y33" i="1"/>
  <c r="Z33" i="1"/>
  <c r="V35" i="1"/>
  <c r="X35" i="1"/>
  <c r="Y35" i="1"/>
  <c r="Z35" i="1"/>
  <c r="V36" i="1"/>
  <c r="X36" i="1"/>
  <c r="Y36" i="1"/>
  <c r="Z36" i="1"/>
  <c r="V37" i="1"/>
  <c r="X37" i="1"/>
  <c r="Y37" i="1"/>
  <c r="Z37" i="1"/>
  <c r="V39" i="1"/>
  <c r="Y39" i="1"/>
  <c r="Z39" i="1"/>
  <c r="V38" i="1"/>
  <c r="Y38" i="1"/>
  <c r="Z38" i="1"/>
  <c r="V40" i="1"/>
  <c r="Y40" i="1"/>
  <c r="Z40" i="1"/>
  <c r="V42" i="1"/>
  <c r="Y42" i="1"/>
  <c r="Z42" i="1"/>
  <c r="V41" i="1"/>
  <c r="Y41" i="1"/>
  <c r="Z41" i="1"/>
  <c r="V43" i="1"/>
  <c r="Y43" i="1"/>
  <c r="Z43" i="1"/>
  <c r="V44" i="1"/>
  <c r="X44" i="1"/>
  <c r="Y44" i="1"/>
  <c r="U44" i="1" s="1"/>
  <c r="V45" i="1"/>
  <c r="X45" i="1"/>
  <c r="Y45" i="1"/>
  <c r="U45" i="1" s="1"/>
  <c r="V46" i="1"/>
  <c r="X46" i="1"/>
  <c r="Y46" i="1"/>
  <c r="Z46" i="1"/>
  <c r="V47" i="1"/>
  <c r="X47" i="1"/>
  <c r="Y47" i="1"/>
  <c r="U47" i="1" s="1"/>
  <c r="Z47" i="1"/>
  <c r="V48" i="1"/>
  <c r="X48" i="1"/>
  <c r="Y48" i="1"/>
  <c r="Z48" i="1"/>
  <c r="V49" i="1"/>
  <c r="X49" i="1"/>
  <c r="Y49" i="1"/>
  <c r="Z49" i="1"/>
  <c r="V50" i="1"/>
  <c r="X50" i="1"/>
  <c r="Y50" i="1"/>
  <c r="Z50" i="1"/>
  <c r="V51" i="1"/>
  <c r="X51" i="1"/>
  <c r="Y51" i="1"/>
  <c r="Z51" i="1"/>
  <c r="V52" i="1"/>
  <c r="X52" i="1"/>
  <c r="Y52" i="1"/>
  <c r="Z52" i="1"/>
  <c r="V54" i="1"/>
  <c r="X54" i="1"/>
  <c r="Y54" i="1"/>
  <c r="U54" i="1" s="1"/>
  <c r="Z54" i="1"/>
  <c r="V53" i="1"/>
  <c r="X53" i="1"/>
  <c r="Y53" i="1"/>
  <c r="Z53" i="1"/>
  <c r="V55" i="1"/>
  <c r="X55" i="1"/>
  <c r="Y55" i="1"/>
  <c r="Z55" i="1"/>
  <c r="V56" i="1"/>
  <c r="X56" i="1"/>
  <c r="Y56" i="1"/>
  <c r="Z56" i="1"/>
  <c r="V59" i="1"/>
  <c r="X59" i="1"/>
  <c r="Y59" i="1"/>
  <c r="Z59" i="1"/>
  <c r="V60" i="1"/>
  <c r="Y60" i="1"/>
  <c r="Z60" i="1"/>
  <c r="V61" i="1"/>
  <c r="Y61" i="1"/>
  <c r="Z61" i="1"/>
  <c r="V62" i="1"/>
  <c r="Y62" i="1"/>
  <c r="Z62" i="1"/>
  <c r="V63" i="1"/>
  <c r="Y63" i="1"/>
  <c r="Z63" i="1"/>
  <c r="V64" i="1"/>
  <c r="Y64" i="1"/>
  <c r="Z64" i="1"/>
  <c r="V66" i="1"/>
  <c r="Y66" i="1"/>
  <c r="Z66" i="1"/>
  <c r="V67" i="1"/>
  <c r="Y67" i="1"/>
  <c r="Z67" i="1"/>
  <c r="V68" i="1"/>
  <c r="Y68" i="1"/>
  <c r="Z68" i="1"/>
  <c r="V69" i="1"/>
  <c r="Y69" i="1"/>
  <c r="Z69" i="1"/>
  <c r="V70" i="1"/>
  <c r="Y70" i="1"/>
  <c r="Z70" i="1"/>
  <c r="V71" i="1"/>
  <c r="Y71" i="1"/>
  <c r="Z71" i="1"/>
  <c r="V72" i="1"/>
  <c r="Y72" i="1"/>
  <c r="Z72" i="1"/>
  <c r="V73" i="1"/>
  <c r="Y73" i="1"/>
  <c r="Z73" i="1"/>
  <c r="V74" i="1"/>
  <c r="Y74" i="1"/>
  <c r="Z74" i="1"/>
  <c r="V75" i="1"/>
  <c r="Y75" i="1"/>
  <c r="Z75" i="1"/>
  <c r="V76" i="1"/>
  <c r="Y76" i="1"/>
  <c r="Z76" i="1"/>
  <c r="V77" i="1"/>
  <c r="X77" i="1"/>
  <c r="Y77" i="1"/>
  <c r="Z77" i="1"/>
  <c r="V78" i="1"/>
  <c r="X78" i="1"/>
  <c r="Y78" i="1"/>
  <c r="U78" i="1" s="1"/>
  <c r="Z78" i="1"/>
  <c r="V81" i="1"/>
  <c r="X81" i="1"/>
  <c r="Y81" i="1"/>
  <c r="Z81" i="1"/>
  <c r="V80" i="1"/>
  <c r="Y80" i="1"/>
  <c r="Z80" i="1"/>
  <c r="V82" i="1"/>
  <c r="Y82" i="1"/>
  <c r="Z82" i="1"/>
  <c r="V83" i="1"/>
  <c r="X83" i="1"/>
  <c r="Y83" i="1"/>
  <c r="Z83" i="1"/>
  <c r="V85" i="1"/>
  <c r="X85" i="1"/>
  <c r="Y85" i="1"/>
  <c r="Z85" i="1"/>
  <c r="V84" i="1"/>
  <c r="X84" i="1"/>
  <c r="Y84" i="1"/>
  <c r="Z84" i="1"/>
  <c r="V86" i="1"/>
  <c r="X86" i="1"/>
  <c r="Y86" i="1"/>
  <c r="Z86" i="1"/>
  <c r="V87" i="1"/>
  <c r="X87" i="1"/>
  <c r="Y87" i="1"/>
  <c r="U87" i="1" s="1"/>
  <c r="Z87" i="1"/>
  <c r="V88" i="1"/>
  <c r="X88" i="1"/>
  <c r="Y88" i="1"/>
  <c r="Z88" i="1"/>
  <c r="V90" i="1"/>
  <c r="X90" i="1"/>
  <c r="Y90" i="1"/>
  <c r="Z90" i="1"/>
  <c r="V89" i="1"/>
  <c r="X89" i="1"/>
  <c r="Y89" i="1"/>
  <c r="Z89" i="1"/>
  <c r="V91" i="1"/>
  <c r="X91" i="1"/>
  <c r="Y91" i="1"/>
  <c r="Z91" i="1"/>
  <c r="V92" i="1"/>
  <c r="X92" i="1"/>
  <c r="Y92" i="1"/>
  <c r="Z92" i="1"/>
  <c r="V93" i="1"/>
  <c r="X93" i="1"/>
  <c r="Y93" i="1"/>
  <c r="Z93" i="1"/>
  <c r="V94" i="1"/>
  <c r="X94" i="1"/>
  <c r="Y94" i="1"/>
  <c r="Z94" i="1"/>
  <c r="V95" i="1"/>
  <c r="X95" i="1"/>
  <c r="Y95" i="1"/>
  <c r="Z95" i="1"/>
  <c r="V96" i="1"/>
  <c r="X96" i="1"/>
  <c r="Y96" i="1"/>
  <c r="Z96" i="1"/>
  <c r="V98" i="1"/>
  <c r="X98" i="1"/>
  <c r="Y98" i="1"/>
  <c r="Z98" i="1"/>
  <c r="V99" i="1"/>
  <c r="X99" i="1"/>
  <c r="Y99" i="1"/>
  <c r="Z99" i="1"/>
  <c r="U21" i="1" l="1"/>
  <c r="U55" i="1"/>
  <c r="U49" i="1"/>
  <c r="U35" i="1"/>
  <c r="U93" i="1"/>
  <c r="U51" i="1"/>
  <c r="S51" i="1" s="1"/>
  <c r="U23" i="1"/>
  <c r="U56" i="1"/>
  <c r="S56" i="1" s="1"/>
  <c r="U50" i="1"/>
  <c r="S50" i="1" s="1"/>
  <c r="U36" i="1"/>
  <c r="S36" i="1" s="1"/>
  <c r="U29" i="1"/>
  <c r="S29" i="1" s="1"/>
  <c r="U22" i="1"/>
  <c r="S22" i="1" s="1"/>
  <c r="U16" i="1"/>
  <c r="S16" i="1" s="1"/>
  <c r="U70" i="1"/>
  <c r="U38" i="1"/>
  <c r="S38" i="1" s="1"/>
  <c r="U59" i="1"/>
  <c r="S59" i="1" s="1"/>
  <c r="U94" i="1"/>
  <c r="S94" i="1" s="1"/>
  <c r="U66" i="1"/>
  <c r="S66" i="1" s="1"/>
  <c r="U43" i="1"/>
  <c r="S43" i="1" s="1"/>
  <c r="U28" i="1"/>
  <c r="S28" i="1" s="1"/>
  <c r="U18" i="1"/>
  <c r="S18" i="1" s="1"/>
  <c r="U30" i="1"/>
  <c r="S30" i="1" s="1"/>
  <c r="U95" i="1"/>
  <c r="S95" i="1" s="1"/>
  <c r="U74" i="1"/>
  <c r="S74" i="1" s="1"/>
  <c r="U91" i="1"/>
  <c r="S91" i="1" s="1"/>
  <c r="U24" i="1"/>
  <c r="U31" i="1"/>
  <c r="U83" i="1"/>
  <c r="U80" i="1"/>
  <c r="S80" i="1" s="1"/>
  <c r="U73" i="1"/>
  <c r="S73" i="1" s="1"/>
  <c r="U64" i="1"/>
  <c r="S64" i="1" s="1"/>
  <c r="U41" i="1"/>
  <c r="S41" i="1" s="1"/>
  <c r="U89" i="1"/>
  <c r="S89" i="1" s="1"/>
  <c r="U76" i="1"/>
  <c r="S76" i="1" s="1"/>
  <c r="U60" i="1"/>
  <c r="S60" i="1" s="1"/>
  <c r="U39" i="1"/>
  <c r="S39" i="1" s="1"/>
  <c r="U96" i="1"/>
  <c r="S96" i="1" s="1"/>
  <c r="U85" i="1"/>
  <c r="S85" i="1" s="1"/>
  <c r="U98" i="1"/>
  <c r="S98" i="1" s="1"/>
  <c r="U37" i="1"/>
  <c r="S37" i="1" s="1"/>
  <c r="U75" i="1"/>
  <c r="S75" i="1" s="1"/>
  <c r="U81" i="1"/>
  <c r="S81" i="1" s="1"/>
  <c r="U72" i="1"/>
  <c r="S72" i="1" s="1"/>
  <c r="U63" i="1"/>
  <c r="S63" i="1" s="1"/>
  <c r="U53" i="1"/>
  <c r="S53" i="1" s="1"/>
  <c r="U48" i="1"/>
  <c r="S48" i="1" s="1"/>
  <c r="U42" i="1"/>
  <c r="S42" i="1" s="1"/>
  <c r="U33" i="1"/>
  <c r="S33" i="1" s="1"/>
  <c r="U20" i="1"/>
  <c r="U15" i="1"/>
  <c r="U52" i="1"/>
  <c r="U82" i="1"/>
  <c r="S82" i="1" s="1"/>
  <c r="U26" i="1"/>
  <c r="S26" i="1" s="1"/>
  <c r="U77" i="1"/>
  <c r="S77" i="1" s="1"/>
  <c r="U99" i="1"/>
  <c r="S99" i="1" s="1"/>
  <c r="U90" i="1"/>
  <c r="S90" i="1" s="1"/>
  <c r="U88" i="1"/>
  <c r="S88" i="1" s="1"/>
  <c r="U32" i="1"/>
  <c r="S32" i="1" s="1"/>
  <c r="U69" i="1"/>
  <c r="S69" i="1" s="1"/>
  <c r="U68" i="1"/>
  <c r="S68" i="1" s="1"/>
  <c r="U17" i="1"/>
  <c r="S17" i="1" s="1"/>
  <c r="U67" i="1"/>
  <c r="S67" i="1" s="1"/>
  <c r="U92" i="1"/>
  <c r="S92" i="1" s="1"/>
  <c r="U86" i="1"/>
  <c r="S86" i="1" s="1"/>
  <c r="U71" i="1"/>
  <c r="U62" i="1"/>
  <c r="S62" i="1" s="1"/>
  <c r="U40" i="1"/>
  <c r="S40" i="1" s="1"/>
  <c r="U34" i="1"/>
  <c r="S34" i="1" s="1"/>
  <c r="U84" i="1"/>
  <c r="S84" i="1" s="1"/>
  <c r="U61" i="1"/>
  <c r="S61" i="1" s="1"/>
  <c r="U46" i="1"/>
  <c r="S46" i="1" s="1"/>
  <c r="S31" i="1"/>
  <c r="S55" i="1"/>
  <c r="S49" i="1"/>
  <c r="S21" i="1"/>
  <c r="S83" i="1"/>
  <c r="S52" i="1"/>
  <c r="S24" i="1"/>
  <c r="S23" i="1"/>
  <c r="P25" i="3"/>
  <c r="S35" i="1"/>
  <c r="S27" i="1"/>
  <c r="S15" i="1"/>
  <c r="S54" i="1"/>
  <c r="S47" i="1"/>
  <c r="S19" i="1"/>
  <c r="S87" i="1"/>
  <c r="S93" i="1"/>
  <c r="S44" i="1"/>
  <c r="S78" i="1"/>
  <c r="S20" i="1"/>
  <c r="P30" i="3"/>
  <c r="S25" i="1"/>
  <c r="S45" i="1"/>
  <c r="P14" i="3"/>
  <c r="P29" i="3"/>
  <c r="P17" i="3"/>
  <c r="P18" i="3"/>
  <c r="P21" i="3"/>
  <c r="P10" i="3"/>
  <c r="P28" i="3"/>
  <c r="P27" i="3"/>
  <c r="P22" i="3"/>
  <c r="P19" i="3"/>
  <c r="P20" i="3"/>
  <c r="P9" i="3"/>
  <c r="P26" i="3"/>
  <c r="P31" i="3"/>
  <c r="P24" i="3"/>
  <c r="P23" i="3"/>
  <c r="P16" i="3"/>
  <c r="P15" i="3"/>
  <c r="P12" i="3"/>
  <c r="P13" i="3"/>
  <c r="P7" i="3"/>
  <c r="U14" i="1"/>
  <c r="S14" i="1" s="1"/>
  <c r="P8" i="3"/>
  <c r="P11" i="3"/>
  <c r="AA29" i="1"/>
  <c r="W29" i="1" s="1"/>
  <c r="AA14" i="1"/>
  <c r="W14" i="1" s="1"/>
  <c r="AA52" i="1"/>
  <c r="W52" i="1" s="1"/>
  <c r="AA38" i="1"/>
  <c r="W38" i="1" s="1"/>
  <c r="AA20" i="1"/>
  <c r="W20" i="1" s="1"/>
  <c r="AA16" i="1"/>
  <c r="W16" i="1" s="1"/>
  <c r="AA26" i="1"/>
  <c r="W26" i="1" s="1"/>
  <c r="AA42" i="1"/>
  <c r="W42" i="1" s="1"/>
  <c r="AA98" i="1"/>
  <c r="W98" i="1" s="1"/>
  <c r="AA53" i="1"/>
  <c r="W53" i="1" s="1"/>
  <c r="AA87" i="1"/>
  <c r="W87" i="1" s="1"/>
  <c r="AA35" i="1"/>
  <c r="W35" i="1" s="1"/>
  <c r="AA63" i="1"/>
  <c r="W63" i="1" s="1"/>
  <c r="AA78" i="1"/>
  <c r="W78" i="1" s="1"/>
  <c r="AA36" i="1"/>
  <c r="W36" i="1" s="1"/>
  <c r="AA76" i="1"/>
  <c r="W76" i="1" s="1"/>
  <c r="AA25" i="1"/>
  <c r="W25" i="1" s="1"/>
  <c r="AA92" i="1"/>
  <c r="W92" i="1" s="1"/>
  <c r="AA15" i="1"/>
  <c r="W15" i="1" s="1"/>
  <c r="AA23" i="1"/>
  <c r="W23" i="1" s="1"/>
  <c r="AA89" i="1"/>
  <c r="W89" i="1" s="1"/>
  <c r="AA73" i="1"/>
  <c r="W73" i="1" s="1"/>
  <c r="AA30" i="1"/>
  <c r="W30" i="1" s="1"/>
  <c r="AA44" i="1"/>
  <c r="W44" i="1" s="1"/>
  <c r="AA64" i="1"/>
  <c r="W64" i="1" s="1"/>
  <c r="AA59" i="1"/>
  <c r="W59" i="1" s="1"/>
  <c r="AA43" i="1"/>
  <c r="W43" i="1" s="1"/>
  <c r="AA99" i="1"/>
  <c r="W99" i="1" s="1"/>
  <c r="AA56" i="1"/>
  <c r="W56" i="1" s="1"/>
  <c r="AA90" i="1"/>
  <c r="W90" i="1" s="1"/>
  <c r="AA93" i="1"/>
  <c r="W93" i="1" s="1"/>
  <c r="AA28" i="1"/>
  <c r="W28" i="1" s="1"/>
  <c r="AA47" i="1"/>
  <c r="W47" i="1" s="1"/>
  <c r="AA86" i="1"/>
  <c r="W86" i="1" s="1"/>
  <c r="AA31" i="1"/>
  <c r="W31" i="1" s="1"/>
  <c r="AA19" i="1"/>
  <c r="W19" i="1" s="1"/>
  <c r="AA84" i="1"/>
  <c r="W84" i="1" s="1"/>
  <c r="AA68" i="1"/>
  <c r="W68" i="1" s="1"/>
  <c r="AA80" i="1"/>
  <c r="W80" i="1" s="1"/>
  <c r="AA85" i="1"/>
  <c r="W85" i="1" s="1"/>
  <c r="AA51" i="1"/>
  <c r="W51" i="1" s="1"/>
  <c r="AA61" i="1"/>
  <c r="W61" i="1" s="1"/>
  <c r="AA55" i="1"/>
  <c r="W55" i="1" s="1"/>
  <c r="AA95" i="1"/>
  <c r="W95" i="1" s="1"/>
  <c r="AA94" i="1"/>
  <c r="W94" i="1" s="1"/>
  <c r="AA81" i="1"/>
  <c r="W81" i="1" s="1"/>
  <c r="AA91" i="1"/>
  <c r="W91" i="1" s="1"/>
  <c r="AA67" i="1"/>
  <c r="W67" i="1" s="1"/>
  <c r="AA82" i="1"/>
  <c r="W82" i="1" s="1"/>
  <c r="AA88" i="1"/>
  <c r="W88" i="1" s="1"/>
  <c r="AA96" i="1"/>
  <c r="W96" i="1" s="1"/>
  <c r="AA48" i="1"/>
  <c r="W48" i="1" s="1"/>
  <c r="AA18" i="1"/>
  <c r="W18" i="1" s="1"/>
  <c r="AA83" i="1"/>
  <c r="W83" i="1" s="1"/>
  <c r="AA27" i="1"/>
  <c r="W27" i="1" s="1"/>
  <c r="AA22" i="1"/>
  <c r="W22" i="1" s="1"/>
  <c r="AA71" i="1"/>
  <c r="W71" i="1" s="1"/>
  <c r="AA50" i="1"/>
  <c r="W50" i="1" s="1"/>
  <c r="AA41" i="1"/>
  <c r="W41" i="1" s="1"/>
  <c r="AA49" i="1"/>
  <c r="W49" i="1" s="1"/>
  <c r="AA74" i="1"/>
  <c r="W74" i="1" s="1"/>
  <c r="AA69" i="1"/>
  <c r="W69" i="1" s="1"/>
  <c r="AA54" i="1"/>
  <c r="W54" i="1" s="1"/>
  <c r="AA33" i="1"/>
  <c r="W33" i="1" s="1"/>
  <c r="AA75" i="1"/>
  <c r="W75" i="1" s="1"/>
  <c r="AA39" i="1"/>
  <c r="W39" i="1" s="1"/>
  <c r="AA77" i="1"/>
  <c r="W77" i="1" s="1"/>
  <c r="AA70" i="1"/>
  <c r="W70" i="1" s="1"/>
  <c r="AA37" i="1"/>
  <c r="W37" i="1" s="1"/>
  <c r="AA32" i="1"/>
  <c r="W32" i="1" s="1"/>
  <c r="AA40" i="1"/>
  <c r="W40" i="1" s="1"/>
  <c r="AA21" i="1"/>
  <c r="W21" i="1" s="1"/>
  <c r="AA24" i="1"/>
  <c r="W24" i="1" s="1"/>
  <c r="AA60" i="1"/>
  <c r="W60" i="1" s="1"/>
  <c r="AA46" i="1"/>
  <c r="W46" i="1" s="1"/>
  <c r="AA72" i="1"/>
  <c r="W72" i="1" s="1"/>
  <c r="AA66" i="1"/>
  <c r="W66" i="1" s="1"/>
  <c r="AA62" i="1"/>
  <c r="W62" i="1" s="1"/>
  <c r="AA45" i="1"/>
  <c r="W45" i="1" s="1"/>
  <c r="AA34" i="1"/>
  <c r="W34" i="1" s="1"/>
  <c r="AA17" i="1"/>
  <c r="W17" i="1" s="1"/>
  <c r="L13" i="1"/>
  <c r="M13" i="1"/>
  <c r="N13" i="1" s="1"/>
  <c r="K15" i="1"/>
  <c r="L15" i="1"/>
  <c r="M15" i="1"/>
  <c r="N15" i="1" s="1"/>
  <c r="K14" i="1"/>
  <c r="L14" i="1"/>
  <c r="M14" i="1"/>
  <c r="N14" i="1" s="1"/>
  <c r="K16" i="1"/>
  <c r="L16" i="1"/>
  <c r="M16" i="1"/>
  <c r="N16" i="1" s="1"/>
  <c r="K17" i="1"/>
  <c r="L17" i="1"/>
  <c r="M17" i="1"/>
  <c r="N17" i="1" s="1"/>
  <c r="K18" i="1"/>
  <c r="L18" i="1"/>
  <c r="M18" i="1"/>
  <c r="N18" i="1" s="1"/>
  <c r="K19" i="1"/>
  <c r="L19" i="1"/>
  <c r="M19" i="1"/>
  <c r="N19" i="1" s="1"/>
  <c r="K20" i="1"/>
  <c r="L20" i="1"/>
  <c r="M20" i="1"/>
  <c r="N20" i="1" s="1"/>
  <c r="K21" i="1"/>
  <c r="L21" i="1"/>
  <c r="M21" i="1"/>
  <c r="N21" i="1" s="1"/>
  <c r="K22" i="1"/>
  <c r="L22" i="1"/>
  <c r="M22" i="1"/>
  <c r="N22" i="1" s="1"/>
  <c r="K23" i="1"/>
  <c r="L23" i="1"/>
  <c r="M23" i="1"/>
  <c r="N23" i="1" s="1"/>
  <c r="K24" i="1"/>
  <c r="L24" i="1"/>
  <c r="M24" i="1"/>
  <c r="N24" i="1" s="1"/>
  <c r="K25" i="1"/>
  <c r="L25" i="1"/>
  <c r="M25" i="1"/>
  <c r="N25" i="1" s="1"/>
  <c r="K26" i="1"/>
  <c r="L26" i="1"/>
  <c r="M26" i="1"/>
  <c r="N26" i="1" s="1"/>
  <c r="K27" i="1"/>
  <c r="L27" i="1"/>
  <c r="M27" i="1"/>
  <c r="N27" i="1" s="1"/>
  <c r="K28" i="1"/>
  <c r="L28" i="1"/>
  <c r="M28" i="1"/>
  <c r="N28" i="1" s="1"/>
  <c r="K29" i="1"/>
  <c r="L29" i="1"/>
  <c r="M29" i="1"/>
  <c r="N29" i="1" s="1"/>
  <c r="K30" i="1"/>
  <c r="L30" i="1"/>
  <c r="M30" i="1"/>
  <c r="N30" i="1" s="1"/>
  <c r="K31" i="1"/>
  <c r="L31" i="1"/>
  <c r="M31" i="1"/>
  <c r="N31" i="1" s="1"/>
  <c r="K32" i="1"/>
  <c r="L32" i="1"/>
  <c r="M32" i="1"/>
  <c r="N32" i="1" s="1"/>
  <c r="K34" i="1"/>
  <c r="L34" i="1"/>
  <c r="M34" i="1"/>
  <c r="N34" i="1" s="1"/>
  <c r="K33" i="1"/>
  <c r="L33" i="1"/>
  <c r="M33" i="1"/>
  <c r="N33" i="1" s="1"/>
  <c r="K35" i="1"/>
  <c r="L35" i="1"/>
  <c r="M35" i="1"/>
  <c r="N35" i="1" s="1"/>
  <c r="K36" i="1"/>
  <c r="L36" i="1"/>
  <c r="M36" i="1"/>
  <c r="N36" i="1" s="1"/>
  <c r="K37" i="1"/>
  <c r="L37" i="1"/>
  <c r="M37" i="1"/>
  <c r="N37" i="1" s="1"/>
  <c r="K39" i="1"/>
  <c r="L39" i="1"/>
  <c r="M39" i="1"/>
  <c r="N39" i="1" s="1"/>
  <c r="K38" i="1"/>
  <c r="L38" i="1"/>
  <c r="M38" i="1"/>
  <c r="N38" i="1" s="1"/>
  <c r="K42" i="1"/>
  <c r="L42" i="1"/>
  <c r="M42" i="1"/>
  <c r="N42" i="1" s="1"/>
  <c r="K41" i="1"/>
  <c r="L41" i="1"/>
  <c r="M41" i="1"/>
  <c r="N41" i="1" s="1"/>
  <c r="K43" i="1"/>
  <c r="L43" i="1"/>
  <c r="M43" i="1"/>
  <c r="N43" i="1" s="1"/>
  <c r="K44" i="1"/>
  <c r="L44" i="1"/>
  <c r="M44" i="1"/>
  <c r="N44" i="1" s="1"/>
  <c r="K45" i="1"/>
  <c r="L45" i="1"/>
  <c r="M45" i="1"/>
  <c r="N45" i="1" s="1"/>
  <c r="K46" i="1"/>
  <c r="L46" i="1"/>
  <c r="M46" i="1"/>
  <c r="N46" i="1" s="1"/>
  <c r="K47" i="1"/>
  <c r="L47" i="1"/>
  <c r="M47" i="1"/>
  <c r="N47" i="1" s="1"/>
  <c r="K48" i="1"/>
  <c r="L48" i="1"/>
  <c r="M48" i="1"/>
  <c r="N48" i="1" s="1"/>
  <c r="K49" i="1"/>
  <c r="L49" i="1"/>
  <c r="M49" i="1"/>
  <c r="N49" i="1" s="1"/>
  <c r="K50" i="1"/>
  <c r="L50" i="1"/>
  <c r="M50" i="1"/>
  <c r="N50" i="1" s="1"/>
  <c r="K51" i="1"/>
  <c r="L51" i="1"/>
  <c r="M51" i="1"/>
  <c r="N51" i="1" s="1"/>
  <c r="K52" i="1"/>
  <c r="L52" i="1"/>
  <c r="M52" i="1"/>
  <c r="N52" i="1" s="1"/>
  <c r="K54" i="1"/>
  <c r="L54" i="1"/>
  <c r="M54" i="1"/>
  <c r="N54" i="1" s="1"/>
  <c r="K53" i="1"/>
  <c r="L53" i="1"/>
  <c r="M53" i="1"/>
  <c r="N53" i="1" s="1"/>
  <c r="K55" i="1"/>
  <c r="L55" i="1"/>
  <c r="M55" i="1"/>
  <c r="N55" i="1" s="1"/>
  <c r="K56" i="1"/>
  <c r="L56" i="1"/>
  <c r="M56" i="1"/>
  <c r="N56" i="1" s="1"/>
  <c r="K57" i="1"/>
  <c r="L57" i="1"/>
  <c r="M57" i="1"/>
  <c r="N57" i="1" s="1"/>
  <c r="K59" i="1"/>
  <c r="L59" i="1"/>
  <c r="M59" i="1"/>
  <c r="N59" i="1" s="1"/>
  <c r="K60" i="1"/>
  <c r="L60" i="1"/>
  <c r="M60" i="1"/>
  <c r="N60" i="1" s="1"/>
  <c r="K61" i="1"/>
  <c r="L61" i="1"/>
  <c r="M61" i="1"/>
  <c r="N61" i="1" s="1"/>
  <c r="K62" i="1"/>
  <c r="L62" i="1"/>
  <c r="M62" i="1"/>
  <c r="N62" i="1" s="1"/>
  <c r="K63" i="1"/>
  <c r="L63" i="1"/>
  <c r="M63" i="1"/>
  <c r="N63" i="1" s="1"/>
  <c r="K64" i="1"/>
  <c r="L64" i="1"/>
  <c r="M64" i="1"/>
  <c r="N64" i="1" s="1"/>
  <c r="K66" i="1"/>
  <c r="L66" i="1"/>
  <c r="M66" i="1"/>
  <c r="N66" i="1" s="1"/>
  <c r="K68" i="1"/>
  <c r="L68" i="1"/>
  <c r="M68" i="1"/>
  <c r="N68" i="1" s="1"/>
  <c r="K69" i="1"/>
  <c r="L69" i="1"/>
  <c r="M69" i="1"/>
  <c r="N69" i="1" s="1"/>
  <c r="K70" i="1"/>
  <c r="L70" i="1"/>
  <c r="M70" i="1"/>
  <c r="N70" i="1" s="1"/>
  <c r="K71" i="1"/>
  <c r="L71" i="1"/>
  <c r="M71" i="1"/>
  <c r="N71" i="1" s="1"/>
  <c r="K72" i="1"/>
  <c r="L72" i="1"/>
  <c r="M72" i="1"/>
  <c r="N72" i="1" s="1"/>
  <c r="K73" i="1"/>
  <c r="L73" i="1"/>
  <c r="M73" i="1"/>
  <c r="N73" i="1" s="1"/>
  <c r="K74" i="1"/>
  <c r="L74" i="1"/>
  <c r="M74" i="1"/>
  <c r="N74" i="1" s="1"/>
  <c r="K75" i="1"/>
  <c r="L75" i="1"/>
  <c r="M75" i="1"/>
  <c r="N75" i="1" s="1"/>
  <c r="K76" i="1"/>
  <c r="L76" i="1"/>
  <c r="M76" i="1"/>
  <c r="N76" i="1" s="1"/>
  <c r="K77" i="1"/>
  <c r="L77" i="1"/>
  <c r="M77" i="1"/>
  <c r="N77" i="1" s="1"/>
  <c r="K78" i="1"/>
  <c r="L78" i="1"/>
  <c r="M78" i="1"/>
  <c r="N78" i="1" s="1"/>
  <c r="K81" i="1"/>
  <c r="L81" i="1"/>
  <c r="M81" i="1"/>
  <c r="N81" i="1" s="1"/>
  <c r="K80" i="1"/>
  <c r="L80" i="1"/>
  <c r="M80" i="1"/>
  <c r="N80" i="1" s="1"/>
  <c r="K82" i="1"/>
  <c r="L82" i="1"/>
  <c r="M82" i="1"/>
  <c r="N82" i="1" s="1"/>
  <c r="K83" i="1"/>
  <c r="L83" i="1"/>
  <c r="M83" i="1"/>
  <c r="N83" i="1" s="1"/>
  <c r="K85" i="1"/>
  <c r="L85" i="1"/>
  <c r="M85" i="1"/>
  <c r="N85" i="1" s="1"/>
  <c r="K84" i="1"/>
  <c r="L84" i="1"/>
  <c r="M84" i="1"/>
  <c r="N84" i="1" s="1"/>
  <c r="K86" i="1"/>
  <c r="L86" i="1"/>
  <c r="M86" i="1"/>
  <c r="N86" i="1" s="1"/>
  <c r="K87" i="1"/>
  <c r="L87" i="1"/>
  <c r="M87" i="1"/>
  <c r="N87" i="1" s="1"/>
  <c r="K88" i="1"/>
  <c r="L88" i="1"/>
  <c r="M88" i="1"/>
  <c r="N88" i="1" s="1"/>
  <c r="K90" i="1"/>
  <c r="L90" i="1"/>
  <c r="M90" i="1"/>
  <c r="N90" i="1" s="1"/>
  <c r="K89" i="1"/>
  <c r="L89" i="1"/>
  <c r="M89" i="1"/>
  <c r="N89" i="1" s="1"/>
  <c r="K91" i="1"/>
  <c r="L91" i="1"/>
  <c r="M91" i="1"/>
  <c r="N91" i="1" s="1"/>
  <c r="K93" i="1"/>
  <c r="L93" i="1"/>
  <c r="M93" i="1"/>
  <c r="N93" i="1" s="1"/>
  <c r="K92" i="1"/>
  <c r="L92" i="1"/>
  <c r="M92" i="1"/>
  <c r="N92" i="1" s="1"/>
  <c r="K95" i="1"/>
  <c r="L95" i="1"/>
  <c r="M95" i="1"/>
  <c r="N95" i="1" s="1"/>
  <c r="K94" i="1"/>
  <c r="L94" i="1"/>
  <c r="M94" i="1"/>
  <c r="N94" i="1" s="1"/>
  <c r="K97" i="1"/>
  <c r="L97" i="1"/>
  <c r="M97" i="1"/>
  <c r="N97" i="1" s="1"/>
  <c r="K96" i="1"/>
  <c r="L96" i="1"/>
  <c r="M96" i="1"/>
  <c r="N96" i="1" s="1"/>
  <c r="K98" i="1"/>
  <c r="L98" i="1"/>
  <c r="M98" i="1"/>
  <c r="N98" i="1" s="1"/>
  <c r="K99" i="1"/>
  <c r="L99" i="1"/>
  <c r="M99" i="1"/>
  <c r="N99" i="1" s="1"/>
  <c r="S70" i="1" l="1"/>
  <c r="J4" i="1"/>
  <c r="O5" i="1"/>
  <c r="J8" i="1"/>
  <c r="N8" i="1"/>
  <c r="N5" i="1"/>
  <c r="J5" i="1"/>
  <c r="O8" i="1"/>
  <c r="M5" i="1"/>
  <c r="M8" i="1"/>
  <c r="J7" i="1"/>
  <c r="X13" i="1"/>
  <c r="J9" i="1" l="1"/>
  <c r="V13" i="1"/>
  <c r="Y13" i="1"/>
  <c r="Z13" i="1"/>
  <c r="P32" i="3" l="1"/>
  <c r="U13" i="1"/>
  <c r="S13" i="1" s="1"/>
  <c r="AA13" i="1"/>
  <c r="W13" i="1" s="1"/>
  <c r="A11" i="1" l="1"/>
  <c r="A1" i="6" l="1"/>
  <c r="A5" i="3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<sst xmlns="http://schemas.openxmlformats.org/spreadsheetml/2006/main" count="1988" uniqueCount="496">
  <si>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</si>
  <si>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</si>
  <si>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</si>
  <si>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</si>
  <si>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</si>
  <si>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</si>
  <si>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</si>
  <si>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</si>
  <si>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</si>
  <si>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</si>
  <si>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</si>
  <si>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</si>
  <si>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</si>
  <si>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</si>
  <si>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</si>
  <si>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</si>
  <si>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</si>
  <si>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</si>
  <si>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</si>
  <si>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</si>
  <si>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</si>
  <si>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</si>
  <si>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</si>
  <si>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</si>
  <si>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</si>
  <si>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</si>
  <si>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</si>
  <si>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</si>
  <si>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</si>
  <si>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</si>
  <si>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</si>
  <si>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</si>
  <si>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</si>
  <si>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</si>
  <si>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</si>
  <si>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</si>
  <si>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</si>
  <si>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</si>
  <si>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</si>
  <si>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</si>
  <si>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</si>
  <si>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</si>
  <si>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</si>
  <si>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</si>
  <si>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</si>
  <si>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</si>
  <si>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</si>
  <si>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</si>
  <si>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</si>
  <si>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</si>
  <si>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</si>
  <si>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</si>
  <si>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</si>
  <si>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</si>
  <si>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</si>
  <si>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</si>
  <si>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</si>
  <si>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</si>
  <si>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</si>
  <si>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</si>
  <si>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DE.1.0.6.0</t>
  </si>
  <si>
    <t>204:145</t>
  </si>
  <si>
    <t>204:152</t>
  </si>
  <si>
    <t>baselines:</t>
  </si>
  <si>
    <t>sunday - thu - 144/day</t>
  </si>
  <si>
    <t>fri-sat - 146/day</t>
  </si>
  <si>
    <t>Married Pair</t>
  </si>
  <si>
    <t>204:147</t>
  </si>
  <si>
    <t>204:160</t>
  </si>
  <si>
    <t>204:460</t>
  </si>
  <si>
    <t>rtdc.l.rtdc.4032:itc</t>
  </si>
  <si>
    <t>204:232977</t>
  </si>
  <si>
    <t>Kibana URL</t>
  </si>
  <si>
    <t>204:457</t>
  </si>
  <si>
    <t>204:141</t>
  </si>
  <si>
    <t>204:156</t>
  </si>
  <si>
    <t>204:149</t>
  </si>
  <si>
    <t>GRADE CROSSING</t>
  </si>
  <si>
    <t>Bulletin (2)</t>
  </si>
  <si>
    <t>204:453</t>
  </si>
  <si>
    <t>204:232978</t>
  </si>
  <si>
    <t>rtdc.l.rtdc.4019:itc</t>
  </si>
  <si>
    <t>rtdc.l.rtdc.4020:itc</t>
  </si>
  <si>
    <t>204:458</t>
  </si>
  <si>
    <t>rtdc.l.rtdc.4018:itc</t>
  </si>
  <si>
    <t>rtdc.l.rtdc.4017:itc</t>
  </si>
  <si>
    <t>204:232975</t>
  </si>
  <si>
    <t>204:464</t>
  </si>
  <si>
    <t>STORY</t>
  </si>
  <si>
    <t>rtdc.l.rtdc.4008:itc</t>
  </si>
  <si>
    <t>rtdc.l.rtdc.4030:itc</t>
  </si>
  <si>
    <t>rtdc.l.rtdc.4007:itc</t>
  </si>
  <si>
    <t>rtdc.l.rtdc.4031:itc</t>
  </si>
  <si>
    <t>GOODNIGHT</t>
  </si>
  <si>
    <t>rtdc.l.rtdc.4029:itc</t>
  </si>
  <si>
    <t>204:161</t>
  </si>
  <si>
    <t>Possible Explanation</t>
  </si>
  <si>
    <t>Recorded Operator</t>
  </si>
  <si>
    <t>Trip ID</t>
  </si>
  <si>
    <t># Of Times Offered</t>
  </si>
  <si>
    <t>Loco</t>
  </si>
  <si>
    <t>204:233295</t>
  </si>
  <si>
    <t>204:447</t>
  </si>
  <si>
    <t>204:158</t>
  </si>
  <si>
    <t>204:233297</t>
  </si>
  <si>
    <t>rtdc.l.rtdc.4041:itc</t>
  </si>
  <si>
    <t>rtdc.l.rtdc.4042:itc</t>
  </si>
  <si>
    <t>204:232998</t>
  </si>
  <si>
    <t>204:170</t>
  </si>
  <si>
    <t>204:163</t>
  </si>
  <si>
    <t>204:469</t>
  </si>
  <si>
    <t>204:233291</t>
  </si>
  <si>
    <t>204:139</t>
  </si>
  <si>
    <t>204:455</t>
  </si>
  <si>
    <t>204:467</t>
  </si>
  <si>
    <t>Recorded Loco</t>
  </si>
  <si>
    <t>Recorded time</t>
  </si>
  <si>
    <t>204:233310</t>
  </si>
  <si>
    <t>204:233307</t>
  </si>
  <si>
    <t>204:150</t>
  </si>
  <si>
    <t>204:232986</t>
  </si>
  <si>
    <t>204:232983</t>
  </si>
  <si>
    <t>Xing Completion Percentage</t>
  </si>
  <si>
    <t>STAMBAUGH</t>
  </si>
  <si>
    <t>IsEven</t>
  </si>
  <si>
    <t>Xing#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</si>
  <si>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</si>
  <si>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</si>
  <si>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</si>
  <si>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</si>
  <si>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</si>
  <si>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</si>
  <si>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</si>
  <si>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</si>
  <si>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</si>
  <si>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</si>
  <si>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</si>
  <si>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</si>
  <si>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</si>
  <si>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</si>
  <si>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</si>
  <si>
    <t>204:232982</t>
  </si>
  <si>
    <t>204:232989</t>
  </si>
  <si>
    <t>204:233288</t>
  </si>
  <si>
    <t>204:473</t>
  </si>
  <si>
    <t>DAVIS</t>
  </si>
  <si>
    <t>ADANE</t>
  </si>
  <si>
    <t>SWITCH UNKNOWN</t>
  </si>
  <si>
    <t>Track device (7)</t>
  </si>
  <si>
    <t>Y</t>
  </si>
  <si>
    <t>N</t>
  </si>
  <si>
    <t>Possible System Enforcement</t>
  </si>
  <si>
    <t>Training enforcement</t>
  </si>
  <si>
    <t>204:233263</t>
  </si>
  <si>
    <t>204:125</t>
  </si>
  <si>
    <t>204:471</t>
  </si>
  <si>
    <t>204:232974</t>
  </si>
  <si>
    <t>204:143</t>
  </si>
  <si>
    <t>204:233317</t>
  </si>
  <si>
    <t>204:233302</t>
  </si>
  <si>
    <t>204:233280</t>
  </si>
  <si>
    <t>204:475</t>
  </si>
  <si>
    <t>204:493</t>
  </si>
  <si>
    <t>rtdc.l.rtdc.4009:itc</t>
  </si>
  <si>
    <t>MAYBERRY</t>
  </si>
  <si>
    <t>STEWART</t>
  </si>
  <si>
    <t>YORK</t>
  </si>
  <si>
    <t>rtdc.l.rtdc.4038:itc</t>
  </si>
  <si>
    <t>CANFIELD</t>
  </si>
  <si>
    <t>NELSON</t>
  </si>
  <si>
    <t>MALAVE</t>
  </si>
  <si>
    <t>BRUDER</t>
  </si>
  <si>
    <t>204:477</t>
  </si>
  <si>
    <t>204:232969</t>
  </si>
  <si>
    <t>204:233300</t>
  </si>
  <si>
    <t>204:232985</t>
  </si>
  <si>
    <t>204:233004</t>
  </si>
  <si>
    <t>204:233293</t>
  </si>
  <si>
    <t>204:232961</t>
  </si>
  <si>
    <t>204:480</t>
  </si>
  <si>
    <t>204:169</t>
  </si>
  <si>
    <t>204:233283</t>
  </si>
  <si>
    <t>204:232971</t>
  </si>
  <si>
    <t>204:136</t>
  </si>
  <si>
    <t>102-24</t>
  </si>
  <si>
    <t>204:232635</t>
  </si>
  <si>
    <t>204:233299</t>
  </si>
  <si>
    <t>204:232987</t>
  </si>
  <si>
    <t>115-24</t>
  </si>
  <si>
    <t>204:232970</t>
  </si>
  <si>
    <t>124-24</t>
  </si>
  <si>
    <t>125-24</t>
  </si>
  <si>
    <t>127-24</t>
  </si>
  <si>
    <t>128-24</t>
  </si>
  <si>
    <t>129-24</t>
  </si>
  <si>
    <t>130-24</t>
  </si>
  <si>
    <t>204:233002</t>
  </si>
  <si>
    <t>204:172</t>
  </si>
  <si>
    <t>204:233289</t>
  </si>
  <si>
    <t>204:233284</t>
  </si>
  <si>
    <t>204:232990</t>
  </si>
  <si>
    <t>204:451</t>
  </si>
  <si>
    <t>204:233007</t>
  </si>
  <si>
    <t>204:232973</t>
  </si>
  <si>
    <t>204:127</t>
  </si>
  <si>
    <t>204:223</t>
  </si>
  <si>
    <t>204:444</t>
  </si>
  <si>
    <t>204:233000</t>
  </si>
  <si>
    <t>204:233312</t>
  </si>
  <si>
    <t>204:233347</t>
  </si>
  <si>
    <t>192-24</t>
  </si>
  <si>
    <t>204:233319</t>
  </si>
  <si>
    <t>204:424</t>
  </si>
  <si>
    <t>204:233328</t>
  </si>
  <si>
    <t>204:478</t>
  </si>
  <si>
    <t>204:232984</t>
  </si>
  <si>
    <t>204:233276</t>
  </si>
  <si>
    <t>204:232994</t>
  </si>
  <si>
    <t>801-24</t>
  </si>
  <si>
    <t>808-24</t>
  </si>
  <si>
    <t>rtdc.l.rtdc.4024:itc</t>
  </si>
  <si>
    <t>rtdc.l.rtdc.4023:itc</t>
  </si>
  <si>
    <t>rtdc.l.rtdc.4011:itc</t>
  </si>
  <si>
    <t>rtdc.l.rtdc.4012:itc</t>
  </si>
  <si>
    <t>EQUIPMENT RESTRICTION</t>
  </si>
  <si>
    <t>MADLOM</t>
  </si>
  <si>
    <t>SHOOK</t>
  </si>
  <si>
    <t>STURGEON</t>
  </si>
  <si>
    <t>WEBSTER</t>
  </si>
  <si>
    <t>RIVERA</t>
  </si>
  <si>
    <t>LOCKLEAR</t>
  </si>
  <si>
    <t>CHANDLER</t>
  </si>
  <si>
    <t>111-24</t>
  </si>
  <si>
    <t>101-25</t>
  </si>
  <si>
    <t>204:763</t>
  </si>
  <si>
    <t>204:233264</t>
  </si>
  <si>
    <t>102-25</t>
  </si>
  <si>
    <t>204:232642</t>
  </si>
  <si>
    <t>103-25</t>
  </si>
  <si>
    <t>104-25</t>
  </si>
  <si>
    <t>105-25</t>
  </si>
  <si>
    <t>204:659</t>
  </si>
  <si>
    <t>106-25</t>
  </si>
  <si>
    <t>204:232662</t>
  </si>
  <si>
    <t>107-25</t>
  </si>
  <si>
    <t>204:486</t>
  </si>
  <si>
    <t>108-25</t>
  </si>
  <si>
    <t>109-25</t>
  </si>
  <si>
    <t>204:233308</t>
  </si>
  <si>
    <t>110-25</t>
  </si>
  <si>
    <t>111-25</t>
  </si>
  <si>
    <t>204:781</t>
  </si>
  <si>
    <t>112-25</t>
  </si>
  <si>
    <t>113-25</t>
  </si>
  <si>
    <t>114-25</t>
  </si>
  <si>
    <t>115-25</t>
  </si>
  <si>
    <t>204:681</t>
  </si>
  <si>
    <t>116-25</t>
  </si>
  <si>
    <t>117-25</t>
  </si>
  <si>
    <t>204:32506</t>
  </si>
  <si>
    <t>118-25</t>
  </si>
  <si>
    <t>119-25</t>
  </si>
  <si>
    <t>204:719</t>
  </si>
  <si>
    <t>120-25</t>
  </si>
  <si>
    <t>121-25</t>
  </si>
  <si>
    <t>122-25</t>
  </si>
  <si>
    <t>123-25</t>
  </si>
  <si>
    <t>124-25</t>
  </si>
  <si>
    <t>125-25</t>
  </si>
  <si>
    <t>204:233314</t>
  </si>
  <si>
    <t>126-25</t>
  </si>
  <si>
    <t>127-25</t>
  </si>
  <si>
    <t>128-25</t>
  </si>
  <si>
    <t>129-25</t>
  </si>
  <si>
    <t>204:1975</t>
  </si>
  <si>
    <t>130-25</t>
  </si>
  <si>
    <t>131-25</t>
  </si>
  <si>
    <t>204:37185</t>
  </si>
  <si>
    <t>132-25</t>
  </si>
  <si>
    <t>133-25</t>
  </si>
  <si>
    <t>204:233287</t>
  </si>
  <si>
    <t>134-25</t>
  </si>
  <si>
    <t>204:232979</t>
  </si>
  <si>
    <t>135-25</t>
  </si>
  <si>
    <t>204:233305</t>
  </si>
  <si>
    <t>136-25</t>
  </si>
  <si>
    <t>204:138</t>
  </si>
  <si>
    <t>137-25</t>
  </si>
  <si>
    <t>138-25</t>
  </si>
  <si>
    <t>204:232993</t>
  </si>
  <si>
    <t>139-25</t>
  </si>
  <si>
    <t>204:466</t>
  </si>
  <si>
    <t>140-25</t>
  </si>
  <si>
    <t>204:209</t>
  </si>
  <si>
    <t>141-25</t>
  </si>
  <si>
    <t>142-25</t>
  </si>
  <si>
    <t>204:63902</t>
  </si>
  <si>
    <t>143-25</t>
  </si>
  <si>
    <t>144-25</t>
  </si>
  <si>
    <t>204:355</t>
  </si>
  <si>
    <t>145-25</t>
  </si>
  <si>
    <t>146-25</t>
  </si>
  <si>
    <t>147-25</t>
  </si>
  <si>
    <t>204:442</t>
  </si>
  <si>
    <t>148-25</t>
  </si>
  <si>
    <t>149-25</t>
  </si>
  <si>
    <t>204:420</t>
  </si>
  <si>
    <t>150-25</t>
  </si>
  <si>
    <t>204:165</t>
  </si>
  <si>
    <t>151-25</t>
  </si>
  <si>
    <t>152-25</t>
  </si>
  <si>
    <t>204:232959</t>
  </si>
  <si>
    <t>153-25</t>
  </si>
  <si>
    <t>204:1528</t>
  </si>
  <si>
    <t>204:1888</t>
  </si>
  <si>
    <t>204:19137</t>
  </si>
  <si>
    <t>154-25</t>
  </si>
  <si>
    <t>155-25</t>
  </si>
  <si>
    <t>204:1181</t>
  </si>
  <si>
    <t>156-25</t>
  </si>
  <si>
    <t>157-25</t>
  </si>
  <si>
    <t>204:652</t>
  </si>
  <si>
    <t>158-25</t>
  </si>
  <si>
    <t>159-25</t>
  </si>
  <si>
    <t>160-25</t>
  </si>
  <si>
    <t>161-25</t>
  </si>
  <si>
    <t>162-25</t>
  </si>
  <si>
    <t>163-25</t>
  </si>
  <si>
    <t>204:233311</t>
  </si>
  <si>
    <t>164-25</t>
  </si>
  <si>
    <t>204:232988</t>
  </si>
  <si>
    <t>165-25</t>
  </si>
  <si>
    <t>166-25</t>
  </si>
  <si>
    <t>204:233015</t>
  </si>
  <si>
    <t>167-25</t>
  </si>
  <si>
    <t>168-25</t>
  </si>
  <si>
    <t>204:36733</t>
  </si>
  <si>
    <t>169-25</t>
  </si>
  <si>
    <t>204:37214</t>
  </si>
  <si>
    <t>170-25</t>
  </si>
  <si>
    <t>204:154</t>
  </si>
  <si>
    <t>171-25</t>
  </si>
  <si>
    <t>172-25</t>
  </si>
  <si>
    <t>173-25</t>
  </si>
  <si>
    <t>174-25</t>
  </si>
  <si>
    <t>175-25</t>
  </si>
  <si>
    <t>176-25</t>
  </si>
  <si>
    <t>177-25</t>
  </si>
  <si>
    <t>204:433</t>
  </si>
  <si>
    <t>204:233323</t>
  </si>
  <si>
    <t>178-25</t>
  </si>
  <si>
    <t>179-25</t>
  </si>
  <si>
    <t>180-25</t>
  </si>
  <si>
    <t>204:233019</t>
  </si>
  <si>
    <t>1800-25</t>
  </si>
  <si>
    <t>1801-25</t>
  </si>
  <si>
    <t>1802-25</t>
  </si>
  <si>
    <t>1803-25</t>
  </si>
  <si>
    <t>1804-25</t>
  </si>
  <si>
    <t>1805-25</t>
  </si>
  <si>
    <t>1806-25</t>
  </si>
  <si>
    <t>1807-25</t>
  </si>
  <si>
    <t>1808-25</t>
  </si>
  <si>
    <t>1809-25</t>
  </si>
  <si>
    <t>181-25</t>
  </si>
  <si>
    <t>204:233304</t>
  </si>
  <si>
    <t>1810-25</t>
  </si>
  <si>
    <t>1811-25</t>
  </si>
  <si>
    <t>1812-25</t>
  </si>
  <si>
    <t>1813-25</t>
  </si>
  <si>
    <t>1814-25</t>
  </si>
  <si>
    <t>1815-25</t>
  </si>
  <si>
    <t>1816-25</t>
  </si>
  <si>
    <t>1817-25</t>
  </si>
  <si>
    <t>1818-25</t>
  </si>
  <si>
    <t>1819-25</t>
  </si>
  <si>
    <t>182-25</t>
  </si>
  <si>
    <t>1820-25</t>
  </si>
  <si>
    <t>1821-25</t>
  </si>
  <si>
    <t>1822-25</t>
  </si>
  <si>
    <t>1823-25</t>
  </si>
  <si>
    <t>1824-25</t>
  </si>
  <si>
    <t>1825-25</t>
  </si>
  <si>
    <t>1826-25</t>
  </si>
  <si>
    <t>1827-25</t>
  </si>
  <si>
    <t>1828-25</t>
  </si>
  <si>
    <t>1829-25</t>
  </si>
  <si>
    <t>183-25</t>
  </si>
  <si>
    <t>1830-25</t>
  </si>
  <si>
    <t>1831-25</t>
  </si>
  <si>
    <t>1832-25</t>
  </si>
  <si>
    <t>1833-25</t>
  </si>
  <si>
    <t>184-25</t>
  </si>
  <si>
    <t>185-25</t>
  </si>
  <si>
    <t>186-25</t>
  </si>
  <si>
    <t>187-25</t>
  </si>
  <si>
    <t>188-25</t>
  </si>
  <si>
    <t>189-25</t>
  </si>
  <si>
    <t>190-25</t>
  </si>
  <si>
    <t>1902-25</t>
  </si>
  <si>
    <t>191-25</t>
  </si>
  <si>
    <t>192-25</t>
  </si>
  <si>
    <t>193-25</t>
  </si>
  <si>
    <t>204:233334</t>
  </si>
  <si>
    <t>194-25</t>
  </si>
  <si>
    <t>204:233010</t>
  </si>
  <si>
    <t>195-25</t>
  </si>
  <si>
    <t>204:233222</t>
  </si>
  <si>
    <t>196-25</t>
  </si>
  <si>
    <t>204:232911</t>
  </si>
  <si>
    <t>197-25</t>
  </si>
  <si>
    <t>198-25</t>
  </si>
  <si>
    <t>199-25</t>
  </si>
  <si>
    <t>200-25</t>
  </si>
  <si>
    <t>201-25</t>
  </si>
  <si>
    <t>202-25</t>
  </si>
  <si>
    <t>204:232991</t>
  </si>
  <si>
    <t>203-25</t>
  </si>
  <si>
    <t>204:437</t>
  </si>
  <si>
    <t>204-25</t>
  </si>
  <si>
    <t>205-25</t>
  </si>
  <si>
    <t>206-25</t>
  </si>
  <si>
    <t>204:1188</t>
  </si>
  <si>
    <t>207-25</t>
  </si>
  <si>
    <t>204:233339</t>
  </si>
  <si>
    <t>208-25</t>
  </si>
  <si>
    <t>204:233021</t>
  </si>
  <si>
    <t>209-25</t>
  </si>
  <si>
    <t>204:233329</t>
  </si>
  <si>
    <t>210-25</t>
  </si>
  <si>
    <t>211-25</t>
  </si>
  <si>
    <t>204:233232</t>
  </si>
  <si>
    <t>212-25</t>
  </si>
  <si>
    <t>204:232902</t>
  </si>
  <si>
    <t>204:167</t>
  </si>
  <si>
    <t>213-25</t>
  </si>
  <si>
    <t>214-25</t>
  </si>
  <si>
    <t>204:232932</t>
  </si>
  <si>
    <t>204:232947</t>
  </si>
  <si>
    <t>215-25</t>
  </si>
  <si>
    <t>204:233320</t>
  </si>
  <si>
    <t>216-25</t>
  </si>
  <si>
    <t>217-25</t>
  </si>
  <si>
    <t>218-25</t>
  </si>
  <si>
    <t>219-25</t>
  </si>
  <si>
    <t>220-25</t>
  </si>
  <si>
    <t>221-25</t>
  </si>
  <si>
    <t>222-25</t>
  </si>
  <si>
    <t>223-25</t>
  </si>
  <si>
    <t>224-25</t>
  </si>
  <si>
    <t>204:232967</t>
  </si>
  <si>
    <t>225-25</t>
  </si>
  <si>
    <t>226-25</t>
  </si>
  <si>
    <t>227-25</t>
  </si>
  <si>
    <t>229-25</t>
  </si>
  <si>
    <t>230-25</t>
  </si>
  <si>
    <t>231-25</t>
  </si>
  <si>
    <t>232-25</t>
  </si>
  <si>
    <t>204:232960</t>
  </si>
  <si>
    <t>204:174</t>
  </si>
  <si>
    <t>233-25</t>
  </si>
  <si>
    <t>204:233272</t>
  </si>
  <si>
    <t>234-25</t>
  </si>
  <si>
    <t>204:211</t>
  </si>
  <si>
    <t>235-25</t>
  </si>
  <si>
    <t>236-25</t>
  </si>
  <si>
    <t>237-25</t>
  </si>
  <si>
    <t>238-25</t>
  </si>
  <si>
    <t>239-25</t>
  </si>
  <si>
    <t>204:482</t>
  </si>
  <si>
    <t>240-25</t>
  </si>
  <si>
    <t>241-25</t>
  </si>
  <si>
    <t>204:522</t>
  </si>
  <si>
    <t>204:233345</t>
  </si>
  <si>
    <t>242-25</t>
  </si>
  <si>
    <t>243-25</t>
  </si>
  <si>
    <t>244-25</t>
  </si>
  <si>
    <t>245-25</t>
  </si>
  <si>
    <t>246-25</t>
  </si>
  <si>
    <t>204:178</t>
  </si>
  <si>
    <t>rtdc.l.rtdc.4026:itc</t>
  </si>
  <si>
    <t>rtdc.l.rtdc.4027:itc</t>
  </si>
  <si>
    <t>rtdc.l.rtdc.4014:itc</t>
  </si>
  <si>
    <t>rtdc.l.rtdc.4013:itc</t>
  </si>
  <si>
    <t>rtdc.l.rtdc.4025:itc</t>
  </si>
  <si>
    <t>rtdc.l.rtdc.4043:itc</t>
  </si>
  <si>
    <t>UNHEALTHY CROSSING</t>
  </si>
  <si>
    <t>Other (9)</t>
  </si>
  <si>
    <t>rtdc.l.rtdc.4044:itc</t>
  </si>
  <si>
    <t>rtdc.l.rtdc.4028:itc</t>
  </si>
  <si>
    <t>ACKERMAN</t>
  </si>
  <si>
    <t>HELVIE</t>
  </si>
  <si>
    <t>GEBRETEKLE</t>
  </si>
  <si>
    <t>YANAI</t>
  </si>
  <si>
    <t>LEVERE</t>
  </si>
  <si>
    <t>SANTIZO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</si>
</sst>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9"/>
      <color rgb="FF444444"/>
      <name val="Lucida Console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ECF0F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9" fillId="0" borderId="0"/>
  </cellStyleXfs>
  <cellXfs count="90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6" xfId="0" applyFont="1" applyBorder="1" applyAlignment="1">
      <alignment horizontal="center" wrapText="1"/>
    </xf>
    <xf numFmtId="166" fontId="4" fillId="0" borderId="7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0" fontId="1" fillId="0" borderId="6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167" fontId="0" fillId="0" borderId="9" xfId="0" applyNumberFormat="1" applyBorder="1"/>
    <xf numFmtId="17" fontId="0" fillId="0" borderId="0" xfId="0" applyNumberFormat="1"/>
    <xf numFmtId="167" fontId="0" fillId="0" borderId="0" xfId="0" applyNumberFormat="1" applyBorder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 wrapText="1"/>
    </xf>
    <xf numFmtId="0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0" fontId="0" fillId="0" borderId="5" xfId="0" applyBorder="1"/>
    <xf numFmtId="0" fontId="10" fillId="4" borderId="10" xfId="1" applyFont="1" applyFill="1" applyBorder="1" applyAlignment="1">
      <alignment horizontal="center"/>
    </xf>
    <xf numFmtId="0" fontId="10" fillId="0" borderId="11" xfId="1" applyFont="1" applyFill="1" applyBorder="1" applyAlignment="1">
      <alignment wrapText="1"/>
    </xf>
    <xf numFmtId="0" fontId="10" fillId="0" borderId="11" xfId="1" applyFont="1" applyFill="1" applyBorder="1" applyAlignment="1">
      <alignment horizontal="right" wrapText="1"/>
    </xf>
    <xf numFmtId="9" fontId="0" fillId="0" borderId="5" xfId="0" applyNumberFormat="1" applyFill="1" applyBorder="1"/>
    <xf numFmtId="20" fontId="0" fillId="0" borderId="2" xfId="0" applyNumberFormat="1" applyBorder="1" applyAlignment="1">
      <alignment horizontal="center" vertical="center" wrapText="1"/>
    </xf>
    <xf numFmtId="0" fontId="0" fillId="2" borderId="12" xfId="0" applyFill="1" applyBorder="1" applyAlignment="1">
      <alignment vertical="center" wrapText="1"/>
    </xf>
    <xf numFmtId="0" fontId="0" fillId="2" borderId="13" xfId="0" applyFill="1" applyBorder="1" applyAlignment="1">
      <alignment vertical="center" wrapText="1"/>
    </xf>
    <xf numFmtId="0" fontId="0" fillId="2" borderId="14" xfId="0" applyFill="1" applyBorder="1"/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/>
    <xf numFmtId="167" fontId="0" fillId="0" borderId="5" xfId="0" applyNumberFormat="1" applyBorder="1"/>
    <xf numFmtId="0" fontId="11" fillId="0" borderId="0" xfId="0" applyFont="1"/>
    <xf numFmtId="0" fontId="2" fillId="0" borderId="0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</cellXfs>
  <cellStyles count="2">
    <cellStyle name="Normal" xfId="0" builtinId="0"/>
    <cellStyle name="Normal_XINGS" xfId="1"/>
  </cellStyles>
  <dxfs count="30"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btec/Documents/GitHub/eaglep3-reporting/NWGL/Train%20Runs%20and%20Enforcements%20NW%202016-06-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>
        <row r="15">
          <cell r="A15" t="str">
            <v>1802-25</v>
          </cell>
        </row>
        <row r="25">
          <cell r="A25" t="str">
            <v>1812-25</v>
          </cell>
        </row>
        <row r="35">
          <cell r="A35" t="str">
            <v>1822-25</v>
          </cell>
        </row>
        <row r="45">
          <cell r="A45" t="str">
            <v>1832-25</v>
          </cell>
        </row>
        <row r="46">
          <cell r="A46" t="str">
            <v>1833-25</v>
          </cell>
        </row>
        <row r="47">
          <cell r="A47" t="str">
            <v>1902-25</v>
          </cell>
        </row>
      </sheetData>
      <sheetData sheetId="1"/>
      <sheetData sheetId="2"/>
      <sheetData sheetId="3"/>
      <sheetData sheetId="4"/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76"/>
  <sheetViews>
    <sheetView showGridLines="0" tabSelected="1" zoomScale="85" zoomScaleNormal="85" workbookViewId="0">
      <selection activeCell="A11" sqref="A11:P11"/>
    </sheetView>
  </sheetViews>
  <sheetFormatPr defaultRowHeight="15" x14ac:dyDescent="0.25"/>
  <cols>
    <col min="1" max="1" width="10.5703125" style="2" customWidth="1"/>
    <col min="2" max="2" width="10.7109375" customWidth="1"/>
    <col min="3" max="3" width="13.5703125" hidden="1" customWidth="1"/>
    <col min="4" max="4" width="16.140625" hidden="1" customWidth="1"/>
    <col min="5" max="5" width="19.5703125" style="13" hidden="1" customWidth="1"/>
    <col min="6" max="6" width="20.140625" style="13" customWidth="1"/>
    <col min="7" max="7" width="18.42578125" style="32" hidden="1" customWidth="1"/>
    <col min="8" max="8" width="22.140625" style="13" hidden="1" customWidth="1"/>
    <col min="9" max="9" width="19.7109375" style="13" customWidth="1"/>
    <col min="10" max="10" width="7.7109375" bestFit="1" customWidth="1"/>
    <col min="11" max="11" width="13.28515625" customWidth="1"/>
    <col min="12" max="12" width="13.28515625" style="42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52.28515625" bestFit="1" customWidth="1"/>
    <col min="19" max="19" width="11.85546875" style="42" customWidth="1"/>
    <col min="20" max="20" width="12.42578125" bestFit="1" customWidth="1"/>
    <col min="21" max="21" width="4.28515625" style="42" customWidth="1"/>
    <col min="22" max="22" width="19.28515625" style="40" customWidth="1"/>
    <col min="23" max="23" width="10.140625" style="40" customWidth="1"/>
    <col min="24" max="24" width="14.140625" style="40" customWidth="1"/>
    <col min="25" max="27" width="9.140625" style="40"/>
    <col min="28" max="28" width="10.7109375" style="41" bestFit="1" customWidth="1"/>
    <col min="29" max="29" width="17.42578125" style="41" customWidth="1"/>
  </cols>
  <sheetData>
    <row r="1" spans="1:91" s="42" customFormat="1" ht="15.75" thickBot="1" x14ac:dyDescent="0.3">
      <c r="A1" s="2"/>
      <c r="E1" s="13"/>
      <c r="F1" s="13"/>
      <c r="G1" s="32"/>
      <c r="H1" s="13"/>
      <c r="I1" s="13"/>
      <c r="M1" s="1"/>
      <c r="N1" s="4"/>
      <c r="O1" s="4"/>
      <c r="P1" s="4"/>
      <c r="V1" s="40"/>
      <c r="W1" s="40"/>
      <c r="X1" s="40"/>
      <c r="Y1" s="40"/>
      <c r="Z1" s="40"/>
      <c r="AA1" s="40"/>
      <c r="AB1" s="41"/>
      <c r="AC1" s="41"/>
    </row>
    <row r="2" spans="1:91" s="42" customFormat="1" ht="15.75" thickBot="1" x14ac:dyDescent="0.3">
      <c r="A2" s="2"/>
      <c r="E2" s="13"/>
      <c r="F2" s="13"/>
      <c r="G2" s="32"/>
      <c r="H2" s="13"/>
      <c r="I2" s="81">
        <f>Variables!A2</f>
        <v>42545</v>
      </c>
      <c r="J2" s="82"/>
      <c r="K2" s="50"/>
      <c r="L2" s="50"/>
      <c r="M2" s="83" t="s">
        <v>8</v>
      </c>
      <c r="N2" s="84"/>
      <c r="O2" s="85"/>
      <c r="P2" s="4"/>
      <c r="V2" s="40"/>
      <c r="W2" s="40"/>
      <c r="X2" s="40"/>
      <c r="Y2" s="40"/>
      <c r="Z2" s="40"/>
      <c r="AA2" s="40"/>
      <c r="AB2" s="41"/>
      <c r="AC2" s="41"/>
    </row>
    <row r="3" spans="1:91" s="42" customFormat="1" ht="15.75" thickBot="1" x14ac:dyDescent="0.3">
      <c r="A3" s="2"/>
      <c r="E3" s="13"/>
      <c r="F3" s="13"/>
      <c r="G3" s="32"/>
      <c r="H3" s="13"/>
      <c r="I3" s="86" t="s">
        <v>10</v>
      </c>
      <c r="J3" s="87"/>
      <c r="K3" s="71"/>
      <c r="L3" s="71"/>
      <c r="M3" s="8" t="s">
        <v>11</v>
      </c>
      <c r="N3" s="5" t="s">
        <v>12</v>
      </c>
      <c r="O3" s="6" t="s">
        <v>13</v>
      </c>
      <c r="P3" s="4"/>
      <c r="V3" s="40"/>
      <c r="W3" s="40"/>
      <c r="X3" s="40"/>
      <c r="Y3" s="40"/>
      <c r="Z3" s="40"/>
      <c r="AA3" s="40"/>
      <c r="AB3" s="41"/>
      <c r="AC3" s="41"/>
    </row>
    <row r="4" spans="1:91" s="42" customFormat="1" ht="15.75" thickBot="1" x14ac:dyDescent="0.3">
      <c r="A4" s="2"/>
      <c r="E4" s="13"/>
      <c r="F4" s="13"/>
      <c r="G4" s="32"/>
      <c r="H4" s="13"/>
      <c r="I4" s="26" t="s">
        <v>14</v>
      </c>
      <c r="J4" s="3">
        <f>COUNT($N$13:$P$1952)</f>
        <v>154</v>
      </c>
      <c r="K4" s="3"/>
      <c r="L4" s="3"/>
      <c r="M4" s="45" t="s">
        <v>15</v>
      </c>
      <c r="N4" s="5" t="s">
        <v>15</v>
      </c>
      <c r="O4" s="6" t="s">
        <v>15</v>
      </c>
      <c r="P4" s="4"/>
      <c r="V4" s="40"/>
      <c r="W4" s="40"/>
      <c r="X4" s="40"/>
      <c r="Y4" s="40"/>
      <c r="Z4" s="40"/>
      <c r="AA4" s="40"/>
      <c r="AB4" s="41"/>
      <c r="AC4" s="41"/>
    </row>
    <row r="5" spans="1:91" s="42" customFormat="1" ht="15.75" thickBot="1" x14ac:dyDescent="0.3">
      <c r="A5" s="2"/>
      <c r="E5" s="13"/>
      <c r="F5" s="13"/>
      <c r="G5" s="32"/>
      <c r="H5" s="13"/>
      <c r="I5" s="26" t="s">
        <v>17</v>
      </c>
      <c r="J5" s="3">
        <f>COUNT($N$13:$N$1952)</f>
        <v>154</v>
      </c>
      <c r="K5" s="3"/>
      <c r="L5" s="3"/>
      <c r="M5" s="45">
        <f>AVERAGE($N$13:$N$952)</f>
        <v>81.542857143197921</v>
      </c>
      <c r="N5" s="5">
        <f>MIN($N$13:$N$952)</f>
        <v>2.8999999968800694</v>
      </c>
      <c r="O5" s="6">
        <f>MAX($N$13:$N$952)</f>
        <v>1241.9000000017695</v>
      </c>
      <c r="P5" s="4"/>
      <c r="V5" s="40"/>
      <c r="W5" s="40"/>
      <c r="X5" s="40"/>
      <c r="Y5" s="40"/>
      <c r="Z5" s="40"/>
      <c r="AA5" s="40"/>
      <c r="AB5" s="41"/>
      <c r="AC5" s="41"/>
    </row>
    <row r="6" spans="1:91" s="42" customFormat="1" ht="15.75" thickBot="1" x14ac:dyDescent="0.3">
      <c r="A6" s="2"/>
      <c r="E6" s="13"/>
      <c r="F6" s="13"/>
      <c r="G6" s="32"/>
      <c r="H6" s="13"/>
      <c r="I6" s="27" t="s">
        <v>43</v>
      </c>
      <c r="J6" s="3">
        <f>COUNT($O$13:$O$952)</f>
        <v>0</v>
      </c>
      <c r="K6" s="3"/>
      <c r="L6" s="3"/>
      <c r="M6" s="45">
        <f>IFERROR(AVERAGE($O$13:$O$952),0)</f>
        <v>0</v>
      </c>
      <c r="N6" s="5">
        <f>MIN($O$13:$O$952)</f>
        <v>0</v>
      </c>
      <c r="O6" s="6">
        <f>MAX($O$13:$O$952)</f>
        <v>0</v>
      </c>
      <c r="P6" s="4"/>
      <c r="V6" s="40"/>
      <c r="W6" s="40"/>
      <c r="X6" s="40"/>
      <c r="Y6" s="40"/>
      <c r="Z6" s="40"/>
      <c r="AA6" s="40"/>
      <c r="AB6" s="41"/>
      <c r="AC6" s="41"/>
    </row>
    <row r="7" spans="1:91" s="42" customFormat="1" ht="15.75" thickBot="1" x14ac:dyDescent="0.3">
      <c r="A7" s="2"/>
      <c r="E7" s="13"/>
      <c r="F7" s="13"/>
      <c r="G7" s="32"/>
      <c r="H7" s="13"/>
      <c r="I7" s="28" t="s">
        <v>9</v>
      </c>
      <c r="J7" s="3">
        <f>COUNT($P$13:$P$952)</f>
        <v>0</v>
      </c>
      <c r="K7" s="3"/>
      <c r="L7" s="3"/>
      <c r="M7" s="45" t="s">
        <v>15</v>
      </c>
      <c r="N7" s="5" t="s">
        <v>15</v>
      </c>
      <c r="O7" s="6" t="s">
        <v>15</v>
      </c>
      <c r="P7" s="4"/>
      <c r="V7" s="40"/>
      <c r="W7" s="40"/>
      <c r="X7" s="40"/>
      <c r="Y7" s="40"/>
      <c r="Z7" s="40"/>
      <c r="AA7" s="40"/>
      <c r="AB7" s="41"/>
      <c r="AC7" s="41"/>
    </row>
    <row r="8" spans="1:91" s="42" customFormat="1" ht="30.75" thickBot="1" x14ac:dyDescent="0.3">
      <c r="A8" s="2"/>
      <c r="E8" s="13"/>
      <c r="F8" s="13"/>
      <c r="G8" s="32"/>
      <c r="H8" s="13"/>
      <c r="I8" s="26" t="s">
        <v>16</v>
      </c>
      <c r="J8" s="3">
        <f>COUNT($N$13:$O$952)</f>
        <v>154</v>
      </c>
      <c r="K8" s="3"/>
      <c r="L8" s="3"/>
      <c r="M8" s="45">
        <f>AVERAGE($N$13:$P$952)</f>
        <v>81.542857143197921</v>
      </c>
      <c r="N8" s="5">
        <f>MIN($N$13:$O$952)</f>
        <v>2.8999999968800694</v>
      </c>
      <c r="O8" s="6">
        <f>MAX($N$13:$O$952)</f>
        <v>1241.9000000017695</v>
      </c>
      <c r="P8" s="4"/>
      <c r="V8" s="40"/>
      <c r="W8" s="40"/>
      <c r="X8" s="40"/>
      <c r="Y8" s="40"/>
      <c r="Z8" s="40"/>
      <c r="AA8" s="40"/>
      <c r="AB8" s="41"/>
      <c r="AC8" s="41"/>
    </row>
    <row r="9" spans="1:91" s="42" customFormat="1" ht="30.75" thickBot="1" x14ac:dyDescent="0.3">
      <c r="A9" s="2"/>
      <c r="E9" s="13"/>
      <c r="F9" s="13"/>
      <c r="G9" s="32"/>
      <c r="H9" s="13"/>
      <c r="I9" s="26" t="s">
        <v>19</v>
      </c>
      <c r="J9" s="7">
        <f>J8/J4</f>
        <v>1</v>
      </c>
      <c r="K9" s="7"/>
      <c r="L9" s="7"/>
      <c r="M9" s="1"/>
      <c r="N9" s="4"/>
      <c r="O9" s="4"/>
      <c r="P9" s="4"/>
      <c r="V9" s="40"/>
      <c r="W9" s="40"/>
      <c r="X9" s="40"/>
      <c r="Y9" s="40"/>
      <c r="Z9" s="40"/>
      <c r="AA9" s="40"/>
      <c r="AB9" s="41"/>
      <c r="AC9" s="41"/>
    </row>
    <row r="10" spans="1:91" s="42" customFormat="1" x14ac:dyDescent="0.25">
      <c r="A10" s="2"/>
      <c r="E10" s="13"/>
      <c r="F10" s="13"/>
      <c r="G10" s="32"/>
      <c r="H10" s="13"/>
      <c r="I10" s="13"/>
      <c r="M10" s="1"/>
      <c r="N10" s="4"/>
      <c r="O10" s="4"/>
      <c r="P10" s="4"/>
      <c r="V10" s="40"/>
      <c r="W10" s="40"/>
      <c r="X10" s="40"/>
      <c r="Y10" s="40"/>
      <c r="Z10" s="40"/>
      <c r="AA10" s="40"/>
      <c r="AB10" s="41"/>
      <c r="AC10" s="41"/>
    </row>
    <row r="11" spans="1:91" ht="57.75" customHeight="1" thickBot="1" x14ac:dyDescent="0.3">
      <c r="A11" s="80" t="str">
        <f>"Eagle P3 System Performance - "&amp;TEXT(Variables!A2,"yyyy-mm-dd")</f>
        <v>Eagle P3 System Performance - 2016-06-24</v>
      </c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</row>
    <row r="12" spans="1:91" s="10" customFormat="1" ht="69" customHeight="1" thickBot="1" x14ac:dyDescent="0.3">
      <c r="A12" s="33" t="s">
        <v>0</v>
      </c>
      <c r="B12" s="34" t="s">
        <v>44</v>
      </c>
      <c r="C12" s="34" t="s">
        <v>26</v>
      </c>
      <c r="D12" s="34" t="s">
        <v>1</v>
      </c>
      <c r="E12" s="35" t="s">
        <v>2</v>
      </c>
      <c r="F12" s="35" t="s">
        <v>3</v>
      </c>
      <c r="G12" s="36" t="s">
        <v>4</v>
      </c>
      <c r="H12" s="35" t="s">
        <v>5</v>
      </c>
      <c r="I12" s="35" t="s">
        <v>6</v>
      </c>
      <c r="J12" s="34" t="s">
        <v>7</v>
      </c>
      <c r="K12" s="34" t="s">
        <v>66</v>
      </c>
      <c r="L12" s="34" t="s">
        <v>48</v>
      </c>
      <c r="M12" s="37" t="s">
        <v>8</v>
      </c>
      <c r="N12" s="34" t="s">
        <v>41</v>
      </c>
      <c r="O12" s="38" t="s">
        <v>42</v>
      </c>
      <c r="P12" s="38" t="s">
        <v>18</v>
      </c>
      <c r="Q12" s="39" t="s">
        <v>47</v>
      </c>
      <c r="R12" s="39" t="s">
        <v>24</v>
      </c>
      <c r="S12" s="39" t="s">
        <v>122</v>
      </c>
      <c r="T12" s="9" t="s">
        <v>124</v>
      </c>
      <c r="U12" s="9" t="s">
        <v>125</v>
      </c>
      <c r="V12" s="46" t="s">
        <v>45</v>
      </c>
      <c r="W12" s="46" t="s">
        <v>23</v>
      </c>
      <c r="X12" s="46" t="s">
        <v>49</v>
      </c>
      <c r="Y12" s="46" t="s">
        <v>20</v>
      </c>
      <c r="Z12" s="46" t="s">
        <v>21</v>
      </c>
      <c r="AA12" s="46" t="s">
        <v>22</v>
      </c>
      <c r="AB12" s="47" t="s">
        <v>39</v>
      </c>
      <c r="AC12" s="47" t="s">
        <v>40</v>
      </c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</row>
    <row r="13" spans="1:91" s="2" customFormat="1" x14ac:dyDescent="0.25">
      <c r="A13" s="43" t="s">
        <v>233</v>
      </c>
      <c r="B13" s="43">
        <v>4020</v>
      </c>
      <c r="C13" s="43" t="s">
        <v>60</v>
      </c>
      <c r="D13" s="43" t="s">
        <v>234</v>
      </c>
      <c r="E13" s="25">
        <v>42546.13008101852</v>
      </c>
      <c r="F13" s="25">
        <v>42546.131863425922</v>
      </c>
      <c r="G13" s="31">
        <v>2</v>
      </c>
      <c r="H13" s="25" t="s">
        <v>235</v>
      </c>
      <c r="I13" s="25">
        <v>42546.161400462966</v>
      </c>
      <c r="J13" s="43">
        <v>0</v>
      </c>
      <c r="K13" s="43" t="str">
        <f>IF(ISEVEN(B13),(B13-1)&amp;"/"&amp;B13,B13&amp;"/"&amp;(B13+1))</f>
        <v>4019/4020</v>
      </c>
      <c r="L13" s="43" t="str">
        <f>VLOOKUP(A13,'Trips&amp;Operators'!$C$1:$E$10000,3,FALSE)</f>
        <v>CANFIELD</v>
      </c>
      <c r="M13" s="11">
        <f>I13-F13</f>
        <v>2.9537037044065073E-2</v>
      </c>
      <c r="N13" s="12">
        <f>24*60*SUM($M13:$M13)</f>
        <v>42.533333343453705</v>
      </c>
      <c r="O13" s="12"/>
      <c r="P13" s="12"/>
      <c r="Q13" s="44"/>
      <c r="R13" s="44"/>
      <c r="S13" s="70">
        <f>SUM(U13:U13)/12</f>
        <v>1</v>
      </c>
      <c r="T13" s="2" t="str">
        <f>IF(ISEVEN(LEFT(A13,3)),"Southbound","NorthBound")</f>
        <v>NorthBound</v>
      </c>
      <c r="U13" s="2">
        <f>COUNTIFS(Variables!$M$2:$M$19, "&gt;=" &amp; Y13, Variables!$M$2:$M$19, "&lt;=" &amp; Z13)</f>
        <v>12</v>
      </c>
      <c r="V13" s="48" t="str">
        <f>"https://search-rtdc-monitor-bjffxe2xuh6vdkpspy63sjmuny.us-east-1.es.amazonaws.com/_plugin/kibana/#/discover/Steve-Slow-Train-Analysis-(2080s-and-2083s)?_g=(refreshInterval:(display:Off,section:0,value:0),time:(from:'"&amp;TEXT(E13-1/24/60,"yyyy-MM-DD hh:mm:ss")&amp;"-0600',mode:absolute,to:'"&amp;TEXT(I13+1/24/60,"yyyy-MM-DD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https://search-rtdc-monitor-bjffxe2xuh6vdkpspy63sjmuny.us-east-1.es.amazonaws.com/_plugin/kibana/#/discover/Steve-Slow-Train-Analysis-(2080s-and-2083s)?_g=(refreshInterval:(display:Off,section:0,value:0),time:(from:'2016-06-25 03:06:19-0600',mode:absolute,to:'2016-06-25 03:53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3" s="48" t="str">
        <f>IF(AA13&lt;23,"Y","N")</f>
        <v>N</v>
      </c>
      <c r="X13" s="48" t="e">
        <f>VALUE(LEFT(A13,3))-VALUE(LEFT(A12,3))</f>
        <v>#VALUE!</v>
      </c>
      <c r="Y13" s="48">
        <f>RIGHT(D13,LEN(D13)-4)/10000</f>
        <v>7.6300000000000007E-2</v>
      </c>
      <c r="Z13" s="48">
        <f>RIGHT(H13,LEN(H13)-4)/10000</f>
        <v>23.3264</v>
      </c>
      <c r="AA13" s="48">
        <f>ABS(Z13-Y13)</f>
        <v>23.2501</v>
      </c>
      <c r="AB13" s="49" t="e">
        <f>VLOOKUP(A13,Enforcements!$C$7:$J$32,8,0)</f>
        <v>#N/A</v>
      </c>
      <c r="AC13" s="49" t="e">
        <f>VLOOKUP(A13,Enforcements!$C$7:$E$32,3,0)</f>
        <v>#N/A</v>
      </c>
    </row>
    <row r="14" spans="1:91" s="2" customFormat="1" x14ac:dyDescent="0.25">
      <c r="A14" s="43" t="s">
        <v>236</v>
      </c>
      <c r="B14" s="43">
        <v>4028</v>
      </c>
      <c r="C14" s="43" t="s">
        <v>60</v>
      </c>
      <c r="D14" s="43" t="s">
        <v>237</v>
      </c>
      <c r="E14" s="25">
        <v>42546.168796296297</v>
      </c>
      <c r="F14" s="25">
        <v>42546.172060185185</v>
      </c>
      <c r="G14" s="31">
        <v>4</v>
      </c>
      <c r="H14" s="25" t="s">
        <v>119</v>
      </c>
      <c r="I14" s="25">
        <v>42546.20071759259</v>
      </c>
      <c r="J14" s="43">
        <v>0</v>
      </c>
      <c r="K14" s="43" t="str">
        <f>IF(ISEVEN(B14),(B14-1)&amp;"/"&amp;B14,B14&amp;"/"&amp;(B14+1))</f>
        <v>4027/4028</v>
      </c>
      <c r="L14" s="43" t="str">
        <f>VLOOKUP(A14,'Trips&amp;Operators'!$C$1:$E$10000,3,FALSE)</f>
        <v>CANFIELD</v>
      </c>
      <c r="M14" s="11">
        <f>I14-F14</f>
        <v>2.8657407405262347E-2</v>
      </c>
      <c r="N14" s="12">
        <f>24*60*SUM($M14:$M14)</f>
        <v>41.26666666357778</v>
      </c>
      <c r="O14" s="12"/>
      <c r="P14" s="12"/>
      <c r="Q14" s="44"/>
      <c r="R14" s="44"/>
      <c r="S14" s="70">
        <f>SUM(U14:U14)/12</f>
        <v>1</v>
      </c>
      <c r="T14" s="2" t="str">
        <f>IF(ISEVEN(LEFT(A14,3)),"Southbound","NorthBound")</f>
        <v>Southbound</v>
      </c>
      <c r="U14" s="2">
        <f>COUNTIFS(Variables!$M$2:$M$19, "&lt;=" &amp; Y14, Variables!$M$2:$M$19, "&gt;=" &amp; Z14)</f>
        <v>12</v>
      </c>
      <c r="V14" s="48" t="str">
        <f>"https://search-rtdc-monitor-bjffxe2xuh6vdkpspy63sjmuny.us-east-1.es.amazonaws.com/_plugin/kibana/#/discover/Steve-Slow-Train-Analysis-(2080s-and-2083s)?_g=(refreshInterval:(display:Off,section:0,value:0),time:(from:'"&amp;TEXT(E14-1/24/60,"yyyy-MM-DD hh:mm:ss")&amp;"-0600',mode:absolute,to:'"&amp;TEXT(I14+1/24/60,"yyyy-MM-DD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&amp;"%22')),sort:!(Time,asc))"</f>
        <v>https://search-rtdc-monitor-bjffxe2xuh6vdkpspy63sjmuny.us-east-1.es.amazonaws.com/_plugin/kibana/#/discover/Steve-Slow-Train-Analysis-(2080s-and-2083s)?_g=(refreshInterval:(display:Off,section:0,value:0),time:(from:'2016-06-25 04:02:04-0600',mode:absolute,to:'2016-06-25 04:50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4" s="48" t="str">
        <f>IF(AA14&lt;23,"Y","N")</f>
        <v>N</v>
      </c>
      <c r="X14" s="48">
        <f>VALUE(LEFT(A14,3))-VALUE(LEFT(A13,3))</f>
        <v>1</v>
      </c>
      <c r="Y14" s="48">
        <f>RIGHT(D14,LEN(D14)-4)/10000</f>
        <v>23.264199999999999</v>
      </c>
      <c r="Z14" s="48">
        <f>RIGHT(H14,LEN(H14)-4)/10000</f>
        <v>1.4999999999999999E-2</v>
      </c>
      <c r="AA14" s="48">
        <f>ABS(Z14-Y14)</f>
        <v>23.249199999999998</v>
      </c>
      <c r="AB14" s="49" t="e">
        <f>VLOOKUP(A14,Enforcements!$C$7:$J$32,8,0)</f>
        <v>#N/A</v>
      </c>
      <c r="AC14" s="49" t="e">
        <f>VLOOKUP(A14,Enforcements!$C$7:$E$32,3,0)</f>
        <v>#N/A</v>
      </c>
    </row>
    <row r="15" spans="1:91" s="2" customFormat="1" x14ac:dyDescent="0.25">
      <c r="A15" s="43" t="s">
        <v>238</v>
      </c>
      <c r="B15" s="43">
        <v>4042</v>
      </c>
      <c r="C15" s="43" t="s">
        <v>60</v>
      </c>
      <c r="D15" s="43" t="s">
        <v>234</v>
      </c>
      <c r="E15" s="25">
        <v>42546.151342592595</v>
      </c>
      <c r="F15" s="25">
        <v>42546.153124999997</v>
      </c>
      <c r="G15" s="31">
        <v>2</v>
      </c>
      <c r="H15" s="25" t="s">
        <v>199</v>
      </c>
      <c r="I15" s="25">
        <v>42546.182592592595</v>
      </c>
      <c r="J15" s="43">
        <v>1</v>
      </c>
      <c r="K15" s="43" t="str">
        <f>IF(ISEVEN(B15),(B15-1)&amp;"/"&amp;B15,B15&amp;"/"&amp;(B15+1))</f>
        <v>4041/4042</v>
      </c>
      <c r="L15" s="43" t="str">
        <f>VLOOKUP(A15,'Trips&amp;Operators'!$C$1:$E$10000,3,FALSE)</f>
        <v>STURGEON</v>
      </c>
      <c r="M15" s="11">
        <f>I15-F15</f>
        <v>2.9467592597939074E-2</v>
      </c>
      <c r="N15" s="12">
        <f>24*60*SUM($M15:$M15)</f>
        <v>42.433333341032267</v>
      </c>
      <c r="O15" s="12"/>
      <c r="P15" s="12"/>
      <c r="Q15" s="44"/>
      <c r="R15" s="44"/>
      <c r="S15" s="70">
        <f>SUM(U15:U15)/12</f>
        <v>1</v>
      </c>
      <c r="T15" s="2" t="str">
        <f>IF(ISEVEN(LEFT(A15,3)),"Southbound","NorthBound")</f>
        <v>NorthBound</v>
      </c>
      <c r="U15" s="2">
        <f>COUNTIFS(Variables!$M$2:$M$19, "&gt;=" &amp; Y15, Variables!$M$2:$M$19, "&lt;=" &amp; Z15)</f>
        <v>12</v>
      </c>
      <c r="V15" s="48" t="str">
        <f>"https://search-rtdc-monitor-bjffxe2xuh6vdkpspy63sjmuny.us-east-1.es.amazonaws.com/_plugin/kibana/#/discover/Steve-Slow-Train-Analysis-(2080s-and-2083s)?_g=(refreshInterval:(display:Off,section:0,value:0),time:(from:'"&amp;TEXT(E15-1/24/60,"yyyy-MM-DD hh:mm:ss")&amp;"-0600',mode:absolute,to:'"&amp;TEXT(I15+1/24/60,"yyyy-MM-DD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&amp;"%22')),sort:!(Time,asc))"</f>
        <v>https://search-rtdc-monitor-bjffxe2xuh6vdkpspy63sjmuny.us-east-1.es.amazonaws.com/_plugin/kibana/#/discover/Steve-Slow-Train-Analysis-(2080s-and-2083s)?_g=(refreshInterval:(display:Off,section:0,value:0),time:(from:'2016-06-25 03:36:56-0600',mode:absolute,to:'2016-06-25 04:23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5" s="48" t="str">
        <f>IF(AA15&lt;23,"Y","N")</f>
        <v>N</v>
      </c>
      <c r="X15" s="48">
        <f>VALUE(LEFT(A15,3))-VALUE(LEFT(A14,3))</f>
        <v>1</v>
      </c>
      <c r="Y15" s="48">
        <f>RIGHT(D15,LEN(D15)-4)/10000</f>
        <v>7.6300000000000007E-2</v>
      </c>
      <c r="Z15" s="48">
        <f>RIGHT(H15,LEN(H15)-4)/10000</f>
        <v>23.328399999999998</v>
      </c>
      <c r="AA15" s="48">
        <f>ABS(Z15-Y15)</f>
        <v>23.252099999999999</v>
      </c>
      <c r="AB15" s="49">
        <f>VLOOKUP(A15,Enforcements!$C$7:$J$32,8,0)</f>
        <v>233491</v>
      </c>
      <c r="AC15" s="49" t="str">
        <f>VLOOKUP(A15,Enforcements!$C$7:$E$32,3,0)</f>
        <v>TRACK WARRANT AUTHORITY</v>
      </c>
    </row>
    <row r="16" spans="1:91" s="2" customFormat="1" x14ac:dyDescent="0.25">
      <c r="A16" s="43" t="s">
        <v>239</v>
      </c>
      <c r="B16" s="43">
        <v>4013</v>
      </c>
      <c r="C16" s="43" t="s">
        <v>60</v>
      </c>
      <c r="D16" s="43" t="s">
        <v>185</v>
      </c>
      <c r="E16" s="25">
        <v>42546.191203703704</v>
      </c>
      <c r="F16" s="25">
        <v>42546.192094907405</v>
      </c>
      <c r="G16" s="31">
        <v>1</v>
      </c>
      <c r="H16" s="25" t="s">
        <v>95</v>
      </c>
      <c r="I16" s="25">
        <v>42546.22184027778</v>
      </c>
      <c r="J16" s="43">
        <v>0</v>
      </c>
      <c r="K16" s="43" t="str">
        <f>IF(ISEVEN(B16),(B16-1)&amp;"/"&amp;B16,B16&amp;"/"&amp;(B16+1))</f>
        <v>4013/4014</v>
      </c>
      <c r="L16" s="43" t="str">
        <f>VLOOKUP(A16,'Trips&amp;Operators'!$C$1:$E$10000,3,FALSE)</f>
        <v>STURGEON</v>
      </c>
      <c r="M16" s="11">
        <f>I16-F16</f>
        <v>2.9745370375167113E-2</v>
      </c>
      <c r="N16" s="12">
        <f>24*60*SUM($M16:$M16)</f>
        <v>42.833333340240642</v>
      </c>
      <c r="O16" s="12"/>
      <c r="P16" s="12"/>
      <c r="Q16" s="44"/>
      <c r="R16" s="44"/>
      <c r="S16" s="70">
        <f>SUM(U16:U16)/12</f>
        <v>1</v>
      </c>
      <c r="T16" s="2" t="str">
        <f>IF(ISEVEN(LEFT(A16,3)),"Southbound","NorthBound")</f>
        <v>Southbound</v>
      </c>
      <c r="U16" s="2">
        <f>COUNTIFS(Variables!$M$2:$M$19, "&lt;=" &amp; Y16, Variables!$M$2:$M$19, "&gt;=" &amp; Z16)</f>
        <v>12</v>
      </c>
      <c r="V16" s="48" t="str">
        <f>"https://search-rtdc-monitor-bjffxe2xuh6vdkpspy63sjmuny.us-east-1.es.amazonaws.com/_plugin/kibana/#/discover/Steve-Slow-Train-Analysis-(2080s-and-2083s)?_g=(refreshInterval:(display:Off,section:0,value:0),time:(from:'"&amp;TEXT(E16-1/24/60,"yyyy-MM-DD hh:mm:ss")&amp;"-0600',mode:absolute,to:'"&amp;TEXT(I16+1/24/60,"yyyy-MM-DD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16&amp;"%22')),sort:!(Time,asc))"</f>
        <v>https://search-rtdc-monitor-bjffxe2xuh6vdkpspy63sjmuny.us-east-1.es.amazonaws.com/_plugin/kibana/#/discover/Steve-Slow-Train-Analysis-(2080s-and-2083s)?_g=(refreshInterval:(display:Off,section:0,value:0),time:(from:'2016-06-25 04:34:20-0600',mode:absolute,to:'2016-06-25 05:20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6" s="48" t="str">
        <f>IF(AA16&lt;23,"Y","N")</f>
        <v>N</v>
      </c>
      <c r="X16" s="48">
        <f>VALUE(LEFT(A16,3))-VALUE(LEFT(A15,3))</f>
        <v>1</v>
      </c>
      <c r="Y16" s="48">
        <f>RIGHT(D16,LEN(D16)-4)/10000</f>
        <v>23.263500000000001</v>
      </c>
      <c r="Z16" s="48">
        <f>RIGHT(H16,LEN(H16)-4)/10000</f>
        <v>1.61E-2</v>
      </c>
      <c r="AA16" s="48">
        <f>ABS(Z16-Y16)</f>
        <v>23.247399999999999</v>
      </c>
      <c r="AB16" s="49" t="e">
        <f>VLOOKUP(A16,Enforcements!$C$7:$J$32,8,0)</f>
        <v>#N/A</v>
      </c>
      <c r="AC16" s="49" t="e">
        <f>VLOOKUP(A16,Enforcements!$C$7:$E$32,3,0)</f>
        <v>#N/A</v>
      </c>
    </row>
    <row r="17" spans="1:29" s="2" customFormat="1" x14ac:dyDescent="0.25">
      <c r="A17" s="43" t="s">
        <v>240</v>
      </c>
      <c r="B17" s="43">
        <v>4044</v>
      </c>
      <c r="C17" s="43" t="s">
        <v>60</v>
      </c>
      <c r="D17" s="43" t="s">
        <v>241</v>
      </c>
      <c r="E17" s="25">
        <v>42546.166400462964</v>
      </c>
      <c r="F17" s="25">
        <v>42546.167337962965</v>
      </c>
      <c r="G17" s="31">
        <v>1</v>
      </c>
      <c r="H17" s="25" t="s">
        <v>174</v>
      </c>
      <c r="I17" s="25">
        <v>42546.202604166669</v>
      </c>
      <c r="J17" s="43">
        <v>0</v>
      </c>
      <c r="K17" s="43" t="str">
        <f>IF(ISEVEN(B17),(B17-1)&amp;"/"&amp;B17,B17&amp;"/"&amp;(B17+1))</f>
        <v>4043/4044</v>
      </c>
      <c r="L17" s="43" t="str">
        <f>VLOOKUP(A17,'Trips&amp;Operators'!$C$1:$E$10000,3,FALSE)</f>
        <v>YORK</v>
      </c>
      <c r="M17" s="11">
        <f>I17-F17</f>
        <v>3.5266203703940846E-2</v>
      </c>
      <c r="N17" s="12">
        <f>24*60*SUM($M17:$M17)</f>
        <v>50.783333333674818</v>
      </c>
      <c r="O17" s="12"/>
      <c r="P17" s="12"/>
      <c r="Q17" s="44"/>
      <c r="R17" s="44"/>
      <c r="S17" s="70">
        <f>SUM(U17:U17)/12</f>
        <v>1</v>
      </c>
      <c r="T17" s="2" t="str">
        <f>IF(ISEVEN(LEFT(A17,3)),"Southbound","NorthBound")</f>
        <v>NorthBound</v>
      </c>
      <c r="U17" s="2">
        <f>COUNTIFS(Variables!$M$2:$M$19, "&gt;=" &amp; Y17, Variables!$M$2:$M$19, "&lt;=" &amp; Z17)</f>
        <v>12</v>
      </c>
      <c r="V17" s="48" t="str">
        <f>"https://search-rtdc-monitor-bjffxe2xuh6vdkpspy63sjmuny.us-east-1.es.amazonaws.com/_plugin/kibana/#/discover/Steve-Slow-Train-Analysis-(2080s-and-2083s)?_g=(refreshInterval:(display:Off,section:0,value:0),time:(from:'"&amp;TEXT(E17-1/24/60,"yyyy-MM-DD hh:mm:ss")&amp;"-0600',mode:absolute,to:'"&amp;TEXT(I17+1/24/60,"yyyy-MM-DD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17&amp;"%22')),sort:!(Time,asc))"</f>
        <v>https://search-rtdc-monitor-bjffxe2xuh6vdkpspy63sjmuny.us-east-1.es.amazonaws.com/_plugin/kibana/#/discover/Steve-Slow-Train-Analysis-(2080s-and-2083s)?_g=(refreshInterval:(display:Off,section:0,value:0),time:(from:'2016-06-25 03:58:37-0600',mode:absolute,to:'2016-06-25 04:52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7" s="48" t="str">
        <f>IF(AA17&lt;23,"Y","N")</f>
        <v>N</v>
      </c>
      <c r="X17" s="48">
        <f>VALUE(LEFT(A17,3))-VALUE(LEFT(A16,3))</f>
        <v>1</v>
      </c>
      <c r="Y17" s="48">
        <f>RIGHT(D17,LEN(D17)-4)/10000</f>
        <v>6.59E-2</v>
      </c>
      <c r="Z17" s="48">
        <f>RIGHT(H17,LEN(H17)-4)/10000</f>
        <v>23.33</v>
      </c>
      <c r="AA17" s="48">
        <f>ABS(Z17-Y17)</f>
        <v>23.264099999999999</v>
      </c>
      <c r="AB17" s="49" t="e">
        <f>VLOOKUP(A17,Enforcements!$C$7:$J$32,8,0)</f>
        <v>#N/A</v>
      </c>
      <c r="AC17" s="49" t="e">
        <f>VLOOKUP(A17,Enforcements!$C$7:$E$32,3,0)</f>
        <v>#N/A</v>
      </c>
    </row>
    <row r="18" spans="1:29" s="2" customFormat="1" x14ac:dyDescent="0.25">
      <c r="A18" s="43" t="s">
        <v>242</v>
      </c>
      <c r="B18" s="43">
        <v>4026</v>
      </c>
      <c r="C18" s="43" t="s">
        <v>60</v>
      </c>
      <c r="D18" s="43" t="s">
        <v>243</v>
      </c>
      <c r="E18" s="25">
        <v>42546.204224537039</v>
      </c>
      <c r="F18" s="25">
        <v>42546.205243055556</v>
      </c>
      <c r="G18" s="31">
        <v>1</v>
      </c>
      <c r="H18" s="25" t="s">
        <v>109</v>
      </c>
      <c r="I18" s="25">
        <v>42546.242476851854</v>
      </c>
      <c r="J18" s="43">
        <v>1</v>
      </c>
      <c r="K18" s="43" t="str">
        <f>IF(ISEVEN(B18),(B18-1)&amp;"/"&amp;B18,B18&amp;"/"&amp;(B18+1))</f>
        <v>4025/4026</v>
      </c>
      <c r="L18" s="43" t="str">
        <f>VLOOKUP(A18,'Trips&amp;Operators'!$C$1:$E$10000,3,FALSE)</f>
        <v>YORK</v>
      </c>
      <c r="M18" s="11">
        <f>I18-F18</f>
        <v>3.7233796298096422E-2</v>
      </c>
      <c r="N18" s="12">
        <f>24*60*SUM($M18:$M18)</f>
        <v>53.616666669258848</v>
      </c>
      <c r="O18" s="12"/>
      <c r="P18" s="12"/>
      <c r="Q18" s="44"/>
      <c r="R18" s="44"/>
      <c r="S18" s="70">
        <f>SUM(U18:U18)/12</f>
        <v>1</v>
      </c>
      <c r="T18" s="2" t="str">
        <f>IF(ISEVEN(LEFT(A18,3)),"Southbound","NorthBound")</f>
        <v>Southbound</v>
      </c>
      <c r="U18" s="2">
        <f>COUNTIFS(Variables!$M$2:$M$19, "&lt;=" &amp; Y18, Variables!$M$2:$M$19, "&gt;=" &amp; Z18)</f>
        <v>12</v>
      </c>
      <c r="V18" s="48" t="str">
        <f>"https://search-rtdc-monitor-bjffxe2xuh6vdkpspy63sjmuny.us-east-1.es.amazonaws.com/_plugin/kibana/#/discover/Steve-Slow-Train-Analysis-(2080s-and-2083s)?_g=(refreshInterval:(display:Off,section:0,value:0),time:(from:'"&amp;TEXT(E18-1/24/60,"yyyy-MM-DD hh:mm:ss")&amp;"-0600',mode:absolute,to:'"&amp;TEXT(I18+1/24/60,"yyyy-MM-DD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18&amp;"%22')),sort:!(Time,asc))"</f>
        <v>https://search-rtdc-monitor-bjffxe2xuh6vdkpspy63sjmuny.us-east-1.es.amazonaws.com/_plugin/kibana/#/discover/Steve-Slow-Train-Analysis-(2080s-and-2083s)?_g=(refreshInterval:(display:Off,section:0,value:0),time:(from:'2016-06-25 04:53:05-0600',mode:absolute,to:'2016-06-25 05:50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8" s="48" t="str">
        <f>IF(AA18&lt;23,"Y","N")</f>
        <v>N</v>
      </c>
      <c r="X18" s="48">
        <f>VALUE(LEFT(A18,3))-VALUE(LEFT(A17,3))</f>
        <v>1</v>
      </c>
      <c r="Y18" s="48">
        <f>RIGHT(D18,LEN(D18)-4)/10000</f>
        <v>23.266200000000001</v>
      </c>
      <c r="Z18" s="48">
        <f>RIGHT(H18,LEN(H18)-4)/10000</f>
        <v>1.6299999999999999E-2</v>
      </c>
      <c r="AA18" s="48">
        <f>ABS(Z18-Y18)</f>
        <v>23.2499</v>
      </c>
      <c r="AB18" s="49">
        <f>VLOOKUP(A18,Enforcements!$C$7:$J$32,8,0)</f>
        <v>156300</v>
      </c>
      <c r="AC18" s="49" t="str">
        <f>VLOOKUP(A18,Enforcements!$C$7:$E$32,3,0)</f>
        <v>SWITCH UNKNOWN</v>
      </c>
    </row>
    <row r="19" spans="1:29" s="2" customFormat="1" x14ac:dyDescent="0.25">
      <c r="A19" s="43" t="s">
        <v>244</v>
      </c>
      <c r="B19" s="43">
        <v>4007</v>
      </c>
      <c r="C19" s="43" t="s">
        <v>60</v>
      </c>
      <c r="D19" s="43" t="s">
        <v>245</v>
      </c>
      <c r="E19" s="25">
        <v>42546.178946759261</v>
      </c>
      <c r="F19" s="25">
        <v>42546.180324074077</v>
      </c>
      <c r="G19" s="31">
        <v>1</v>
      </c>
      <c r="H19" s="25" t="s">
        <v>208</v>
      </c>
      <c r="I19" s="25">
        <v>42546.21361111111</v>
      </c>
      <c r="J19" s="43">
        <v>0</v>
      </c>
      <c r="K19" s="43" t="str">
        <f>IF(ISEVEN(B19),(B19-1)&amp;"/"&amp;B19,B19&amp;"/"&amp;(B19+1))</f>
        <v>4007/4008</v>
      </c>
      <c r="L19" s="43" t="str">
        <f>VLOOKUP(A19,'Trips&amp;Operators'!$C$1:$E$10000,3,FALSE)</f>
        <v>SANTIZO</v>
      </c>
      <c r="M19" s="11">
        <f>I19-F19</f>
        <v>3.3287037033005618E-2</v>
      </c>
      <c r="N19" s="12">
        <f>24*60*SUM($M19:$M19)</f>
        <v>47.933333327528089</v>
      </c>
      <c r="O19" s="12"/>
      <c r="P19" s="12"/>
      <c r="Q19" s="44"/>
      <c r="R19" s="44"/>
      <c r="S19" s="70">
        <f>SUM(U19:U19)/12</f>
        <v>1</v>
      </c>
      <c r="T19" s="2" t="str">
        <f>IF(ISEVEN(LEFT(A19,3)),"Southbound","NorthBound")</f>
        <v>NorthBound</v>
      </c>
      <c r="U19" s="2">
        <f>COUNTIFS(Variables!$M$2:$M$19, "&gt;=" &amp; Y19, Variables!$M$2:$M$19, "&lt;=" &amp; Z19)</f>
        <v>12</v>
      </c>
      <c r="V19" s="48" t="str">
        <f>"https://search-rtdc-monitor-bjffxe2xuh6vdkpspy63sjmuny.us-east-1.es.amazonaws.com/_plugin/kibana/#/discover/Steve-Slow-Train-Analysis-(2080s-and-2083s)?_g=(refreshInterval:(display:Off,section:0,value:0),time:(from:'"&amp;TEXT(E19-1/24/60,"yyyy-MM-DD hh:mm:ss")&amp;"-0600',mode:absolute,to:'"&amp;TEXT(I19+1/24/60,"yyyy-MM-DD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19&amp;"%22')),sort:!(Time,asc))"</f>
        <v>https://search-rtdc-monitor-bjffxe2xuh6vdkpspy63sjmuny.us-east-1.es.amazonaws.com/_plugin/kibana/#/discover/Steve-Slow-Train-Analysis-(2080s-and-2083s)?_g=(refreshInterval:(display:Off,section:0,value:0),time:(from:'2016-06-25 04:16:41-0600',mode:absolute,to:'2016-06-25 05:08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9" s="48" t="str">
        <f>IF(AA19&lt;23,"Y","N")</f>
        <v>N</v>
      </c>
      <c r="X19" s="48">
        <f>VALUE(LEFT(A19,3))-VALUE(LEFT(A18,3))</f>
        <v>1</v>
      </c>
      <c r="Y19" s="48">
        <f>RIGHT(D19,LEN(D19)-4)/10000</f>
        <v>4.8599999999999997E-2</v>
      </c>
      <c r="Z19" s="48">
        <f>RIGHT(H19,LEN(H19)-4)/10000</f>
        <v>23.331199999999999</v>
      </c>
      <c r="AA19" s="48">
        <f>ABS(Z19-Y19)</f>
        <v>23.282599999999999</v>
      </c>
      <c r="AB19" s="49" t="e">
        <f>VLOOKUP(A19,Enforcements!$C$7:$J$32,8,0)</f>
        <v>#N/A</v>
      </c>
      <c r="AC19" s="49" t="e">
        <f>VLOOKUP(A19,Enforcements!$C$7:$E$32,3,0)</f>
        <v>#N/A</v>
      </c>
    </row>
    <row r="20" spans="1:29" s="2" customFormat="1" x14ac:dyDescent="0.25">
      <c r="A20" s="43" t="s">
        <v>246</v>
      </c>
      <c r="B20" s="43">
        <v>4008</v>
      </c>
      <c r="C20" s="43" t="s">
        <v>60</v>
      </c>
      <c r="D20" s="43" t="s">
        <v>120</v>
      </c>
      <c r="E20" s="25">
        <v>42546.215578703705</v>
      </c>
      <c r="F20" s="25">
        <v>42546.216631944444</v>
      </c>
      <c r="G20" s="31">
        <v>1</v>
      </c>
      <c r="H20" s="25" t="s">
        <v>74</v>
      </c>
      <c r="I20" s="25">
        <v>42546.252210648148</v>
      </c>
      <c r="J20" s="43">
        <v>0</v>
      </c>
      <c r="K20" s="43" t="str">
        <f>IF(ISEVEN(B20),(B20-1)&amp;"/"&amp;B20,B20&amp;"/"&amp;(B20+1))</f>
        <v>4007/4008</v>
      </c>
      <c r="L20" s="43" t="str">
        <f>VLOOKUP(A20,'Trips&amp;Operators'!$C$1:$E$10000,3,FALSE)</f>
        <v>SANTIZO</v>
      </c>
      <c r="M20" s="11">
        <f>I20-F20</f>
        <v>3.5578703704231884E-2</v>
      </c>
      <c r="N20" s="12">
        <f>24*60*SUM($M20:$M20)</f>
        <v>51.233333334093913</v>
      </c>
      <c r="O20" s="12"/>
      <c r="P20" s="12"/>
      <c r="Q20" s="44"/>
      <c r="R20" s="44"/>
      <c r="S20" s="70">
        <f>SUM(U20:U20)/12</f>
        <v>1</v>
      </c>
      <c r="T20" s="2" t="str">
        <f>IF(ISEVEN(LEFT(A20,3)),"Southbound","NorthBound")</f>
        <v>Southbound</v>
      </c>
      <c r="U20" s="2">
        <f>COUNTIFS(Variables!$M$2:$M$19, "&lt;=" &amp; Y20, Variables!$M$2:$M$19, "&gt;=" &amp; Z20)</f>
        <v>12</v>
      </c>
      <c r="V20" s="48" t="str">
        <f>"https://search-rtdc-monitor-bjffxe2xuh6vdkpspy63sjmuny.us-east-1.es.amazonaws.com/_plugin/kibana/#/discover/Steve-Slow-Train-Analysis-(2080s-and-2083s)?_g=(refreshInterval:(display:Off,section:0,value:0),time:(from:'"&amp;TEXT(E20-1/24/60,"yyyy-MM-DD hh:mm:ss")&amp;"-0600',mode:absolute,to:'"&amp;TEXT(I20+1/24/60,"yyyy-MM-DD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20&amp;"%22')),sort:!(Time,asc))"</f>
        <v>https://search-rtdc-monitor-bjffxe2xuh6vdkpspy63sjmuny.us-east-1.es.amazonaws.com/_plugin/kibana/#/discover/Steve-Slow-Train-Analysis-(2080s-and-2083s)?_g=(refreshInterval:(display:Off,section:0,value:0),time:(from:'2016-06-25 05:09:26-0600',mode:absolute,to:'2016-06-25 06:04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20" s="48" t="str">
        <f>IF(AA20&lt;23,"Y","N")</f>
        <v>N</v>
      </c>
      <c r="X20" s="48">
        <f>VALUE(LEFT(A20,3))-VALUE(LEFT(A19,3))</f>
        <v>1</v>
      </c>
      <c r="Y20" s="48">
        <f>RIGHT(D20,LEN(D20)-4)/10000</f>
        <v>23.2986</v>
      </c>
      <c r="Z20" s="48">
        <f>RIGHT(H20,LEN(H20)-4)/10000</f>
        <v>1.41E-2</v>
      </c>
      <c r="AA20" s="48">
        <f>ABS(Z20-Y20)</f>
        <v>23.284500000000001</v>
      </c>
      <c r="AB20" s="49" t="e">
        <f>VLOOKUP(A20,Enforcements!$C$7:$J$32,8,0)</f>
        <v>#N/A</v>
      </c>
      <c r="AC20" s="49" t="e">
        <f>VLOOKUP(A20,Enforcements!$C$7:$E$32,3,0)</f>
        <v>#N/A</v>
      </c>
    </row>
    <row r="21" spans="1:29" s="2" customFormat="1" x14ac:dyDescent="0.25">
      <c r="A21" s="43" t="s">
        <v>247</v>
      </c>
      <c r="B21" s="43">
        <v>4024</v>
      </c>
      <c r="C21" s="43" t="s">
        <v>60</v>
      </c>
      <c r="D21" s="43" t="s">
        <v>161</v>
      </c>
      <c r="E21" s="25">
        <v>42546.196030092593</v>
      </c>
      <c r="F21" s="25">
        <v>42546.19703703704</v>
      </c>
      <c r="G21" s="31">
        <v>1</v>
      </c>
      <c r="H21" s="25" t="s">
        <v>248</v>
      </c>
      <c r="I21" s="25">
        <v>42546.223437499997</v>
      </c>
      <c r="J21" s="43">
        <v>1</v>
      </c>
      <c r="K21" s="43" t="str">
        <f>IF(ISEVEN(B21),(B21-1)&amp;"/"&amp;B21,B21&amp;"/"&amp;(B21+1))</f>
        <v>4023/4024</v>
      </c>
      <c r="L21" s="43" t="str">
        <f>VLOOKUP(A21,'Trips&amp;Operators'!$C$1:$E$10000,3,FALSE)</f>
        <v>MALAVE</v>
      </c>
      <c r="M21" s="11">
        <f>I21-F21</f>
        <v>2.640046295709908E-2</v>
      </c>
      <c r="N21" s="12">
        <f>24*60*SUM($M21:$M21)</f>
        <v>38.016666658222675</v>
      </c>
      <c r="O21" s="12"/>
      <c r="P21" s="12"/>
      <c r="Q21" s="44"/>
      <c r="R21" s="44"/>
      <c r="S21" s="70">
        <f>SUM(U21:U21)/12</f>
        <v>1</v>
      </c>
      <c r="T21" s="2" t="str">
        <f>IF(ISEVEN(LEFT(A21,3)),"Southbound","NorthBound")</f>
        <v>NorthBound</v>
      </c>
      <c r="U21" s="2">
        <f>COUNTIFS(Variables!$M$2:$M$19, "&gt;=" &amp; Y21, Variables!$M$2:$M$19, "&lt;=" &amp; Z21)</f>
        <v>12</v>
      </c>
      <c r="V21" s="48" t="str">
        <f>"https://search-rtdc-monitor-bjffxe2xuh6vdkpspy63sjmuny.us-east-1.es.amazonaws.com/_plugin/kibana/#/discover/Steve-Slow-Train-Analysis-(2080s-and-2083s)?_g=(refreshInterval:(display:Off,section:0,value:0),time:(from:'"&amp;TEXT(E21-1/24/60,"yyyy-MM-DD hh:mm:ss")&amp;"-0600',mode:absolute,to:'"&amp;TEXT(I21+1/24/60,"yyyy-MM-DD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21&amp;"%22')),sort:!(Time,asc))"</f>
        <v>https://search-rtdc-monitor-bjffxe2xuh6vdkpspy63sjmuny.us-east-1.es.amazonaws.com/_plugin/kibana/#/discover/Steve-Slow-Train-Analysis-(2080s-and-2083s)?_g=(refreshInterval:(display:Off,section:0,value:0),time:(from:'2016-06-25 04:41:17-0600',mode:absolute,to:'2016-06-25 05:22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21" s="48" t="str">
        <f>IF(AA21&lt;23,"Y","N")</f>
        <v>N</v>
      </c>
      <c r="X21" s="48">
        <f>VALUE(LEFT(A21,3))-VALUE(LEFT(A20,3))</f>
        <v>1</v>
      </c>
      <c r="Y21" s="48">
        <f>RIGHT(D21,LEN(D21)-4)/10000</f>
        <v>4.7500000000000001E-2</v>
      </c>
      <c r="Z21" s="48">
        <f>RIGHT(H21,LEN(H21)-4)/10000</f>
        <v>23.3308</v>
      </c>
      <c r="AA21" s="48">
        <f>ABS(Z21-Y21)</f>
        <v>23.283300000000001</v>
      </c>
      <c r="AB21" s="49">
        <f>VLOOKUP(A21,Enforcements!$C$7:$J$32,8,0)</f>
        <v>63068</v>
      </c>
      <c r="AC21" s="49" t="str">
        <f>VLOOKUP(A21,Enforcements!$C$7:$E$32,3,0)</f>
        <v>GRADE CROSSING</v>
      </c>
    </row>
    <row r="22" spans="1:29" s="2" customFormat="1" x14ac:dyDescent="0.25">
      <c r="A22" s="43" t="s">
        <v>249</v>
      </c>
      <c r="B22" s="43">
        <v>4023</v>
      </c>
      <c r="C22" s="43" t="s">
        <v>60</v>
      </c>
      <c r="D22" s="43" t="s">
        <v>175</v>
      </c>
      <c r="E22" s="25">
        <v>42546.233541666668</v>
      </c>
      <c r="F22" s="25">
        <v>42546.234305555554</v>
      </c>
      <c r="G22" s="31">
        <v>1</v>
      </c>
      <c r="H22" s="25" t="s">
        <v>119</v>
      </c>
      <c r="I22" s="25">
        <v>42546.263969907406</v>
      </c>
      <c r="J22" s="43">
        <v>1</v>
      </c>
      <c r="K22" s="43" t="str">
        <f>IF(ISEVEN(B22),(B22-1)&amp;"/"&amp;B22,B22&amp;"/"&amp;(B22+1))</f>
        <v>4023/4024</v>
      </c>
      <c r="L22" s="43" t="str">
        <f>VLOOKUP(A22,'Trips&amp;Operators'!$C$1:$E$10000,3,FALSE)</f>
        <v>MALAVE</v>
      </c>
      <c r="M22" s="11">
        <f>I22-F22</f>
        <v>2.9664351852261461E-2</v>
      </c>
      <c r="N22" s="12">
        <f>24*60*SUM($M22:$M22)</f>
        <v>42.716666667256504</v>
      </c>
      <c r="O22" s="12"/>
      <c r="P22" s="12"/>
      <c r="Q22" s="44"/>
      <c r="R22" s="44"/>
      <c r="S22" s="70">
        <f>SUM(U22:U22)/12</f>
        <v>1</v>
      </c>
      <c r="T22" s="2" t="str">
        <f>IF(ISEVEN(LEFT(A22,3)),"Southbound","NorthBound")</f>
        <v>Southbound</v>
      </c>
      <c r="U22" s="2">
        <f>COUNTIFS(Variables!$M$2:$M$19, "&lt;=" &amp; Y22, Variables!$M$2:$M$19, "&gt;=" &amp; Z22)</f>
        <v>12</v>
      </c>
      <c r="V22" s="48" t="str">
        <f>"https://search-rtdc-monitor-bjffxe2xuh6vdkpspy63sjmuny.us-east-1.es.amazonaws.com/_plugin/kibana/#/discover/Steve-Slow-Train-Analysis-(2080s-and-2083s)?_g=(refreshInterval:(display:Off,section:0,value:0),time:(from:'"&amp;TEXT(E22-1/24/60,"yyyy-MM-DD hh:mm:ss")&amp;"-0600',mode:absolute,to:'"&amp;TEXT(I22+1/24/60,"yyyy-MM-DD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22&amp;"%22')),sort:!(Time,asc))"</f>
        <v>https://search-rtdc-monitor-bjffxe2xuh6vdkpspy63sjmuny.us-east-1.es.amazonaws.com/_plugin/kibana/#/discover/Steve-Slow-Train-Analysis-(2080s-and-2083s)?_g=(refreshInterval:(display:Off,section:0,value:0),time:(from:'2016-06-25 05:35:18-0600',mode:absolute,to:'2016-06-25 06:21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22" s="48" t="str">
        <f>IF(AA22&lt;23,"Y","N")</f>
        <v>N</v>
      </c>
      <c r="X22" s="48">
        <f>VALUE(LEFT(A22,3))-VALUE(LEFT(A21,3))</f>
        <v>1</v>
      </c>
      <c r="Y22" s="48">
        <f>RIGHT(D22,LEN(D22)-4)/10000</f>
        <v>23.298500000000001</v>
      </c>
      <c r="Z22" s="48">
        <f>RIGHT(H22,LEN(H22)-4)/10000</f>
        <v>1.4999999999999999E-2</v>
      </c>
      <c r="AA22" s="48">
        <f>ABS(Z22-Y22)</f>
        <v>23.2835</v>
      </c>
      <c r="AB22" s="49">
        <f>VLOOKUP(A22,Enforcements!$C$7:$J$32,8,0)</f>
        <v>1</v>
      </c>
      <c r="AC22" s="49" t="str">
        <f>VLOOKUP(A22,Enforcements!$C$7:$E$32,3,0)</f>
        <v>TRACK WARRANT AUTHORITY</v>
      </c>
    </row>
    <row r="23" spans="1:29" s="2" customFormat="1" x14ac:dyDescent="0.25">
      <c r="A23" s="43" t="s">
        <v>250</v>
      </c>
      <c r="B23" s="43">
        <v>4020</v>
      </c>
      <c r="C23" s="43" t="s">
        <v>60</v>
      </c>
      <c r="D23" s="43" t="s">
        <v>251</v>
      </c>
      <c r="E23" s="25">
        <v>42546.204421296294</v>
      </c>
      <c r="F23" s="25">
        <v>42546.206261574072</v>
      </c>
      <c r="G23" s="31">
        <v>2</v>
      </c>
      <c r="H23" s="25" t="s">
        <v>186</v>
      </c>
      <c r="I23" s="25">
        <v>42546.233923611115</v>
      </c>
      <c r="J23" s="43">
        <v>0</v>
      </c>
      <c r="K23" s="43" t="str">
        <f>IF(ISEVEN(B23),(B23-1)&amp;"/"&amp;B23,B23&amp;"/"&amp;(B23+1))</f>
        <v>4019/4020</v>
      </c>
      <c r="L23" s="43" t="str">
        <f>VLOOKUP(A23,'Trips&amp;Operators'!$C$1:$E$10000,3,FALSE)</f>
        <v>GEBRETEKLE</v>
      </c>
      <c r="M23" s="11">
        <f>I23-F23</f>
        <v>2.7662037042318843E-2</v>
      </c>
      <c r="N23" s="12">
        <f>24*60*SUM($M23:$M23)</f>
        <v>39.833333340939134</v>
      </c>
      <c r="O23" s="12"/>
      <c r="P23" s="12"/>
      <c r="Q23" s="44"/>
      <c r="R23" s="44"/>
      <c r="S23" s="70">
        <f>SUM(U23:U23)/12</f>
        <v>1</v>
      </c>
      <c r="T23" s="2" t="str">
        <f>IF(ISEVEN(LEFT(A23,3)),"Southbound","NorthBound")</f>
        <v>NorthBound</v>
      </c>
      <c r="U23" s="2">
        <f>COUNTIFS(Variables!$M$2:$M$19, "&gt;=" &amp; Y23, Variables!$M$2:$M$19, "&lt;=" &amp; Z23)</f>
        <v>12</v>
      </c>
      <c r="V23" s="48" t="str">
        <f>"https://search-rtdc-monitor-bjffxe2xuh6vdkpspy63sjmuny.us-east-1.es.amazonaws.com/_plugin/kibana/#/discover/Steve-Slow-Train-Analysis-(2080s-and-2083s)?_g=(refreshInterval:(display:Off,section:0,value:0),time:(from:'"&amp;TEXT(E23-1/24/60,"yyyy-MM-DD hh:mm:ss")&amp;"-0600',mode:absolute,to:'"&amp;TEXT(I23+1/24/60,"yyyy-MM-DD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23&amp;"%22')),sort:!(Time,asc))"</f>
        <v>https://search-rtdc-monitor-bjffxe2xuh6vdkpspy63sjmuny.us-east-1.es.amazonaws.com/_plugin/kibana/#/discover/Steve-Slow-Train-Analysis-(2080s-and-2083s)?_g=(refreshInterval:(display:Off,section:0,value:0),time:(from:'2016-06-25 04:53:22-0600',mode:absolute,to:'2016-06-25 05:37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23" s="48" t="str">
        <f>IF(AA23&lt;23,"Y","N")</f>
        <v>N</v>
      </c>
      <c r="X23" s="48">
        <f>VALUE(LEFT(A23,3))-VALUE(LEFT(A22,3))</f>
        <v>1</v>
      </c>
      <c r="Y23" s="48">
        <f>RIGHT(D23,LEN(D23)-4)/10000</f>
        <v>7.8100000000000003E-2</v>
      </c>
      <c r="Z23" s="48">
        <f>RIGHT(H23,LEN(H23)-4)/10000</f>
        <v>23.329899999999999</v>
      </c>
      <c r="AA23" s="48">
        <f>ABS(Z23-Y23)</f>
        <v>23.251799999999999</v>
      </c>
      <c r="AB23" s="49" t="e">
        <f>VLOOKUP(A23,Enforcements!$C$7:$J$32,8,0)</f>
        <v>#N/A</v>
      </c>
      <c r="AC23" s="49" t="e">
        <f>VLOOKUP(A23,Enforcements!$C$7:$E$32,3,0)</f>
        <v>#N/A</v>
      </c>
    </row>
    <row r="24" spans="1:29" s="2" customFormat="1" x14ac:dyDescent="0.25">
      <c r="A24" s="43" t="s">
        <v>252</v>
      </c>
      <c r="B24" s="43">
        <v>4019</v>
      </c>
      <c r="C24" s="43" t="s">
        <v>60</v>
      </c>
      <c r="D24" s="43" t="s">
        <v>86</v>
      </c>
      <c r="E24" s="25">
        <v>42546.243009259262</v>
      </c>
      <c r="F24" s="25">
        <v>42546.244259259256</v>
      </c>
      <c r="G24" s="31">
        <v>1</v>
      </c>
      <c r="H24" s="25" t="s">
        <v>154</v>
      </c>
      <c r="I24" s="25">
        <v>42546.274062500001</v>
      </c>
      <c r="J24" s="43">
        <v>0</v>
      </c>
      <c r="K24" s="43" t="str">
        <f>IF(ISEVEN(B24),(B24-1)&amp;"/"&amp;B24,B24&amp;"/"&amp;(B24+1))</f>
        <v>4019/4020</v>
      </c>
      <c r="L24" s="43" t="str">
        <f>VLOOKUP(A24,'Trips&amp;Operators'!$C$1:$E$10000,3,FALSE)</f>
        <v>GEBRETEKLE</v>
      </c>
      <c r="M24" s="11">
        <f>I24-F24</f>
        <v>2.980324074451346E-2</v>
      </c>
      <c r="N24" s="12">
        <f>24*60*SUM($M24:$M24)</f>
        <v>42.916666672099382</v>
      </c>
      <c r="O24" s="12"/>
      <c r="P24" s="12"/>
      <c r="Q24" s="44"/>
      <c r="R24" s="44"/>
      <c r="S24" s="70">
        <f>SUM(U24:U24)/12</f>
        <v>1</v>
      </c>
      <c r="T24" s="2" t="str">
        <f>IF(ISEVEN(LEFT(A24,3)),"Southbound","NorthBound")</f>
        <v>Southbound</v>
      </c>
      <c r="U24" s="2">
        <f>COUNTIFS(Variables!$M$2:$M$19, "&lt;=" &amp; Y24, Variables!$M$2:$M$19, "&gt;=" &amp; Z24)</f>
        <v>12</v>
      </c>
      <c r="V24" s="48" t="str">
        <f>"https://search-rtdc-monitor-bjffxe2xuh6vdkpspy63sjmuny.us-east-1.es.amazonaws.com/_plugin/kibana/#/discover/Steve-Slow-Train-Analysis-(2080s-and-2083s)?_g=(refreshInterval:(display:Off,section:0,value:0),time:(from:'"&amp;TEXT(E24-1/24/60,"yyyy-MM-DD hh:mm:ss")&amp;"-0600',mode:absolute,to:'"&amp;TEXT(I24+1/24/60,"yyyy-MM-DD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24&amp;"%22')),sort:!(Time,asc))"</f>
        <v>https://search-rtdc-monitor-bjffxe2xuh6vdkpspy63sjmuny.us-east-1.es.amazonaws.com/_plugin/kibana/#/discover/Steve-Slow-Train-Analysis-(2080s-and-2083s)?_g=(refreshInterval:(display:Off,section:0,value:0),time:(from:'2016-06-25 05:48:56-0600',mode:absolute,to:'2016-06-25 06:35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24" s="48" t="str">
        <f>IF(AA24&lt;23,"Y","N")</f>
        <v>N</v>
      </c>
      <c r="X24" s="48">
        <f>VALUE(LEFT(A24,3))-VALUE(LEFT(A23,3))</f>
        <v>1</v>
      </c>
      <c r="Y24" s="48">
        <f>RIGHT(D24,LEN(D24)-4)/10000</f>
        <v>23.297499999999999</v>
      </c>
      <c r="Z24" s="48">
        <f>RIGHT(H24,LEN(H24)-4)/10000</f>
        <v>1.2500000000000001E-2</v>
      </c>
      <c r="AA24" s="48">
        <f>ABS(Z24-Y24)</f>
        <v>23.285</v>
      </c>
      <c r="AB24" s="49" t="e">
        <f>VLOOKUP(A24,Enforcements!$C$7:$J$32,8,0)</f>
        <v>#N/A</v>
      </c>
      <c r="AC24" s="49" t="e">
        <f>VLOOKUP(A24,Enforcements!$C$7:$E$32,3,0)</f>
        <v>#N/A</v>
      </c>
    </row>
    <row r="25" spans="1:29" s="2" customFormat="1" x14ac:dyDescent="0.25">
      <c r="A25" s="43" t="s">
        <v>253</v>
      </c>
      <c r="B25" s="43">
        <v>4027</v>
      </c>
      <c r="C25" s="43" t="s">
        <v>60</v>
      </c>
      <c r="D25" s="43" t="s">
        <v>83</v>
      </c>
      <c r="E25" s="25">
        <v>42546.20884259259</v>
      </c>
      <c r="F25" s="25">
        <v>42546.209907407407</v>
      </c>
      <c r="G25" s="31">
        <v>1</v>
      </c>
      <c r="H25" s="25" t="s">
        <v>159</v>
      </c>
      <c r="I25" s="25">
        <v>42546.245219907411</v>
      </c>
      <c r="J25" s="43">
        <v>0</v>
      </c>
      <c r="K25" s="43" t="str">
        <f>IF(ISEVEN(B25),(B25-1)&amp;"/"&amp;B25,B25&amp;"/"&amp;(B25+1))</f>
        <v>4027/4028</v>
      </c>
      <c r="L25" s="43" t="str">
        <f>VLOOKUP(A25,'Trips&amp;Operators'!$C$1:$E$10000,3,FALSE)</f>
        <v>CANFIELD</v>
      </c>
      <c r="M25" s="11">
        <f>I25-F25</f>
        <v>3.5312500003783498E-2</v>
      </c>
      <c r="N25" s="12">
        <f>24*60*SUM($M25:$M25)</f>
        <v>50.850000005448237</v>
      </c>
      <c r="O25" s="12"/>
      <c r="P25" s="12"/>
      <c r="Q25" s="44"/>
      <c r="R25" s="44"/>
      <c r="S25" s="70">
        <f>SUM(U25:U25)/12</f>
        <v>1</v>
      </c>
      <c r="T25" s="2" t="str">
        <f>IF(ISEVEN(LEFT(A25,3)),"Southbound","NorthBound")</f>
        <v>NorthBound</v>
      </c>
      <c r="U25" s="2">
        <f>COUNTIFS(Variables!$M$2:$M$19, "&gt;=" &amp; Y25, Variables!$M$2:$M$19, "&lt;=" &amp; Z25)</f>
        <v>12</v>
      </c>
      <c r="V25" s="48" t="str">
        <f>"https://search-rtdc-monitor-bjffxe2xuh6vdkpspy63sjmuny.us-east-1.es.amazonaws.com/_plugin/kibana/#/discover/Steve-Slow-Train-Analysis-(2080s-and-2083s)?_g=(refreshInterval:(display:Off,section:0,value:0),time:(from:'"&amp;TEXT(E25-1/24/60,"yyyy-MM-DD hh:mm:ss")&amp;"-0600',mode:absolute,to:'"&amp;TEXT(I25+1/24/60,"yyyy-MM-DD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25&amp;"%22')),sort:!(Time,asc))"</f>
        <v>https://search-rtdc-monitor-bjffxe2xuh6vdkpspy63sjmuny.us-east-1.es.amazonaws.com/_plugin/kibana/#/discover/Steve-Slow-Train-Analysis-(2080s-and-2083s)?_g=(refreshInterval:(display:Off,section:0,value:0),time:(from:'2016-06-25 04:59:44-0600',mode:absolute,to:'2016-06-25 05:54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25" s="48" t="str">
        <f>IF(AA25&lt;23,"Y","N")</f>
        <v>N</v>
      </c>
      <c r="X25" s="48">
        <f>VALUE(LEFT(A25,3))-VALUE(LEFT(A24,3))</f>
        <v>1</v>
      </c>
      <c r="Y25" s="48">
        <f>RIGHT(D25,LEN(D25)-4)/10000</f>
        <v>4.58E-2</v>
      </c>
      <c r="Z25" s="48">
        <f>RIGHT(H25,LEN(H25)-4)/10000</f>
        <v>23.330200000000001</v>
      </c>
      <c r="AA25" s="48">
        <f>ABS(Z25-Y25)</f>
        <v>23.284400000000002</v>
      </c>
      <c r="AB25" s="49" t="e">
        <f>VLOOKUP(A25,Enforcements!$C$7:$J$32,8,0)</f>
        <v>#N/A</v>
      </c>
      <c r="AC25" s="49" t="e">
        <f>VLOOKUP(A25,Enforcements!$C$7:$E$32,3,0)</f>
        <v>#N/A</v>
      </c>
    </row>
    <row r="26" spans="1:29" s="2" customFormat="1" x14ac:dyDescent="0.25">
      <c r="A26" s="43" t="s">
        <v>254</v>
      </c>
      <c r="B26" s="43">
        <v>4028</v>
      </c>
      <c r="C26" s="43" t="s">
        <v>60</v>
      </c>
      <c r="D26" s="43" t="s">
        <v>207</v>
      </c>
      <c r="E26" s="25">
        <v>42546.252812500003</v>
      </c>
      <c r="F26" s="25">
        <v>42546.253993055558</v>
      </c>
      <c r="G26" s="31">
        <v>1</v>
      </c>
      <c r="H26" s="25" t="s">
        <v>76</v>
      </c>
      <c r="I26" s="25">
        <v>42546.283402777779</v>
      </c>
      <c r="J26" s="43">
        <v>0</v>
      </c>
      <c r="K26" s="43" t="str">
        <f>IF(ISEVEN(B26),(B26-1)&amp;"/"&amp;B26,B26&amp;"/"&amp;(B26+1))</f>
        <v>4027/4028</v>
      </c>
      <c r="L26" s="43" t="str">
        <f>VLOOKUP(A26,'Trips&amp;Operators'!$C$1:$E$10000,3,FALSE)</f>
        <v>CANFIELD</v>
      </c>
      <c r="M26" s="11">
        <f>I26-F26</f>
        <v>2.940972222131677E-2</v>
      </c>
      <c r="N26" s="12">
        <f>24*60*SUM($M26:$M26)</f>
        <v>42.349999998696148</v>
      </c>
      <c r="O26" s="12"/>
      <c r="P26" s="12"/>
      <c r="Q26" s="44"/>
      <c r="R26" s="44"/>
      <c r="S26" s="70">
        <f>SUM(U26:U26)/12</f>
        <v>1</v>
      </c>
      <c r="T26" s="2" t="str">
        <f>IF(ISEVEN(LEFT(A26,3)),"Southbound","NorthBound")</f>
        <v>Southbound</v>
      </c>
      <c r="U26" s="2">
        <f>COUNTIFS(Variables!$M$2:$M$19, "&lt;=" &amp; Y26, Variables!$M$2:$M$19, "&gt;=" &amp; Z26)</f>
        <v>12</v>
      </c>
      <c r="V26" s="48" t="str">
        <f>"https://search-rtdc-monitor-bjffxe2xuh6vdkpspy63sjmuny.us-east-1.es.amazonaws.com/_plugin/kibana/#/discover/Steve-Slow-Train-Analysis-(2080s-and-2083s)?_g=(refreshInterval:(display:Off,section:0,value:0),time:(from:'"&amp;TEXT(E26-1/24/60,"yyyy-MM-DD hh:mm:ss")&amp;"-0600',mode:absolute,to:'"&amp;TEXT(I26+1/24/60,"yyyy-MM-DD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26&amp;"%22')),sort:!(Time,asc))"</f>
        <v>https://search-rtdc-monitor-bjffxe2xuh6vdkpspy63sjmuny.us-east-1.es.amazonaws.com/_plugin/kibana/#/discover/Steve-Slow-Train-Analysis-(2080s-and-2083s)?_g=(refreshInterval:(display:Off,section:0,value:0),time:(from:'2016-06-25 06:03:03-0600',mode:absolute,to:'2016-06-25 06:49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26" s="48" t="str">
        <f>IF(AA26&lt;23,"Y","N")</f>
        <v>N</v>
      </c>
      <c r="X26" s="48">
        <f>VALUE(LEFT(A26,3))-VALUE(LEFT(A25,3))</f>
        <v>1</v>
      </c>
      <c r="Y26" s="48">
        <f>RIGHT(D26,LEN(D26)-4)/10000</f>
        <v>23.3</v>
      </c>
      <c r="Z26" s="48">
        <f>RIGHT(H26,LEN(H26)-4)/10000</f>
        <v>1.49E-2</v>
      </c>
      <c r="AA26" s="48">
        <f>ABS(Z26-Y26)</f>
        <v>23.2851</v>
      </c>
      <c r="AB26" s="49" t="e">
        <f>VLOOKUP(A26,Enforcements!$C$7:$J$32,8,0)</f>
        <v>#N/A</v>
      </c>
      <c r="AC26" s="49" t="e">
        <f>VLOOKUP(A26,Enforcements!$C$7:$E$32,3,0)</f>
        <v>#N/A</v>
      </c>
    </row>
    <row r="27" spans="1:29" s="2" customFormat="1" x14ac:dyDescent="0.25">
      <c r="A27" s="43" t="s">
        <v>255</v>
      </c>
      <c r="B27" s="43">
        <v>4042</v>
      </c>
      <c r="C27" s="43" t="s">
        <v>60</v>
      </c>
      <c r="D27" s="43" t="s">
        <v>256</v>
      </c>
      <c r="E27" s="25">
        <v>42546.224212962959</v>
      </c>
      <c r="F27" s="25">
        <v>42546.226053240738</v>
      </c>
      <c r="G27" s="31">
        <v>2</v>
      </c>
      <c r="H27" s="25" t="s">
        <v>208</v>
      </c>
      <c r="I27" s="25">
        <v>42546.256041666667</v>
      </c>
      <c r="J27" s="43">
        <v>0</v>
      </c>
      <c r="K27" s="43" t="str">
        <f>IF(ISEVEN(B27),(B27-1)&amp;"/"&amp;B27,B27&amp;"/"&amp;(B27+1))</f>
        <v>4041/4042</v>
      </c>
      <c r="L27" s="43" t="str">
        <f>VLOOKUP(A27,'Trips&amp;Operators'!$C$1:$E$10000,3,FALSE)</f>
        <v>NELSON</v>
      </c>
      <c r="M27" s="11">
        <f>I27-F27</f>
        <v>2.9988425929332152E-2</v>
      </c>
      <c r="N27" s="12">
        <f>24*60*SUM($M27:$M27)</f>
        <v>43.183333338238299</v>
      </c>
      <c r="O27" s="12"/>
      <c r="P27" s="12"/>
      <c r="Q27" s="44"/>
      <c r="R27" s="44"/>
      <c r="S27" s="70">
        <f>SUM(U27:U27)/12</f>
        <v>1</v>
      </c>
      <c r="T27" s="2" t="str">
        <f>IF(ISEVEN(LEFT(A27,3)),"Southbound","NorthBound")</f>
        <v>NorthBound</v>
      </c>
      <c r="U27" s="2">
        <f>COUNTIFS(Variables!$M$2:$M$19, "&gt;=" &amp; Y27, Variables!$M$2:$M$19, "&lt;=" &amp; Z27)</f>
        <v>12</v>
      </c>
      <c r="V27" s="48" t="str">
        <f>"https://search-rtdc-monitor-bjffxe2xuh6vdkpspy63sjmuny.us-east-1.es.amazonaws.com/_plugin/kibana/#/discover/Steve-Slow-Train-Analysis-(2080s-and-2083s)?_g=(refreshInterval:(display:Off,section:0,value:0),time:(from:'"&amp;TEXT(E27-1/24/60,"yyyy-MM-DD hh:mm:ss")&amp;"-0600',mode:absolute,to:'"&amp;TEXT(I27+1/24/60,"yyyy-MM-DD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27&amp;"%22')),sort:!(Time,asc))"</f>
        <v>https://search-rtdc-monitor-bjffxe2xuh6vdkpspy63sjmuny.us-east-1.es.amazonaws.com/_plugin/kibana/#/discover/Steve-Slow-Train-Analysis-(2080s-and-2083s)?_g=(refreshInterval:(display:Off,section:0,value:0),time:(from:'2016-06-25 05:21:52-0600',mode:absolute,to:'2016-06-25 06:09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27" s="48" t="str">
        <f>IF(AA27&lt;23,"Y","N")</f>
        <v>N</v>
      </c>
      <c r="X27" s="48">
        <f>VALUE(LEFT(A27,3))-VALUE(LEFT(A26,3))</f>
        <v>1</v>
      </c>
      <c r="Y27" s="48">
        <f>RIGHT(D27,LEN(D27)-4)/10000</f>
        <v>6.8099999999999994E-2</v>
      </c>
      <c r="Z27" s="48">
        <f>RIGHT(H27,LEN(H27)-4)/10000</f>
        <v>23.331199999999999</v>
      </c>
      <c r="AA27" s="48">
        <f>ABS(Z27-Y27)</f>
        <v>23.263099999999998</v>
      </c>
      <c r="AB27" s="49" t="e">
        <f>VLOOKUP(A27,Enforcements!$C$7:$J$32,8,0)</f>
        <v>#N/A</v>
      </c>
      <c r="AC27" s="49" t="e">
        <f>VLOOKUP(A27,Enforcements!$C$7:$E$32,3,0)</f>
        <v>#N/A</v>
      </c>
    </row>
    <row r="28" spans="1:29" s="2" customFormat="1" x14ac:dyDescent="0.25">
      <c r="A28" s="43" t="s">
        <v>257</v>
      </c>
      <c r="B28" s="43">
        <v>4041</v>
      </c>
      <c r="C28" s="43" t="s">
        <v>60</v>
      </c>
      <c r="D28" s="43" t="s">
        <v>71</v>
      </c>
      <c r="E28" s="25">
        <v>42546.264618055553</v>
      </c>
      <c r="F28" s="25">
        <v>42546.265520833331</v>
      </c>
      <c r="G28" s="31">
        <v>1</v>
      </c>
      <c r="H28" s="25" t="s">
        <v>119</v>
      </c>
      <c r="I28" s="25">
        <v>42546.296296296299</v>
      </c>
      <c r="J28" s="43">
        <v>0</v>
      </c>
      <c r="K28" s="43" t="str">
        <f>IF(ISEVEN(B28),(B28-1)&amp;"/"&amp;B28,B28&amp;"/"&amp;(B28+1))</f>
        <v>4041/4042</v>
      </c>
      <c r="L28" s="43" t="str">
        <f>VLOOKUP(A28,'Trips&amp;Operators'!$C$1:$E$10000,3,FALSE)</f>
        <v>NELSON</v>
      </c>
      <c r="M28" s="11">
        <f>I28-F28</f>
        <v>3.0775462968449574E-2</v>
      </c>
      <c r="N28" s="12">
        <f>24*60*SUM($M28:$M28)</f>
        <v>44.316666674567387</v>
      </c>
      <c r="O28" s="12"/>
      <c r="P28" s="12"/>
      <c r="Q28" s="44"/>
      <c r="R28" s="44"/>
      <c r="S28" s="70">
        <f>SUM(U28:U28)/12</f>
        <v>1</v>
      </c>
      <c r="T28" s="2" t="str">
        <f>IF(ISEVEN(LEFT(A28,3)),"Southbound","NorthBound")</f>
        <v>Southbound</v>
      </c>
      <c r="U28" s="2">
        <f>COUNTIFS(Variables!$M$2:$M$19, "&lt;=" &amp; Y28, Variables!$M$2:$M$19, "&gt;=" &amp; Z28)</f>
        <v>12</v>
      </c>
      <c r="V28" s="48" t="str">
        <f>"https://search-rtdc-monitor-bjffxe2xuh6vdkpspy63sjmuny.us-east-1.es.amazonaws.com/_plugin/kibana/#/discover/Steve-Slow-Train-Analysis-(2080s-and-2083s)?_g=(refreshInterval:(display:Off,section:0,value:0),time:(from:'"&amp;TEXT(E28-1/24/60,"yyyy-MM-DD hh:mm:ss")&amp;"-0600',mode:absolute,to:'"&amp;TEXT(I28+1/24/60,"yyyy-MM-DD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28&amp;"%22')),sort:!(Time,asc))"</f>
        <v>https://search-rtdc-monitor-bjffxe2xuh6vdkpspy63sjmuny.us-east-1.es.amazonaws.com/_plugin/kibana/#/discover/Steve-Slow-Train-Analysis-(2080s-and-2083s)?_g=(refreshInterval:(display:Off,section:0,value:0),time:(from:'2016-06-25 06:20:03-0600',mode:absolute,to:'2016-06-25 07:07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28" s="48" t="str">
        <f>IF(AA28&lt;23,"Y","N")</f>
        <v>N</v>
      </c>
      <c r="X28" s="48">
        <f>VALUE(LEFT(A28,3))-VALUE(LEFT(A27,3))</f>
        <v>1</v>
      </c>
      <c r="Y28" s="48">
        <f>RIGHT(D28,LEN(D28)-4)/10000</f>
        <v>23.297699999999999</v>
      </c>
      <c r="Z28" s="48">
        <f>RIGHT(H28,LEN(H28)-4)/10000</f>
        <v>1.4999999999999999E-2</v>
      </c>
      <c r="AA28" s="48">
        <f>ABS(Z28-Y28)</f>
        <v>23.282699999999998</v>
      </c>
      <c r="AB28" s="49" t="e">
        <f>VLOOKUP(A28,Enforcements!$C$7:$J$32,8,0)</f>
        <v>#N/A</v>
      </c>
      <c r="AC28" s="49" t="e">
        <f>VLOOKUP(A28,Enforcements!$C$7:$E$32,3,0)</f>
        <v>#N/A</v>
      </c>
    </row>
    <row r="29" spans="1:29" s="2" customFormat="1" x14ac:dyDescent="0.25">
      <c r="A29" s="43" t="s">
        <v>258</v>
      </c>
      <c r="B29" s="43">
        <v>4014</v>
      </c>
      <c r="C29" s="43" t="s">
        <v>60</v>
      </c>
      <c r="D29" s="43" t="s">
        <v>69</v>
      </c>
      <c r="E29" s="25">
        <v>42546.233506944445</v>
      </c>
      <c r="F29" s="25">
        <v>42546.234594907408</v>
      </c>
      <c r="G29" s="31">
        <v>1</v>
      </c>
      <c r="H29" s="25" t="s">
        <v>259</v>
      </c>
      <c r="I29" s="25">
        <v>42546.245555555557</v>
      </c>
      <c r="J29" s="43">
        <v>0</v>
      </c>
      <c r="K29" s="43" t="str">
        <f>IF(ISEVEN(B29),(B29-1)&amp;"/"&amp;B29,B29&amp;"/"&amp;(B29+1))</f>
        <v>4013/4014</v>
      </c>
      <c r="L29" s="43" t="str">
        <f>VLOOKUP(A29,'Trips&amp;Operators'!$C$1:$E$10000,3,FALSE)</f>
        <v>STURGEON</v>
      </c>
      <c r="M29" s="11">
        <f>I29-F29</f>
        <v>1.096064814919373E-2</v>
      </c>
      <c r="N29" s="12">
        <f>24*60*SUM($M29:$M29)</f>
        <v>15.783333334838971</v>
      </c>
      <c r="O29" s="12"/>
      <c r="P29" s="12"/>
      <c r="Q29" s="44"/>
      <c r="R29" s="44"/>
      <c r="S29" s="70">
        <f>SUM(U29:U29)/12</f>
        <v>0.16666666666666666</v>
      </c>
      <c r="T29" s="2" t="str">
        <f>IF(ISEVEN(LEFT(A29,3)),"Southbound","NorthBound")</f>
        <v>NorthBound</v>
      </c>
      <c r="U29" s="2">
        <f>COUNTIFS(Variables!$M$2:$M$19, "&gt;=" &amp; Y29, Variables!$M$2:$M$19, "&lt;=" &amp; Z29)</f>
        <v>2</v>
      </c>
      <c r="V29" s="48" t="str">
        <f>"https://search-rtdc-monitor-bjffxe2xuh6vdkpspy63sjmuny.us-east-1.es.amazonaws.com/_plugin/kibana/#/discover/Steve-Slow-Train-Analysis-(2080s-and-2083s)?_g=(refreshInterval:(display:Off,section:0,value:0),time:(from:'"&amp;TEXT(E29-1/24/60,"yyyy-MM-DD hh:mm:ss")&amp;"-0600',mode:absolute,to:'"&amp;TEXT(I29+1/24/60,"yyyy-MM-DD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29&amp;"%22')),sort:!(Time,asc))"</f>
        <v>https://search-rtdc-monitor-bjffxe2xuh6vdkpspy63sjmuny.us-east-1.es.amazonaws.com/_plugin/kibana/#/discover/Steve-Slow-Train-Analysis-(2080s-and-2083s)?_g=(refreshInterval:(display:Off,section:0,value:0),time:(from:'2016-06-25 05:35:15-0600',mode:absolute,to:'2016-06-25 05:54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29" s="48" t="str">
        <f>IF(AA29&lt;23,"Y","N")</f>
        <v>Y</v>
      </c>
      <c r="X29" s="48">
        <f>VALUE(LEFT(A29,3))-VALUE(LEFT(A28,3))</f>
        <v>1</v>
      </c>
      <c r="Y29" s="48">
        <f>RIGHT(D29,LEN(D29)-4)/10000</f>
        <v>4.5999999999999999E-2</v>
      </c>
      <c r="Z29" s="48">
        <f>RIGHT(H29,LEN(H29)-4)/10000</f>
        <v>3.2505999999999999</v>
      </c>
      <c r="AA29" s="48">
        <f>ABS(Z29-Y29)</f>
        <v>3.2046000000000001</v>
      </c>
      <c r="AB29" s="49" t="e">
        <f>VLOOKUP(A29,Enforcements!$C$7:$J$32,8,0)</f>
        <v>#N/A</v>
      </c>
      <c r="AC29" s="49" t="e">
        <f>VLOOKUP(A29,Enforcements!$C$7:$E$32,3,0)</f>
        <v>#N/A</v>
      </c>
    </row>
    <row r="30" spans="1:29" s="2" customFormat="1" x14ac:dyDescent="0.25">
      <c r="A30" s="43" t="s">
        <v>260</v>
      </c>
      <c r="B30" s="43">
        <v>4013</v>
      </c>
      <c r="C30" s="43" t="s">
        <v>60</v>
      </c>
      <c r="D30" s="43" t="s">
        <v>142</v>
      </c>
      <c r="E30" s="25">
        <v>42546.277395833335</v>
      </c>
      <c r="F30" s="25">
        <v>42546.278483796297</v>
      </c>
      <c r="G30" s="31">
        <v>1</v>
      </c>
      <c r="H30" s="25" t="s">
        <v>61</v>
      </c>
      <c r="I30" s="25">
        <v>42546.493437500001</v>
      </c>
      <c r="J30" s="43">
        <v>0</v>
      </c>
      <c r="K30" s="43" t="str">
        <f>IF(ISEVEN(B30),(B30-1)&amp;"/"&amp;B30,B30&amp;"/"&amp;(B30+1))</f>
        <v>4013/4014</v>
      </c>
      <c r="L30" s="43" t="str">
        <f>VLOOKUP(A30,'Trips&amp;Operators'!$C$1:$E$10000,3,FALSE)</f>
        <v>STURGEON</v>
      </c>
      <c r="M30" s="11">
        <f>I30-F30</f>
        <v>0.21495370370394085</v>
      </c>
      <c r="N30" s="12">
        <f>24*60*SUM($M30:$M30)</f>
        <v>309.53333333367482</v>
      </c>
      <c r="O30" s="12"/>
      <c r="P30" s="12"/>
      <c r="Q30" s="44"/>
      <c r="R30" s="44"/>
      <c r="S30" s="70">
        <f>SUM(U30:U30)/12</f>
        <v>1</v>
      </c>
      <c r="T30" s="2" t="str">
        <f>IF(ISEVEN(LEFT(A30,3)),"Southbound","NorthBound")</f>
        <v>Southbound</v>
      </c>
      <c r="U30" s="2">
        <f>COUNTIFS(Variables!$M$2:$M$19, "&lt;=" &amp; Y30, Variables!$M$2:$M$19, "&gt;=" &amp; Z30)</f>
        <v>12</v>
      </c>
      <c r="V30" s="48" t="str">
        <f>"https://search-rtdc-monitor-bjffxe2xuh6vdkpspy63sjmuny.us-east-1.es.amazonaws.com/_plugin/kibana/#/discover/Steve-Slow-Train-Analysis-(2080s-and-2083s)?_g=(refreshInterval:(display:Off,section:0,value:0),time:(from:'"&amp;TEXT(E30-1/24/60,"yyyy-MM-DD hh:mm:ss")&amp;"-0600',mode:absolute,to:'"&amp;TEXT(I30+1/24/60,"yyyy-MM-DD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30&amp;"%22')),sort:!(Time,asc))"</f>
        <v>https://search-rtdc-monitor-bjffxe2xuh6vdkpspy63sjmuny.us-east-1.es.amazonaws.com/_plugin/kibana/#/discover/Steve-Slow-Train-Analysis-(2080s-and-2083s)?_g=(refreshInterval:(display:Off,section:0,value:0),time:(from:'2016-06-25 06:38:27-0600',mode:absolute,to:'2016-06-25 11:51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30" s="48" t="str">
        <f>IF(AA30&lt;23,"Y","N")</f>
        <v>N</v>
      </c>
      <c r="X30" s="48">
        <f>VALUE(LEFT(A30,3))-VALUE(LEFT(A29,3))</f>
        <v>1</v>
      </c>
      <c r="Y30" s="48">
        <f>RIGHT(D30,LEN(D30)-4)/10000</f>
        <v>23.2989</v>
      </c>
      <c r="Z30" s="48">
        <f>RIGHT(H30,LEN(H30)-4)/10000</f>
        <v>1.4500000000000001E-2</v>
      </c>
      <c r="AA30" s="48">
        <f>ABS(Z30-Y30)</f>
        <v>23.284399999999998</v>
      </c>
      <c r="AB30" s="49" t="e">
        <f>VLOOKUP(A30,Enforcements!$C$7:$J$32,8,0)</f>
        <v>#N/A</v>
      </c>
      <c r="AC30" s="49" t="e">
        <f>VLOOKUP(A30,Enforcements!$C$7:$E$32,3,0)</f>
        <v>#N/A</v>
      </c>
    </row>
    <row r="31" spans="1:29" s="2" customFormat="1" x14ac:dyDescent="0.25">
      <c r="A31" s="43" t="s">
        <v>260</v>
      </c>
      <c r="B31" s="43">
        <v>4013</v>
      </c>
      <c r="C31" s="43" t="s">
        <v>60</v>
      </c>
      <c r="D31" s="43" t="s">
        <v>142</v>
      </c>
      <c r="E31" s="25">
        <v>42546.277395833335</v>
      </c>
      <c r="F31" s="25">
        <v>42546.280162037037</v>
      </c>
      <c r="G31" s="31">
        <v>3</v>
      </c>
      <c r="H31" s="25" t="s">
        <v>61</v>
      </c>
      <c r="I31" s="25">
        <v>42546.493437500001</v>
      </c>
      <c r="J31" s="43">
        <v>0</v>
      </c>
      <c r="K31" s="43" t="str">
        <f>IF(ISEVEN(B31),(B31-1)&amp;"/"&amp;B31,B31&amp;"/"&amp;(B31+1))</f>
        <v>4013/4014</v>
      </c>
      <c r="L31" s="43" t="str">
        <f>VLOOKUP(A31,'Trips&amp;Operators'!$C$1:$E$10000,3,FALSE)</f>
        <v>STURGEON</v>
      </c>
      <c r="M31" s="11">
        <f>I31-F31</f>
        <v>0.21327546296379296</v>
      </c>
      <c r="N31" s="12">
        <f>24*60*SUM($M31:$M31)</f>
        <v>307.11666666786186</v>
      </c>
      <c r="O31" s="12"/>
      <c r="P31" s="12"/>
      <c r="Q31" s="44"/>
      <c r="R31" s="44"/>
      <c r="S31" s="70">
        <f>SUM(U31:U31)/12</f>
        <v>1</v>
      </c>
      <c r="T31" s="2" t="str">
        <f>IF(ISEVEN(LEFT(A31,3)),"Southbound","NorthBound")</f>
        <v>Southbound</v>
      </c>
      <c r="U31" s="2">
        <f>COUNTIFS(Variables!$M$2:$M$19, "&lt;=" &amp; Y31, Variables!$M$2:$M$19, "&gt;=" &amp; Z31)</f>
        <v>12</v>
      </c>
      <c r="V31" s="48" t="str">
        <f>"https://search-rtdc-monitor-bjffxe2xuh6vdkpspy63sjmuny.us-east-1.es.amazonaws.com/_plugin/kibana/#/discover/Steve-Slow-Train-Analysis-(2080s-and-2083s)?_g=(refreshInterval:(display:Off,section:0,value:0),time:(from:'"&amp;TEXT(E31-1/24/60,"yyyy-MM-DD hh:mm:ss")&amp;"-0600',mode:absolute,to:'"&amp;TEXT(I31+1/24/60,"yyyy-MM-DD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31&amp;"%22')),sort:!(Time,asc))"</f>
        <v>https://search-rtdc-monitor-bjffxe2xuh6vdkpspy63sjmuny.us-east-1.es.amazonaws.com/_plugin/kibana/#/discover/Steve-Slow-Train-Analysis-(2080s-and-2083s)?_g=(refreshInterval:(display:Off,section:0,value:0),time:(from:'2016-06-25 06:38:27-0600',mode:absolute,to:'2016-06-25 11:51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31" s="48" t="str">
        <f>IF(AA31&lt;23,"Y","N")</f>
        <v>N</v>
      </c>
      <c r="X31" s="48">
        <f>VALUE(LEFT(A31,3))-VALUE(LEFT(A30,3))</f>
        <v>0</v>
      </c>
      <c r="Y31" s="48">
        <f>RIGHT(D31,LEN(D31)-4)/10000</f>
        <v>23.2989</v>
      </c>
      <c r="Z31" s="48">
        <f>RIGHT(H31,LEN(H31)-4)/10000</f>
        <v>1.4500000000000001E-2</v>
      </c>
      <c r="AA31" s="48">
        <f>ABS(Z31-Y31)</f>
        <v>23.284399999999998</v>
      </c>
      <c r="AB31" s="49" t="e">
        <f>VLOOKUP(A31,Enforcements!$C$7:$J$32,8,0)</f>
        <v>#N/A</v>
      </c>
      <c r="AC31" s="49" t="e">
        <f>VLOOKUP(A31,Enforcements!$C$7:$E$32,3,0)</f>
        <v>#N/A</v>
      </c>
    </row>
    <row r="32" spans="1:29" s="2" customFormat="1" x14ac:dyDescent="0.25">
      <c r="A32" s="43" t="s">
        <v>261</v>
      </c>
      <c r="B32" s="43">
        <v>4044</v>
      </c>
      <c r="C32" s="43" t="s">
        <v>60</v>
      </c>
      <c r="D32" s="43" t="s">
        <v>262</v>
      </c>
      <c r="E32" s="25">
        <v>42546.247233796297</v>
      </c>
      <c r="F32" s="25">
        <v>42546.248553240737</v>
      </c>
      <c r="G32" s="31">
        <v>1</v>
      </c>
      <c r="H32" s="25" t="s">
        <v>216</v>
      </c>
      <c r="I32" s="25">
        <v>42546.277199074073</v>
      </c>
      <c r="J32" s="43">
        <v>0</v>
      </c>
      <c r="K32" s="43" t="str">
        <f>IF(ISEVEN(B32),(B32-1)&amp;"/"&amp;B32,B32&amp;"/"&amp;(B32+1))</f>
        <v>4043/4044</v>
      </c>
      <c r="L32" s="43" t="str">
        <f>VLOOKUP(A32,'Trips&amp;Operators'!$C$1:$E$10000,3,FALSE)</f>
        <v>YORK</v>
      </c>
      <c r="M32" s="11">
        <f>I32-F32</f>
        <v>2.8645833335758653E-2</v>
      </c>
      <c r="N32" s="12">
        <f>24*60*SUM($M32:$M32)</f>
        <v>41.25000000349246</v>
      </c>
      <c r="O32" s="12"/>
      <c r="P32" s="12"/>
      <c r="Q32" s="44"/>
      <c r="R32" s="44"/>
      <c r="S32" s="70">
        <f>SUM(U32:U32)/12</f>
        <v>1</v>
      </c>
      <c r="T32" s="2" t="str">
        <f>IF(ISEVEN(LEFT(A32,3)),"Southbound","NorthBound")</f>
        <v>NorthBound</v>
      </c>
      <c r="U32" s="2">
        <f>COUNTIFS(Variables!$M$2:$M$19, "&gt;=" &amp; Y32, Variables!$M$2:$M$19, "&lt;=" &amp; Z32)</f>
        <v>12</v>
      </c>
      <c r="V32" s="48" t="str">
        <f>"https://search-rtdc-monitor-bjffxe2xuh6vdkpspy63sjmuny.us-east-1.es.amazonaws.com/_plugin/kibana/#/discover/Steve-Slow-Train-Analysis-(2080s-and-2083s)?_g=(refreshInterval:(display:Off,section:0,value:0),time:(from:'"&amp;TEXT(E32-1/24/60,"yyyy-MM-DD hh:mm:ss")&amp;"-0600',mode:absolute,to:'"&amp;TEXT(I32+1/24/60,"yyyy-MM-DD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32&amp;"%22')),sort:!(Time,asc))"</f>
        <v>https://search-rtdc-monitor-bjffxe2xuh6vdkpspy63sjmuny.us-east-1.es.amazonaws.com/_plugin/kibana/#/discover/Steve-Slow-Train-Analysis-(2080s-and-2083s)?_g=(refreshInterval:(display:Off,section:0,value:0),time:(from:'2016-06-25 05:55:01-0600',mode:absolute,to:'2016-06-25 06:40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32" s="48" t="str">
        <f>IF(AA32&lt;23,"Y","N")</f>
        <v>N</v>
      </c>
      <c r="X32" s="48">
        <f>VALUE(LEFT(A32,3))-VALUE(LEFT(A31,3))</f>
        <v>1</v>
      </c>
      <c r="Y32" s="48">
        <f>RIGHT(D32,LEN(D32)-4)/10000</f>
        <v>7.1900000000000006E-2</v>
      </c>
      <c r="Z32" s="48">
        <f>RIGHT(H32,LEN(H32)-4)/10000</f>
        <v>23.3276</v>
      </c>
      <c r="AA32" s="48">
        <f>ABS(Z32-Y32)</f>
        <v>23.255700000000001</v>
      </c>
      <c r="AB32" s="49" t="e">
        <f>VLOOKUP(A32,Enforcements!$C$7:$J$32,8,0)</f>
        <v>#N/A</v>
      </c>
      <c r="AC32" s="49" t="e">
        <f>VLOOKUP(A32,Enforcements!$C$7:$E$32,3,0)</f>
        <v>#N/A</v>
      </c>
    </row>
    <row r="33" spans="1:29" s="2" customFormat="1" x14ac:dyDescent="0.25">
      <c r="A33" s="43" t="s">
        <v>263</v>
      </c>
      <c r="B33" s="43">
        <v>4043</v>
      </c>
      <c r="C33" s="43" t="s">
        <v>60</v>
      </c>
      <c r="D33" s="43" t="s">
        <v>86</v>
      </c>
      <c r="E33" s="25">
        <v>42546.278784722221</v>
      </c>
      <c r="F33" s="25">
        <v>42546.279548611114</v>
      </c>
      <c r="G33" s="31">
        <v>1</v>
      </c>
      <c r="H33" s="25" t="s">
        <v>76</v>
      </c>
      <c r="I33" s="25">
        <v>42546.314085648148</v>
      </c>
      <c r="J33" s="43">
        <v>0</v>
      </c>
      <c r="K33" s="43" t="str">
        <f>IF(ISEVEN(B33),(B33-1)&amp;"/"&amp;B33,B33&amp;"/"&amp;(B33+1))</f>
        <v>4043/4044</v>
      </c>
      <c r="L33" s="43" t="str">
        <f>VLOOKUP(A33,'Trips&amp;Operators'!$C$1:$E$10000,3,FALSE)</f>
        <v>YORK</v>
      </c>
      <c r="M33" s="11">
        <f>I33-F33</f>
        <v>3.4537037034169771E-2</v>
      </c>
      <c r="N33" s="12">
        <f>24*60*SUM($M33:$M33)</f>
        <v>49.73333332920447</v>
      </c>
      <c r="O33" s="12"/>
      <c r="P33" s="12"/>
      <c r="Q33" s="44"/>
      <c r="R33" s="44"/>
      <c r="S33" s="70">
        <f>SUM(U33:U33)/12</f>
        <v>1</v>
      </c>
      <c r="T33" s="2" t="str">
        <f>IF(ISEVEN(LEFT(A33,3)),"Southbound","NorthBound")</f>
        <v>Southbound</v>
      </c>
      <c r="U33" s="2">
        <f>COUNTIFS(Variables!$M$2:$M$19, "&lt;=" &amp; Y33, Variables!$M$2:$M$19, "&gt;=" &amp; Z33)</f>
        <v>12</v>
      </c>
      <c r="V33" s="48" t="str">
        <f>"https://search-rtdc-monitor-bjffxe2xuh6vdkpspy63sjmuny.us-east-1.es.amazonaws.com/_plugin/kibana/#/discover/Steve-Slow-Train-Analysis-(2080s-and-2083s)?_g=(refreshInterval:(display:Off,section:0,value:0),time:(from:'"&amp;TEXT(E33-1/24/60,"yyyy-MM-DD hh:mm:ss")&amp;"-0600',mode:absolute,to:'"&amp;TEXT(I33+1/24/60,"yyyy-MM-DD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33&amp;"%22')),sort:!(Time,asc))"</f>
        <v>https://search-rtdc-monitor-bjffxe2xuh6vdkpspy63sjmuny.us-east-1.es.amazonaws.com/_plugin/kibana/#/discover/Steve-Slow-Train-Analysis-(2080s-and-2083s)?_g=(refreshInterval:(display:Off,section:0,value:0),time:(from:'2016-06-25 06:40:27-0600',mode:absolute,to:'2016-06-25 07:33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33" s="48" t="str">
        <f>IF(AA33&lt;23,"Y","N")</f>
        <v>N</v>
      </c>
      <c r="X33" s="48">
        <f>VALUE(LEFT(A33,3))-VALUE(LEFT(A32,3))</f>
        <v>1</v>
      </c>
      <c r="Y33" s="48">
        <f>RIGHT(D33,LEN(D33)-4)/10000</f>
        <v>23.297499999999999</v>
      </c>
      <c r="Z33" s="48">
        <f>RIGHT(H33,LEN(H33)-4)/10000</f>
        <v>1.49E-2</v>
      </c>
      <c r="AA33" s="48">
        <f>ABS(Z33-Y33)</f>
        <v>23.282599999999999</v>
      </c>
      <c r="AB33" s="49" t="e">
        <f>VLOOKUP(A33,Enforcements!$C$7:$J$32,8,0)</f>
        <v>#N/A</v>
      </c>
      <c r="AC33" s="49" t="e">
        <f>VLOOKUP(A33,Enforcements!$C$7:$E$32,3,0)</f>
        <v>#N/A</v>
      </c>
    </row>
    <row r="34" spans="1:29" s="2" customFormat="1" x14ac:dyDescent="0.25">
      <c r="A34" s="43" t="s">
        <v>264</v>
      </c>
      <c r="B34" s="43">
        <v>4007</v>
      </c>
      <c r="C34" s="43" t="s">
        <v>60</v>
      </c>
      <c r="D34" s="43" t="s">
        <v>201</v>
      </c>
      <c r="E34" s="25">
        <v>42546.256041666667</v>
      </c>
      <c r="F34" s="25">
        <v>42546.257013888891</v>
      </c>
      <c r="G34" s="31">
        <v>1</v>
      </c>
      <c r="H34" s="25" t="s">
        <v>158</v>
      </c>
      <c r="I34" s="25">
        <v>42546.286585648151</v>
      </c>
      <c r="J34" s="43">
        <v>0</v>
      </c>
      <c r="K34" s="43" t="str">
        <f>IF(ISEVEN(B34),(B34-1)&amp;"/"&amp;B34,B34&amp;"/"&amp;(B34+1))</f>
        <v>4007/4008</v>
      </c>
      <c r="L34" s="43" t="str">
        <f>VLOOKUP(A34,'Trips&amp;Operators'!$C$1:$E$10000,3,FALSE)</f>
        <v>SANTIZO</v>
      </c>
      <c r="M34" s="11">
        <f>I34-F34</f>
        <v>2.9571759259852115E-2</v>
      </c>
      <c r="N34" s="12">
        <f>24*60*SUM($M34:$M34)</f>
        <v>42.583333334187046</v>
      </c>
      <c r="O34" s="12"/>
      <c r="P34" s="12"/>
      <c r="Q34" s="44"/>
      <c r="R34" s="44"/>
      <c r="S34" s="70">
        <f>SUM(U34:U34)/12</f>
        <v>1</v>
      </c>
      <c r="T34" s="2" t="str">
        <f>IF(ISEVEN(LEFT(A34,3)),"Southbound","NorthBound")</f>
        <v>NorthBound</v>
      </c>
      <c r="U34" s="2">
        <f>COUNTIFS(Variables!$M$2:$M$19, "&gt;=" &amp; Y34, Variables!$M$2:$M$19, "&lt;=" &amp; Z34)</f>
        <v>12</v>
      </c>
      <c r="V34" s="48" t="str">
        <f>"https://search-rtdc-monitor-bjffxe2xuh6vdkpspy63sjmuny.us-east-1.es.amazonaws.com/_plugin/kibana/#/discover/Steve-Slow-Train-Analysis-(2080s-and-2083s)?_g=(refreshInterval:(display:Off,section:0,value:0),time:(from:'"&amp;TEXT(E34-1/24/60,"yyyy-MM-DD hh:mm:ss")&amp;"-0600',mode:absolute,to:'"&amp;TEXT(I34+1/24/60,"yyyy-MM-DD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34&amp;"%22')),sort:!(Time,asc))"</f>
        <v>https://search-rtdc-monitor-bjffxe2xuh6vdkpspy63sjmuny.us-east-1.es.amazonaws.com/_plugin/kibana/#/discover/Steve-Slow-Train-Analysis-(2080s-and-2083s)?_g=(refreshInterval:(display:Off,section:0,value:0),time:(from:'2016-06-25 06:07:42-0600',mode:absolute,to:'2016-06-25 06:53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34" s="48" t="str">
        <f>IF(AA34&lt;23,"Y","N")</f>
        <v>N</v>
      </c>
      <c r="X34" s="48">
        <f>VALUE(LEFT(A34,3))-VALUE(LEFT(A33,3))</f>
        <v>1</v>
      </c>
      <c r="Y34" s="48">
        <f>RIGHT(D34,LEN(D34)-4)/10000</f>
        <v>4.5100000000000001E-2</v>
      </c>
      <c r="Z34" s="48">
        <f>RIGHT(H34,LEN(H34)-4)/10000</f>
        <v>23.331700000000001</v>
      </c>
      <c r="AA34" s="48">
        <f>ABS(Z34-Y34)</f>
        <v>23.2866</v>
      </c>
      <c r="AB34" s="49" t="e">
        <f>VLOOKUP(A34,Enforcements!$C$7:$J$32,8,0)</f>
        <v>#N/A</v>
      </c>
      <c r="AC34" s="49" t="e">
        <f>VLOOKUP(A34,Enforcements!$C$7:$E$32,3,0)</f>
        <v>#N/A</v>
      </c>
    </row>
    <row r="35" spans="1:29" s="2" customFormat="1" x14ac:dyDescent="0.25">
      <c r="A35" s="43" t="s">
        <v>265</v>
      </c>
      <c r="B35" s="43">
        <v>4008</v>
      </c>
      <c r="C35" s="43" t="s">
        <v>60</v>
      </c>
      <c r="D35" s="43" t="s">
        <v>176</v>
      </c>
      <c r="E35" s="25">
        <v>42546.288819444446</v>
      </c>
      <c r="F35" s="25">
        <v>42546.289594907408</v>
      </c>
      <c r="G35" s="31">
        <v>1</v>
      </c>
      <c r="H35" s="25" t="s">
        <v>62</v>
      </c>
      <c r="I35" s="25">
        <v>42546.324895833335</v>
      </c>
      <c r="J35" s="43">
        <v>0</v>
      </c>
      <c r="K35" s="43" t="str">
        <f>IF(ISEVEN(B35),(B35-1)&amp;"/"&amp;B35,B35&amp;"/"&amp;(B35+1))</f>
        <v>4007/4008</v>
      </c>
      <c r="L35" s="43" t="str">
        <f>VLOOKUP(A35,'Trips&amp;Operators'!$C$1:$E$10000,3,FALSE)</f>
        <v>SANTIZO</v>
      </c>
      <c r="M35" s="11">
        <f>I35-F35</f>
        <v>3.5300925927003846E-2</v>
      </c>
      <c r="N35" s="12">
        <f>24*60*SUM($M35:$M35)</f>
        <v>50.833333334885538</v>
      </c>
      <c r="O35" s="12"/>
      <c r="P35" s="12"/>
      <c r="Q35" s="44"/>
      <c r="R35" s="44"/>
      <c r="S35" s="70">
        <f>SUM(U35:U35)/12</f>
        <v>1</v>
      </c>
      <c r="T35" s="2" t="str">
        <f>IF(ISEVEN(LEFT(A35,3)),"Southbound","NorthBound")</f>
        <v>Southbound</v>
      </c>
      <c r="U35" s="2">
        <f>COUNTIFS(Variables!$M$2:$M$19, "&lt;=" &amp; Y35, Variables!$M$2:$M$19, "&gt;=" &amp; Z35)</f>
        <v>12</v>
      </c>
      <c r="V35" s="48" t="str">
        <f>"https://search-rtdc-monitor-bjffxe2xuh6vdkpspy63sjmuny.us-east-1.es.amazonaws.com/_plugin/kibana/#/discover/Steve-Slow-Train-Analysis-(2080s-and-2083s)?_g=(refreshInterval:(display:Off,section:0,value:0),time:(from:'"&amp;TEXT(E35-1/24/60,"yyyy-MM-DD hh:mm:ss")&amp;"-0600',mode:absolute,to:'"&amp;TEXT(I35+1/24/60,"yyyy-MM-DD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35&amp;"%22')),sort:!(Time,asc))"</f>
        <v>https://search-rtdc-monitor-bjffxe2xuh6vdkpspy63sjmuny.us-east-1.es.amazonaws.com/_plugin/kibana/#/discover/Steve-Slow-Train-Analysis-(2080s-and-2083s)?_g=(refreshInterval:(display:Off,section:0,value:0),time:(from:'2016-06-25 06:54:54-0600',mode:absolute,to:'2016-06-25 07:48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35" s="48" t="str">
        <f>IF(AA35&lt;23,"Y","N")</f>
        <v>N</v>
      </c>
      <c r="X35" s="48">
        <f>VALUE(LEFT(A35,3))-VALUE(LEFT(A34,3))</f>
        <v>1</v>
      </c>
      <c r="Y35" s="48">
        <f>RIGHT(D35,LEN(D35)-4)/10000</f>
        <v>23.3004</v>
      </c>
      <c r="Z35" s="48">
        <f>RIGHT(H35,LEN(H35)-4)/10000</f>
        <v>1.52E-2</v>
      </c>
      <c r="AA35" s="48">
        <f>ABS(Z35-Y35)</f>
        <v>23.2852</v>
      </c>
      <c r="AB35" s="49" t="e">
        <f>VLOOKUP(A35,Enforcements!$C$7:$J$32,8,0)</f>
        <v>#N/A</v>
      </c>
      <c r="AC35" s="49" t="e">
        <f>VLOOKUP(A35,Enforcements!$C$7:$E$32,3,0)</f>
        <v>#N/A</v>
      </c>
    </row>
    <row r="36" spans="1:29" s="2" customFormat="1" x14ac:dyDescent="0.25">
      <c r="A36" s="43" t="s">
        <v>266</v>
      </c>
      <c r="B36" s="43">
        <v>4024</v>
      </c>
      <c r="C36" s="43" t="s">
        <v>60</v>
      </c>
      <c r="D36" s="43" t="s">
        <v>79</v>
      </c>
      <c r="E36" s="25">
        <v>42546.269525462965</v>
      </c>
      <c r="F36" s="25">
        <v>42546.270474537036</v>
      </c>
      <c r="G36" s="31">
        <v>1</v>
      </c>
      <c r="H36" s="25" t="s">
        <v>199</v>
      </c>
      <c r="I36" s="25">
        <v>42546.296539351853</v>
      </c>
      <c r="J36" s="43">
        <v>1</v>
      </c>
      <c r="K36" s="43" t="str">
        <f>IF(ISEVEN(B36),(B36-1)&amp;"/"&amp;B36,B36&amp;"/"&amp;(B36+1))</f>
        <v>4023/4024</v>
      </c>
      <c r="L36" s="43" t="str">
        <f>VLOOKUP(A36,'Trips&amp;Operators'!$C$1:$E$10000,3,FALSE)</f>
        <v>MALAVE</v>
      </c>
      <c r="M36" s="11">
        <f>I36-F36</f>
        <v>2.6064814817800652E-2</v>
      </c>
      <c r="N36" s="12">
        <f>24*60*SUM($M36:$M36)</f>
        <v>37.533333337632939</v>
      </c>
      <c r="O36" s="12"/>
      <c r="P36" s="12"/>
      <c r="Q36" s="44"/>
      <c r="R36" s="44"/>
      <c r="S36" s="70">
        <f>SUM(U36:U36)/12</f>
        <v>1</v>
      </c>
      <c r="T36" s="2" t="str">
        <f>IF(ISEVEN(LEFT(A36,3)),"Southbound","NorthBound")</f>
        <v>NorthBound</v>
      </c>
      <c r="U36" s="2">
        <f>COUNTIFS(Variables!$M$2:$M$19, "&gt;=" &amp; Y36, Variables!$M$2:$M$19, "&lt;=" &amp; Z36)</f>
        <v>12</v>
      </c>
      <c r="V36" s="48" t="str">
        <f>"https://search-rtdc-monitor-bjffxe2xuh6vdkpspy63sjmuny.us-east-1.es.amazonaws.com/_plugin/kibana/#/discover/Steve-Slow-Train-Analysis-(2080s-and-2083s)?_g=(refreshInterval:(display:Off,section:0,value:0),time:(from:'"&amp;TEXT(E36-1/24/60,"yyyy-MM-DD hh:mm:ss")&amp;"-0600',mode:absolute,to:'"&amp;TEXT(I36+1/24/60,"yyyy-MM-DD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36&amp;"%22')),sort:!(Time,asc))"</f>
        <v>https://search-rtdc-monitor-bjffxe2xuh6vdkpspy63sjmuny.us-east-1.es.amazonaws.com/_plugin/kibana/#/discover/Steve-Slow-Train-Analysis-(2080s-and-2083s)?_g=(refreshInterval:(display:Off,section:0,value:0),time:(from:'2016-06-25 06:27:07-0600',mode:absolute,to:'2016-06-25 07:08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36" s="48" t="str">
        <f>IF(AA36&lt;23,"Y","N")</f>
        <v>N</v>
      </c>
      <c r="X36" s="48">
        <f>VALUE(LEFT(A36,3))-VALUE(LEFT(A35,3))</f>
        <v>1</v>
      </c>
      <c r="Y36" s="48">
        <f>RIGHT(D36,LEN(D36)-4)/10000</f>
        <v>4.53E-2</v>
      </c>
      <c r="Z36" s="48">
        <f>RIGHT(H36,LEN(H36)-4)/10000</f>
        <v>23.328399999999998</v>
      </c>
      <c r="AA36" s="48">
        <f>ABS(Z36-Y36)</f>
        <v>23.283099999999997</v>
      </c>
      <c r="AB36" s="49" t="e">
        <f>VLOOKUP(A36,Enforcements!$C$7:$J$32,8,0)</f>
        <v>#N/A</v>
      </c>
      <c r="AC36" s="49" t="e">
        <f>VLOOKUP(A36,Enforcements!$C$7:$E$32,3,0)</f>
        <v>#N/A</v>
      </c>
    </row>
    <row r="37" spans="1:29" s="2" customFormat="1" x14ac:dyDescent="0.25">
      <c r="A37" s="43" t="s">
        <v>267</v>
      </c>
      <c r="B37" s="43">
        <v>4023</v>
      </c>
      <c r="C37" s="43" t="s">
        <v>60</v>
      </c>
      <c r="D37" s="43" t="s">
        <v>178</v>
      </c>
      <c r="E37" s="25">
        <v>42546.307523148149</v>
      </c>
      <c r="F37" s="25">
        <v>42546.308449074073</v>
      </c>
      <c r="G37" s="31">
        <v>1</v>
      </c>
      <c r="H37" s="25" t="s">
        <v>119</v>
      </c>
      <c r="I37" s="25">
        <v>42546.336817129632</v>
      </c>
      <c r="J37" s="43">
        <v>1</v>
      </c>
      <c r="K37" s="43" t="str">
        <f>IF(ISEVEN(B37),(B37-1)&amp;"/"&amp;B37,B37&amp;"/"&amp;(B37+1))</f>
        <v>4023/4024</v>
      </c>
      <c r="L37" s="43" t="str">
        <f>VLOOKUP(A37,'Trips&amp;Operators'!$C$1:$E$10000,3,FALSE)</f>
        <v>MALAVE</v>
      </c>
      <c r="M37" s="11">
        <f>I37-F37</f>
        <v>2.8368055558530614E-2</v>
      </c>
      <c r="N37" s="12">
        <f>24*60*SUM($M37:$M37)</f>
        <v>40.850000004284084</v>
      </c>
      <c r="O37" s="12"/>
      <c r="P37" s="12"/>
      <c r="Q37" s="44"/>
      <c r="R37" s="44"/>
      <c r="S37" s="70">
        <f>SUM(U37:U37)/12</f>
        <v>1</v>
      </c>
      <c r="T37" s="2" t="str">
        <f>IF(ISEVEN(LEFT(A37,3)),"Southbound","NorthBound")</f>
        <v>Southbound</v>
      </c>
      <c r="U37" s="2">
        <f>COUNTIFS(Variables!$M$2:$M$19, "&lt;=" &amp; Y37, Variables!$M$2:$M$19, "&gt;=" &amp; Z37)</f>
        <v>12</v>
      </c>
      <c r="V37" s="48" t="str">
        <f>"https://search-rtdc-monitor-bjffxe2xuh6vdkpspy63sjmuny.us-east-1.es.amazonaws.com/_plugin/kibana/#/discover/Steve-Slow-Train-Analysis-(2080s-and-2083s)?_g=(refreshInterval:(display:Off,section:0,value:0),time:(from:'"&amp;TEXT(E37-1/24/60,"yyyy-MM-DD hh:mm:ss")&amp;"-0600',mode:absolute,to:'"&amp;TEXT(I37+1/24/60,"yyyy-MM-DD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37&amp;"%22')),sort:!(Time,asc))"</f>
        <v>https://search-rtdc-monitor-bjffxe2xuh6vdkpspy63sjmuny.us-east-1.es.amazonaws.com/_plugin/kibana/#/discover/Steve-Slow-Train-Analysis-(2080s-and-2083s)?_g=(refreshInterval:(display:Off,section:0,value:0),time:(from:'2016-06-25 07:21:50-0600',mode:absolute,to:'2016-06-25 08:06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37" s="48" t="str">
        <f>IF(AA37&lt;23,"Y","N")</f>
        <v>N</v>
      </c>
      <c r="X37" s="48">
        <f>VALUE(LEFT(A37,3))-VALUE(LEFT(A36,3))</f>
        <v>1</v>
      </c>
      <c r="Y37" s="48">
        <f>RIGHT(D37,LEN(D37)-4)/10000</f>
        <v>23.296099999999999</v>
      </c>
      <c r="Z37" s="48">
        <f>RIGHT(H37,LEN(H37)-4)/10000</f>
        <v>1.4999999999999999E-2</v>
      </c>
      <c r="AA37" s="48">
        <f>ABS(Z37-Y37)</f>
        <v>23.281099999999999</v>
      </c>
      <c r="AB37" s="49" t="e">
        <f>VLOOKUP(A37,Enforcements!$C$7:$J$32,8,0)</f>
        <v>#N/A</v>
      </c>
      <c r="AC37" s="49" t="e">
        <f>VLOOKUP(A37,Enforcements!$C$7:$E$32,3,0)</f>
        <v>#N/A</v>
      </c>
    </row>
    <row r="38" spans="1:29" s="2" customFormat="1" x14ac:dyDescent="0.25">
      <c r="A38" s="43" t="s">
        <v>268</v>
      </c>
      <c r="B38" s="43">
        <v>4020</v>
      </c>
      <c r="C38" s="43" t="s">
        <v>60</v>
      </c>
      <c r="D38" s="43" t="s">
        <v>212</v>
      </c>
      <c r="E38" s="25">
        <v>42546.277280092596</v>
      </c>
      <c r="F38" s="25">
        <v>42546.278344907405</v>
      </c>
      <c r="G38" s="31">
        <v>1</v>
      </c>
      <c r="H38" s="25" t="s">
        <v>269</v>
      </c>
      <c r="I38" s="25">
        <v>42546.30736111111</v>
      </c>
      <c r="J38" s="43">
        <v>1</v>
      </c>
      <c r="K38" s="43" t="str">
        <f>IF(ISEVEN(B38),(B38-1)&amp;"/"&amp;B38,B38&amp;"/"&amp;(B38+1))</f>
        <v>4019/4020</v>
      </c>
      <c r="L38" s="43" t="str">
        <f>VLOOKUP(A38,'Trips&amp;Operators'!$C$1:$E$10000,3,FALSE)</f>
        <v>GEBRETEKLE</v>
      </c>
      <c r="M38" s="11">
        <f>I38-F38</f>
        <v>2.9016203705396038E-2</v>
      </c>
      <c r="N38" s="12">
        <f>24*60*SUM($M38:$M38)</f>
        <v>41.783333335770294</v>
      </c>
      <c r="O38" s="12"/>
      <c r="P38" s="12"/>
      <c r="Q38" s="44"/>
      <c r="R38" s="44"/>
      <c r="S38" s="70">
        <f>SUM(U38:U38)/12</f>
        <v>1</v>
      </c>
      <c r="T38" s="2" t="str">
        <f>IF(ISEVEN(LEFT(A38,3)),"Southbound","NorthBound")</f>
        <v>NorthBound</v>
      </c>
      <c r="U38" s="2">
        <f>COUNTIFS(Variables!$M$2:$M$19, "&gt;=" &amp; Y38, Variables!$M$2:$M$19, "&lt;=" &amp; Z38)</f>
        <v>12</v>
      </c>
      <c r="V38" s="48" t="str">
        <f>"https://search-rtdc-monitor-bjffxe2xuh6vdkpspy63sjmuny.us-east-1.es.amazonaws.com/_plugin/kibana/#/discover/Steve-Slow-Train-Analysis-(2080s-and-2083s)?_g=(refreshInterval:(display:Off,section:0,value:0),time:(from:'"&amp;TEXT(E38-1/24/60,"yyyy-MM-DD hh:mm:ss")&amp;"-0600',mode:absolute,to:'"&amp;TEXT(I38+1/24/60,"yyyy-MM-DD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38&amp;"%22')),sort:!(Time,asc))"</f>
        <v>https://search-rtdc-monitor-bjffxe2xuh6vdkpspy63sjmuny.us-east-1.es.amazonaws.com/_plugin/kibana/#/discover/Steve-Slow-Train-Analysis-(2080s-and-2083s)?_g=(refreshInterval:(display:Off,section:0,value:0),time:(from:'2016-06-25 06:38:17-0600',mode:absolute,to:'2016-06-25 07:23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38" s="48" t="str">
        <f>IF(AA38&lt;23,"Y","N")</f>
        <v>N</v>
      </c>
      <c r="X38" s="48">
        <f>VALUE(LEFT(A38,3))-VALUE(LEFT(A37,3))</f>
        <v>1</v>
      </c>
      <c r="Y38" s="48">
        <f>RIGHT(D38,LEN(D38)-4)/10000</f>
        <v>4.24E-2</v>
      </c>
      <c r="Z38" s="48">
        <f>RIGHT(H38,LEN(H38)-4)/10000</f>
        <v>23.331399999999999</v>
      </c>
      <c r="AA38" s="48">
        <f>ABS(Z38-Y38)</f>
        <v>23.288999999999998</v>
      </c>
      <c r="AB38" s="49" t="e">
        <f>VLOOKUP(A38,Enforcements!$C$7:$J$32,8,0)</f>
        <v>#N/A</v>
      </c>
      <c r="AC38" s="49" t="e">
        <f>VLOOKUP(A38,Enforcements!$C$7:$E$32,3,0)</f>
        <v>#N/A</v>
      </c>
    </row>
    <row r="39" spans="1:29" s="2" customFormat="1" x14ac:dyDescent="0.25">
      <c r="A39" s="43" t="s">
        <v>270</v>
      </c>
      <c r="B39" s="43">
        <v>4019</v>
      </c>
      <c r="C39" s="43" t="s">
        <v>60</v>
      </c>
      <c r="D39" s="43" t="s">
        <v>175</v>
      </c>
      <c r="E39" s="25">
        <v>42546.317870370367</v>
      </c>
      <c r="F39" s="25">
        <v>42546.319131944445</v>
      </c>
      <c r="G39" s="31">
        <v>1</v>
      </c>
      <c r="H39" s="25" t="s">
        <v>76</v>
      </c>
      <c r="I39" s="25">
        <v>42546.346631944441</v>
      </c>
      <c r="J39" s="43">
        <v>0</v>
      </c>
      <c r="K39" s="43" t="str">
        <f>IF(ISEVEN(B39),(B39-1)&amp;"/"&amp;B39,B39&amp;"/"&amp;(B39+1))</f>
        <v>4019/4020</v>
      </c>
      <c r="L39" s="43" t="str">
        <f>VLOOKUP(A39,'Trips&amp;Operators'!$C$1:$E$10000,3,FALSE)</f>
        <v>MADLOM</v>
      </c>
      <c r="M39" s="11">
        <f>I39-F39</f>
        <v>2.749999999650754E-2</v>
      </c>
      <c r="N39" s="12">
        <f>24*60*SUM($M39:$M39)</f>
        <v>39.599999994970858</v>
      </c>
      <c r="O39" s="12"/>
      <c r="P39" s="12"/>
      <c r="Q39" s="44"/>
      <c r="R39" s="44"/>
      <c r="S39" s="70">
        <f>SUM(U39:U39)/12</f>
        <v>1</v>
      </c>
      <c r="T39" s="2" t="str">
        <f>IF(ISEVEN(LEFT(A39,3)),"Southbound","NorthBound")</f>
        <v>Southbound</v>
      </c>
      <c r="U39" s="2">
        <f>COUNTIFS(Variables!$M$2:$M$19, "&lt;=" &amp; Y39, Variables!$M$2:$M$19, "&gt;=" &amp; Z39)</f>
        <v>12</v>
      </c>
      <c r="V39" s="48" t="str">
        <f>"https://search-rtdc-monitor-bjffxe2xuh6vdkpspy63sjmuny.us-east-1.es.amazonaws.com/_plugin/kibana/#/discover/Steve-Slow-Train-Analysis-(2080s-and-2083s)?_g=(refreshInterval:(display:Off,section:0,value:0),time:(from:'"&amp;TEXT(E39-1/24/60,"yyyy-MM-DD hh:mm:ss")&amp;"-0600',mode:absolute,to:'"&amp;TEXT(I39+1/24/60,"yyyy-MM-DD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39&amp;"%22')),sort:!(Time,asc))"</f>
        <v>https://search-rtdc-monitor-bjffxe2xuh6vdkpspy63sjmuny.us-east-1.es.amazonaws.com/_plugin/kibana/#/discover/Steve-Slow-Train-Analysis-(2080s-and-2083s)?_g=(refreshInterval:(display:Off,section:0,value:0),time:(from:'2016-06-25 07:36:44-0600',mode:absolute,to:'2016-06-25 08:20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39" s="48" t="str">
        <f>IF(AA39&lt;23,"Y","N")</f>
        <v>N</v>
      </c>
      <c r="X39" s="48">
        <f>VALUE(LEFT(A39,3))-VALUE(LEFT(A38,3))</f>
        <v>1</v>
      </c>
      <c r="Y39" s="48">
        <f>RIGHT(D39,LEN(D39)-4)/10000</f>
        <v>23.298500000000001</v>
      </c>
      <c r="Z39" s="48">
        <f>RIGHT(H39,LEN(H39)-4)/10000</f>
        <v>1.49E-2</v>
      </c>
      <c r="AA39" s="48">
        <f>ABS(Z39-Y39)</f>
        <v>23.2836</v>
      </c>
      <c r="AB39" s="49" t="e">
        <f>VLOOKUP(A39,Enforcements!$C$7:$J$32,8,0)</f>
        <v>#N/A</v>
      </c>
      <c r="AC39" s="49" t="e">
        <f>VLOOKUP(A39,Enforcements!$C$7:$E$32,3,0)</f>
        <v>#N/A</v>
      </c>
    </row>
    <row r="40" spans="1:29" s="2" customFormat="1" x14ac:dyDescent="0.25">
      <c r="A40" s="66" t="s">
        <v>271</v>
      </c>
      <c r="B40" s="43">
        <v>4027</v>
      </c>
      <c r="C40" s="43" t="s">
        <v>60</v>
      </c>
      <c r="D40" s="43" t="s">
        <v>83</v>
      </c>
      <c r="E40" s="25">
        <v>42546.285185185188</v>
      </c>
      <c r="F40" s="25">
        <v>42546.286354166667</v>
      </c>
      <c r="G40" s="31">
        <v>1</v>
      </c>
      <c r="H40" s="25" t="s">
        <v>118</v>
      </c>
      <c r="I40" s="25">
        <v>42546.317916666667</v>
      </c>
      <c r="J40" s="43">
        <v>0</v>
      </c>
      <c r="K40" s="43" t="str">
        <f>IF(ISEVEN(B40),(B40-1)&amp;"/"&amp;B40,B40&amp;"/"&amp;(B40+1))</f>
        <v>4027/4028</v>
      </c>
      <c r="L40" s="43" t="str">
        <f>VLOOKUP(A40,'Trips&amp;Operators'!$C$1:$E$10000,3,FALSE)</f>
        <v>CANFIELD</v>
      </c>
      <c r="M40" s="11">
        <f>I40-F40</f>
        <v>3.1562500000291038E-2</v>
      </c>
      <c r="N40" s="12">
        <f>24*60*SUM($M40:$M40)</f>
        <v>45.450000000419095</v>
      </c>
      <c r="O40" s="12"/>
      <c r="P40" s="12"/>
      <c r="Q40" s="44"/>
      <c r="R40" s="44"/>
      <c r="S40" s="70">
        <f>SUM(U40:U40)/12</f>
        <v>1</v>
      </c>
      <c r="T40" s="2" t="str">
        <f>IF(ISEVEN(LEFT(A40,3)),"Southbound","NorthBound")</f>
        <v>NorthBound</v>
      </c>
      <c r="U40" s="2">
        <f>COUNTIFS(Variables!$M$2:$M$19, "&gt;=" &amp; Y40, Variables!$M$2:$M$19, "&lt;=" &amp; Z40)</f>
        <v>12</v>
      </c>
      <c r="V40" s="48" t="str">
        <f>"https://search-rtdc-monitor-bjffxe2xuh6vdkpspy63sjmuny.us-east-1.es.amazonaws.com/_plugin/kibana/#/discover/Steve-Slow-Train-Analysis-(2080s-and-2083s)?_g=(refreshInterval:(display:Off,section:0,value:0),time:(from:'"&amp;TEXT(E40-1/24/60,"yyyy-MM-DD hh:mm:ss")&amp;"-0600',mode:absolute,to:'"&amp;TEXT(I40+1/24/60,"yyyy-MM-DD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40&amp;"%22')),sort:!(Time,asc))"</f>
        <v>https://search-rtdc-monitor-bjffxe2xuh6vdkpspy63sjmuny.us-east-1.es.amazonaws.com/_plugin/kibana/#/discover/Steve-Slow-Train-Analysis-(2080s-and-2083s)?_g=(refreshInterval:(display:Off,section:0,value:0),time:(from:'2016-06-25 06:49:40-0600',mode:absolute,to:'2016-06-25 07:38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40" s="48" t="str">
        <f>IF(AA40&lt;23,"Y","N")</f>
        <v>N</v>
      </c>
      <c r="X40" s="48">
        <f>VALUE(LEFT(A40,3))-VALUE(LEFT(A39,3))</f>
        <v>1</v>
      </c>
      <c r="Y40" s="48">
        <f>RIGHT(D40,LEN(D40)-4)/10000</f>
        <v>4.58E-2</v>
      </c>
      <c r="Z40" s="48">
        <f>RIGHT(H40,LEN(H40)-4)/10000</f>
        <v>23.3307</v>
      </c>
      <c r="AA40" s="48">
        <f>ABS(Z40-Y40)</f>
        <v>23.2849</v>
      </c>
      <c r="AB40" s="49" t="e">
        <f>VLOOKUP(A40,Enforcements!$C$7:$J$32,8,0)</f>
        <v>#N/A</v>
      </c>
      <c r="AC40" s="49" t="e">
        <f>VLOOKUP(A40,Enforcements!$C$7:$E$32,3,0)</f>
        <v>#N/A</v>
      </c>
    </row>
    <row r="41" spans="1:29" s="2" customFormat="1" x14ac:dyDescent="0.25">
      <c r="A41" s="43" t="s">
        <v>272</v>
      </c>
      <c r="B41" s="43">
        <v>4028</v>
      </c>
      <c r="C41" s="43" t="s">
        <v>60</v>
      </c>
      <c r="D41" s="43" t="s">
        <v>120</v>
      </c>
      <c r="E41" s="25">
        <v>42546.326192129629</v>
      </c>
      <c r="F41" s="25">
        <v>42546.327002314814</v>
      </c>
      <c r="G41" s="31">
        <v>1</v>
      </c>
      <c r="H41" s="25" t="s">
        <v>75</v>
      </c>
      <c r="I41" s="25">
        <v>42546.356956018521</v>
      </c>
      <c r="J41" s="43">
        <v>0</v>
      </c>
      <c r="K41" s="43" t="str">
        <f>IF(ISEVEN(B41),(B41-1)&amp;"/"&amp;B41,B41&amp;"/"&amp;(B41+1))</f>
        <v>4027/4028</v>
      </c>
      <c r="L41" s="43" t="str">
        <f>VLOOKUP(A41,'Trips&amp;Operators'!$C$1:$E$10000,3,FALSE)</f>
        <v>CANFIELD</v>
      </c>
      <c r="M41" s="11">
        <f>I41-F41</f>
        <v>2.9953703706269152E-2</v>
      </c>
      <c r="N41" s="12">
        <f>24*60*SUM($M41:$M41)</f>
        <v>43.13333333702758</v>
      </c>
      <c r="O41" s="12"/>
      <c r="P41" s="12"/>
      <c r="Q41" s="44"/>
      <c r="R41" s="44"/>
      <c r="S41" s="70">
        <f>SUM(U41:U41)/12</f>
        <v>1</v>
      </c>
      <c r="T41" s="2" t="str">
        <f>IF(ISEVEN(LEFT(A41,3)),"Southbound","NorthBound")</f>
        <v>Southbound</v>
      </c>
      <c r="U41" s="2">
        <f>COUNTIFS(Variables!$M$2:$M$19, "&lt;=" &amp; Y41, Variables!$M$2:$M$19, "&gt;=" &amp; Z41)</f>
        <v>12</v>
      </c>
      <c r="V41" s="48" t="str">
        <f>"https://search-rtdc-monitor-bjffxe2xuh6vdkpspy63sjmuny.us-east-1.es.amazonaws.com/_plugin/kibana/#/discover/Steve-Slow-Train-Analysis-(2080s-and-2083s)?_g=(refreshInterval:(display:Off,section:0,value:0),time:(from:'"&amp;TEXT(E41-1/24/60,"yyyy-MM-DD hh:mm:ss")&amp;"-0600',mode:absolute,to:'"&amp;TEXT(I41+1/24/60,"yyyy-MM-DD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41&amp;"%22')),sort:!(Time,asc))"</f>
        <v>https://search-rtdc-monitor-bjffxe2xuh6vdkpspy63sjmuny.us-east-1.es.amazonaws.com/_plugin/kibana/#/discover/Steve-Slow-Train-Analysis-(2080s-and-2083s)?_g=(refreshInterval:(display:Off,section:0,value:0),time:(from:'2016-06-25 07:48:43-0600',mode:absolute,to:'2016-06-25 08:35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41" s="48" t="str">
        <f>IF(AA41&lt;23,"Y","N")</f>
        <v>N</v>
      </c>
      <c r="X41" s="48">
        <f>VALUE(LEFT(A41,3))-VALUE(LEFT(A40,3))</f>
        <v>1</v>
      </c>
      <c r="Y41" s="48">
        <f>RIGHT(D41,LEN(D41)-4)/10000</f>
        <v>23.2986</v>
      </c>
      <c r="Z41" s="48">
        <f>RIGHT(H41,LEN(H41)-4)/10000</f>
        <v>1.5599999999999999E-2</v>
      </c>
      <c r="AA41" s="48">
        <f>ABS(Z41-Y41)</f>
        <v>23.283000000000001</v>
      </c>
      <c r="AB41" s="49" t="e">
        <f>VLOOKUP(A41,Enforcements!$C$7:$J$32,8,0)</f>
        <v>#N/A</v>
      </c>
      <c r="AC41" s="49" t="e">
        <f>VLOOKUP(A41,Enforcements!$C$7:$E$32,3,0)</f>
        <v>#N/A</v>
      </c>
    </row>
    <row r="42" spans="1:29" s="2" customFormat="1" x14ac:dyDescent="0.25">
      <c r="A42" s="43" t="s">
        <v>273</v>
      </c>
      <c r="B42" s="43">
        <v>4042</v>
      </c>
      <c r="C42" s="43" t="s">
        <v>60</v>
      </c>
      <c r="D42" s="43" t="s">
        <v>79</v>
      </c>
      <c r="E42" s="25">
        <v>42546.298252314817</v>
      </c>
      <c r="F42" s="25">
        <v>42546.299328703702</v>
      </c>
      <c r="G42" s="31">
        <v>1</v>
      </c>
      <c r="H42" s="25" t="s">
        <v>274</v>
      </c>
      <c r="I42" s="25">
        <v>42546.302812499998</v>
      </c>
      <c r="J42" s="43">
        <v>0</v>
      </c>
      <c r="K42" s="43" t="str">
        <f>IF(ISEVEN(B42),(B42-1)&amp;"/"&amp;B42,B42&amp;"/"&amp;(B42+1))</f>
        <v>4041/4042</v>
      </c>
      <c r="L42" s="43" t="str">
        <f>VLOOKUP(A42,'Trips&amp;Operators'!$C$1:$E$10000,3,FALSE)</f>
        <v>NELSON</v>
      </c>
      <c r="M42" s="11">
        <f>I42-F42</f>
        <v>3.4837962957681157E-3</v>
      </c>
      <c r="N42" s="12">
        <f>24*60*SUM($M42:$M42)</f>
        <v>5.0166666659060866</v>
      </c>
      <c r="O42" s="12"/>
      <c r="P42" s="12"/>
      <c r="Q42" s="44"/>
      <c r="R42" s="44"/>
      <c r="S42" s="70">
        <f>SUM(U42:U42)/12</f>
        <v>0</v>
      </c>
      <c r="T42" s="2" t="str">
        <f>IF(ISEVEN(LEFT(A42,3)),"Southbound","NorthBound")</f>
        <v>NorthBound</v>
      </c>
      <c r="U42" s="2">
        <f>COUNTIFS(Variables!$M$2:$M$19, "&gt;=" &amp; Y42, Variables!$M$2:$M$19, "&lt;=" &amp; Z42)</f>
        <v>0</v>
      </c>
      <c r="V42" s="48" t="str">
        <f>"https://search-rtdc-monitor-bjffxe2xuh6vdkpspy63sjmuny.us-east-1.es.amazonaws.com/_plugin/kibana/#/discover/Steve-Slow-Train-Analysis-(2080s-and-2083s)?_g=(refreshInterval:(display:Off,section:0,value:0),time:(from:'"&amp;TEXT(E42-1/24/60,"yyyy-MM-DD hh:mm:ss")&amp;"-0600',mode:absolute,to:'"&amp;TEXT(I42+1/24/60,"yyyy-MM-DD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42&amp;"%22')),sort:!(Time,asc))"</f>
        <v>https://search-rtdc-monitor-bjffxe2xuh6vdkpspy63sjmuny.us-east-1.es.amazonaws.com/_plugin/kibana/#/discover/Steve-Slow-Train-Analysis-(2080s-and-2083s)?_g=(refreshInterval:(display:Off,section:0,value:0),time:(from:'2016-06-25 07:08:29-0600',mode:absolute,to:'2016-06-25 07:17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42" s="48" t="str">
        <f>IF(AA42&lt;23,"Y","N")</f>
        <v>Y</v>
      </c>
      <c r="X42" s="48">
        <f>VALUE(LEFT(A42,3))-VALUE(LEFT(A41,3))</f>
        <v>1</v>
      </c>
      <c r="Y42" s="48">
        <f>RIGHT(D42,LEN(D42)-4)/10000</f>
        <v>4.53E-2</v>
      </c>
      <c r="Z42" s="48">
        <f>RIGHT(H42,LEN(H42)-4)/10000</f>
        <v>0.19750000000000001</v>
      </c>
      <c r="AA42" s="48">
        <f>ABS(Z42-Y42)</f>
        <v>0.1522</v>
      </c>
      <c r="AB42" s="49" t="e">
        <f>VLOOKUP(A42,Enforcements!$C$7:$J$32,8,0)</f>
        <v>#N/A</v>
      </c>
      <c r="AC42" s="49" t="e">
        <f>VLOOKUP(A42,Enforcements!$C$7:$E$32,3,0)</f>
        <v>#N/A</v>
      </c>
    </row>
    <row r="43" spans="1:29" s="2" customFormat="1" x14ac:dyDescent="0.25">
      <c r="A43" s="43" t="s">
        <v>275</v>
      </c>
      <c r="B43" s="43">
        <v>4041</v>
      </c>
      <c r="C43" s="43" t="s">
        <v>60</v>
      </c>
      <c r="D43" s="43" t="s">
        <v>156</v>
      </c>
      <c r="E43" s="25">
        <v>42546.337025462963</v>
      </c>
      <c r="F43" s="25">
        <v>42546.338055555556</v>
      </c>
      <c r="G43" s="31">
        <v>1</v>
      </c>
      <c r="H43" s="25" t="s">
        <v>204</v>
      </c>
      <c r="I43" s="25">
        <v>42546.368020833332</v>
      </c>
      <c r="J43" s="43">
        <v>0</v>
      </c>
      <c r="K43" s="43" t="str">
        <f>IF(ISEVEN(B43),(B43-1)&amp;"/"&amp;B43,B43&amp;"/"&amp;(B43+1))</f>
        <v>4041/4042</v>
      </c>
      <c r="L43" s="43" t="str">
        <f>VLOOKUP(A43,'Trips&amp;Operators'!$C$1:$E$10000,3,FALSE)</f>
        <v>NELSON</v>
      </c>
      <c r="M43" s="11">
        <f>I43-F43</f>
        <v>2.9965277775772847E-2</v>
      </c>
      <c r="N43" s="12">
        <f>24*60*SUM($M43:$M43)</f>
        <v>43.1499999971129</v>
      </c>
      <c r="O43" s="12"/>
      <c r="P43" s="12"/>
      <c r="Q43" s="44"/>
      <c r="R43" s="44"/>
      <c r="S43" s="70">
        <f>SUM(U43:U43)/12</f>
        <v>1</v>
      </c>
      <c r="T43" s="2" t="str">
        <f>IF(ISEVEN(LEFT(A43,3)),"Southbound","NorthBound")</f>
        <v>Southbound</v>
      </c>
      <c r="U43" s="2">
        <f>COUNTIFS(Variables!$M$2:$M$19, "&lt;=" &amp; Y43, Variables!$M$2:$M$19, "&gt;=" &amp; Z43)</f>
        <v>12</v>
      </c>
      <c r="V43" s="48" t="str">
        <f>"https://search-rtdc-monitor-bjffxe2xuh6vdkpspy63sjmuny.us-east-1.es.amazonaws.com/_plugin/kibana/#/discover/Steve-Slow-Train-Analysis-(2080s-and-2083s)?_g=(refreshInterval:(display:Off,section:0,value:0),time:(from:'"&amp;TEXT(E43-1/24/60,"yyyy-MM-DD hh:mm:ss")&amp;"-0600',mode:absolute,to:'"&amp;TEXT(I43+1/24/60,"yyyy-MM-DD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43&amp;"%22')),sort:!(Time,asc))"</f>
        <v>https://search-rtdc-monitor-bjffxe2xuh6vdkpspy63sjmuny.us-east-1.es.amazonaws.com/_plugin/kibana/#/discover/Steve-Slow-Train-Analysis-(2080s-and-2083s)?_g=(refreshInterval:(display:Off,section:0,value:0),time:(from:'2016-06-25 08:04:19-0600',mode:absolute,to:'2016-06-25 08:50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43" s="48" t="str">
        <f>IF(AA43&lt;23,"Y","N")</f>
        <v>N</v>
      </c>
      <c r="X43" s="48">
        <f>VALUE(LEFT(A43,3))-VALUE(LEFT(A42,3))</f>
        <v>1</v>
      </c>
      <c r="Y43" s="48">
        <f>RIGHT(D43,LEN(D43)-4)/10000</f>
        <v>23.2974</v>
      </c>
      <c r="Z43" s="48">
        <f>RIGHT(H43,LEN(H43)-4)/10000</f>
        <v>1.2699999999999999E-2</v>
      </c>
      <c r="AA43" s="48">
        <f>ABS(Z43-Y43)</f>
        <v>23.284700000000001</v>
      </c>
      <c r="AB43" s="49" t="e">
        <f>VLOOKUP(A43,Enforcements!$C$7:$J$32,8,0)</f>
        <v>#N/A</v>
      </c>
      <c r="AC43" s="49" t="e">
        <f>VLOOKUP(A43,Enforcements!$C$7:$E$32,3,0)</f>
        <v>#N/A</v>
      </c>
    </row>
    <row r="44" spans="1:29" s="2" customFormat="1" x14ac:dyDescent="0.25">
      <c r="A44" s="43" t="s">
        <v>276</v>
      </c>
      <c r="B44" s="43">
        <v>4025</v>
      </c>
      <c r="C44" s="43" t="s">
        <v>60</v>
      </c>
      <c r="D44" s="43" t="s">
        <v>277</v>
      </c>
      <c r="E44" s="25">
        <v>42546.322615740741</v>
      </c>
      <c r="F44" s="25">
        <v>42546.323460648149</v>
      </c>
      <c r="G44" s="31">
        <v>1</v>
      </c>
      <c r="H44" s="25" t="s">
        <v>160</v>
      </c>
      <c r="I44" s="25">
        <v>42546.344629629632</v>
      </c>
      <c r="J44" s="43">
        <v>0</v>
      </c>
      <c r="K44" s="43" t="str">
        <f>IF(ISEVEN(B44),(B44-1)&amp;"/"&amp;B44,B44&amp;"/"&amp;(B44+1))</f>
        <v>4025/4026</v>
      </c>
      <c r="L44" s="43" t="str">
        <f>VLOOKUP(A44,'Trips&amp;Operators'!$C$1:$E$10000,3,FALSE)</f>
        <v>STURGEON</v>
      </c>
      <c r="M44" s="11">
        <f>I44-F44</f>
        <v>2.1168981482333038E-2</v>
      </c>
      <c r="N44" s="12">
        <f>24*60*SUM($M44:$M44)</f>
        <v>30.483333334559575</v>
      </c>
      <c r="O44" s="12"/>
      <c r="P44" s="12"/>
      <c r="Q44" s="44"/>
      <c r="R44" s="44"/>
      <c r="S44" s="70">
        <f>SUM(U44:U44)/12</f>
        <v>0</v>
      </c>
      <c r="T44" s="2" t="str">
        <f>IF(ISEVEN(LEFT(A44,3)),"Southbound","NorthBound")</f>
        <v>NorthBound</v>
      </c>
      <c r="U44" s="2">
        <f>COUNTIFS(Variables!$M$2:$M$19, "&gt;=" &amp; Y44, Variables!$M$2:$M$19, "&lt;=" &amp; Z44)</f>
        <v>0</v>
      </c>
      <c r="V44" s="48" t="str">
        <f>"https://search-rtdc-monitor-bjffxe2xuh6vdkpspy63sjmuny.us-east-1.es.amazonaws.com/_plugin/kibana/#/discover/Steve-Slow-Train-Analysis-(2080s-and-2083s)?_g=(refreshInterval:(display:Off,section:0,value:0),time:(from:'"&amp;TEXT(E44-1/24/60,"yyyy-MM-DD hh:mm:ss")&amp;"-0600',mode:absolute,to:'"&amp;TEXT(I44+1/24/60,"yyyy-MM-DD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44&amp;"%22')),sort:!(Time,asc))"</f>
        <v>https://search-rtdc-monitor-bjffxe2xuh6vdkpspy63sjmuny.us-east-1.es.amazonaws.com/_plugin/kibana/#/discover/Steve-Slow-Train-Analysis-(2080s-and-2083s)?_g=(refreshInterval:(display:Off,section:0,value:0),time:(from:'2016-06-25 07:43:34-0600',mode:absolute,to:'2016-06-25 08:17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44" s="48" t="str">
        <f>IF(AA44&lt;23,"Y","N")</f>
        <v>Y</v>
      </c>
      <c r="X44" s="48">
        <f>VALUE(LEFT(A44,3))-VALUE(LEFT(A43,3))</f>
        <v>1</v>
      </c>
      <c r="Y44" s="48">
        <f>RIGHT(D44,LEN(D44)-4)/10000</f>
        <v>3.7185000000000001</v>
      </c>
      <c r="Z44" s="48">
        <v>5.5999999999999999E-3</v>
      </c>
      <c r="AA44" s="48">
        <f>ABS(Z44-Y44)</f>
        <v>3.7129000000000003</v>
      </c>
      <c r="AB44" s="49" t="e">
        <f>VLOOKUP(A44,Enforcements!$C$7:$J$32,8,0)</f>
        <v>#N/A</v>
      </c>
      <c r="AC44" s="49" t="e">
        <f>VLOOKUP(A44,Enforcements!$C$7:$E$32,3,0)</f>
        <v>#N/A</v>
      </c>
    </row>
    <row r="45" spans="1:29" s="2" customFormat="1" x14ac:dyDescent="0.25">
      <c r="A45" s="43" t="s">
        <v>278</v>
      </c>
      <c r="B45" s="43">
        <v>4026</v>
      </c>
      <c r="C45" s="43" t="s">
        <v>60</v>
      </c>
      <c r="D45" s="43" t="s">
        <v>173</v>
      </c>
      <c r="E45" s="25">
        <v>42546.346759259257</v>
      </c>
      <c r="F45" s="25">
        <v>42546.348032407404</v>
      </c>
      <c r="G45" s="31">
        <v>1</v>
      </c>
      <c r="H45" s="25" t="s">
        <v>95</v>
      </c>
      <c r="I45" s="25">
        <v>42546.379490740743</v>
      </c>
      <c r="J45" s="43">
        <v>0</v>
      </c>
      <c r="K45" s="43" t="str">
        <f>IF(ISEVEN(B45),(B45-1)&amp;"/"&amp;B45,B45&amp;"/"&amp;(B45+1))</f>
        <v>4025/4026</v>
      </c>
      <c r="L45" s="43" t="str">
        <f>VLOOKUP(A45,'Trips&amp;Operators'!$C$1:$E$10000,3,FALSE)</f>
        <v>STURGEON</v>
      </c>
      <c r="M45" s="11">
        <f>I45-F45</f>
        <v>3.1458333338377997E-2</v>
      </c>
      <c r="N45" s="12">
        <f>24*60*SUM($M45:$M45)</f>
        <v>45.300000007264316</v>
      </c>
      <c r="O45" s="12"/>
      <c r="P45" s="12"/>
      <c r="Q45" s="44"/>
      <c r="R45" s="44"/>
      <c r="S45" s="70">
        <f>SUM(U45:U45)/12</f>
        <v>0</v>
      </c>
      <c r="T45" s="2" t="str">
        <f>IF(ISEVEN(LEFT(A45,3)),"Southbound","NorthBound")</f>
        <v>Southbound</v>
      </c>
      <c r="U45" s="2">
        <f>COUNTIFS(Variables!$M$2:$M$19, "&lt;=" &amp; Y45, Variables!$M$2:$M$19, "&gt;=" &amp; Z45)</f>
        <v>0</v>
      </c>
      <c r="V45" s="48" t="str">
        <f>"https://search-rtdc-monitor-bjffxe2xuh6vdkpspy63sjmuny.us-east-1.es.amazonaws.com/_plugin/kibana/#/discover/Steve-Slow-Train-Analysis-(2080s-and-2083s)?_g=(refreshInterval:(display:Off,section:0,value:0),time:(from:'"&amp;TEXT(E45-1/24/60,"yyyy-MM-DD hh:mm:ss")&amp;"-0600',mode:absolute,to:'"&amp;TEXT(I45+1/24/60,"yyyy-MM-DD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45&amp;"%22')),sort:!(Time,asc))"</f>
        <v>https://search-rtdc-monitor-bjffxe2xuh6vdkpspy63sjmuny.us-east-1.es.amazonaws.com/_plugin/kibana/#/discover/Steve-Slow-Train-Analysis-(2080s-and-2083s)?_g=(refreshInterval:(display:Off,section:0,value:0),time:(from:'2016-06-25 08:18:20-0600',mode:absolute,to:'2016-06-25 09:07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45" s="48" t="str">
        <f>IF(AA45&lt;23,"Y","N")</f>
        <v>Y</v>
      </c>
      <c r="X45" s="48">
        <f>VALUE(LEFT(A45,3))-VALUE(LEFT(A44,3))</f>
        <v>1</v>
      </c>
      <c r="Y45" s="48">
        <f>RIGHT(D45,LEN(D45)-4)/10000</f>
        <v>23.296900000000001</v>
      </c>
      <c r="Z45" s="79">
        <v>23.3293</v>
      </c>
      <c r="AA45" s="48">
        <f>ABS(Z45-Y45)</f>
        <v>3.2399999999999096E-2</v>
      </c>
      <c r="AB45" s="49" t="e">
        <f>VLOOKUP(A45,Enforcements!$C$7:$J$32,8,0)</f>
        <v>#N/A</v>
      </c>
      <c r="AC45" s="49" t="e">
        <f>VLOOKUP(A45,Enforcements!$C$7:$E$32,3,0)</f>
        <v>#N/A</v>
      </c>
    </row>
    <row r="46" spans="1:29" s="2" customFormat="1" x14ac:dyDescent="0.25">
      <c r="A46" s="43" t="s">
        <v>279</v>
      </c>
      <c r="B46" s="43">
        <v>4044</v>
      </c>
      <c r="C46" s="43" t="s">
        <v>60</v>
      </c>
      <c r="D46" s="43" t="s">
        <v>83</v>
      </c>
      <c r="E46" s="25">
        <v>42546.317118055558</v>
      </c>
      <c r="F46" s="25">
        <v>42546.318124999998</v>
      </c>
      <c r="G46" s="31">
        <v>1</v>
      </c>
      <c r="H46" s="25" t="s">
        <v>280</v>
      </c>
      <c r="I46" s="25">
        <v>42546.347453703704</v>
      </c>
      <c r="J46" s="43">
        <v>0</v>
      </c>
      <c r="K46" s="43" t="str">
        <f>IF(ISEVEN(B46),(B46-1)&amp;"/"&amp;B46,B46&amp;"/"&amp;(B46+1))</f>
        <v>4043/4044</v>
      </c>
      <c r="L46" s="43" t="str">
        <f>VLOOKUP(A46,'Trips&amp;Operators'!$C$1:$E$10000,3,FALSE)</f>
        <v>YORK</v>
      </c>
      <c r="M46" s="11">
        <f>I46-F46</f>
        <v>2.9328703705687076E-2</v>
      </c>
      <c r="N46" s="12">
        <f>24*60*SUM($M46:$M46)</f>
        <v>42.233333336189389</v>
      </c>
      <c r="O46" s="12"/>
      <c r="P46" s="12"/>
      <c r="Q46" s="44"/>
      <c r="R46" s="44"/>
      <c r="S46" s="70">
        <f>SUM(U46:U46)/12</f>
        <v>1</v>
      </c>
      <c r="T46" s="2" t="str">
        <f>IF(ISEVEN(LEFT(A46,3)),"Southbound","NorthBound")</f>
        <v>NorthBound</v>
      </c>
      <c r="U46" s="2">
        <f>COUNTIFS(Variables!$M$2:$M$19, "&gt;=" &amp; Y46, Variables!$M$2:$M$19, "&lt;=" &amp; Z46)</f>
        <v>12</v>
      </c>
      <c r="V46" s="48" t="str">
        <f>"https://search-rtdc-monitor-bjffxe2xuh6vdkpspy63sjmuny.us-east-1.es.amazonaws.com/_plugin/kibana/#/discover/Steve-Slow-Train-Analysis-(2080s-and-2083s)?_g=(refreshInterval:(display:Off,section:0,value:0),time:(from:'"&amp;TEXT(E46-1/24/60,"yyyy-MM-DD hh:mm:ss")&amp;"-0600',mode:absolute,to:'"&amp;TEXT(I46+1/24/60,"yyyy-MM-DD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46&amp;"%22')),sort:!(Time,asc))"</f>
        <v>https://search-rtdc-monitor-bjffxe2xuh6vdkpspy63sjmuny.us-east-1.es.amazonaws.com/_plugin/kibana/#/discover/Steve-Slow-Train-Analysis-(2080s-and-2083s)?_g=(refreshInterval:(display:Off,section:0,value:0),time:(from:'2016-06-25 07:35:39-0600',mode:absolute,to:'2016-06-25 08:21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46" s="48" t="str">
        <f>IF(AA46&lt;23,"Y","N")</f>
        <v>N</v>
      </c>
      <c r="X46" s="48">
        <f>VALUE(LEFT(A46,3))-VALUE(LEFT(A45,3))</f>
        <v>1</v>
      </c>
      <c r="Y46" s="48">
        <f>RIGHT(D46,LEN(D46)-4)/10000</f>
        <v>4.58E-2</v>
      </c>
      <c r="Z46" s="48">
        <f>RIGHT(H46,LEN(H46)-4)/10000</f>
        <v>23.328700000000001</v>
      </c>
      <c r="AA46" s="48">
        <f>ABS(Z46-Y46)</f>
        <v>23.282900000000001</v>
      </c>
      <c r="AB46" s="49" t="e">
        <f>VLOOKUP(A46,Enforcements!$C$7:$J$32,8,0)</f>
        <v>#N/A</v>
      </c>
      <c r="AC46" s="49" t="e">
        <f>VLOOKUP(A46,Enforcements!$C$7:$E$32,3,0)</f>
        <v>#N/A</v>
      </c>
    </row>
    <row r="47" spans="1:29" s="2" customFormat="1" x14ac:dyDescent="0.25">
      <c r="A47" s="43" t="s">
        <v>281</v>
      </c>
      <c r="B47" s="43">
        <v>4043</v>
      </c>
      <c r="C47" s="43" t="s">
        <v>60</v>
      </c>
      <c r="D47" s="43" t="s">
        <v>282</v>
      </c>
      <c r="E47" s="25">
        <v>42546.348449074074</v>
      </c>
      <c r="F47" s="25">
        <v>42546.349108796298</v>
      </c>
      <c r="G47" s="31">
        <v>0</v>
      </c>
      <c r="H47" s="25" t="s">
        <v>67</v>
      </c>
      <c r="I47" s="25">
        <v>42546.388298611113</v>
      </c>
      <c r="J47" s="43">
        <v>0</v>
      </c>
      <c r="K47" s="43" t="str">
        <f>IF(ISEVEN(B47),(B47-1)&amp;"/"&amp;B47,B47&amp;"/"&amp;(B47+1))</f>
        <v>4043/4044</v>
      </c>
      <c r="L47" s="43" t="str">
        <f>VLOOKUP(A47,'Trips&amp;Operators'!$C$1:$E$10000,3,FALSE)</f>
        <v>YORK</v>
      </c>
      <c r="M47" s="11">
        <f>I47-F47</f>
        <v>3.9189814815472346E-2</v>
      </c>
      <c r="N47" s="12">
        <f>24*60*SUM($M47:$M47)</f>
        <v>56.433333334280178</v>
      </c>
      <c r="O47" s="12"/>
      <c r="P47" s="12"/>
      <c r="Q47" s="44"/>
      <c r="R47" s="44"/>
      <c r="S47" s="70">
        <f>SUM(U47:U47)/12</f>
        <v>1</v>
      </c>
      <c r="T47" s="2" t="str">
        <f>IF(ISEVEN(LEFT(A47,3)),"Southbound","NorthBound")</f>
        <v>Southbound</v>
      </c>
      <c r="U47" s="2">
        <f>COUNTIFS(Variables!$M$2:$M$19, "&lt;=" &amp; Y47, Variables!$M$2:$M$19, "&gt;=" &amp; Z47)</f>
        <v>12</v>
      </c>
      <c r="V47" s="48" t="str">
        <f>"https://search-rtdc-monitor-bjffxe2xuh6vdkpspy63sjmuny.us-east-1.es.amazonaws.com/_plugin/kibana/#/discover/Steve-Slow-Train-Analysis-(2080s-and-2083s)?_g=(refreshInterval:(display:Off,section:0,value:0),time:(from:'"&amp;TEXT(E47-1/24/60,"yyyy-MM-DD hh:mm:ss")&amp;"-0600',mode:absolute,to:'"&amp;TEXT(I47+1/24/60,"yyyy-MM-DD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47&amp;"%22')),sort:!(Time,asc))"</f>
        <v>https://search-rtdc-monitor-bjffxe2xuh6vdkpspy63sjmuny.us-east-1.es.amazonaws.com/_plugin/kibana/#/discover/Steve-Slow-Train-Analysis-(2080s-and-2083s)?_g=(refreshInterval:(display:Off,section:0,value:0),time:(from:'2016-06-25 08:20:46-0600',mode:absolute,to:'2016-06-25 09:20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47" s="48" t="str">
        <f>IF(AA47&lt;23,"Y","N")</f>
        <v>N</v>
      </c>
      <c r="X47" s="48">
        <f>VALUE(LEFT(A47,3))-VALUE(LEFT(A46,3))</f>
        <v>1</v>
      </c>
      <c r="Y47" s="48">
        <f>RIGHT(D47,LEN(D47)-4)/10000</f>
        <v>23.297899999999998</v>
      </c>
      <c r="Z47" s="48">
        <f>RIGHT(H47,LEN(H47)-4)/10000</f>
        <v>1.47E-2</v>
      </c>
      <c r="AA47" s="48">
        <f>ABS(Z47-Y47)</f>
        <v>23.283199999999997</v>
      </c>
      <c r="AB47" s="49" t="e">
        <f>VLOOKUP(A47,Enforcements!$C$7:$J$32,8,0)</f>
        <v>#N/A</v>
      </c>
      <c r="AC47" s="49" t="e">
        <f>VLOOKUP(A47,Enforcements!$C$7:$E$32,3,0)</f>
        <v>#N/A</v>
      </c>
    </row>
    <row r="48" spans="1:29" s="2" customFormat="1" x14ac:dyDescent="0.25">
      <c r="A48" s="43" t="s">
        <v>283</v>
      </c>
      <c r="B48" s="43">
        <v>4007</v>
      </c>
      <c r="C48" s="43" t="s">
        <v>60</v>
      </c>
      <c r="D48" s="43" t="s">
        <v>69</v>
      </c>
      <c r="E48" s="25">
        <v>42546.331064814818</v>
      </c>
      <c r="F48" s="25">
        <v>42546.332488425927</v>
      </c>
      <c r="G48" s="31">
        <v>2</v>
      </c>
      <c r="H48" s="25" t="s">
        <v>284</v>
      </c>
      <c r="I48" s="25">
        <v>42546.358368055553</v>
      </c>
      <c r="J48" s="43">
        <v>0</v>
      </c>
      <c r="K48" s="43" t="str">
        <f>IF(ISEVEN(B48),(B48-1)&amp;"/"&amp;B48,B48&amp;"/"&amp;(B48+1))</f>
        <v>4007/4008</v>
      </c>
      <c r="L48" s="43" t="str">
        <f>VLOOKUP(A48,'Trips&amp;Operators'!$C$1:$E$10000,3,FALSE)</f>
        <v>SANTIZO</v>
      </c>
      <c r="M48" s="11">
        <f>I48-F48</f>
        <v>2.5879629625706002E-2</v>
      </c>
      <c r="N48" s="12">
        <f>24*60*SUM($M48:$M48)</f>
        <v>37.266666661016643</v>
      </c>
      <c r="O48" s="12"/>
      <c r="P48" s="12"/>
      <c r="Q48" s="44"/>
      <c r="R48" s="44"/>
      <c r="S48" s="70">
        <f>SUM(U48:U48)/12</f>
        <v>1</v>
      </c>
      <c r="T48" s="2" t="str">
        <f>IF(ISEVEN(LEFT(A48,3)),"Southbound","NorthBound")</f>
        <v>NorthBound</v>
      </c>
      <c r="U48" s="2">
        <f>COUNTIFS(Variables!$M$2:$M$19, "&gt;=" &amp; Y48, Variables!$M$2:$M$19, "&lt;=" &amp; Z48)</f>
        <v>12</v>
      </c>
      <c r="V48" s="48" t="str">
        <f>"https://search-rtdc-monitor-bjffxe2xuh6vdkpspy63sjmuny.us-east-1.es.amazonaws.com/_plugin/kibana/#/discover/Steve-Slow-Train-Analysis-(2080s-and-2083s)?_g=(refreshInterval:(display:Off,section:0,value:0),time:(from:'"&amp;TEXT(E48-1/24/60,"yyyy-MM-DD hh:mm:ss")&amp;"-0600',mode:absolute,to:'"&amp;TEXT(I48+1/24/60,"yyyy-MM-DD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48&amp;"%22')),sort:!(Time,asc))"</f>
        <v>https://search-rtdc-monitor-bjffxe2xuh6vdkpspy63sjmuny.us-east-1.es.amazonaws.com/_plugin/kibana/#/discover/Steve-Slow-Train-Analysis-(2080s-and-2083s)?_g=(refreshInterval:(display:Off,section:0,value:0),time:(from:'2016-06-25 07:55:44-0600',mode:absolute,to:'2016-06-25 08:37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48" s="48" t="str">
        <f>IF(AA48&lt;23,"Y","N")</f>
        <v>N</v>
      </c>
      <c r="X48" s="48">
        <f>VALUE(LEFT(A48,3))-VALUE(LEFT(A47,3))</f>
        <v>1</v>
      </c>
      <c r="Y48" s="48">
        <f>RIGHT(D48,LEN(D48)-4)/10000</f>
        <v>4.5999999999999999E-2</v>
      </c>
      <c r="Z48" s="48">
        <f>RIGHT(H48,LEN(H48)-4)/10000</f>
        <v>23.330500000000001</v>
      </c>
      <c r="AA48" s="48">
        <f>ABS(Z48-Y48)</f>
        <v>23.284500000000001</v>
      </c>
      <c r="AB48" s="49" t="e">
        <f>VLOOKUP(A48,Enforcements!$C$7:$J$32,8,0)</f>
        <v>#N/A</v>
      </c>
      <c r="AC48" s="49" t="e">
        <f>VLOOKUP(A48,Enforcements!$C$7:$E$32,3,0)</f>
        <v>#N/A</v>
      </c>
    </row>
    <row r="49" spans="1:29" s="2" customFormat="1" x14ac:dyDescent="0.25">
      <c r="A49" s="43" t="s">
        <v>285</v>
      </c>
      <c r="B49" s="43">
        <v>4008</v>
      </c>
      <c r="C49" s="43" t="s">
        <v>60</v>
      </c>
      <c r="D49" s="43" t="s">
        <v>120</v>
      </c>
      <c r="E49" s="25">
        <v>42546.360474537039</v>
      </c>
      <c r="F49" s="25">
        <v>42546.361250000002</v>
      </c>
      <c r="G49" s="31">
        <v>1</v>
      </c>
      <c r="H49" s="25" t="s">
        <v>286</v>
      </c>
      <c r="I49" s="25">
        <v>42546.399247685185</v>
      </c>
      <c r="J49" s="43">
        <v>1</v>
      </c>
      <c r="K49" s="43" t="str">
        <f>IF(ISEVEN(B49),(B49-1)&amp;"/"&amp;B49,B49&amp;"/"&amp;(B49+1))</f>
        <v>4007/4008</v>
      </c>
      <c r="L49" s="43" t="str">
        <f>VLOOKUP(A49,'Trips&amp;Operators'!$C$1:$E$10000,3,FALSE)</f>
        <v>SANTIZO</v>
      </c>
      <c r="M49" s="11">
        <f>I49-F49</f>
        <v>3.7997685183654539E-2</v>
      </c>
      <c r="N49" s="12">
        <f>24*60*SUM($M49:$M49)</f>
        <v>54.716666664462537</v>
      </c>
      <c r="O49" s="12"/>
      <c r="P49" s="12"/>
      <c r="Q49" s="44"/>
      <c r="R49" s="44"/>
      <c r="S49" s="70">
        <f>SUM(U49:U49)/12</f>
        <v>1</v>
      </c>
      <c r="T49" s="2" t="str">
        <f>IF(ISEVEN(LEFT(A49,3)),"Southbound","NorthBound")</f>
        <v>Southbound</v>
      </c>
      <c r="U49" s="2">
        <f>COUNTIFS(Variables!$M$2:$M$19, "&lt;=" &amp; Y49, Variables!$M$2:$M$19, "&gt;=" &amp; Z49)</f>
        <v>12</v>
      </c>
      <c r="V49" s="48" t="str">
        <f>"https://search-rtdc-monitor-bjffxe2xuh6vdkpspy63sjmuny.us-east-1.es.amazonaws.com/_plugin/kibana/#/discover/Steve-Slow-Train-Analysis-(2080s-and-2083s)?_g=(refreshInterval:(display:Off,section:0,value:0),time:(from:'"&amp;TEXT(E49-1/24/60,"yyyy-MM-DD hh:mm:ss")&amp;"-0600',mode:absolute,to:'"&amp;TEXT(I49+1/24/60,"yyyy-MM-DD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49&amp;"%22')),sort:!(Time,asc))"</f>
        <v>https://search-rtdc-monitor-bjffxe2xuh6vdkpspy63sjmuny.us-east-1.es.amazonaws.com/_plugin/kibana/#/discover/Steve-Slow-Train-Analysis-(2080s-and-2083s)?_g=(refreshInterval:(display:Off,section:0,value:0),time:(from:'2016-06-25 08:38:05-0600',mode:absolute,to:'2016-06-25 09:35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49" s="48" t="str">
        <f>IF(AA49&lt;23,"Y","N")</f>
        <v>N</v>
      </c>
      <c r="X49" s="48">
        <f>VALUE(LEFT(A49,3))-VALUE(LEFT(A48,3))</f>
        <v>1</v>
      </c>
      <c r="Y49" s="48">
        <f>RIGHT(D49,LEN(D49)-4)/10000</f>
        <v>23.2986</v>
      </c>
      <c r="Z49" s="48">
        <f>RIGHT(H49,LEN(H49)-4)/10000</f>
        <v>1.38E-2</v>
      </c>
      <c r="AA49" s="48">
        <f>ABS(Z49-Y49)</f>
        <v>23.284800000000001</v>
      </c>
      <c r="AB49" s="49" t="e">
        <f>VLOOKUP(A49,Enforcements!$C$7:$J$32,8,0)</f>
        <v>#N/A</v>
      </c>
      <c r="AC49" s="49" t="e">
        <f>VLOOKUP(A49,Enforcements!$C$7:$E$32,3,0)</f>
        <v>#N/A</v>
      </c>
    </row>
    <row r="50" spans="1:29" s="2" customFormat="1" x14ac:dyDescent="0.25">
      <c r="A50" s="43" t="s">
        <v>287</v>
      </c>
      <c r="B50" s="43">
        <v>4024</v>
      </c>
      <c r="C50" s="43" t="s">
        <v>60</v>
      </c>
      <c r="D50" s="43" t="s">
        <v>179</v>
      </c>
      <c r="E50" s="25">
        <v>42546.341469907406</v>
      </c>
      <c r="F50" s="25">
        <v>42546.342581018522</v>
      </c>
      <c r="G50" s="31">
        <v>1</v>
      </c>
      <c r="H50" s="25" t="s">
        <v>160</v>
      </c>
      <c r="I50" s="25">
        <v>42546.441446759258</v>
      </c>
      <c r="J50" s="43">
        <v>1</v>
      </c>
      <c r="K50" s="43" t="str">
        <f>IF(ISEVEN(B50),(B50-1)&amp;"/"&amp;B50,B50&amp;"/"&amp;(B50+1))</f>
        <v>4023/4024</v>
      </c>
      <c r="L50" s="43" t="str">
        <f>VLOOKUP(A50,'Trips&amp;Operators'!$C$1:$E$10000,3,FALSE)</f>
        <v>MALAVE</v>
      </c>
      <c r="M50" s="11">
        <f>I50-F50</f>
        <v>9.8865740736073349E-2</v>
      </c>
      <c r="N50" s="12">
        <f>24*60*SUM($M50:$M50)</f>
        <v>142.36666665994562</v>
      </c>
      <c r="O50" s="12"/>
      <c r="P50" s="12"/>
      <c r="Q50" s="44"/>
      <c r="R50" s="44"/>
      <c r="S50" s="70">
        <f>SUM(U50:U50)/12</f>
        <v>1</v>
      </c>
      <c r="T50" s="2" t="str">
        <f>IF(ISEVEN(LEFT(A50,3)),"Southbound","NorthBound")</f>
        <v>NorthBound</v>
      </c>
      <c r="U50" s="2">
        <f>COUNTIFS(Variables!$M$2:$M$19, "&gt;=" &amp; Y50, Variables!$M$2:$M$19, "&lt;=" &amp; Z50)</f>
        <v>12</v>
      </c>
      <c r="V50" s="48" t="str">
        <f>"https://search-rtdc-monitor-bjffxe2xuh6vdkpspy63sjmuny.us-east-1.es.amazonaws.com/_plugin/kibana/#/discover/Steve-Slow-Train-Analysis-(2080s-and-2083s)?_g=(refreshInterval:(display:Off,section:0,value:0),time:(from:'"&amp;TEXT(E50-1/24/60,"yyyy-MM-DD hh:mm:ss")&amp;"-0600',mode:absolute,to:'"&amp;TEXT(I50+1/24/60,"yyyy-MM-DD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50&amp;"%22')),sort:!(Time,asc))"</f>
        <v>https://search-rtdc-monitor-bjffxe2xuh6vdkpspy63sjmuny.us-east-1.es.amazonaws.com/_plugin/kibana/#/discover/Steve-Slow-Train-Analysis-(2080s-and-2083s)?_g=(refreshInterval:(display:Off,section:0,value:0),time:(from:'2016-06-25 08:10:43-0600',mode:absolute,to:'2016-06-25 10:36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50" s="48" t="str">
        <f>IF(AA50&lt;23,"Y","N")</f>
        <v>N</v>
      </c>
      <c r="X50" s="48">
        <f>VALUE(LEFT(A50,3))-VALUE(LEFT(A49,3))</f>
        <v>1</v>
      </c>
      <c r="Y50" s="48">
        <f>RIGHT(D50,LEN(D50)-4)/10000</f>
        <v>4.8000000000000001E-2</v>
      </c>
      <c r="Z50" s="48">
        <f>RIGHT(H50,LEN(H50)-4)/10000</f>
        <v>23.327999999999999</v>
      </c>
      <c r="AA50" s="48">
        <f>ABS(Z50-Y50)</f>
        <v>23.28</v>
      </c>
      <c r="AB50" s="49">
        <f>VLOOKUP(A50,Enforcements!$C$7:$J$32,8,0)</f>
        <v>110617</v>
      </c>
      <c r="AC50" s="49" t="str">
        <f>VLOOKUP(A50,Enforcements!$C$7:$E$32,3,0)</f>
        <v>EQUIPMENT RESTRICTION</v>
      </c>
    </row>
    <row r="51" spans="1:29" s="2" customFormat="1" x14ac:dyDescent="0.25">
      <c r="A51" s="43" t="s">
        <v>287</v>
      </c>
      <c r="B51" s="43">
        <v>4024</v>
      </c>
      <c r="C51" s="43" t="s">
        <v>60</v>
      </c>
      <c r="D51" s="43" t="s">
        <v>179</v>
      </c>
      <c r="E51" s="25">
        <v>42546.341469907406</v>
      </c>
      <c r="F51" s="25">
        <v>42546.344074074077</v>
      </c>
      <c r="G51" s="31">
        <v>3</v>
      </c>
      <c r="H51" s="25" t="s">
        <v>160</v>
      </c>
      <c r="I51" s="25">
        <v>42546.441446759258</v>
      </c>
      <c r="J51" s="43">
        <v>0</v>
      </c>
      <c r="K51" s="43" t="str">
        <f>IF(ISEVEN(B51),(B51-1)&amp;"/"&amp;B51,B51&amp;"/"&amp;(B51+1))</f>
        <v>4023/4024</v>
      </c>
      <c r="L51" s="43" t="str">
        <f>VLOOKUP(A51,'Trips&amp;Operators'!$C$1:$E$10000,3,FALSE)</f>
        <v>MALAVE</v>
      </c>
      <c r="M51" s="11">
        <f>I51-F51</f>
        <v>9.7372685180744156E-2</v>
      </c>
      <c r="N51" s="12">
        <f>24*60*SUM($M51:$M51)</f>
        <v>140.21666666027158</v>
      </c>
      <c r="O51" s="12"/>
      <c r="P51" s="12"/>
      <c r="Q51" s="44"/>
      <c r="R51" s="44"/>
      <c r="S51" s="70">
        <f>SUM(U51:U51)/12</f>
        <v>1</v>
      </c>
      <c r="T51" s="2" t="str">
        <f>IF(ISEVEN(LEFT(A51,3)),"Southbound","NorthBound")</f>
        <v>NorthBound</v>
      </c>
      <c r="U51" s="2">
        <f>COUNTIFS(Variables!$M$2:$M$19, "&gt;=" &amp; Y51, Variables!$M$2:$M$19, "&lt;=" &amp; Z51)</f>
        <v>12</v>
      </c>
      <c r="V51" s="48" t="str">
        <f>"https://search-rtdc-monitor-bjffxe2xuh6vdkpspy63sjmuny.us-east-1.es.amazonaws.com/_plugin/kibana/#/discover/Steve-Slow-Train-Analysis-(2080s-and-2083s)?_g=(refreshInterval:(display:Off,section:0,value:0),time:(from:'"&amp;TEXT(E51-1/24/60,"yyyy-MM-DD hh:mm:ss")&amp;"-0600',mode:absolute,to:'"&amp;TEXT(I51+1/24/60,"yyyy-MM-DD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51&amp;"%22')),sort:!(Time,asc))"</f>
        <v>https://search-rtdc-monitor-bjffxe2xuh6vdkpspy63sjmuny.us-east-1.es.amazonaws.com/_plugin/kibana/#/discover/Steve-Slow-Train-Analysis-(2080s-and-2083s)?_g=(refreshInterval:(display:Off,section:0,value:0),time:(from:'2016-06-25 08:10:43-0600',mode:absolute,to:'2016-06-25 10:36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51" s="48" t="str">
        <f>IF(AA51&lt;23,"Y","N")</f>
        <v>N</v>
      </c>
      <c r="X51" s="48">
        <f>VALUE(LEFT(A51,3))-VALUE(LEFT(A50,3))</f>
        <v>0</v>
      </c>
      <c r="Y51" s="48">
        <f>RIGHT(D51,LEN(D51)-4)/10000</f>
        <v>4.8000000000000001E-2</v>
      </c>
      <c r="Z51" s="48">
        <f>RIGHT(H51,LEN(H51)-4)/10000</f>
        <v>23.327999999999999</v>
      </c>
      <c r="AA51" s="48">
        <f>ABS(Z51-Y51)</f>
        <v>23.28</v>
      </c>
      <c r="AB51" s="49">
        <f>VLOOKUP(A51,Enforcements!$C$7:$J$32,8,0)</f>
        <v>110617</v>
      </c>
      <c r="AC51" s="49" t="str">
        <f>VLOOKUP(A51,Enforcements!$C$7:$E$32,3,0)</f>
        <v>EQUIPMENT RESTRICTION</v>
      </c>
    </row>
    <row r="52" spans="1:29" s="2" customFormat="1" x14ac:dyDescent="0.25">
      <c r="A52" s="43" t="s">
        <v>288</v>
      </c>
      <c r="B52" s="43">
        <v>4023</v>
      </c>
      <c r="C52" s="43" t="s">
        <v>60</v>
      </c>
      <c r="D52" s="43" t="s">
        <v>289</v>
      </c>
      <c r="E52" s="25">
        <v>42546.381226851852</v>
      </c>
      <c r="F52" s="25">
        <v>42546.382164351853</v>
      </c>
      <c r="G52" s="31">
        <v>1</v>
      </c>
      <c r="H52" s="25" t="s">
        <v>68</v>
      </c>
      <c r="I52" s="25">
        <v>42546.410115740742</v>
      </c>
      <c r="J52" s="43">
        <v>1</v>
      </c>
      <c r="K52" s="43" t="str">
        <f>IF(ISEVEN(B52),(B52-1)&amp;"/"&amp;B52,B52&amp;"/"&amp;(B52+1))</f>
        <v>4023/4024</v>
      </c>
      <c r="L52" s="43" t="str">
        <f>VLOOKUP(A52,'Trips&amp;Operators'!$C$1:$E$10000,3,FALSE)</f>
        <v>MALAVE</v>
      </c>
      <c r="M52" s="11">
        <f>I52-F52</f>
        <v>2.7951388889050577E-2</v>
      </c>
      <c r="N52" s="12">
        <f>24*60*SUM($M52:$M52)</f>
        <v>40.250000000232831</v>
      </c>
      <c r="O52" s="12"/>
      <c r="P52" s="12"/>
      <c r="Q52" s="44"/>
      <c r="R52" s="44"/>
      <c r="S52" s="70">
        <f>SUM(U52:U52)/12</f>
        <v>1</v>
      </c>
      <c r="T52" s="2" t="str">
        <f>IF(ISEVEN(LEFT(A52,3)),"Southbound","NorthBound")</f>
        <v>Southbound</v>
      </c>
      <c r="U52" s="2">
        <f>COUNTIFS(Variables!$M$2:$M$19, "&lt;=" &amp; Y52, Variables!$M$2:$M$19, "&gt;=" &amp; Z52)</f>
        <v>12</v>
      </c>
      <c r="V52" s="48" t="str">
        <f>"https://search-rtdc-monitor-bjffxe2xuh6vdkpspy63sjmuny.us-east-1.es.amazonaws.com/_plugin/kibana/#/discover/Steve-Slow-Train-Analysis-(2080s-and-2083s)?_g=(refreshInterval:(display:Off,section:0,value:0),time:(from:'"&amp;TEXT(E52-1/24/60,"yyyy-MM-DD hh:mm:ss")&amp;"-0600',mode:absolute,to:'"&amp;TEXT(I52+1/24/60,"yyyy-MM-DD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52&amp;"%22')),sort:!(Time,asc))"</f>
        <v>https://search-rtdc-monitor-bjffxe2xuh6vdkpspy63sjmuny.us-east-1.es.amazonaws.com/_plugin/kibana/#/discover/Steve-Slow-Train-Analysis-(2080s-and-2083s)?_g=(refreshInterval:(display:Off,section:0,value:0),time:(from:'2016-06-25 09:07:58-0600',mode:absolute,to:'2016-06-25 09:51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52" s="48" t="str">
        <f>IF(AA52&lt;23,"Y","N")</f>
        <v>N</v>
      </c>
      <c r="X52" s="48">
        <f>VALUE(LEFT(A52,3))-VALUE(LEFT(A51,3))</f>
        <v>1</v>
      </c>
      <c r="Y52" s="48">
        <f>RIGHT(D52,LEN(D52)-4)/10000</f>
        <v>23.299299999999999</v>
      </c>
      <c r="Z52" s="48">
        <f>RIGHT(H52,LEN(H52)-4)/10000</f>
        <v>1.6E-2</v>
      </c>
      <c r="AA52" s="48">
        <f>ABS(Z52-Y52)</f>
        <v>23.283300000000001</v>
      </c>
      <c r="AB52" s="49">
        <f>VLOOKUP(A52,Enforcements!$C$7:$J$32,8,0)</f>
        <v>127587</v>
      </c>
      <c r="AC52" s="49" t="str">
        <f>VLOOKUP(A52,Enforcements!$C$7:$E$32,3,0)</f>
        <v>SIGNAL</v>
      </c>
    </row>
    <row r="53" spans="1:29" s="2" customFormat="1" x14ac:dyDescent="0.25">
      <c r="A53" s="43" t="s">
        <v>290</v>
      </c>
      <c r="B53" s="43">
        <v>4020</v>
      </c>
      <c r="C53" s="43" t="s">
        <v>60</v>
      </c>
      <c r="D53" s="43" t="s">
        <v>291</v>
      </c>
      <c r="E53" s="25">
        <v>42546.349942129629</v>
      </c>
      <c r="F53" s="25">
        <v>42546.350937499999</v>
      </c>
      <c r="G53" s="31">
        <v>1</v>
      </c>
      <c r="H53" s="25" t="s">
        <v>284</v>
      </c>
      <c r="I53" s="25">
        <v>42547.213368055556</v>
      </c>
      <c r="J53" s="43">
        <v>0</v>
      </c>
      <c r="K53" s="43" t="str">
        <f>IF(ISEVEN(B53),(B53-1)&amp;"/"&amp;B53,B53&amp;"/"&amp;(B53+1))</f>
        <v>4019/4020</v>
      </c>
      <c r="L53" s="43" t="str">
        <f>VLOOKUP(A53,'Trips&amp;Operators'!$C$1:$E$10000,3,FALSE)</f>
        <v>MADLOM</v>
      </c>
      <c r="M53" s="11">
        <f>I53-F53</f>
        <v>0.86243055555678438</v>
      </c>
      <c r="N53" s="12">
        <f>24*60*SUM($M53:$M53)</f>
        <v>1241.9000000017695</v>
      </c>
      <c r="O53" s="12"/>
      <c r="P53" s="12"/>
      <c r="Q53" s="44"/>
      <c r="R53" s="44"/>
      <c r="S53" s="70">
        <f>SUM(U53:U53)/12</f>
        <v>1</v>
      </c>
      <c r="T53" s="2" t="str">
        <f>IF(ISEVEN(LEFT(A53,3)),"Southbound","NorthBound")</f>
        <v>NorthBound</v>
      </c>
      <c r="U53" s="2">
        <f>COUNTIFS(Variables!$M$2:$M$19, "&gt;=" &amp; Y53, Variables!$M$2:$M$19, "&lt;=" &amp; Z53)</f>
        <v>12</v>
      </c>
      <c r="V53" s="48" t="str">
        <f>"https://search-rtdc-monitor-bjffxe2xuh6vdkpspy63sjmuny.us-east-1.es.amazonaws.com/_plugin/kibana/#/discover/Steve-Slow-Train-Analysis-(2080s-and-2083s)?_g=(refreshInterval:(display:Off,section:0,value:0),time:(from:'"&amp;TEXT(E53-1/24/60,"yyyy-MM-DD hh:mm:ss")&amp;"-0600',mode:absolute,to:'"&amp;TEXT(I53+1/24/60,"yyyy-MM-DD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53&amp;"%22')),sort:!(Time,asc))"</f>
        <v>https://search-rtdc-monitor-bjffxe2xuh6vdkpspy63sjmuny.us-east-1.es.amazonaws.com/_plugin/kibana/#/discover/Steve-Slow-Train-Analysis-(2080s-and-2083s)?_g=(refreshInterval:(display:Off,section:0,value:0),time:(from:'2016-06-25 08:22:55-0600',mode:absolute,to:'2016-06-26 05:08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53" s="48" t="str">
        <f>IF(AA53&lt;23,"Y","N")</f>
        <v>N</v>
      </c>
      <c r="X53" s="48">
        <f>VALUE(LEFT(A53,3))-VALUE(LEFT(A52,3))</f>
        <v>1</v>
      </c>
      <c r="Y53" s="48">
        <f>RIGHT(D53,LEN(D53)-4)/10000</f>
        <v>4.6600000000000003E-2</v>
      </c>
      <c r="Z53" s="48">
        <f>RIGHT(H53,LEN(H53)-4)/10000</f>
        <v>23.330500000000001</v>
      </c>
      <c r="AA53" s="48">
        <f>ABS(Z53-Y53)</f>
        <v>23.283899999999999</v>
      </c>
      <c r="AB53" s="49" t="e">
        <f>VLOOKUP(A53,Enforcements!$C$7:$J$32,8,0)</f>
        <v>#N/A</v>
      </c>
      <c r="AC53" s="49" t="e">
        <f>VLOOKUP(A53,Enforcements!$C$7:$E$32,3,0)</f>
        <v>#N/A</v>
      </c>
    </row>
    <row r="54" spans="1:29" s="2" customFormat="1" x14ac:dyDescent="0.25">
      <c r="A54" s="43" t="s">
        <v>290</v>
      </c>
      <c r="B54" s="43">
        <v>4020</v>
      </c>
      <c r="C54" s="43" t="s">
        <v>60</v>
      </c>
      <c r="D54" s="43" t="s">
        <v>69</v>
      </c>
      <c r="E54" s="25">
        <v>42546.349942129629</v>
      </c>
      <c r="F54" s="25">
        <v>42546.3512962963</v>
      </c>
      <c r="G54" s="31">
        <v>1</v>
      </c>
      <c r="H54" s="25" t="s">
        <v>284</v>
      </c>
      <c r="I54" s="25">
        <v>42547.213368055556</v>
      </c>
      <c r="J54" s="43">
        <v>0</v>
      </c>
      <c r="K54" s="43" t="str">
        <f>IF(ISEVEN(B54),(B54-1)&amp;"/"&amp;B54,B54&amp;"/"&amp;(B54+1))</f>
        <v>4019/4020</v>
      </c>
      <c r="L54" s="43" t="str">
        <f>VLOOKUP(A54,'Trips&amp;Operators'!$C$1:$E$10000,3,FALSE)</f>
        <v>MADLOM</v>
      </c>
      <c r="M54" s="11">
        <f>I54-F54</f>
        <v>0.86207175925665069</v>
      </c>
      <c r="N54" s="12">
        <f>24*60*SUM($M54:$M54)</f>
        <v>1241.383333329577</v>
      </c>
      <c r="O54" s="12"/>
      <c r="P54" s="12"/>
      <c r="Q54" s="44"/>
      <c r="R54" s="44"/>
      <c r="S54" s="70">
        <f>SUM(U54:U54)/12</f>
        <v>1</v>
      </c>
      <c r="T54" s="2" t="str">
        <f>IF(ISEVEN(LEFT(A54,3)),"Southbound","NorthBound")</f>
        <v>NorthBound</v>
      </c>
      <c r="U54" s="2">
        <f>COUNTIFS(Variables!$M$2:$M$19, "&gt;=" &amp; Y54, Variables!$M$2:$M$19, "&lt;=" &amp; Z54)</f>
        <v>12</v>
      </c>
      <c r="V54" s="48" t="str">
        <f>"https://search-rtdc-monitor-bjffxe2xuh6vdkpspy63sjmuny.us-east-1.es.amazonaws.com/_plugin/kibana/#/discover/Steve-Slow-Train-Analysis-(2080s-and-2083s)?_g=(refreshInterval:(display:Off,section:0,value:0),time:(from:'"&amp;TEXT(E54-1/24/60,"yyyy-MM-DD hh:mm:ss")&amp;"-0600',mode:absolute,to:'"&amp;TEXT(I54+1/24/60,"yyyy-MM-DD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54&amp;"%22')),sort:!(Time,asc))"</f>
        <v>https://search-rtdc-monitor-bjffxe2xuh6vdkpspy63sjmuny.us-east-1.es.amazonaws.com/_plugin/kibana/#/discover/Steve-Slow-Train-Analysis-(2080s-and-2083s)?_g=(refreshInterval:(display:Off,section:0,value:0),time:(from:'2016-06-25 08:22:55-0600',mode:absolute,to:'2016-06-26 05:08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54" s="48" t="str">
        <f>IF(AA54&lt;23,"Y","N")</f>
        <v>N</v>
      </c>
      <c r="X54" s="48">
        <f>VALUE(LEFT(A54,3))-VALUE(LEFT(A53,3))</f>
        <v>0</v>
      </c>
      <c r="Y54" s="48">
        <f>RIGHT(D54,LEN(D54)-4)/10000</f>
        <v>4.5999999999999999E-2</v>
      </c>
      <c r="Z54" s="48">
        <f>RIGHT(H54,LEN(H54)-4)/10000</f>
        <v>23.330500000000001</v>
      </c>
      <c r="AA54" s="48">
        <f>ABS(Z54-Y54)</f>
        <v>23.284500000000001</v>
      </c>
      <c r="AB54" s="49" t="e">
        <f>VLOOKUP(A54,Enforcements!$C$7:$J$32,8,0)</f>
        <v>#N/A</v>
      </c>
      <c r="AC54" s="49" t="e">
        <f>VLOOKUP(A54,Enforcements!$C$7:$E$32,3,0)</f>
        <v>#N/A</v>
      </c>
    </row>
    <row r="55" spans="1:29" s="2" customFormat="1" x14ac:dyDescent="0.25">
      <c r="A55" s="43" t="s">
        <v>290</v>
      </c>
      <c r="B55" s="43">
        <v>4020</v>
      </c>
      <c r="C55" s="43" t="s">
        <v>60</v>
      </c>
      <c r="D55" s="43" t="s">
        <v>291</v>
      </c>
      <c r="E55" s="25">
        <v>42546.349942129629</v>
      </c>
      <c r="F55" s="25">
        <v>42546.352627314816</v>
      </c>
      <c r="G55" s="31">
        <v>3</v>
      </c>
      <c r="H55" s="25" t="s">
        <v>284</v>
      </c>
      <c r="I55" s="25">
        <v>42547.213368055556</v>
      </c>
      <c r="J55" s="43">
        <v>0</v>
      </c>
      <c r="K55" s="43" t="str">
        <f>IF(ISEVEN(B55),(B55-1)&amp;"/"&amp;B55,B55&amp;"/"&amp;(B55+1))</f>
        <v>4019/4020</v>
      </c>
      <c r="L55" s="43" t="str">
        <f>VLOOKUP(A55,'Trips&amp;Operators'!$C$1:$E$10000,3,FALSE)</f>
        <v>MADLOM</v>
      </c>
      <c r="M55" s="11">
        <f>I55-F55</f>
        <v>0.86074074073985685</v>
      </c>
      <c r="N55" s="12">
        <f>24*60*SUM($M55:$M55)</f>
        <v>1239.4666666653939</v>
      </c>
      <c r="O55" s="12"/>
      <c r="P55" s="12"/>
      <c r="Q55" s="44"/>
      <c r="R55" s="44"/>
      <c r="S55" s="70">
        <f>SUM(U55:U55)/12</f>
        <v>1</v>
      </c>
      <c r="T55" s="2" t="str">
        <f>IF(ISEVEN(LEFT(A55,3)),"Southbound","NorthBound")</f>
        <v>NorthBound</v>
      </c>
      <c r="U55" s="2">
        <f>COUNTIFS(Variables!$M$2:$M$19, "&gt;=" &amp; Y55, Variables!$M$2:$M$19, "&lt;=" &amp; Z55)</f>
        <v>12</v>
      </c>
      <c r="V55" s="48" t="str">
        <f>"https://search-rtdc-monitor-bjffxe2xuh6vdkpspy63sjmuny.us-east-1.es.amazonaws.com/_plugin/kibana/#/discover/Steve-Slow-Train-Analysis-(2080s-and-2083s)?_g=(refreshInterval:(display:Off,section:0,value:0),time:(from:'"&amp;TEXT(E55-1/24/60,"yyyy-MM-DD hh:mm:ss")&amp;"-0600',mode:absolute,to:'"&amp;TEXT(I55+1/24/60,"yyyy-MM-DD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55&amp;"%22')),sort:!(Time,asc))"</f>
        <v>https://search-rtdc-monitor-bjffxe2xuh6vdkpspy63sjmuny.us-east-1.es.amazonaws.com/_plugin/kibana/#/discover/Steve-Slow-Train-Analysis-(2080s-and-2083s)?_g=(refreshInterval:(display:Off,section:0,value:0),time:(from:'2016-06-25 08:22:55-0600',mode:absolute,to:'2016-06-26 05:08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55" s="48" t="str">
        <f>IF(AA55&lt;23,"Y","N")</f>
        <v>N</v>
      </c>
      <c r="X55" s="48">
        <f>VALUE(LEFT(A55,3))-VALUE(LEFT(A54,3))</f>
        <v>0</v>
      </c>
      <c r="Y55" s="48">
        <f>RIGHT(D55,LEN(D55)-4)/10000</f>
        <v>4.6600000000000003E-2</v>
      </c>
      <c r="Z55" s="48">
        <f>RIGHT(H55,LEN(H55)-4)/10000</f>
        <v>23.330500000000001</v>
      </c>
      <c r="AA55" s="48">
        <f>ABS(Z55-Y55)</f>
        <v>23.283899999999999</v>
      </c>
      <c r="AB55" s="49" t="e">
        <f>VLOOKUP(A55,Enforcements!$C$7:$J$32,8,0)</f>
        <v>#N/A</v>
      </c>
      <c r="AC55" s="49" t="e">
        <f>VLOOKUP(A55,Enforcements!$C$7:$E$32,3,0)</f>
        <v>#N/A</v>
      </c>
    </row>
    <row r="56" spans="1:29" s="2" customFormat="1" x14ac:dyDescent="0.25">
      <c r="A56" s="43" t="s">
        <v>292</v>
      </c>
      <c r="B56" s="43">
        <v>4019</v>
      </c>
      <c r="C56" s="43" t="s">
        <v>60</v>
      </c>
      <c r="D56" s="43" t="s">
        <v>202</v>
      </c>
      <c r="E56" s="25">
        <v>42546.387986111113</v>
      </c>
      <c r="F56" s="25">
        <v>42546.389143518521</v>
      </c>
      <c r="G56" s="31">
        <v>1</v>
      </c>
      <c r="H56" s="25" t="s">
        <v>293</v>
      </c>
      <c r="I56" s="25">
        <v>42546.419351851851</v>
      </c>
      <c r="J56" s="43">
        <v>1</v>
      </c>
      <c r="K56" s="43" t="str">
        <f>IF(ISEVEN(B56),(B56-1)&amp;"/"&amp;B56,B56&amp;"/"&amp;(B56+1))</f>
        <v>4019/4020</v>
      </c>
      <c r="L56" s="43" t="str">
        <f>VLOOKUP(A56,'Trips&amp;Operators'!$C$1:$E$10000,3,FALSE)</f>
        <v>GEBRETEKLE</v>
      </c>
      <c r="M56" s="11">
        <f>I56-F56</f>
        <v>3.0208333329937886E-2</v>
      </c>
      <c r="N56" s="12">
        <f>24*60*SUM($M56:$M56)</f>
        <v>43.499999995110556</v>
      </c>
      <c r="O56" s="12"/>
      <c r="P56" s="12"/>
      <c r="Q56" s="44"/>
      <c r="R56" s="44"/>
      <c r="S56" s="70">
        <f>SUM(U56:U56)/12</f>
        <v>1</v>
      </c>
      <c r="T56" s="2" t="str">
        <f>IF(ISEVEN(LEFT(A56,3)),"Southbound","NorthBound")</f>
        <v>Southbound</v>
      </c>
      <c r="U56" s="2">
        <f>COUNTIFS(Variables!$M$2:$M$19, "&lt;=" &amp; Y56, Variables!$M$2:$M$19, "&gt;=" &amp; Z56)</f>
        <v>12</v>
      </c>
      <c r="V56" s="48" t="str">
        <f>"https://search-rtdc-monitor-bjffxe2xuh6vdkpspy63sjmuny.us-east-1.es.amazonaws.com/_plugin/kibana/#/discover/Steve-Slow-Train-Analysis-(2080s-and-2083s)?_g=(refreshInterval:(display:Off,section:0,value:0),time:(from:'"&amp;TEXT(E56-1/24/60,"yyyy-MM-DD hh:mm:ss")&amp;"-0600',mode:absolute,to:'"&amp;TEXT(I56+1/24/60,"yyyy-MM-DD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56&amp;"%22')),sort:!(Time,asc))"</f>
        <v>https://search-rtdc-monitor-bjffxe2xuh6vdkpspy63sjmuny.us-east-1.es.amazonaws.com/_plugin/kibana/#/discover/Steve-Slow-Train-Analysis-(2080s-and-2083s)?_g=(refreshInterval:(display:Off,section:0,value:0),time:(from:'2016-06-25 09:17:42-0600',mode:absolute,to:'2016-06-25 10:04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56" s="48" t="str">
        <f>IF(AA56&lt;23,"Y","N")</f>
        <v>N</v>
      </c>
      <c r="X56" s="48">
        <f>VALUE(LEFT(A56,3))-VALUE(LEFT(A55,3))</f>
        <v>1</v>
      </c>
      <c r="Y56" s="48">
        <f>RIGHT(D56,LEN(D56)-4)/10000</f>
        <v>23.300699999999999</v>
      </c>
      <c r="Z56" s="48">
        <f>RIGHT(H56,LEN(H56)-4)/10000</f>
        <v>2.0899999999999998E-2</v>
      </c>
      <c r="AA56" s="48">
        <f>ABS(Z56-Y56)</f>
        <v>23.279799999999998</v>
      </c>
      <c r="AB56" s="49" t="e">
        <f>VLOOKUP(A56,Enforcements!$C$7:$J$32,8,0)</f>
        <v>#N/A</v>
      </c>
      <c r="AC56" s="49" t="e">
        <f>VLOOKUP(A56,Enforcements!$C$7:$E$32,3,0)</f>
        <v>#N/A</v>
      </c>
    </row>
    <row r="57" spans="1:29" s="2" customFormat="1" x14ac:dyDescent="0.25">
      <c r="A57" s="43" t="s">
        <v>294</v>
      </c>
      <c r="B57" s="43">
        <v>4027</v>
      </c>
      <c r="C57" s="43" t="s">
        <v>60</v>
      </c>
      <c r="D57" s="43" t="s">
        <v>113</v>
      </c>
      <c r="E57" s="25">
        <v>42546.360486111109</v>
      </c>
      <c r="F57" s="25">
        <v>42546.361481481479</v>
      </c>
      <c r="G57" s="31">
        <v>1</v>
      </c>
      <c r="H57" s="25" t="s">
        <v>208</v>
      </c>
      <c r="I57" s="25">
        <v>42546.389953703707</v>
      </c>
      <c r="J57" s="43">
        <v>1</v>
      </c>
      <c r="K57" s="43" t="str">
        <f>IF(ISEVEN(B57),(B57-1)&amp;"/"&amp;B57,B57&amp;"/"&amp;(B57+1))</f>
        <v>4027/4028</v>
      </c>
      <c r="L57" s="43" t="str">
        <f>VLOOKUP(A57,'Trips&amp;Operators'!$C$1:$E$10000,3,FALSE)</f>
        <v>CANFIELD</v>
      </c>
      <c r="M57" s="11">
        <f>I57-F57</f>
        <v>2.8472222227719612E-2</v>
      </c>
      <c r="N57" s="12">
        <f>24*60*SUM($M57:$M57)</f>
        <v>41.000000007916242</v>
      </c>
      <c r="O57" s="12"/>
      <c r="P57" s="12"/>
      <c r="Q57" s="44"/>
      <c r="R57" s="44"/>
      <c r="S57" s="70">
        <f>SUM(U57:U57)/12</f>
        <v>1</v>
      </c>
      <c r="T57" s="2" t="str">
        <f>IF(ISEVEN(LEFT(A57,3)),"Southbound","NorthBound")</f>
        <v>NorthBound</v>
      </c>
      <c r="U57" s="2">
        <f>COUNTIFS(Variables!$M$2:$M$19, "&gt;=" &amp; Y57, Variables!$M$2:$M$19, "&lt;=" &amp; Z57)</f>
        <v>12</v>
      </c>
      <c r="V57" s="48" t="str">
        <f>"https://search-rtdc-monitor-bjffxe2xuh6vdkpspy63sjmuny.us-east-1.es.amazonaws.com/_plugin/kibana/#/discover/Steve-Slow-Train-Analysis-(2080s-and-2083s)?_g=(refreshInterval:(display:Off,section:0,value:0),time:(from:'"&amp;TEXT(E57-1/24/60,"yyyy-MM-DD hh:mm:ss")&amp;"-0600',mode:absolute,to:'"&amp;TEXT(I57+1/24/60,"yyyy-MM-DD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57&amp;"%22')),sort:!(Time,asc))"</f>
        <v>https://search-rtdc-monitor-bjffxe2xuh6vdkpspy63sjmuny.us-east-1.es.amazonaws.com/_plugin/kibana/#/discover/Steve-Slow-Train-Analysis-(2080s-and-2083s)?_g=(refreshInterval:(display:Off,section:0,value:0),time:(from:'2016-06-25 08:38:06-0600',mode:absolute,to:'2016-06-25 09:22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57" s="48" t="str">
        <f>IF(AA57&lt;23,"Y","N")</f>
        <v>N</v>
      </c>
      <c r="X57" s="48">
        <f>VALUE(LEFT(A57,3))-VALUE(LEFT(A56,3))</f>
        <v>1</v>
      </c>
      <c r="Y57" s="48">
        <f>RIGHT(D57,LEN(D57)-4)/10000</f>
        <v>4.5499999999999999E-2</v>
      </c>
      <c r="Z57" s="48">
        <f>RIGHT(H57,LEN(H57)-4)/10000</f>
        <v>23.331199999999999</v>
      </c>
      <c r="AA57" s="48">
        <f>ABS(Z57-Y57)</f>
        <v>23.285699999999999</v>
      </c>
      <c r="AB57" s="49">
        <f>VLOOKUP(A57,Enforcements!$C$7:$J$32,8,0)</f>
        <v>27333</v>
      </c>
      <c r="AC57" s="49" t="str">
        <f>VLOOKUP(A57,Enforcements!$C$7:$E$32,3,0)</f>
        <v>PERMANENT SPEED RESTRICTION</v>
      </c>
    </row>
    <row r="58" spans="1:29" s="2" customFormat="1" x14ac:dyDescent="0.25">
      <c r="A58" s="66" t="s">
        <v>295</v>
      </c>
      <c r="B58" s="43">
        <v>4028</v>
      </c>
      <c r="C58" s="43" t="s">
        <v>60</v>
      </c>
      <c r="D58" s="43" t="s">
        <v>196</v>
      </c>
      <c r="E58" s="25">
        <v>42546.393182870372</v>
      </c>
      <c r="F58" s="25">
        <v>42546.394016203703</v>
      </c>
      <c r="G58" s="31">
        <v>1</v>
      </c>
      <c r="H58" s="25" t="s">
        <v>296</v>
      </c>
      <c r="I58" s="25">
        <v>42546.420115740744</v>
      </c>
      <c r="J58" s="43">
        <v>0</v>
      </c>
      <c r="K58" s="43" t="str">
        <f>IF(ISEVEN(B58),(B58-1)&amp;"/"&amp;B58,B58&amp;"/"&amp;(B58+1))</f>
        <v>4027/4028</v>
      </c>
      <c r="L58" s="43" t="str">
        <f>VLOOKUP(A58,'Trips&amp;Operators'!$C$1:$E$10000,3,FALSE)</f>
        <v>CANFIELD</v>
      </c>
      <c r="M58" s="11">
        <f>I58-F58</f>
        <v>2.6099537040863652E-2</v>
      </c>
      <c r="N58" s="12">
        <f>24*60*SUM($M58:$M58)</f>
        <v>37.583333338843659</v>
      </c>
      <c r="O58" s="12"/>
      <c r="P58" s="12"/>
      <c r="Q58" s="44"/>
      <c r="R58" s="44"/>
      <c r="S58" s="70">
        <f>SUM(U58:U58)/12</f>
        <v>1</v>
      </c>
      <c r="T58" s="2" t="str">
        <f>IF(ISEVEN(LEFT(A58,3)),"Southbound","NorthBound")</f>
        <v>Southbound</v>
      </c>
      <c r="U58" s="2">
        <f>COUNTIFS(Variables!$M$2:$M$19, "&lt;=" &amp; Y58, Variables!$M$2:$M$19, "&gt;=" &amp; Z58)</f>
        <v>12</v>
      </c>
      <c r="V58" s="48" t="str">
        <f>"https://search-rtdc-monitor-bjffxe2xuh6vdkpspy63sjmuny.us-east-1.es.amazonaws.com/_plugin/kibana/#/discover/Steve-Slow-Train-Analysis-(2080s-and-2083s)?_g=(refreshInterval:(display:Off,section:0,value:0),time:(from:'"&amp;TEXT(E58-1/24/60,"yyyy-MM-DD hh:mm:ss")&amp;"-0600',mode:absolute,to:'"&amp;TEXT(I58+1/24/60,"yyyy-MM-DD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58&amp;"%22')),sort:!(Time,asc))"</f>
        <v>https://search-rtdc-monitor-bjffxe2xuh6vdkpspy63sjmuny.us-east-1.es.amazonaws.com/_plugin/kibana/#/discover/Steve-Slow-Train-Analysis-(2080s-and-2083s)?_g=(refreshInterval:(display:Off,section:0,value:0),time:(from:'2016-06-25 09:25:11-0600',mode:absolute,to:'2016-06-25 10:05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58" s="48" t="str">
        <f>IF(AA58&lt;23,"Y","N")</f>
        <v>N</v>
      </c>
      <c r="X58" s="48">
        <f>VALUE(LEFT(A58,3))-VALUE(LEFT(A57,3))</f>
        <v>1</v>
      </c>
      <c r="Y58" s="48">
        <v>23.297499999999999</v>
      </c>
      <c r="Z58" s="48">
        <v>1.5599999999999999E-2</v>
      </c>
      <c r="AA58" s="48">
        <f>ABS(Z58-Y58)</f>
        <v>23.2819</v>
      </c>
      <c r="AB58" s="49" t="e">
        <f>VLOOKUP(A58,Enforcements!$C$7:$J$32,8,0)</f>
        <v>#N/A</v>
      </c>
      <c r="AC58" s="49" t="e">
        <f>VLOOKUP(A58,Enforcements!$C$7:$E$32,3,0)</f>
        <v>#N/A</v>
      </c>
    </row>
    <row r="59" spans="1:29" s="2" customFormat="1" x14ac:dyDescent="0.25">
      <c r="A59" s="43" t="s">
        <v>297</v>
      </c>
      <c r="B59" s="43">
        <v>4042</v>
      </c>
      <c r="C59" s="43" t="s">
        <v>60</v>
      </c>
      <c r="D59" s="43" t="s">
        <v>79</v>
      </c>
      <c r="E59" s="25">
        <v>42546.369537037041</v>
      </c>
      <c r="F59" s="25">
        <v>42546.371701388889</v>
      </c>
      <c r="G59" s="31">
        <v>3</v>
      </c>
      <c r="H59" s="25" t="s">
        <v>269</v>
      </c>
      <c r="I59" s="25">
        <v>42546.401030092595</v>
      </c>
      <c r="J59" s="43">
        <v>0</v>
      </c>
      <c r="K59" s="43" t="str">
        <f>IF(ISEVEN(B59),(B59-1)&amp;"/"&amp;B59,B59&amp;"/"&amp;(B59+1))</f>
        <v>4041/4042</v>
      </c>
      <c r="L59" s="43" t="str">
        <f>VLOOKUP(A59,'Trips&amp;Operators'!$C$1:$E$10000,3,FALSE)</f>
        <v>NELSON</v>
      </c>
      <c r="M59" s="11">
        <f>I59-F59</f>
        <v>2.9328703705687076E-2</v>
      </c>
      <c r="N59" s="12">
        <f>24*60*SUM($M59:$M59)</f>
        <v>42.233333336189389</v>
      </c>
      <c r="O59" s="12"/>
      <c r="P59" s="12"/>
      <c r="Q59" s="44"/>
      <c r="R59" s="44"/>
      <c r="S59" s="70">
        <f>SUM(U59:U59)/12</f>
        <v>1</v>
      </c>
      <c r="T59" s="2" t="str">
        <f>IF(ISEVEN(LEFT(A59,3)),"Southbound","NorthBound")</f>
        <v>NorthBound</v>
      </c>
      <c r="U59" s="2">
        <f>COUNTIFS(Variables!$M$2:$M$19, "&gt;=" &amp; Y59, Variables!$M$2:$M$19, "&lt;=" &amp; Z59)</f>
        <v>12</v>
      </c>
      <c r="V59" s="48" t="str">
        <f>"https://search-rtdc-monitor-bjffxe2xuh6vdkpspy63sjmuny.us-east-1.es.amazonaws.com/_plugin/kibana/#/discover/Steve-Slow-Train-Analysis-(2080s-and-2083s)?_g=(refreshInterval:(display:Off,section:0,value:0),time:(from:'"&amp;TEXT(E59-1/24/60,"yyyy-MM-DD hh:mm:ss")&amp;"-0600',mode:absolute,to:'"&amp;TEXT(I59+1/24/60,"yyyy-MM-DD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59&amp;"%22')),sort:!(Time,asc))"</f>
        <v>https://search-rtdc-monitor-bjffxe2xuh6vdkpspy63sjmuny.us-east-1.es.amazonaws.com/_plugin/kibana/#/discover/Steve-Slow-Train-Analysis-(2080s-and-2083s)?_g=(refreshInterval:(display:Off,section:0,value:0),time:(from:'2016-06-25 08:51:08-0600',mode:absolute,to:'2016-06-25 09:38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59" s="48" t="str">
        <f>IF(AA59&lt;23,"Y","N")</f>
        <v>N</v>
      </c>
      <c r="X59" s="48">
        <f>VALUE(LEFT(A59,3))-VALUE(LEFT(A58,3))</f>
        <v>1</v>
      </c>
      <c r="Y59" s="48">
        <f>RIGHT(D59,LEN(D59)-4)/10000</f>
        <v>4.53E-2</v>
      </c>
      <c r="Z59" s="48">
        <f>RIGHT(H59,LEN(H59)-4)/10000</f>
        <v>23.331399999999999</v>
      </c>
      <c r="AA59" s="48">
        <f>ABS(Z59-Y59)</f>
        <v>23.286099999999998</v>
      </c>
      <c r="AB59" s="49" t="e">
        <f>VLOOKUP(A59,Enforcements!$C$7:$J$32,8,0)</f>
        <v>#N/A</v>
      </c>
      <c r="AC59" s="49" t="e">
        <f>VLOOKUP(A59,Enforcements!$C$7:$E$32,3,0)</f>
        <v>#N/A</v>
      </c>
    </row>
    <row r="60" spans="1:29" s="2" customFormat="1" x14ac:dyDescent="0.25">
      <c r="A60" s="43" t="s">
        <v>298</v>
      </c>
      <c r="B60" s="43">
        <v>4041</v>
      </c>
      <c r="C60" s="43" t="s">
        <v>60</v>
      </c>
      <c r="D60" s="43" t="s">
        <v>200</v>
      </c>
      <c r="E60" s="25">
        <v>42546.409722222219</v>
      </c>
      <c r="F60" s="25">
        <v>42546.410682870373</v>
      </c>
      <c r="G60" s="31">
        <v>1</v>
      </c>
      <c r="H60" s="25" t="s">
        <v>299</v>
      </c>
      <c r="I60" s="25">
        <v>42546.440833333334</v>
      </c>
      <c r="J60" s="43">
        <v>1</v>
      </c>
      <c r="K60" s="43" t="str">
        <f>IF(ISEVEN(B60),(B60-1)&amp;"/"&amp;B60,B60&amp;"/"&amp;(B60+1))</f>
        <v>4041/4042</v>
      </c>
      <c r="L60" s="43" t="str">
        <f>VLOOKUP(A60,'Trips&amp;Operators'!$C$1:$E$10000,3,FALSE)</f>
        <v>NELSON</v>
      </c>
      <c r="M60" s="11">
        <f>I60-F60</f>
        <v>3.015046296059154E-2</v>
      </c>
      <c r="N60" s="12">
        <f>24*60*SUM($M60:$M60)</f>
        <v>43.416666663251817</v>
      </c>
      <c r="O60" s="12"/>
      <c r="P60" s="12"/>
      <c r="Q60" s="44"/>
      <c r="R60" s="44"/>
      <c r="S60" s="70">
        <f>SUM(U60:U60)/12</f>
        <v>1</v>
      </c>
      <c r="T60" s="2" t="str">
        <f>IF(ISEVEN(LEFT(A60,3)),"Southbound","NorthBound")</f>
        <v>Southbound</v>
      </c>
      <c r="U60" s="2">
        <f>COUNTIFS(Variables!$M$2:$M$19, "&lt;=" &amp; Y60, Variables!$M$2:$M$19, "&gt;=" &amp; Z60)</f>
        <v>12</v>
      </c>
      <c r="V60" s="48" t="str">
        <f>"https://search-rtdc-monitor-bjffxe2xuh6vdkpspy63sjmuny.us-east-1.es.amazonaws.com/_plugin/kibana/#/discover/Steve-Slow-Train-Analysis-(2080s-and-2083s)?_g=(refreshInterval:(display:Off,section:0,value:0),time:(from:'"&amp;TEXT(E60-1/24/60,"yyyy-MM-DD hh:mm:ss")&amp;"-0600',mode:absolute,to:'"&amp;TEXT(I60+1/24/60,"yyyy-MM-DD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60&amp;"%22')),sort:!(Time,asc))"</f>
        <v>https://search-rtdc-monitor-bjffxe2xuh6vdkpspy63sjmuny.us-east-1.es.amazonaws.com/_plugin/kibana/#/discover/Steve-Slow-Train-Analysis-(2080s-and-2083s)?_g=(refreshInterval:(display:Off,section:0,value:0),time:(from:'2016-06-25 09:49:00-0600',mode:absolute,to:'2016-06-25 10:35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60" s="48" t="str">
        <f>IF(AA60&lt;23,"Y","N")</f>
        <v>N</v>
      </c>
      <c r="X60" s="48">
        <f>VALUE(LEFT(A60,3))-VALUE(LEFT(A59,3))</f>
        <v>1</v>
      </c>
      <c r="Y60" s="48">
        <f>RIGHT(D60,LEN(D60)-4)/10000</f>
        <v>23.298999999999999</v>
      </c>
      <c r="Z60" s="48">
        <f>RIGHT(H60,LEN(H60)-4)/10000</f>
        <v>3.5499999999999997E-2</v>
      </c>
      <c r="AA60" s="48">
        <f>ABS(Z60-Y60)</f>
        <v>23.263500000000001</v>
      </c>
      <c r="AB60" s="49" t="e">
        <f>VLOOKUP(A60,Enforcements!$C$7:$J$32,8,0)</f>
        <v>#N/A</v>
      </c>
      <c r="AC60" s="49" t="e">
        <f>VLOOKUP(A60,Enforcements!$C$7:$E$32,3,0)</f>
        <v>#N/A</v>
      </c>
    </row>
    <row r="61" spans="1:29" s="2" customFormat="1" x14ac:dyDescent="0.25">
      <c r="A61" s="43" t="s">
        <v>300</v>
      </c>
      <c r="B61" s="43">
        <v>4025</v>
      </c>
      <c r="C61" s="43" t="s">
        <v>60</v>
      </c>
      <c r="D61" s="43" t="s">
        <v>155</v>
      </c>
      <c r="E61" s="25">
        <v>42546.382210648146</v>
      </c>
      <c r="F61" s="25">
        <v>42546.383587962962</v>
      </c>
      <c r="G61" s="31">
        <v>1</v>
      </c>
      <c r="H61" s="25" t="s">
        <v>248</v>
      </c>
      <c r="I61" s="25">
        <v>42546.411365740743</v>
      </c>
      <c r="J61" s="43">
        <v>0</v>
      </c>
      <c r="K61" s="43" t="str">
        <f>IF(ISEVEN(B61),(B61-1)&amp;"/"&amp;B61,B61&amp;"/"&amp;(B61+1))</f>
        <v>4025/4026</v>
      </c>
      <c r="L61" s="43" t="str">
        <f>VLOOKUP(A61,'Trips&amp;Operators'!$C$1:$E$10000,3,FALSE)</f>
        <v>STURGEON</v>
      </c>
      <c r="M61" s="11">
        <f>I61-F61</f>
        <v>2.7777777781011537E-2</v>
      </c>
      <c r="N61" s="12">
        <f>24*60*SUM($M61:$M61)</f>
        <v>40.000000004656613</v>
      </c>
      <c r="O61" s="12"/>
      <c r="P61" s="12"/>
      <c r="Q61" s="44"/>
      <c r="R61" s="44"/>
      <c r="S61" s="70">
        <f>SUM(U61:U61)/12</f>
        <v>1</v>
      </c>
      <c r="T61" s="2" t="str">
        <f>IF(ISEVEN(LEFT(A61,3)),"Southbound","NorthBound")</f>
        <v>NorthBound</v>
      </c>
      <c r="U61" s="2">
        <f>COUNTIFS(Variables!$M$2:$M$19, "&gt;=" &amp; Y61, Variables!$M$2:$M$19, "&lt;=" &amp; Z61)</f>
        <v>12</v>
      </c>
      <c r="V61" s="48" t="str">
        <f>"https://search-rtdc-monitor-bjffxe2xuh6vdkpspy63sjmuny.us-east-1.es.amazonaws.com/_plugin/kibana/#/discover/Steve-Slow-Train-Analysis-(2080s-and-2083s)?_g=(refreshInterval:(display:Off,section:0,value:0),time:(from:'"&amp;TEXT(E61-1/24/60,"yyyy-MM-DD hh:mm:ss")&amp;"-0600',mode:absolute,to:'"&amp;TEXT(I61+1/24/60,"yyyy-MM-DD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61&amp;"%22')),sort:!(Time,asc))"</f>
        <v>https://search-rtdc-monitor-bjffxe2xuh6vdkpspy63sjmuny.us-east-1.es.amazonaws.com/_plugin/kibana/#/discover/Steve-Slow-Train-Analysis-(2080s-and-2083s)?_g=(refreshInterval:(display:Off,section:0,value:0),time:(from:'2016-06-25 09:09:23-0600',mode:absolute,to:'2016-06-25 09:53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61" s="48" t="str">
        <f>IF(AA61&lt;23,"Y","N")</f>
        <v>N</v>
      </c>
      <c r="X61" s="48">
        <f>VALUE(LEFT(A61,3))-VALUE(LEFT(A60,3))</f>
        <v>1</v>
      </c>
      <c r="Y61" s="48">
        <f>RIGHT(D61,LEN(D61)-4)/10000</f>
        <v>4.7100000000000003E-2</v>
      </c>
      <c r="Z61" s="48">
        <f>RIGHT(H61,LEN(H61)-4)/10000</f>
        <v>23.3308</v>
      </c>
      <c r="AA61" s="48">
        <f>ABS(Z61-Y61)</f>
        <v>23.2837</v>
      </c>
      <c r="AB61" s="49" t="e">
        <f>VLOOKUP(A61,Enforcements!$C$7:$J$32,8,0)</f>
        <v>#N/A</v>
      </c>
      <c r="AC61" s="49" t="e">
        <f>VLOOKUP(A61,Enforcements!$C$7:$E$32,3,0)</f>
        <v>#N/A</v>
      </c>
    </row>
    <row r="62" spans="1:29" s="2" customFormat="1" x14ac:dyDescent="0.25">
      <c r="A62" s="43" t="s">
        <v>301</v>
      </c>
      <c r="B62" s="43">
        <v>4026</v>
      </c>
      <c r="C62" s="43" t="s">
        <v>60</v>
      </c>
      <c r="D62" s="43" t="s">
        <v>282</v>
      </c>
      <c r="E62" s="25">
        <v>42546.417743055557</v>
      </c>
      <c r="F62" s="25">
        <v>42546.418599537035</v>
      </c>
      <c r="G62" s="31">
        <v>1</v>
      </c>
      <c r="H62" s="25" t="s">
        <v>95</v>
      </c>
      <c r="I62" s="25">
        <v>42546.451226851852</v>
      </c>
      <c r="J62" s="43">
        <v>0</v>
      </c>
      <c r="K62" s="43" t="str">
        <f>IF(ISEVEN(B62),(B62-1)&amp;"/"&amp;B62,B62&amp;"/"&amp;(B62+1))</f>
        <v>4025/4026</v>
      </c>
      <c r="L62" s="43" t="str">
        <f>VLOOKUP(A62,'Trips&amp;Operators'!$C$1:$E$10000,3,FALSE)</f>
        <v>STURGEON</v>
      </c>
      <c r="M62" s="11">
        <f>I62-F62</f>
        <v>3.2627314816636499E-2</v>
      </c>
      <c r="N62" s="12">
        <f>24*60*SUM($M62:$M62)</f>
        <v>46.983333335956559</v>
      </c>
      <c r="O62" s="12"/>
      <c r="P62" s="12"/>
      <c r="Q62" s="44"/>
      <c r="R62" s="44"/>
      <c r="S62" s="70">
        <f>SUM(U62:U62)/12</f>
        <v>1</v>
      </c>
      <c r="T62" s="2" t="str">
        <f>IF(ISEVEN(LEFT(A62,3)),"Southbound","NorthBound")</f>
        <v>Southbound</v>
      </c>
      <c r="U62" s="2">
        <f>COUNTIFS(Variables!$M$2:$M$19, "&lt;=" &amp; Y62, Variables!$M$2:$M$19, "&gt;=" &amp; Z62)</f>
        <v>12</v>
      </c>
      <c r="V62" s="48" t="str">
        <f>"https://search-rtdc-monitor-bjffxe2xuh6vdkpspy63sjmuny.us-east-1.es.amazonaws.com/_plugin/kibana/#/discover/Steve-Slow-Train-Analysis-(2080s-and-2083s)?_g=(refreshInterval:(display:Off,section:0,value:0),time:(from:'"&amp;TEXT(E62-1/24/60,"yyyy-MM-DD hh:mm:ss")&amp;"-0600',mode:absolute,to:'"&amp;TEXT(I62+1/24/60,"yyyy-MM-DD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62&amp;"%22')),sort:!(Time,asc))"</f>
        <v>https://search-rtdc-monitor-bjffxe2xuh6vdkpspy63sjmuny.us-east-1.es.amazonaws.com/_plugin/kibana/#/discover/Steve-Slow-Train-Analysis-(2080s-and-2083s)?_g=(refreshInterval:(display:Off,section:0,value:0),time:(from:'2016-06-25 10:00:33-0600',mode:absolute,to:'2016-06-25 10:50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62" s="48" t="str">
        <f>IF(AA62&lt;23,"Y","N")</f>
        <v>N</v>
      </c>
      <c r="X62" s="48">
        <f>VALUE(LEFT(A62,3))-VALUE(LEFT(A61,3))</f>
        <v>1</v>
      </c>
      <c r="Y62" s="48">
        <f>RIGHT(D62,LEN(D62)-4)/10000</f>
        <v>23.297899999999998</v>
      </c>
      <c r="Z62" s="48">
        <f>RIGHT(H62,LEN(H62)-4)/10000</f>
        <v>1.61E-2</v>
      </c>
      <c r="AA62" s="48">
        <f>ABS(Z62-Y62)</f>
        <v>23.281799999999997</v>
      </c>
      <c r="AB62" s="49" t="e">
        <f>VLOOKUP(A62,Enforcements!$C$7:$J$32,8,0)</f>
        <v>#N/A</v>
      </c>
      <c r="AC62" s="49" t="e">
        <f>VLOOKUP(A62,Enforcements!$C$7:$E$32,3,0)</f>
        <v>#N/A</v>
      </c>
    </row>
    <row r="63" spans="1:29" s="2" customFormat="1" x14ac:dyDescent="0.25">
      <c r="A63" s="43" t="s">
        <v>302</v>
      </c>
      <c r="B63" s="43">
        <v>4044</v>
      </c>
      <c r="C63" s="43" t="s">
        <v>60</v>
      </c>
      <c r="D63" s="43" t="s">
        <v>303</v>
      </c>
      <c r="E63" s="25">
        <v>42546.389988425923</v>
      </c>
      <c r="F63" s="25">
        <v>42546.39135416667</v>
      </c>
      <c r="G63" s="31">
        <v>1</v>
      </c>
      <c r="H63" s="25" t="s">
        <v>198</v>
      </c>
      <c r="I63" s="25">
        <v>42546.420393518521</v>
      </c>
      <c r="J63" s="43">
        <v>0</v>
      </c>
      <c r="K63" s="43" t="str">
        <f>IF(ISEVEN(B63),(B63-1)&amp;"/"&amp;B63,B63&amp;"/"&amp;(B63+1))</f>
        <v>4043/4044</v>
      </c>
      <c r="L63" s="43" t="str">
        <f>VLOOKUP(A63,'Trips&amp;Operators'!$C$1:$E$10000,3,FALSE)</f>
        <v>YORK</v>
      </c>
      <c r="M63" s="11">
        <f>I63-F63</f>
        <v>2.9039351851679385E-2</v>
      </c>
      <c r="N63" s="12">
        <f>24*60*SUM($M63:$M63)</f>
        <v>41.816666666418314</v>
      </c>
      <c r="O63" s="12"/>
      <c r="P63" s="12"/>
      <c r="Q63" s="44"/>
      <c r="R63" s="44"/>
      <c r="S63" s="70">
        <f>SUM(U63:U63)/12</f>
        <v>1</v>
      </c>
      <c r="T63" s="2" t="str">
        <f>IF(ISEVEN(LEFT(A63,3)),"Southbound","NorthBound")</f>
        <v>NorthBound</v>
      </c>
      <c r="U63" s="2">
        <f>COUNTIFS(Variables!$M$2:$M$19, "&gt;=" &amp; Y63, Variables!$M$2:$M$19, "&lt;=" &amp; Z63)</f>
        <v>12</v>
      </c>
      <c r="V63" s="48" t="str">
        <f>"https://search-rtdc-monitor-bjffxe2xuh6vdkpspy63sjmuny.us-east-1.es.amazonaws.com/_plugin/kibana/#/discover/Steve-Slow-Train-Analysis-(2080s-and-2083s)?_g=(refreshInterval:(display:Off,section:0,value:0),time:(from:'"&amp;TEXT(E63-1/24/60,"yyyy-MM-DD hh:mm:ss")&amp;"-0600',mode:absolute,to:'"&amp;TEXT(I63+1/24/60,"yyyy-MM-DD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63&amp;"%22')),sort:!(Time,asc))"</f>
        <v>https://search-rtdc-monitor-bjffxe2xuh6vdkpspy63sjmuny.us-east-1.es.amazonaws.com/_plugin/kibana/#/discover/Steve-Slow-Train-Analysis-(2080s-and-2083s)?_g=(refreshInterval:(display:Off,section:0,value:0),time:(from:'2016-06-25 09:20:35-0600',mode:absolute,to:'2016-06-25 10:06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63" s="48" t="str">
        <f>IF(AA63&lt;23,"Y","N")</f>
        <v>N</v>
      </c>
      <c r="X63" s="48">
        <f>VALUE(LEFT(A63,3))-VALUE(LEFT(A62,3))</f>
        <v>1</v>
      </c>
      <c r="Y63" s="48">
        <f>RIGHT(D63,LEN(D63)-4)/10000</f>
        <v>4.4200000000000003E-2</v>
      </c>
      <c r="Z63" s="48">
        <f>RIGHT(H63,LEN(H63)-4)/10000</f>
        <v>23.328900000000001</v>
      </c>
      <c r="AA63" s="48">
        <f>ABS(Z63-Y63)</f>
        <v>23.284700000000001</v>
      </c>
      <c r="AB63" s="49" t="e">
        <f>VLOOKUP(A63,Enforcements!$C$7:$J$32,8,0)</f>
        <v>#N/A</v>
      </c>
      <c r="AC63" s="49" t="e">
        <f>VLOOKUP(A63,Enforcements!$C$7:$E$32,3,0)</f>
        <v>#N/A</v>
      </c>
    </row>
    <row r="64" spans="1:29" s="2" customFormat="1" x14ac:dyDescent="0.25">
      <c r="A64" s="43" t="s">
        <v>304</v>
      </c>
      <c r="B64" s="43">
        <v>4043</v>
      </c>
      <c r="C64" s="43" t="s">
        <v>60</v>
      </c>
      <c r="D64" s="43" t="s">
        <v>80</v>
      </c>
      <c r="E64" s="25">
        <v>42546.422777777778</v>
      </c>
      <c r="F64" s="25">
        <v>42546.423773148148</v>
      </c>
      <c r="G64" s="31">
        <v>1</v>
      </c>
      <c r="H64" s="25" t="s">
        <v>119</v>
      </c>
      <c r="I64" s="25">
        <v>42546.460833333331</v>
      </c>
      <c r="J64" s="43">
        <v>0</v>
      </c>
      <c r="K64" s="43" t="str">
        <f>IF(ISEVEN(B64),(B64-1)&amp;"/"&amp;B64,B64&amp;"/"&amp;(B64+1))</f>
        <v>4043/4044</v>
      </c>
      <c r="L64" s="43" t="str">
        <f>VLOOKUP(A64,'Trips&amp;Operators'!$C$1:$E$10000,3,FALSE)</f>
        <v>YORK</v>
      </c>
      <c r="M64" s="11">
        <f>I64-F64</f>
        <v>3.7060185182781424E-2</v>
      </c>
      <c r="N64" s="12">
        <f>24*60*SUM($M64:$M64)</f>
        <v>53.366666663205251</v>
      </c>
      <c r="O64" s="12"/>
      <c r="P64" s="12"/>
      <c r="Q64" s="44"/>
      <c r="R64" s="44"/>
      <c r="S64" s="70">
        <f>SUM(U64:U64)/12</f>
        <v>1</v>
      </c>
      <c r="T64" s="2" t="str">
        <f>IF(ISEVEN(LEFT(A64,3)),"Southbound","NorthBound")</f>
        <v>Southbound</v>
      </c>
      <c r="U64" s="2">
        <f>COUNTIFS(Variables!$M$2:$M$19, "&lt;=" &amp; Y64, Variables!$M$2:$M$19, "&gt;=" &amp; Z64)</f>
        <v>12</v>
      </c>
      <c r="V64" s="48" t="str">
        <f>"https://search-rtdc-monitor-bjffxe2xuh6vdkpspy63sjmuny.us-east-1.es.amazonaws.com/_plugin/kibana/#/discover/Steve-Slow-Train-Analysis-(2080s-and-2083s)?_g=(refreshInterval:(display:Off,section:0,value:0),time:(from:'"&amp;TEXT(E64-1/24/60,"yyyy-MM-DD hh:mm:ss")&amp;"-0600',mode:absolute,to:'"&amp;TEXT(I64+1/24/60,"yyyy-MM-DD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64&amp;"%22')),sort:!(Time,asc))"</f>
        <v>https://search-rtdc-monitor-bjffxe2xuh6vdkpspy63sjmuny.us-east-1.es.amazonaws.com/_plugin/kibana/#/discover/Steve-Slow-Train-Analysis-(2080s-and-2083s)?_g=(refreshInterval:(display:Off,section:0,value:0),time:(from:'2016-06-25 10:07:48-0600',mode:absolute,to:'2016-06-25 11:04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64" s="48" t="str">
        <f>IF(AA64&lt;23,"Y","N")</f>
        <v>N</v>
      </c>
      <c r="X64" s="48">
        <f>VALUE(LEFT(A64,3))-VALUE(LEFT(A63,3))</f>
        <v>1</v>
      </c>
      <c r="Y64" s="48">
        <f>RIGHT(D64,LEN(D64)-4)/10000</f>
        <v>23.297799999999999</v>
      </c>
      <c r="Z64" s="48">
        <f>RIGHT(H64,LEN(H64)-4)/10000</f>
        <v>1.4999999999999999E-2</v>
      </c>
      <c r="AA64" s="48">
        <f>ABS(Z64-Y64)</f>
        <v>23.282799999999998</v>
      </c>
      <c r="AB64" s="49" t="e">
        <f>VLOOKUP(A64,Enforcements!$C$7:$J$32,8,0)</f>
        <v>#N/A</v>
      </c>
      <c r="AC64" s="49" t="e">
        <f>VLOOKUP(A64,Enforcements!$C$7:$E$32,3,0)</f>
        <v>#N/A</v>
      </c>
    </row>
    <row r="65" spans="1:29" s="2" customFormat="1" x14ac:dyDescent="0.25">
      <c r="A65" s="43" t="s">
        <v>305</v>
      </c>
      <c r="B65" s="43">
        <v>4007</v>
      </c>
      <c r="C65" s="43" t="s">
        <v>60</v>
      </c>
      <c r="D65" s="43" t="s">
        <v>306</v>
      </c>
      <c r="E65" s="25">
        <v>42546.403229166666</v>
      </c>
      <c r="F65" s="25">
        <v>42546.40421296296</v>
      </c>
      <c r="G65" s="31">
        <v>1</v>
      </c>
      <c r="H65" s="25" t="s">
        <v>158</v>
      </c>
      <c r="I65" s="25">
        <v>42546.43167824074</v>
      </c>
      <c r="J65" s="43">
        <v>1</v>
      </c>
      <c r="K65" s="43" t="str">
        <f>IF(ISEVEN(B65),(B65-1)&amp;"/"&amp;B65,B65&amp;"/"&amp;(B65+1))</f>
        <v>4007/4008</v>
      </c>
      <c r="L65" s="43" t="str">
        <f>VLOOKUP(A65,'Trips&amp;Operators'!$C$1:$E$10000,3,FALSE)</f>
        <v>SANTIZO</v>
      </c>
      <c r="M65" s="11">
        <f>I65-F65</f>
        <v>2.7465277780720498E-2</v>
      </c>
      <c r="N65" s="12">
        <f>24*60*SUM($M65:$M65)</f>
        <v>39.550000004237518</v>
      </c>
      <c r="O65" s="12"/>
      <c r="P65" s="12"/>
      <c r="Q65" s="44"/>
      <c r="R65" s="44"/>
      <c r="S65" s="70">
        <f>SUM(U65:U65)/12</f>
        <v>1</v>
      </c>
      <c r="T65" s="2" t="str">
        <f>IF(ISEVEN(LEFT(A65,3)),"Southbound","NorthBound")</f>
        <v>NorthBound</v>
      </c>
      <c r="U65" s="2">
        <f>COUNTIFS(Variables!$M$2:$M$19, "&gt;=" &amp; Y65, Variables!$M$2:$M$19, "&lt;=" &amp; Z65)</f>
        <v>12</v>
      </c>
      <c r="V65" s="48" t="str">
        <f>"https://search-rtdc-monitor-bjffxe2xuh6vdkpspy63sjmuny.us-east-1.es.amazonaws.com/_plugin/kibana/#/discover/Steve-Slow-Train-Analysis-(2080s-and-2083s)?_g=(refreshInterval:(display:Off,section:0,value:0),time:(from:'"&amp;TEXT(E65-1/24/60,"yyyy-MM-DD hh:mm:ss")&amp;"-0600',mode:absolute,to:'"&amp;TEXT(I65+1/24/60,"yyyy-MM-DD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65&amp;"%22')),sort:!(Time,asc))"</f>
        <v>https://search-rtdc-monitor-bjffxe2xuh6vdkpspy63sjmuny.us-east-1.es.amazonaws.com/_plugin/kibana/#/discover/Steve-Slow-Train-Analysis-(2080s-and-2083s)?_g=(refreshInterval:(display:Off,section:0,value:0),time:(from:'2016-06-25 09:39:39-0600',mode:absolute,to:'2016-06-25 10:22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65" s="48" t="str">
        <f>IF(AA65&lt;23,"Y","N")</f>
        <v>N</v>
      </c>
      <c r="X65" s="48">
        <f>VALUE(LEFT(A65,3))-VALUE(LEFT(A64,3))</f>
        <v>1</v>
      </c>
      <c r="Y65" s="48">
        <f>RIGHT(D65,LEN(D65)-4)/10000</f>
        <v>4.2000000000000003E-2</v>
      </c>
      <c r="Z65" s="48">
        <f>RIGHT(H65,LEN(H65)-4)/10000</f>
        <v>23.331700000000001</v>
      </c>
      <c r="AA65" s="48">
        <f>ABS(Z65-Y65)</f>
        <v>23.2897</v>
      </c>
      <c r="AB65" s="49">
        <f>VLOOKUP(A65,Enforcements!$C$7:$J$32,8,0)</f>
        <v>63068</v>
      </c>
      <c r="AC65" s="49" t="str">
        <f>VLOOKUP(A65,Enforcements!$C$7:$E$32,3,0)</f>
        <v>GRADE CROSSING</v>
      </c>
    </row>
    <row r="66" spans="1:29" s="2" customFormat="1" x14ac:dyDescent="0.25">
      <c r="A66" s="43" t="s">
        <v>307</v>
      </c>
      <c r="B66" s="43">
        <v>4008</v>
      </c>
      <c r="C66" s="43" t="s">
        <v>60</v>
      </c>
      <c r="D66" s="43" t="s">
        <v>187</v>
      </c>
      <c r="E66" s="25">
        <v>42546.433263888888</v>
      </c>
      <c r="F66" s="25">
        <v>42546.434155092589</v>
      </c>
      <c r="G66" s="31">
        <v>1</v>
      </c>
      <c r="H66" s="25" t="s">
        <v>308</v>
      </c>
      <c r="I66" s="25">
        <v>42546.474340277775</v>
      </c>
      <c r="J66" s="43">
        <v>0</v>
      </c>
      <c r="K66" s="43" t="str">
        <f>IF(ISEVEN(B66),(B66-1)&amp;"/"&amp;B66,B66&amp;"/"&amp;(B66+1))</f>
        <v>4007/4008</v>
      </c>
      <c r="L66" s="43" t="str">
        <f>VLOOKUP(A66,'Trips&amp;Operators'!$C$1:$E$10000,3,FALSE)</f>
        <v>SANTIZO</v>
      </c>
      <c r="M66" s="11">
        <f>I66-F66</f>
        <v>4.0185185185691807E-2</v>
      </c>
      <c r="N66" s="12">
        <f>24*60*SUM($M66:$M66)</f>
        <v>57.866666667396203</v>
      </c>
      <c r="O66" s="12"/>
      <c r="P66" s="12"/>
      <c r="Q66" s="44"/>
      <c r="R66" s="44"/>
      <c r="S66" s="70">
        <f>SUM(U66:U66)/12</f>
        <v>1</v>
      </c>
      <c r="T66" s="2" t="str">
        <f>IF(ISEVEN(LEFT(A66,3)),"Southbound","NorthBound")</f>
        <v>Southbound</v>
      </c>
      <c r="U66" s="2">
        <f>COUNTIFS(Variables!$M$2:$M$19, "&lt;=" &amp; Y66, Variables!$M$2:$M$19, "&gt;=" &amp; Z66)</f>
        <v>12</v>
      </c>
      <c r="V66" s="48" t="str">
        <f>"https://search-rtdc-monitor-bjffxe2xuh6vdkpspy63sjmuny.us-east-1.es.amazonaws.com/_plugin/kibana/#/discover/Steve-Slow-Train-Analysis-(2080s-and-2083s)?_g=(refreshInterval:(display:Off,section:0,value:0),time:(from:'"&amp;TEXT(E66-1/24/60,"yyyy-MM-DD hh:mm:ss")&amp;"-0600',mode:absolute,to:'"&amp;TEXT(I66+1/24/60,"yyyy-MM-DD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66&amp;"%22')),sort:!(Time,asc))"</f>
        <v>https://search-rtdc-monitor-bjffxe2xuh6vdkpspy63sjmuny.us-east-1.es.amazonaws.com/_plugin/kibana/#/discover/Steve-Slow-Train-Analysis-(2080s-and-2083s)?_g=(refreshInterval:(display:Off,section:0,value:0),time:(from:'2016-06-25 10:22:54-0600',mode:absolute,to:'2016-06-25 11:24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66" s="48" t="str">
        <f>IF(AA66&lt;23,"Y","N")</f>
        <v>N</v>
      </c>
      <c r="X66" s="48">
        <f>VALUE(LEFT(A66,3))-VALUE(LEFT(A65,3))</f>
        <v>1</v>
      </c>
      <c r="Y66" s="48">
        <f>RIGHT(D66,LEN(D66)-4)/10000</f>
        <v>23.2987</v>
      </c>
      <c r="Z66" s="48">
        <f>RIGHT(H66,LEN(H66)-4)/10000</f>
        <v>1.6500000000000001E-2</v>
      </c>
      <c r="AA66" s="48">
        <f>ABS(Z66-Y66)</f>
        <v>23.2822</v>
      </c>
      <c r="AB66" s="49" t="e">
        <f>VLOOKUP(A66,Enforcements!$C$7:$J$32,8,0)</f>
        <v>#N/A</v>
      </c>
      <c r="AC66" s="49" t="e">
        <f>VLOOKUP(A66,Enforcements!$C$7:$E$32,3,0)</f>
        <v>#N/A</v>
      </c>
    </row>
    <row r="67" spans="1:29" s="2" customFormat="1" x14ac:dyDescent="0.25">
      <c r="A67" s="66" t="s">
        <v>309</v>
      </c>
      <c r="B67" s="43">
        <v>4024</v>
      </c>
      <c r="C67" s="43" t="s">
        <v>60</v>
      </c>
      <c r="D67" s="43" t="s">
        <v>155</v>
      </c>
      <c r="E67" s="25">
        <v>42546.414594907408</v>
      </c>
      <c r="F67" s="25">
        <v>42546.415671296294</v>
      </c>
      <c r="G67" s="31">
        <v>1</v>
      </c>
      <c r="H67" s="25" t="s">
        <v>160</v>
      </c>
      <c r="I67" s="25">
        <v>42546.441446759258</v>
      </c>
      <c r="J67" s="43">
        <v>0</v>
      </c>
      <c r="K67" s="43" t="str">
        <f>IF(ISEVEN(B67),(B67-1)&amp;"/"&amp;B67,B67&amp;"/"&amp;(B67+1))</f>
        <v>4023/4024</v>
      </c>
      <c r="L67" s="43" t="str">
        <f>VLOOKUP(A67,'Trips&amp;Operators'!$C$1:$E$10000,3,FALSE)</f>
        <v>MALAVE</v>
      </c>
      <c r="M67" s="11">
        <f>I67-F67</f>
        <v>2.5775462963792961E-2</v>
      </c>
      <c r="N67" s="12">
        <f>24*60*SUM($M67:$M67)</f>
        <v>37.116666667861864</v>
      </c>
      <c r="O67" s="12"/>
      <c r="P67" s="12"/>
      <c r="Q67" s="44"/>
      <c r="R67" s="44"/>
      <c r="S67" s="70">
        <f>SUM(U67:U67)/12</f>
        <v>1</v>
      </c>
      <c r="T67" s="2" t="str">
        <f>IF(ISEVEN(LEFT(A67,3)),"Southbound","NorthBound")</f>
        <v>NorthBound</v>
      </c>
      <c r="U67" s="2">
        <f>COUNTIFS(Variables!$M$2:$M$19, "&gt;=" &amp; Y67, Variables!$M$2:$M$19, "&lt;=" &amp; Z67)</f>
        <v>12</v>
      </c>
      <c r="V67" s="48" t="str">
        <f>"https://search-rtdc-monitor-bjffxe2xuh6vdkpspy63sjmuny.us-east-1.es.amazonaws.com/_plugin/kibana/#/discover/Steve-Slow-Train-Analysis-(2080s-and-2083s)?_g=(refreshInterval:(display:Off,section:0,value:0),time:(from:'"&amp;TEXT(E67-1/24/60,"yyyy-MM-DD hh:mm:ss")&amp;"-0600',mode:absolute,to:'"&amp;TEXT(I67+1/24/60,"yyyy-MM-DD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67&amp;"%22')),sort:!(Time,asc))"</f>
        <v>https://search-rtdc-monitor-bjffxe2xuh6vdkpspy63sjmuny.us-east-1.es.amazonaws.com/_plugin/kibana/#/discover/Steve-Slow-Train-Analysis-(2080s-and-2083s)?_g=(refreshInterval:(display:Off,section:0,value:0),time:(from:'2016-06-25 09:56:01-0600',mode:absolute,to:'2016-06-25 10:36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67" s="48" t="str">
        <f>IF(AA67&lt;23,"Y","N")</f>
        <v>N</v>
      </c>
      <c r="X67" s="48">
        <f>VALUE(LEFT(A67,3))-VALUE(LEFT(A66,3))</f>
        <v>1</v>
      </c>
      <c r="Y67" s="48">
        <f>RIGHT(D67,LEN(D67)-4)/10000</f>
        <v>4.7100000000000003E-2</v>
      </c>
      <c r="Z67" s="48">
        <f>RIGHT(H67,LEN(H67)-4)/10000</f>
        <v>23.327999999999999</v>
      </c>
      <c r="AA67" s="48">
        <f>ABS(Z67-Y67)</f>
        <v>23.280899999999999</v>
      </c>
      <c r="AB67" s="49" t="e">
        <f>VLOOKUP(A67,Enforcements!$C$7:$J$32,8,0)</f>
        <v>#N/A</v>
      </c>
      <c r="AC67" s="49" t="e">
        <f>VLOOKUP(A67,Enforcements!$C$7:$E$32,3,0)</f>
        <v>#N/A</v>
      </c>
    </row>
    <row r="68" spans="1:29" s="2" customFormat="1" x14ac:dyDescent="0.25">
      <c r="A68" s="43" t="s">
        <v>310</v>
      </c>
      <c r="B68" s="43">
        <v>4023</v>
      </c>
      <c r="C68" s="43" t="s">
        <v>60</v>
      </c>
      <c r="D68" s="43" t="s">
        <v>311</v>
      </c>
      <c r="E68" s="25">
        <v>42546.454143518517</v>
      </c>
      <c r="F68" s="25">
        <v>42546.45484953704</v>
      </c>
      <c r="G68" s="31">
        <v>1</v>
      </c>
      <c r="H68" s="25" t="s">
        <v>75</v>
      </c>
      <c r="I68" s="25">
        <v>42546.485150462962</v>
      </c>
      <c r="J68" s="43">
        <v>0</v>
      </c>
      <c r="K68" s="43" t="str">
        <f>IF(ISEVEN(B68),(B68-1)&amp;"/"&amp;B68,B68&amp;"/"&amp;(B68+1))</f>
        <v>4023/4024</v>
      </c>
      <c r="L68" s="43" t="str">
        <f>VLOOKUP(A68,'Trips&amp;Operators'!$C$1:$E$10000,3,FALSE)</f>
        <v>MALAVE</v>
      </c>
      <c r="M68" s="11">
        <f>I68-F68</f>
        <v>3.0300925922347233E-2</v>
      </c>
      <c r="N68" s="12">
        <f>24*60*SUM($M68:$M68)</f>
        <v>43.633333328180015</v>
      </c>
      <c r="O68" s="12"/>
      <c r="P68" s="12"/>
      <c r="Q68" s="44"/>
      <c r="R68" s="44"/>
      <c r="S68" s="70">
        <f>SUM(U68:U68)/12</f>
        <v>1</v>
      </c>
      <c r="T68" s="2" t="str">
        <f>IF(ISEVEN(LEFT(A68,3)),"Southbound","NorthBound")</f>
        <v>Southbound</v>
      </c>
      <c r="U68" s="2">
        <f>COUNTIFS(Variables!$M$2:$M$19, "&lt;=" &amp; Y68, Variables!$M$2:$M$19, "&gt;=" &amp; Z68)</f>
        <v>12</v>
      </c>
      <c r="V68" s="48" t="str">
        <f>"https://search-rtdc-monitor-bjffxe2xuh6vdkpspy63sjmuny.us-east-1.es.amazonaws.com/_plugin/kibana/#/discover/Steve-Slow-Train-Analysis-(2080s-and-2083s)?_g=(refreshInterval:(display:Off,section:0,value:0),time:(from:'"&amp;TEXT(E68-1/24/60,"yyyy-MM-DD hh:mm:ss")&amp;"-0600',mode:absolute,to:'"&amp;TEXT(I68+1/24/60,"yyyy-MM-DD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68&amp;"%22')),sort:!(Time,asc))"</f>
        <v>https://search-rtdc-monitor-bjffxe2xuh6vdkpspy63sjmuny.us-east-1.es.amazonaws.com/_plugin/kibana/#/discover/Steve-Slow-Train-Analysis-(2080s-and-2083s)?_g=(refreshInterval:(display:Off,section:0,value:0),time:(from:'2016-06-25 10:52:58-0600',mode:absolute,to:'2016-06-25 11:39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68" s="48" t="str">
        <f>IF(AA68&lt;23,"Y","N")</f>
        <v>N</v>
      </c>
      <c r="X68" s="48">
        <f>VALUE(LEFT(A68,3))-VALUE(LEFT(A67,3))</f>
        <v>1</v>
      </c>
      <c r="Y68" s="48">
        <f>RIGHT(D68,LEN(D68)-4)/10000</f>
        <v>23.2959</v>
      </c>
      <c r="Z68" s="48">
        <f>RIGHT(H68,LEN(H68)-4)/10000</f>
        <v>1.5599999999999999E-2</v>
      </c>
      <c r="AA68" s="48">
        <f>ABS(Z68-Y68)</f>
        <v>23.2803</v>
      </c>
      <c r="AB68" s="49" t="e">
        <f>VLOOKUP(A68,Enforcements!$C$7:$J$32,8,0)</f>
        <v>#N/A</v>
      </c>
      <c r="AC68" s="49" t="e">
        <f>VLOOKUP(A68,Enforcements!$C$7:$E$32,3,0)</f>
        <v>#N/A</v>
      </c>
    </row>
    <row r="69" spans="1:29" s="2" customFormat="1" x14ac:dyDescent="0.25">
      <c r="A69" s="43" t="s">
        <v>312</v>
      </c>
      <c r="B69" s="43">
        <v>4014</v>
      </c>
      <c r="C69" s="43" t="s">
        <v>60</v>
      </c>
      <c r="D69" s="43" t="s">
        <v>313</v>
      </c>
      <c r="E69" s="25">
        <v>42546.425243055557</v>
      </c>
      <c r="F69" s="25">
        <v>42546.426087962966</v>
      </c>
      <c r="G69" s="31">
        <v>1</v>
      </c>
      <c r="H69" s="25" t="s">
        <v>314</v>
      </c>
      <c r="I69" s="25">
        <v>42546.428101851852</v>
      </c>
      <c r="J69" s="43">
        <v>1</v>
      </c>
      <c r="K69" s="43" t="str">
        <f>IF(ISEVEN(B69),(B69-1)&amp;"/"&amp;B69,B69&amp;"/"&amp;(B69+1))</f>
        <v>4013/4014</v>
      </c>
      <c r="L69" s="43" t="str">
        <f>VLOOKUP(A69,'Trips&amp;Operators'!$C$1:$E$10000,3,FALSE)</f>
        <v>ACKERMAN</v>
      </c>
      <c r="M69" s="11">
        <f>I69-F69</f>
        <v>2.0138888867222704E-3</v>
      </c>
      <c r="N69" s="12">
        <f>24*60*SUM($M69:$M69)</f>
        <v>2.8999999968800694</v>
      </c>
      <c r="O69" s="12"/>
      <c r="P69" s="12"/>
      <c r="Q69" s="44"/>
      <c r="R69" s="44"/>
      <c r="S69" s="70">
        <f>SUM(U69:U69)/12</f>
        <v>0</v>
      </c>
      <c r="T69" s="2" t="str">
        <f>IF(ISEVEN(LEFT(A69,3)),"Southbound","NorthBound")</f>
        <v>NorthBound</v>
      </c>
      <c r="U69" s="2">
        <f>COUNTIFS(Variables!$M$2:$M$19, "&gt;=" &amp; Y69, Variables!$M$2:$M$19, "&lt;=" &amp; Z69)</f>
        <v>0</v>
      </c>
      <c r="V69" s="48" t="str">
        <f>"https://search-rtdc-monitor-bjffxe2xuh6vdkpspy63sjmuny.us-east-1.es.amazonaws.com/_plugin/kibana/#/discover/Steve-Slow-Train-Analysis-(2080s-and-2083s)?_g=(refreshInterval:(display:Off,section:0,value:0),time:(from:'"&amp;TEXT(E69-1/24/60,"yyyy-MM-DD hh:mm:ss")&amp;"-0600',mode:absolute,to:'"&amp;TEXT(I69+1/24/60,"yyyy-MM-DD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69&amp;"%22')),sort:!(Time,asc))"</f>
        <v>https://search-rtdc-monitor-bjffxe2xuh6vdkpspy63sjmuny.us-east-1.es.amazonaws.com/_plugin/kibana/#/discover/Steve-Slow-Train-Analysis-(2080s-and-2083s)?_g=(refreshInterval:(display:Off,section:0,value:0),time:(from:'2016-06-25 10:11:21-0600',mode:absolute,to:'2016-06-25 10:17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69" s="48" t="str">
        <f>IF(AA69&lt;23,"Y","N")</f>
        <v>Y</v>
      </c>
      <c r="X69" s="48">
        <f>VALUE(LEFT(A69,3))-VALUE(LEFT(A68,3))</f>
        <v>1</v>
      </c>
      <c r="Y69" s="48">
        <f>RIGHT(D69,LEN(D69)-4)/10000</f>
        <v>0.15279999999999999</v>
      </c>
      <c r="Z69" s="48">
        <f>RIGHT(H69,LEN(H69)-4)/10000</f>
        <v>0.1888</v>
      </c>
      <c r="AA69" s="48">
        <f>ABS(Z69-Y69)</f>
        <v>3.6000000000000004E-2</v>
      </c>
      <c r="AB69" s="49">
        <f>VLOOKUP(A69,Enforcements!$C$7:$J$32,8,0)</f>
        <v>1692</v>
      </c>
      <c r="AC69" s="49" t="str">
        <f>VLOOKUP(A69,Enforcements!$C$7:$E$32,3,0)</f>
        <v>SIGNAL</v>
      </c>
    </row>
    <row r="70" spans="1:29" s="2" customFormat="1" x14ac:dyDescent="0.25">
      <c r="A70" s="43" t="s">
        <v>312</v>
      </c>
      <c r="B70" s="43">
        <v>4014</v>
      </c>
      <c r="C70" s="43" t="s">
        <v>60</v>
      </c>
      <c r="D70" s="43" t="s">
        <v>315</v>
      </c>
      <c r="E70" s="25">
        <v>42546.431238425925</v>
      </c>
      <c r="F70" s="25">
        <v>42546.432268518518</v>
      </c>
      <c r="G70" s="31">
        <v>1</v>
      </c>
      <c r="H70" s="25" t="s">
        <v>111</v>
      </c>
      <c r="I70" s="25">
        <v>42546.455150462964</v>
      </c>
      <c r="J70" s="43">
        <v>0</v>
      </c>
      <c r="K70" s="43" t="str">
        <f>IF(ISEVEN(B70),(B70-1)&amp;"/"&amp;B70,B70&amp;"/"&amp;(B70+1))</f>
        <v>4013/4014</v>
      </c>
      <c r="L70" s="43" t="str">
        <f>VLOOKUP(A70,'Trips&amp;Operators'!$C$1:$E$10000,3,FALSE)</f>
        <v>ACKERMAN</v>
      </c>
      <c r="M70" s="11">
        <f>I70-F70</f>
        <v>2.2881944445543922E-2</v>
      </c>
      <c r="N70" s="12">
        <f>24*60*SUM($M70:$M70)</f>
        <v>32.950000001583248</v>
      </c>
      <c r="O70" s="12"/>
      <c r="P70" s="12"/>
      <c r="Q70" s="44"/>
      <c r="R70" s="44"/>
      <c r="S70" s="70">
        <f>SUM(U70:U71)/12</f>
        <v>2</v>
      </c>
      <c r="T70" s="2" t="str">
        <f>IF(ISEVEN(LEFT(A70,3)),"Southbound","NorthBound")</f>
        <v>NorthBound</v>
      </c>
      <c r="U70" s="2">
        <f>COUNTIFS(Variables!$M$2:$M$19, "&gt;=" &amp; Y70, Variables!$M$2:$M$19, "&lt;=" &amp; Z70)</f>
        <v>12</v>
      </c>
      <c r="V70" s="48" t="str">
        <f>"https://search-rtdc-monitor-bjffxe2xuh6vdkpspy63sjmuny.us-east-1.es.amazonaws.com/_plugin/kibana/#/discover/Steve-Slow-Train-Analysis-(2080s-and-2083s)?_g=(refreshInterval:(display:Off,section:0,value:0),time:(from:'"&amp;TEXT(E70-1/24/60,"yyyy-MM-DD hh:mm:ss")&amp;"-0600',mode:absolute,to:'"&amp;TEXT(I70+1/24/60,"yyyy-MM-DD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70&amp;"%22')),sort:!(Time,asc))"</f>
        <v>https://search-rtdc-monitor-bjffxe2xuh6vdkpspy63sjmuny.us-east-1.es.amazonaws.com/_plugin/kibana/#/discover/Steve-Slow-Train-Analysis-(2080s-and-2083s)?_g=(refreshInterval:(display:Off,section:0,value:0),time:(from:'2016-06-25 10:19:59-0600',mode:absolute,to:'2016-06-25 10:56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70" s="48" t="str">
        <f>IF(AA70&lt;23,"Y","N")</f>
        <v>Y</v>
      </c>
      <c r="X70" s="48">
        <f>VALUE(LEFT(A70,3))-VALUE(LEFT(A69,3))</f>
        <v>0</v>
      </c>
      <c r="Y70" s="48">
        <f>RIGHT(D70,LEN(D70)-4)/10000</f>
        <v>1.9137</v>
      </c>
      <c r="Z70" s="48">
        <f>RIGHT(H70,LEN(H70)-4)/10000</f>
        <v>23.3291</v>
      </c>
      <c r="AA70" s="48">
        <f>ABS(Z70-Y70)</f>
        <v>21.415400000000002</v>
      </c>
      <c r="AB70" s="49">
        <f>VLOOKUP(A70,Enforcements!$C$7:$J$32,8,0)</f>
        <v>1692</v>
      </c>
      <c r="AC70" s="49" t="str">
        <f>VLOOKUP(A70,Enforcements!$C$7:$E$32,3,0)</f>
        <v>SIGNAL</v>
      </c>
    </row>
    <row r="71" spans="1:29" s="2" customFormat="1" x14ac:dyDescent="0.25">
      <c r="A71" s="43" t="s">
        <v>316</v>
      </c>
      <c r="B71" s="43">
        <v>4013</v>
      </c>
      <c r="C71" s="43" t="s">
        <v>60</v>
      </c>
      <c r="D71" s="43" t="s">
        <v>175</v>
      </c>
      <c r="E71" s="25">
        <v>42546.4606712963</v>
      </c>
      <c r="F71" s="25">
        <v>42546.46166666667</v>
      </c>
      <c r="G71" s="31">
        <v>1</v>
      </c>
      <c r="H71" s="25" t="s">
        <v>61</v>
      </c>
      <c r="I71" s="25">
        <v>42546.493437500001</v>
      </c>
      <c r="J71" s="43">
        <v>0</v>
      </c>
      <c r="K71" s="43" t="str">
        <f>IF(ISEVEN(B71),(B71-1)&amp;"/"&amp;B71,B71&amp;"/"&amp;(B71+1))</f>
        <v>4013/4014</v>
      </c>
      <c r="L71" s="43" t="str">
        <f>VLOOKUP(A71,'Trips&amp;Operators'!$C$1:$E$10000,3,FALSE)</f>
        <v>ACKERMAN</v>
      </c>
      <c r="M71" s="11">
        <f>I71-F71</f>
        <v>3.1770833331393078E-2</v>
      </c>
      <c r="N71" s="12">
        <f>24*60*SUM($M71:$M71)</f>
        <v>45.749999997206032</v>
      </c>
      <c r="O71" s="12"/>
      <c r="P71" s="12"/>
      <c r="Q71" s="44"/>
      <c r="R71" s="44"/>
      <c r="S71" s="70"/>
      <c r="T71" s="2" t="str">
        <f>IF(ISEVEN(LEFT(A71,3)),"Southbound","NorthBound")</f>
        <v>Southbound</v>
      </c>
      <c r="U71" s="2">
        <f>COUNTIFS(Variables!$M$2:$M$19, "&lt;=" &amp; Y71, Variables!$M$2:$M$19, "&gt;=" &amp; Z71)</f>
        <v>12</v>
      </c>
      <c r="V71" s="48" t="str">
        <f>"https://search-rtdc-monitor-bjffxe2xuh6vdkpspy63sjmuny.us-east-1.es.amazonaws.com/_plugin/kibana/#/discover/Steve-Slow-Train-Analysis-(2080s-and-2083s)?_g=(refreshInterval:(display:Off,section:0,value:0),time:(from:'"&amp;TEXT(E71-1/24/60,"yyyy-MM-DD hh:mm:ss")&amp;"-0600',mode:absolute,to:'"&amp;TEXT(I71+1/24/60,"yyyy-MM-DD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71&amp;"%22')),sort:!(Time,asc))"</f>
        <v>https://search-rtdc-monitor-bjffxe2xuh6vdkpspy63sjmuny.us-east-1.es.amazonaws.com/_plugin/kibana/#/discover/Steve-Slow-Train-Analysis-(2080s-and-2083s)?_g=(refreshInterval:(display:Off,section:0,value:0),time:(from:'2016-06-25 11:02:22-0600',mode:absolute,to:'2016-06-25 11:51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71" s="48" t="str">
        <f>IF(AA71&lt;23,"Y","N")</f>
        <v>N</v>
      </c>
      <c r="X71" s="48">
        <f>VALUE(LEFT(A71,3))-VALUE(LEFT(A70,3))</f>
        <v>1</v>
      </c>
      <c r="Y71" s="48">
        <f>RIGHT(D71,LEN(D71)-4)/10000</f>
        <v>23.298500000000001</v>
      </c>
      <c r="Z71" s="48">
        <f>RIGHT(H71,LEN(H71)-4)/10000</f>
        <v>1.4500000000000001E-2</v>
      </c>
      <c r="AA71" s="48">
        <f>ABS(Z71-Y71)</f>
        <v>23.283999999999999</v>
      </c>
      <c r="AB71" s="49" t="e">
        <f>VLOOKUP(A71,Enforcements!$C$7:$J$32,8,0)</f>
        <v>#N/A</v>
      </c>
      <c r="AC71" s="49" t="e">
        <f>VLOOKUP(A71,Enforcements!$C$7:$E$32,3,0)</f>
        <v>#N/A</v>
      </c>
    </row>
    <row r="72" spans="1:29" s="2" customFormat="1" x14ac:dyDescent="0.25">
      <c r="A72" s="43" t="s">
        <v>317</v>
      </c>
      <c r="B72" s="43">
        <v>4018</v>
      </c>
      <c r="C72" s="43" t="s">
        <v>60</v>
      </c>
      <c r="D72" s="43" t="s">
        <v>318</v>
      </c>
      <c r="E72" s="25">
        <v>42546.433321759258</v>
      </c>
      <c r="F72" s="25">
        <v>42546.434675925928</v>
      </c>
      <c r="G72" s="31">
        <v>1</v>
      </c>
      <c r="H72" s="25" t="s">
        <v>269</v>
      </c>
      <c r="I72" s="25">
        <v>42546.465648148151</v>
      </c>
      <c r="J72" s="43">
        <v>0</v>
      </c>
      <c r="K72" s="43" t="str">
        <f>IF(ISEVEN(B72),(B72-1)&amp;"/"&amp;B72,B72&amp;"/"&amp;(B72+1))</f>
        <v>4017/4018</v>
      </c>
      <c r="L72" s="43" t="str">
        <f>VLOOKUP(A72,'Trips&amp;Operators'!$C$1:$E$10000,3,FALSE)</f>
        <v>GEBRETEKLE</v>
      </c>
      <c r="M72" s="11">
        <f>I72-F72</f>
        <v>3.0972222222771961E-2</v>
      </c>
      <c r="N72" s="12">
        <f>24*60*SUM($M72:$M72)</f>
        <v>44.600000000791624</v>
      </c>
      <c r="O72" s="12"/>
      <c r="P72" s="12"/>
      <c r="Q72" s="44"/>
      <c r="R72" s="44"/>
      <c r="S72" s="70">
        <f>SUM(U72:U72)/12</f>
        <v>1</v>
      </c>
      <c r="T72" s="2" t="str">
        <f>IF(ISEVEN(LEFT(A72,3)),"Southbound","NorthBound")</f>
        <v>NorthBound</v>
      </c>
      <c r="U72" s="2">
        <f>COUNTIFS(Variables!$M$2:$M$19, "&gt;=" &amp; Y72, Variables!$M$2:$M$19, "&lt;=" &amp; Z72)</f>
        <v>12</v>
      </c>
      <c r="V72" s="48" t="str">
        <f>"https://search-rtdc-monitor-bjffxe2xuh6vdkpspy63sjmuny.us-east-1.es.amazonaws.com/_plugin/kibana/#/discover/Steve-Slow-Train-Analysis-(2080s-and-2083s)?_g=(refreshInterval:(display:Off,section:0,value:0),time:(from:'"&amp;TEXT(E72-1/24/60,"yyyy-MM-DD hh:mm:ss")&amp;"-0600',mode:absolute,to:'"&amp;TEXT(I72+1/24/60,"yyyy-MM-DD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72&amp;"%22')),sort:!(Time,asc))"</f>
        <v>https://search-rtdc-monitor-bjffxe2xuh6vdkpspy63sjmuny.us-east-1.es.amazonaws.com/_plugin/kibana/#/discover/Steve-Slow-Train-Analysis-(2080s-and-2083s)?_g=(refreshInterval:(display:Off,section:0,value:0),time:(from:'2016-06-25 10:22:59-0600',mode:absolute,to:'2016-06-25 11:11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72" s="48" t="str">
        <f>IF(AA72&lt;23,"Y","N")</f>
        <v>N</v>
      </c>
      <c r="X72" s="48">
        <f>VALUE(LEFT(A72,3))-VALUE(LEFT(A71,3))</f>
        <v>1</v>
      </c>
      <c r="Y72" s="48">
        <f>RIGHT(D72,LEN(D72)-4)/10000</f>
        <v>0.1181</v>
      </c>
      <c r="Z72" s="48">
        <f>RIGHT(H72,LEN(H72)-4)/10000</f>
        <v>23.331399999999999</v>
      </c>
      <c r="AA72" s="48">
        <f>ABS(Z72-Y72)</f>
        <v>23.2133</v>
      </c>
      <c r="AB72" s="49" t="e">
        <f>VLOOKUP(A72,Enforcements!$C$7:$J$32,8,0)</f>
        <v>#N/A</v>
      </c>
      <c r="AC72" s="49" t="e">
        <f>VLOOKUP(A72,Enforcements!$C$7:$E$32,3,0)</f>
        <v>#N/A</v>
      </c>
    </row>
    <row r="73" spans="1:29" s="2" customFormat="1" x14ac:dyDescent="0.25">
      <c r="A73" s="43" t="s">
        <v>319</v>
      </c>
      <c r="B73" s="43">
        <v>4017</v>
      </c>
      <c r="C73" s="43" t="s">
        <v>60</v>
      </c>
      <c r="D73" s="43" t="s">
        <v>200</v>
      </c>
      <c r="E73" s="25">
        <v>42546.476712962962</v>
      </c>
      <c r="F73" s="25">
        <v>42546.477523148147</v>
      </c>
      <c r="G73" s="31">
        <v>1</v>
      </c>
      <c r="H73" s="25" t="s">
        <v>74</v>
      </c>
      <c r="I73" s="25">
        <v>42546.503935185188</v>
      </c>
      <c r="J73" s="43">
        <v>0</v>
      </c>
      <c r="K73" s="43" t="str">
        <f>IF(ISEVEN(B73),(B73-1)&amp;"/"&amp;B73,B73&amp;"/"&amp;(B73+1))</f>
        <v>4017/4018</v>
      </c>
      <c r="L73" s="43" t="str">
        <f>VLOOKUP(A73,'Trips&amp;Operators'!$C$1:$E$10000,3,FALSE)</f>
        <v>GEBRETEKLE</v>
      </c>
      <c r="M73" s="11">
        <f>I73-F73</f>
        <v>2.641203704115469E-2</v>
      </c>
      <c r="N73" s="12">
        <f>24*60*SUM($M73:$M73)</f>
        <v>38.033333339262754</v>
      </c>
      <c r="O73" s="12"/>
      <c r="P73" s="12"/>
      <c r="Q73" s="44"/>
      <c r="R73" s="44"/>
      <c r="S73" s="70">
        <f>SUM(U73:U73)/12</f>
        <v>1</v>
      </c>
      <c r="T73" s="2" t="str">
        <f>IF(ISEVEN(LEFT(A73,3)),"Southbound","NorthBound")</f>
        <v>Southbound</v>
      </c>
      <c r="U73" s="2">
        <f>COUNTIFS(Variables!$M$2:$M$19, "&lt;=" &amp; Y73, Variables!$M$2:$M$19, "&gt;=" &amp; Z73)</f>
        <v>12</v>
      </c>
      <c r="V73" s="48" t="str">
        <f>"https://search-rtdc-monitor-bjffxe2xuh6vdkpspy63sjmuny.us-east-1.es.amazonaws.com/_plugin/kibana/#/discover/Steve-Slow-Train-Analysis-(2080s-and-2083s)?_g=(refreshInterval:(display:Off,section:0,value:0),time:(from:'"&amp;TEXT(E73-1/24/60,"yyyy-MM-DD hh:mm:ss")&amp;"-0600',mode:absolute,to:'"&amp;TEXT(I73+1/24/60,"yyyy-MM-DD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73&amp;"%22')),sort:!(Time,asc))"</f>
        <v>https://search-rtdc-monitor-bjffxe2xuh6vdkpspy63sjmuny.us-east-1.es.amazonaws.com/_plugin/kibana/#/discover/Steve-Slow-Train-Analysis-(2080s-and-2083s)?_g=(refreshInterval:(display:Off,section:0,value:0),time:(from:'2016-06-25 11:25:28-0600',mode:absolute,to:'2016-06-25 12:06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73" s="48" t="str">
        <f>IF(AA73&lt;23,"Y","N")</f>
        <v>N</v>
      </c>
      <c r="X73" s="48">
        <f>VALUE(LEFT(A73,3))-VALUE(LEFT(A72,3))</f>
        <v>1</v>
      </c>
      <c r="Y73" s="48">
        <f>RIGHT(D73,LEN(D73)-4)/10000</f>
        <v>23.298999999999999</v>
      </c>
      <c r="Z73" s="48">
        <f>RIGHT(H73,LEN(H73)-4)/10000</f>
        <v>1.41E-2</v>
      </c>
      <c r="AA73" s="48">
        <f>ABS(Z73-Y73)</f>
        <v>23.2849</v>
      </c>
      <c r="AB73" s="49" t="e">
        <f>VLOOKUP(A73,Enforcements!$C$7:$J$32,8,0)</f>
        <v>#N/A</v>
      </c>
      <c r="AC73" s="49" t="e">
        <f>VLOOKUP(A73,Enforcements!$C$7:$E$32,3,0)</f>
        <v>#N/A</v>
      </c>
    </row>
    <row r="74" spans="1:29" s="2" customFormat="1" x14ac:dyDescent="0.25">
      <c r="A74" s="43" t="s">
        <v>320</v>
      </c>
      <c r="B74" s="43">
        <v>4042</v>
      </c>
      <c r="C74" s="43" t="s">
        <v>60</v>
      </c>
      <c r="D74" s="43" t="s">
        <v>321</v>
      </c>
      <c r="E74" s="25">
        <v>42546.443958333337</v>
      </c>
      <c r="F74" s="25">
        <v>42546.445763888885</v>
      </c>
      <c r="G74" s="31">
        <v>2</v>
      </c>
      <c r="H74" s="25" t="s">
        <v>117</v>
      </c>
      <c r="I74" s="25">
        <v>42546.474236111113</v>
      </c>
      <c r="J74" s="43">
        <v>1</v>
      </c>
      <c r="K74" s="43" t="str">
        <f>IF(ISEVEN(B74),(B74-1)&amp;"/"&amp;B74,B74&amp;"/"&amp;(B74+1))</f>
        <v>4041/4042</v>
      </c>
      <c r="L74" s="43" t="str">
        <f>VLOOKUP(A74,'Trips&amp;Operators'!$C$1:$E$10000,3,FALSE)</f>
        <v>MAYBERRY</v>
      </c>
      <c r="M74" s="11">
        <f>I74-F74</f>
        <v>2.8472222227719612E-2</v>
      </c>
      <c r="N74" s="12">
        <f>24*60*SUM($M74:$M74)</f>
        <v>41.000000007916242</v>
      </c>
      <c r="O74" s="12"/>
      <c r="P74" s="12"/>
      <c r="Q74" s="44"/>
      <c r="R74" s="44"/>
      <c r="S74" s="70">
        <f>SUM(U74:U74)/12</f>
        <v>1</v>
      </c>
      <c r="T74" s="2" t="str">
        <f>IF(ISEVEN(LEFT(A74,3)),"Southbound","NorthBound")</f>
        <v>NorthBound</v>
      </c>
      <c r="U74" s="2">
        <f>COUNTIFS(Variables!$M$2:$M$19, "&gt;=" &amp; Y74, Variables!$M$2:$M$19, "&lt;=" &amp; Z74)</f>
        <v>12</v>
      </c>
      <c r="V74" s="48" t="str">
        <f>"https://search-rtdc-monitor-bjffxe2xuh6vdkpspy63sjmuny.us-east-1.es.amazonaws.com/_plugin/kibana/#/discover/Steve-Slow-Train-Analysis-(2080s-and-2083s)?_g=(refreshInterval:(display:Off,section:0,value:0),time:(from:'"&amp;TEXT(E74-1/24/60,"yyyy-MM-DD hh:mm:ss")&amp;"-0600',mode:absolute,to:'"&amp;TEXT(I74+1/24/60,"yyyy-MM-DD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74&amp;"%22')),sort:!(Time,asc))"</f>
        <v>https://search-rtdc-monitor-bjffxe2xuh6vdkpspy63sjmuny.us-east-1.es.amazonaws.com/_plugin/kibana/#/discover/Steve-Slow-Train-Analysis-(2080s-and-2083s)?_g=(refreshInterval:(display:Off,section:0,value:0),time:(from:'2016-06-25 10:38:18-0600',mode:absolute,to:'2016-06-25 11:23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74" s="48" t="str">
        <f>IF(AA74&lt;23,"Y","N")</f>
        <v>N</v>
      </c>
      <c r="X74" s="48">
        <f>VALUE(LEFT(A74,3))-VALUE(LEFT(A73,3))</f>
        <v>1</v>
      </c>
      <c r="Y74" s="48">
        <f>RIGHT(D74,LEN(D74)-4)/10000</f>
        <v>6.5199999999999994E-2</v>
      </c>
      <c r="Z74" s="48">
        <f>RIGHT(H74,LEN(H74)-4)/10000</f>
        <v>23.331</v>
      </c>
      <c r="AA74" s="48">
        <f>ABS(Z74-Y74)</f>
        <v>23.265799999999999</v>
      </c>
      <c r="AB74" s="49" t="e">
        <f>VLOOKUP(A74,Enforcements!$C$7:$J$32,8,0)</f>
        <v>#N/A</v>
      </c>
      <c r="AC74" s="49" t="e">
        <f>VLOOKUP(A74,Enforcements!$C$7:$E$32,3,0)</f>
        <v>#N/A</v>
      </c>
    </row>
    <row r="75" spans="1:29" s="2" customFormat="1" x14ac:dyDescent="0.25">
      <c r="A75" s="43" t="s">
        <v>322</v>
      </c>
      <c r="B75" s="43">
        <v>4041</v>
      </c>
      <c r="C75" s="43" t="s">
        <v>60</v>
      </c>
      <c r="D75" s="43" t="s">
        <v>187</v>
      </c>
      <c r="E75" s="25">
        <v>42546.482071759259</v>
      </c>
      <c r="F75" s="25">
        <v>42546.483043981483</v>
      </c>
      <c r="G75" s="31">
        <v>1</v>
      </c>
      <c r="H75" s="25" t="s">
        <v>62</v>
      </c>
      <c r="I75" s="25">
        <v>42546.516250000001</v>
      </c>
      <c r="J75" s="43">
        <v>0</v>
      </c>
      <c r="K75" s="43" t="str">
        <f>IF(ISEVEN(B75),(B75-1)&amp;"/"&amp;B75,B75&amp;"/"&amp;(B75+1))</f>
        <v>4041/4042</v>
      </c>
      <c r="L75" s="43" t="str">
        <f>VLOOKUP(A75,'Trips&amp;Operators'!$C$1:$E$10000,3,FALSE)</f>
        <v>MAYBERRY</v>
      </c>
      <c r="M75" s="11">
        <f>I75-F75</f>
        <v>3.3206018517375924E-2</v>
      </c>
      <c r="N75" s="12">
        <f>24*60*SUM($M75:$M75)</f>
        <v>47.81666666502133</v>
      </c>
      <c r="O75" s="12"/>
      <c r="P75" s="12"/>
      <c r="Q75" s="44"/>
      <c r="R75" s="44"/>
      <c r="S75" s="70">
        <f>SUM(U75:U75)/12</f>
        <v>1</v>
      </c>
      <c r="T75" s="2" t="str">
        <f>IF(ISEVEN(LEFT(A75,3)),"Southbound","NorthBound")</f>
        <v>Southbound</v>
      </c>
      <c r="U75" s="2">
        <f>COUNTIFS(Variables!$M$2:$M$19, "&lt;=" &amp; Y75, Variables!$M$2:$M$19, "&gt;=" &amp; Z75)</f>
        <v>12</v>
      </c>
      <c r="V75" s="48" t="str">
        <f>"https://search-rtdc-monitor-bjffxe2xuh6vdkpspy63sjmuny.us-east-1.es.amazonaws.com/_plugin/kibana/#/discover/Steve-Slow-Train-Analysis-(2080s-and-2083s)?_g=(refreshInterval:(display:Off,section:0,value:0),time:(from:'"&amp;TEXT(E75-1/24/60,"yyyy-MM-DD hh:mm:ss")&amp;"-0600',mode:absolute,to:'"&amp;TEXT(I75+1/24/60,"yyyy-MM-DD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75&amp;"%22')),sort:!(Time,asc))"</f>
        <v>https://search-rtdc-monitor-bjffxe2xuh6vdkpspy63sjmuny.us-east-1.es.amazonaws.com/_plugin/kibana/#/discover/Steve-Slow-Train-Analysis-(2080s-and-2083s)?_g=(refreshInterval:(display:Off,section:0,value:0),time:(from:'2016-06-25 11:33:11-0600',mode:absolute,to:'2016-06-25 12:24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75" s="48" t="str">
        <f>IF(AA75&lt;23,"Y","N")</f>
        <v>N</v>
      </c>
      <c r="X75" s="48">
        <f>VALUE(LEFT(A75,3))-VALUE(LEFT(A74,3))</f>
        <v>1</v>
      </c>
      <c r="Y75" s="48">
        <f>RIGHT(D75,LEN(D75)-4)/10000</f>
        <v>23.2987</v>
      </c>
      <c r="Z75" s="48">
        <f>RIGHT(H75,LEN(H75)-4)/10000</f>
        <v>1.52E-2</v>
      </c>
      <c r="AA75" s="48">
        <f>ABS(Z75-Y75)</f>
        <v>23.2835</v>
      </c>
      <c r="AB75" s="49" t="e">
        <f>VLOOKUP(A75,Enforcements!$C$7:$J$32,8,0)</f>
        <v>#N/A</v>
      </c>
      <c r="AC75" s="49" t="e">
        <f>VLOOKUP(A75,Enforcements!$C$7:$E$32,3,0)</f>
        <v>#N/A</v>
      </c>
    </row>
    <row r="76" spans="1:29" s="2" customFormat="1" x14ac:dyDescent="0.25">
      <c r="A76" s="43" t="s">
        <v>323</v>
      </c>
      <c r="B76" s="43">
        <v>4025</v>
      </c>
      <c r="C76" s="43" t="s">
        <v>60</v>
      </c>
      <c r="D76" s="43" t="s">
        <v>206</v>
      </c>
      <c r="E76" s="25">
        <v>42546.452337962961</v>
      </c>
      <c r="F76" s="25">
        <v>42546.453599537039</v>
      </c>
      <c r="G76" s="31">
        <v>1</v>
      </c>
      <c r="H76" s="25" t="s">
        <v>177</v>
      </c>
      <c r="I76" s="25">
        <v>42546.484479166669</v>
      </c>
      <c r="J76" s="43">
        <v>0</v>
      </c>
      <c r="K76" s="43" t="str">
        <f>IF(ISEVEN(B76),(B76-1)&amp;"/"&amp;B76,B76&amp;"/"&amp;(B76+1))</f>
        <v>4025/4026</v>
      </c>
      <c r="L76" s="43" t="str">
        <f>VLOOKUP(A76,'Trips&amp;Operators'!$C$1:$E$10000,3,FALSE)</f>
        <v>NELSON</v>
      </c>
      <c r="M76" s="11">
        <f>I76-F76</f>
        <v>3.0879629630362615E-2</v>
      </c>
      <c r="N76" s="12">
        <f>24*60*SUM($M76:$M76)</f>
        <v>44.466666667722166</v>
      </c>
      <c r="O76" s="12"/>
      <c r="P76" s="12"/>
      <c r="Q76" s="44"/>
      <c r="R76" s="44"/>
      <c r="S76" s="70">
        <f>SUM(U76:U76)/12</f>
        <v>1</v>
      </c>
      <c r="T76" s="2" t="str">
        <f>IF(ISEVEN(LEFT(A76,3)),"Southbound","NorthBound")</f>
        <v>NorthBound</v>
      </c>
      <c r="U76" s="2">
        <f>COUNTIFS(Variables!$M$2:$M$19, "&gt;=" &amp; Y76, Variables!$M$2:$M$19, "&lt;=" &amp; Z76)</f>
        <v>12</v>
      </c>
      <c r="V76" s="48" t="str">
        <f>"https://search-rtdc-monitor-bjffxe2xuh6vdkpspy63sjmuny.us-east-1.es.amazonaws.com/_plugin/kibana/#/discover/Steve-Slow-Train-Analysis-(2080s-and-2083s)?_g=(refreshInterval:(display:Off,section:0,value:0),time:(from:'"&amp;TEXT(E76-1/24/60,"yyyy-MM-DD hh:mm:ss")&amp;"-0600',mode:absolute,to:'"&amp;TEXT(I76+1/24/60,"yyyy-MM-DD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76&amp;"%22')),sort:!(Time,asc))"</f>
        <v>https://search-rtdc-monitor-bjffxe2xuh6vdkpspy63sjmuny.us-east-1.es.amazonaws.com/_plugin/kibana/#/discover/Steve-Slow-Train-Analysis-(2080s-and-2083s)?_g=(refreshInterval:(display:Off,section:0,value:0),time:(from:'2016-06-25 10:50:22-0600',mode:absolute,to:'2016-06-25 11:38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76" s="48" t="str">
        <f>IF(AA76&lt;23,"Y","N")</f>
        <v>N</v>
      </c>
      <c r="X76" s="48">
        <f>VALUE(LEFT(A76,3))-VALUE(LEFT(A75,3))</f>
        <v>1</v>
      </c>
      <c r="Y76" s="48">
        <f>RIGHT(D76,LEN(D76)-4)/10000</f>
        <v>4.4400000000000002E-2</v>
      </c>
      <c r="Z76" s="48">
        <f>RIGHT(H76,LEN(H76)-4)/10000</f>
        <v>23.3293</v>
      </c>
      <c r="AA76" s="48">
        <f>ABS(Z76-Y76)</f>
        <v>23.2849</v>
      </c>
      <c r="AB76" s="49" t="e">
        <f>VLOOKUP(A76,Enforcements!$C$7:$J$32,8,0)</f>
        <v>#N/A</v>
      </c>
      <c r="AC76" s="49" t="e">
        <f>VLOOKUP(A76,Enforcements!$C$7:$E$32,3,0)</f>
        <v>#N/A</v>
      </c>
    </row>
    <row r="77" spans="1:29" s="2" customFormat="1" x14ac:dyDescent="0.25">
      <c r="A77" s="43" t="s">
        <v>324</v>
      </c>
      <c r="B77" s="43">
        <v>4026</v>
      </c>
      <c r="C77" s="43" t="s">
        <v>60</v>
      </c>
      <c r="D77" s="43" t="s">
        <v>107</v>
      </c>
      <c r="E77" s="25">
        <v>42546.492766203701</v>
      </c>
      <c r="F77" s="25">
        <v>42546.493888888886</v>
      </c>
      <c r="G77" s="31">
        <v>1</v>
      </c>
      <c r="H77" s="25" t="s">
        <v>112</v>
      </c>
      <c r="I77" s="25">
        <v>42546.524537037039</v>
      </c>
      <c r="J77" s="43">
        <v>1</v>
      </c>
      <c r="K77" s="43" t="str">
        <f>IF(ISEVEN(B77),(B77-1)&amp;"/"&amp;B77,B77&amp;"/"&amp;(B77+1))</f>
        <v>4025/4026</v>
      </c>
      <c r="L77" s="43" t="str">
        <f>VLOOKUP(A77,'Trips&amp;Operators'!$C$1:$E$10000,3,FALSE)</f>
        <v>NELSON</v>
      </c>
      <c r="M77" s="11">
        <f>I77-F77</f>
        <v>3.0648148152977228E-2</v>
      </c>
      <c r="N77" s="12">
        <f>24*60*SUM($M77:$M77)</f>
        <v>44.133333340287209</v>
      </c>
      <c r="O77" s="12"/>
      <c r="P77" s="12"/>
      <c r="Q77" s="44"/>
      <c r="R77" s="44"/>
      <c r="S77" s="70">
        <f>SUM(U77:U77)/12</f>
        <v>1</v>
      </c>
      <c r="T77" s="2" t="str">
        <f>IF(ISEVEN(LEFT(A77,3)),"Southbound","NorthBound")</f>
        <v>Southbound</v>
      </c>
      <c r="U77" s="2">
        <f>COUNTIFS(Variables!$M$2:$M$19, "&lt;=" &amp; Y77, Variables!$M$2:$M$19, "&gt;=" &amp; Z77)</f>
        <v>12</v>
      </c>
      <c r="V77" s="48" t="str">
        <f>"https://search-rtdc-monitor-bjffxe2xuh6vdkpspy63sjmuny.us-east-1.es.amazonaws.com/_plugin/kibana/#/discover/Steve-Slow-Train-Analysis-(2080s-and-2083s)?_g=(refreshInterval:(display:Off,section:0,value:0),time:(from:'"&amp;TEXT(E77-1/24/60,"yyyy-MM-DD hh:mm:ss")&amp;"-0600',mode:absolute,to:'"&amp;TEXT(I77+1/24/60,"yyyy-MM-DD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77&amp;"%22')),sort:!(Time,asc))"</f>
        <v>https://search-rtdc-monitor-bjffxe2xuh6vdkpspy63sjmuny.us-east-1.es.amazonaws.com/_plugin/kibana/#/discover/Steve-Slow-Train-Analysis-(2080s-and-2083s)?_g=(refreshInterval:(display:Off,section:0,value:0),time:(from:'2016-06-25 11:48:35-0600',mode:absolute,to:'2016-06-25 12:36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77" s="48" t="str">
        <f>IF(AA77&lt;23,"Y","N")</f>
        <v>N</v>
      </c>
      <c r="X77" s="48">
        <f>VALUE(LEFT(A77,3))-VALUE(LEFT(A76,3))</f>
        <v>1</v>
      </c>
      <c r="Y77" s="48">
        <f>RIGHT(D77,LEN(D77)-4)/10000</f>
        <v>23.299800000000001</v>
      </c>
      <c r="Z77" s="48">
        <f>RIGHT(H77,LEN(H77)-4)/10000</f>
        <v>1.3899999999999999E-2</v>
      </c>
      <c r="AA77" s="48">
        <f>ABS(Z77-Y77)</f>
        <v>23.285900000000002</v>
      </c>
      <c r="AB77" s="49" t="e">
        <f>VLOOKUP(A77,Enforcements!$C$7:$J$32,8,0)</f>
        <v>#N/A</v>
      </c>
      <c r="AC77" s="49" t="e">
        <f>VLOOKUP(A77,Enforcements!$C$7:$E$32,3,0)</f>
        <v>#N/A</v>
      </c>
    </row>
    <row r="78" spans="1:29" s="2" customFormat="1" ht="16.5" customHeight="1" x14ac:dyDescent="0.25">
      <c r="A78" s="43" t="s">
        <v>325</v>
      </c>
      <c r="B78" s="43">
        <v>4044</v>
      </c>
      <c r="C78" s="43" t="s">
        <v>60</v>
      </c>
      <c r="D78" s="43" t="s">
        <v>114</v>
      </c>
      <c r="E78" s="25">
        <v>42546.46533564815</v>
      </c>
      <c r="F78" s="25">
        <v>42546.466365740744</v>
      </c>
      <c r="G78" s="31">
        <v>1</v>
      </c>
      <c r="H78" s="25" t="s">
        <v>211</v>
      </c>
      <c r="I78" s="25">
        <v>42546.496261574073</v>
      </c>
      <c r="J78" s="43">
        <v>0</v>
      </c>
      <c r="K78" s="43" t="str">
        <f>IF(ISEVEN(B78),(B78-1)&amp;"/"&amp;B78,B78&amp;"/"&amp;(B78+1))</f>
        <v>4043/4044</v>
      </c>
      <c r="L78" s="43" t="str">
        <f>VLOOKUP(A78,'Trips&amp;Operators'!$C$1:$E$10000,3,FALSE)</f>
        <v>RIVERA</v>
      </c>
      <c r="M78" s="11">
        <f>I78-F78</f>
        <v>2.9895833329646848E-2</v>
      </c>
      <c r="N78" s="12">
        <f>24*60*SUM($M78:$M78)</f>
        <v>43.049999994691461</v>
      </c>
      <c r="O78" s="12"/>
      <c r="P78" s="12"/>
      <c r="Q78" s="44"/>
      <c r="R78" s="44"/>
      <c r="S78" s="70">
        <f>SUM(U78:U78)/12</f>
        <v>1</v>
      </c>
      <c r="T78" s="2" t="str">
        <f>IF(ISEVEN(LEFT(A78,3)),"Southbound","NorthBound")</f>
        <v>NorthBound</v>
      </c>
      <c r="U78" s="2">
        <f>COUNTIFS(Variables!$M$2:$M$19, "&gt;=" &amp; Y78, Variables!$M$2:$M$19, "&lt;=" &amp; Z78)</f>
        <v>12</v>
      </c>
      <c r="V78" s="48" t="str">
        <f>"https://search-rtdc-monitor-bjffxe2xuh6vdkpspy63sjmuny.us-east-1.es.amazonaws.com/_plugin/kibana/#/discover/Steve-Slow-Train-Analysis-(2080s-and-2083s)?_g=(refreshInterval:(display:Off,section:0,value:0),time:(from:'"&amp;TEXT(E78-1/24/60,"yyyy-MM-DD hh:mm:ss")&amp;"-0600',mode:absolute,to:'"&amp;TEXT(I78+1/24/60,"yyyy-MM-DD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78&amp;"%22')),sort:!(Time,asc))"</f>
        <v>https://search-rtdc-monitor-bjffxe2xuh6vdkpspy63sjmuny.us-east-1.es.amazonaws.com/_plugin/kibana/#/discover/Steve-Slow-Train-Analysis-(2080s-and-2083s)?_g=(refreshInterval:(display:Off,section:0,value:0),time:(from:'2016-06-25 11:09:05-0600',mode:absolute,to:'2016-06-25 11:55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78" s="48" t="str">
        <f>IF(AA78&lt;23,"Y","N")</f>
        <v>N</v>
      </c>
      <c r="X78" s="48">
        <f>VALUE(LEFT(A78,3))-VALUE(LEFT(A77,3))</f>
        <v>1</v>
      </c>
      <c r="Y78" s="48">
        <f>RIGHT(D78,LEN(D78)-4)/10000</f>
        <v>4.6699999999999998E-2</v>
      </c>
      <c r="Z78" s="48">
        <f>RIGHT(H78,LEN(H78)-4)/10000</f>
        <v>23.331900000000001</v>
      </c>
      <c r="AA78" s="48">
        <f>ABS(Z78-Y78)</f>
        <v>23.2852</v>
      </c>
      <c r="AB78" s="49" t="e">
        <f>VLOOKUP(A78,Enforcements!$C$7:$J$32,8,0)</f>
        <v>#N/A</v>
      </c>
      <c r="AC78" s="49" t="e">
        <f>VLOOKUP(A78,Enforcements!$C$7:$E$32,3,0)</f>
        <v>#N/A</v>
      </c>
    </row>
    <row r="79" spans="1:29" s="2" customFormat="1" ht="16.5" customHeight="1" x14ac:dyDescent="0.25">
      <c r="A79" s="66" t="s">
        <v>326</v>
      </c>
      <c r="B79" s="43">
        <v>4043</v>
      </c>
      <c r="C79" s="43" t="s">
        <v>60</v>
      </c>
      <c r="D79" s="43" t="s">
        <v>289</v>
      </c>
      <c r="E79" s="25">
        <v>42546.502523148149</v>
      </c>
      <c r="F79" s="25">
        <v>42546.503599537034</v>
      </c>
      <c r="G79" s="25">
        <v>1</v>
      </c>
      <c r="H79" s="25" t="s">
        <v>61</v>
      </c>
      <c r="I79" s="25">
        <v>42546.536354166667</v>
      </c>
      <c r="J79" s="43">
        <v>0</v>
      </c>
      <c r="K79" s="43" t="str">
        <f>IF(ISEVEN(B79),(B79-1)&amp;"/"&amp;B79,B79&amp;"/"&amp;(B79+1))</f>
        <v>4043/4044</v>
      </c>
      <c r="L79" s="43" t="str">
        <f>VLOOKUP(A79,'Trips&amp;Operators'!$C$1:$E$10000,3,FALSE)</f>
        <v>RIVERA</v>
      </c>
      <c r="M79" s="11">
        <f>I79-F79</f>
        <v>3.2754629632108845E-2</v>
      </c>
      <c r="N79" s="12">
        <f>24*60*SUM($M79:$M79)</f>
        <v>47.166666670236737</v>
      </c>
      <c r="O79" s="12"/>
      <c r="P79" s="12"/>
      <c r="Q79" s="44"/>
      <c r="R79" s="44"/>
      <c r="S79" s="70">
        <f>SUM(U79:U79)/12</f>
        <v>0</v>
      </c>
      <c r="T79" s="2" t="str">
        <f>IF(ISEVEN(LEFT(A79,3)),"Southbound","NorthBound")</f>
        <v>Southbound</v>
      </c>
      <c r="U79" s="2">
        <f>COUNTIFS(Variables!$M$2:$M$19, "&lt;=" &amp; Y79, Variables!$M$2:$M$19, "&gt;=" &amp; Z79)</f>
        <v>0</v>
      </c>
      <c r="V79" s="48" t="str">
        <f>"https://search-rtdc-monitor-bjffxe2xuh6vdkpspy63sjmuny.us-east-1.es.amazonaws.com/_plugin/kibana/#/discover/Steve-Slow-Train-Analysis-(2080s-and-2083s)?_g=(refreshInterval:(display:Off,section:0,value:0),time:(from:'"&amp;TEXT(E79-1/24/60,"yyyy-MM-DD hh:mm:ss")&amp;"-0600',mode:absolute,to:'"&amp;TEXT(I79+1/24/60,"yyyy-MM-DD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79&amp;"%22')),sort:!(Time,asc))"</f>
        <v>https://search-rtdc-monitor-bjffxe2xuh6vdkpspy63sjmuny.us-east-1.es.amazonaws.com/_plugin/kibana/#/discover/Steve-Slow-Train-Analysis-(2080s-and-2083s)?_g=(refreshInterval:(display:Off,section:0,value:0),time:(from:'2016-06-25 12:02:38-0600',mode:absolute,to:'2016-06-25 12:53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79" s="48" t="str">
        <f>IF(AA79&lt;23,"Y","N")</f>
        <v>Y</v>
      </c>
      <c r="X79" s="48">
        <f>VALUE(LEFT(A79,3))-VALUE(LEFT(A78,3))</f>
        <v>1</v>
      </c>
      <c r="Y79" s="48">
        <v>23.299199999999999</v>
      </c>
      <c r="Z79" s="48">
        <v>23.298200000000001</v>
      </c>
      <c r="AA79" s="48">
        <f>ABS(Z79-Y79)</f>
        <v>9.9999999999766942E-4</v>
      </c>
      <c r="AB79" s="49" t="e">
        <f>VLOOKUP(A79,Enforcements!$C$7:$J$32,8,0)</f>
        <v>#N/A</v>
      </c>
      <c r="AC79" s="49" t="e">
        <f>VLOOKUP(A79,Enforcements!$C$7:$E$32,3,0)</f>
        <v>#N/A</v>
      </c>
    </row>
    <row r="80" spans="1:29" s="2" customFormat="1" x14ac:dyDescent="0.25">
      <c r="A80" s="43" t="s">
        <v>327</v>
      </c>
      <c r="B80" s="43">
        <v>4007</v>
      </c>
      <c r="C80" s="43" t="s">
        <v>60</v>
      </c>
      <c r="D80" s="43" t="s">
        <v>172</v>
      </c>
      <c r="E80" s="25">
        <v>42546.476168981484</v>
      </c>
      <c r="F80" s="25">
        <v>42546.477060185185</v>
      </c>
      <c r="G80" s="31">
        <v>1</v>
      </c>
      <c r="H80" s="25" t="s">
        <v>328</v>
      </c>
      <c r="I80" s="25">
        <v>42546.503935185188</v>
      </c>
      <c r="J80" s="43">
        <v>0</v>
      </c>
      <c r="K80" s="43" t="str">
        <f>IF(ISEVEN(B80),(B80-1)&amp;"/"&amp;B80,B80&amp;"/"&amp;(B80+1))</f>
        <v>4007/4008</v>
      </c>
      <c r="L80" s="43" t="str">
        <f>VLOOKUP(A80,'Trips&amp;Operators'!$C$1:$E$10000,3,FALSE)</f>
        <v>YANAI</v>
      </c>
      <c r="M80" s="11">
        <f>I80-F80</f>
        <v>2.6875000003201421E-2</v>
      </c>
      <c r="N80" s="12">
        <f>24*60*SUM($M80:$M80)</f>
        <v>38.700000004610047</v>
      </c>
      <c r="O80" s="12"/>
      <c r="P80" s="12"/>
      <c r="Q80" s="44"/>
      <c r="R80" s="44"/>
      <c r="S80" s="70">
        <f>SUM(U80:U80)/12</f>
        <v>1</v>
      </c>
      <c r="T80" s="2" t="str">
        <f>IF(ISEVEN(LEFT(A80,3)),"Southbound","NorthBound")</f>
        <v>NorthBound</v>
      </c>
      <c r="U80" s="2">
        <f>COUNTIFS(Variables!$M$2:$M$19, "&gt;=" &amp; Y80, Variables!$M$2:$M$19, "&lt;=" &amp; Z80)</f>
        <v>12</v>
      </c>
      <c r="V80" s="48" t="str">
        <f>"https://search-rtdc-monitor-bjffxe2xuh6vdkpspy63sjmuny.us-east-1.es.amazonaws.com/_plugin/kibana/#/discover/Steve-Slow-Train-Analysis-(2080s-and-2083s)?_g=(refreshInterval:(display:Off,section:0,value:0),time:(from:'"&amp;TEXT(E80-1/24/60,"yyyy-MM-DD hh:mm:ss")&amp;"-0600',mode:absolute,to:'"&amp;TEXT(I80+1/24/60,"yyyy-MM-DD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80&amp;"%22')),sort:!(Time,asc))"</f>
        <v>https://search-rtdc-monitor-bjffxe2xuh6vdkpspy63sjmuny.us-east-1.es.amazonaws.com/_plugin/kibana/#/discover/Steve-Slow-Train-Analysis-(2080s-and-2083s)?_g=(refreshInterval:(display:Off,section:0,value:0),time:(from:'2016-06-25 11:24:41-0600',mode:absolute,to:'2016-06-25 12:06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80" s="48" t="str">
        <f>IF(AA80&lt;23,"Y","N")</f>
        <v>N</v>
      </c>
      <c r="X80" s="48">
        <f>VALUE(LEFT(A80,3))-VALUE(LEFT(A79,3))</f>
        <v>1</v>
      </c>
      <c r="Y80" s="48">
        <f>RIGHT(D80,LEN(D80)-4)/10000</f>
        <v>4.7699999999999999E-2</v>
      </c>
      <c r="Z80" s="48">
        <f>RIGHT(H80,LEN(H80)-4)/10000</f>
        <v>23.331099999999999</v>
      </c>
      <c r="AA80" s="48">
        <f>ABS(Z80-Y80)</f>
        <v>23.2834</v>
      </c>
      <c r="AB80" s="49" t="e">
        <f>VLOOKUP(A80,Enforcements!$C$7:$J$32,8,0)</f>
        <v>#N/A</v>
      </c>
      <c r="AC80" s="49" t="e">
        <f>VLOOKUP(A80,Enforcements!$C$7:$E$32,3,0)</f>
        <v>#N/A</v>
      </c>
    </row>
    <row r="81" spans="1:29" s="2" customFormat="1" x14ac:dyDescent="0.25">
      <c r="A81" s="43" t="s">
        <v>329</v>
      </c>
      <c r="B81" s="43">
        <v>4008</v>
      </c>
      <c r="C81" s="43" t="s">
        <v>60</v>
      </c>
      <c r="D81" s="43" t="s">
        <v>330</v>
      </c>
      <c r="E81" s="25">
        <v>42546.51326388889</v>
      </c>
      <c r="F81" s="25">
        <v>42546.514293981483</v>
      </c>
      <c r="G81" s="31">
        <v>1</v>
      </c>
      <c r="H81" s="25" t="s">
        <v>286</v>
      </c>
      <c r="I81" s="25">
        <v>42546.543761574074</v>
      </c>
      <c r="J81" s="43">
        <v>0</v>
      </c>
      <c r="K81" s="43" t="str">
        <f>IF(ISEVEN(B81),(B81-1)&amp;"/"&amp;B81,B81&amp;"/"&amp;(B81+1))</f>
        <v>4007/4008</v>
      </c>
      <c r="L81" s="43" t="str">
        <f>VLOOKUP(A81,'Trips&amp;Operators'!$C$1:$E$10000,3,FALSE)</f>
        <v>YANAI</v>
      </c>
      <c r="M81" s="11">
        <f>I81-F81</f>
        <v>2.9467592590663116E-2</v>
      </c>
      <c r="N81" s="12">
        <f>24*60*SUM($M81:$M81)</f>
        <v>42.433333330554888</v>
      </c>
      <c r="O81" s="12"/>
      <c r="P81" s="12"/>
      <c r="Q81" s="44"/>
      <c r="R81" s="44"/>
      <c r="S81" s="70">
        <f>SUM(U81:U81)/12</f>
        <v>1</v>
      </c>
      <c r="T81" s="2" t="str">
        <f>IF(ISEVEN(LEFT(A81,3)),"Southbound","NorthBound")</f>
        <v>Southbound</v>
      </c>
      <c r="U81" s="2">
        <f>COUNTIFS(Variables!$M$2:$M$19, "&lt;=" &amp; Y81, Variables!$M$2:$M$19, "&gt;=" &amp; Z81)</f>
        <v>12</v>
      </c>
      <c r="V81" s="48" t="str">
        <f>"https://search-rtdc-monitor-bjffxe2xuh6vdkpspy63sjmuny.us-east-1.es.amazonaws.com/_plugin/kibana/#/discover/Steve-Slow-Train-Analysis-(2080s-and-2083s)?_g=(refreshInterval:(display:Off,section:0,value:0),time:(from:'"&amp;TEXT(E81-1/24/60,"yyyy-MM-DD hh:mm:ss")&amp;"-0600',mode:absolute,to:'"&amp;TEXT(I81+1/24/60,"yyyy-MM-DD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81&amp;"%22')),sort:!(Time,asc))"</f>
        <v>https://search-rtdc-monitor-bjffxe2xuh6vdkpspy63sjmuny.us-east-1.es.amazonaws.com/_plugin/kibana/#/discover/Steve-Slow-Train-Analysis-(2080s-and-2083s)?_g=(refreshInterval:(display:Off,section:0,value:0),time:(from:'2016-06-25 12:18:06-0600',mode:absolute,to:'2016-06-25 13:04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81" s="48" t="str">
        <f>IF(AA81&lt;23,"Y","N")</f>
        <v>N</v>
      </c>
      <c r="X81" s="48">
        <f>VALUE(LEFT(A81,3))-VALUE(LEFT(A80,3))</f>
        <v>1</v>
      </c>
      <c r="Y81" s="48">
        <f>RIGHT(D81,LEN(D81)-4)/10000</f>
        <v>23.2988</v>
      </c>
      <c r="Z81" s="48">
        <f>RIGHT(H81,LEN(H81)-4)/10000</f>
        <v>1.38E-2</v>
      </c>
      <c r="AA81" s="48">
        <f>ABS(Z81-Y81)</f>
        <v>23.285</v>
      </c>
      <c r="AB81" s="49" t="e">
        <f>VLOOKUP(A81,Enforcements!$C$7:$J$32,8,0)</f>
        <v>#N/A</v>
      </c>
      <c r="AC81" s="49" t="e">
        <f>VLOOKUP(A81,Enforcements!$C$7:$E$32,3,0)</f>
        <v>#N/A</v>
      </c>
    </row>
    <row r="82" spans="1:29" s="2" customFormat="1" x14ac:dyDescent="0.25">
      <c r="A82" s="43" t="s">
        <v>331</v>
      </c>
      <c r="B82" s="43">
        <v>4024</v>
      </c>
      <c r="C82" s="43" t="s">
        <v>60</v>
      </c>
      <c r="D82" s="43" t="s">
        <v>144</v>
      </c>
      <c r="E82" s="25">
        <v>42546.486504629633</v>
      </c>
      <c r="F82" s="25">
        <v>42546.489710648151</v>
      </c>
      <c r="G82" s="31">
        <v>4</v>
      </c>
      <c r="H82" s="25" t="s">
        <v>209</v>
      </c>
      <c r="I82" s="25">
        <v>42546.515844907408</v>
      </c>
      <c r="J82" s="43">
        <v>0</v>
      </c>
      <c r="K82" s="43" t="str">
        <f>IF(ISEVEN(B82),(B82-1)&amp;"/"&amp;B82,B82&amp;"/"&amp;(B82+1))</f>
        <v>4023/4024</v>
      </c>
      <c r="L82" s="43" t="str">
        <f>VLOOKUP(A82,'Trips&amp;Operators'!$C$1:$E$10000,3,FALSE)</f>
        <v>LOCKLEAR</v>
      </c>
      <c r="M82" s="11">
        <f>I82-F82</f>
        <v>2.6134259256650694E-2</v>
      </c>
      <c r="N82" s="12">
        <f>24*60*SUM($M82:$M82)</f>
        <v>37.633333329576999</v>
      </c>
      <c r="O82" s="12"/>
      <c r="P82" s="12"/>
      <c r="Q82" s="44"/>
      <c r="R82" s="44"/>
      <c r="S82" s="70">
        <f>SUM(U82:U82)/12</f>
        <v>1</v>
      </c>
      <c r="T82" s="2" t="str">
        <f>IF(ISEVEN(LEFT(A82,3)),"Southbound","NorthBound")</f>
        <v>NorthBound</v>
      </c>
      <c r="U82" s="2">
        <f>COUNTIFS(Variables!$M$2:$M$19, "&gt;=" &amp; Y82, Variables!$M$2:$M$19, "&lt;=" &amp; Z82)</f>
        <v>12</v>
      </c>
      <c r="V82" s="48" t="str">
        <f>"https://search-rtdc-monitor-bjffxe2xuh6vdkpspy63sjmuny.us-east-1.es.amazonaws.com/_plugin/kibana/#/discover/Steve-Slow-Train-Analysis-(2080s-and-2083s)?_g=(refreshInterval:(display:Off,section:0,value:0),time:(from:'"&amp;TEXT(E82-1/24/60,"yyyy-MM-DD hh:mm:ss")&amp;"-0600',mode:absolute,to:'"&amp;TEXT(I82+1/24/60,"yyyy-MM-DD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82&amp;"%22')),sort:!(Time,asc))"</f>
        <v>https://search-rtdc-monitor-bjffxe2xuh6vdkpspy63sjmuny.us-east-1.es.amazonaws.com/_plugin/kibana/#/discover/Steve-Slow-Train-Analysis-(2080s-and-2083s)?_g=(refreshInterval:(display:Off,section:0,value:0),time:(from:'2016-06-25 11:39:34-0600',mode:absolute,to:'2016-06-25 12:23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82" s="48" t="str">
        <f>IF(AA82&lt;23,"Y","N")</f>
        <v>N</v>
      </c>
      <c r="X82" s="48">
        <f>VALUE(LEFT(A82,3))-VALUE(LEFT(A81,3))</f>
        <v>1</v>
      </c>
      <c r="Y82" s="48">
        <f>RIGHT(D82,LEN(D82)-4)/10000</f>
        <v>4.7300000000000002E-2</v>
      </c>
      <c r="Z82" s="48">
        <f>RIGHT(H82,LEN(H82)-4)/10000</f>
        <v>23.334700000000002</v>
      </c>
      <c r="AA82" s="48">
        <f>ABS(Z82-Y82)</f>
        <v>23.287400000000002</v>
      </c>
      <c r="AB82" s="49" t="e">
        <f>VLOOKUP(A82,Enforcements!$C$7:$J$32,8,0)</f>
        <v>#N/A</v>
      </c>
      <c r="AC82" s="49" t="e">
        <f>VLOOKUP(A82,Enforcements!$C$7:$E$32,3,0)</f>
        <v>#N/A</v>
      </c>
    </row>
    <row r="83" spans="1:29" s="2" customFormat="1" x14ac:dyDescent="0.25">
      <c r="A83" s="43" t="s">
        <v>332</v>
      </c>
      <c r="B83" s="43">
        <v>4023</v>
      </c>
      <c r="C83" s="43" t="s">
        <v>60</v>
      </c>
      <c r="D83" s="43" t="s">
        <v>333</v>
      </c>
      <c r="E83" s="25">
        <v>42546.52652777778</v>
      </c>
      <c r="F83" s="25">
        <v>42546.527546296296</v>
      </c>
      <c r="G83" s="31">
        <v>1</v>
      </c>
      <c r="H83" s="25" t="s">
        <v>197</v>
      </c>
      <c r="I83" s="25">
        <v>42546.555011574077</v>
      </c>
      <c r="J83" s="43">
        <v>1</v>
      </c>
      <c r="K83" s="43" t="str">
        <f>IF(ISEVEN(B83),(B83-1)&amp;"/"&amp;B83,B83&amp;"/"&amp;(B83+1))</f>
        <v>4023/4024</v>
      </c>
      <c r="L83" s="43" t="str">
        <f>VLOOKUP(A83,'Trips&amp;Operators'!$C$1:$E$10000,3,FALSE)</f>
        <v>LOCKLEAR</v>
      </c>
      <c r="M83" s="11">
        <f>I83-F83</f>
        <v>2.7465277780720498E-2</v>
      </c>
      <c r="N83" s="12">
        <f>24*60*SUM($M83:$M83)</f>
        <v>39.550000004237518</v>
      </c>
      <c r="O83" s="12"/>
      <c r="P83" s="12"/>
      <c r="Q83" s="44"/>
      <c r="R83" s="44"/>
      <c r="S83" s="70">
        <f>SUM(U83:U83)/12</f>
        <v>1</v>
      </c>
      <c r="T83" s="2" t="str">
        <f>IF(ISEVEN(LEFT(A83,3)),"Southbound","NorthBound")</f>
        <v>Southbound</v>
      </c>
      <c r="U83" s="2">
        <f>COUNTIFS(Variables!$M$2:$M$19, "&lt;=" &amp; Y83, Variables!$M$2:$M$19, "&gt;=" &amp; Z83)</f>
        <v>12</v>
      </c>
      <c r="V83" s="48" t="str">
        <f>"https://search-rtdc-monitor-bjffxe2xuh6vdkpspy63sjmuny.us-east-1.es.amazonaws.com/_plugin/kibana/#/discover/Steve-Slow-Train-Analysis-(2080s-and-2083s)?_g=(refreshInterval:(display:Off,section:0,value:0),time:(from:'"&amp;TEXT(E83-1/24/60,"yyyy-MM-DD hh:mm:ss")&amp;"-0600',mode:absolute,to:'"&amp;TEXT(I83+1/24/60,"yyyy-MM-DD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83&amp;"%22')),sort:!(Time,asc))"</f>
        <v>https://search-rtdc-monitor-bjffxe2xuh6vdkpspy63sjmuny.us-east-1.es.amazonaws.com/_plugin/kibana/#/discover/Steve-Slow-Train-Analysis-(2080s-and-2083s)?_g=(refreshInterval:(display:Off,section:0,value:0),time:(from:'2016-06-25 12:37:12-0600',mode:absolute,to:'2016-06-25 13:20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83" s="48" t="str">
        <f>IF(AA83&lt;23,"Y","N")</f>
        <v>N</v>
      </c>
      <c r="X83" s="48">
        <f>VALUE(LEFT(A83,3))-VALUE(LEFT(A82,3))</f>
        <v>1</v>
      </c>
      <c r="Y83" s="48">
        <f>RIGHT(D83,LEN(D83)-4)/10000</f>
        <v>23.301500000000001</v>
      </c>
      <c r="Z83" s="48">
        <f>RIGHT(H83,LEN(H83)-4)/10000</f>
        <v>1.72E-2</v>
      </c>
      <c r="AA83" s="48">
        <f>ABS(Z83-Y83)</f>
        <v>23.284300000000002</v>
      </c>
      <c r="AB83" s="49">
        <f>VLOOKUP(A83,Enforcements!$C$7:$J$32,8,0)</f>
        <v>127587</v>
      </c>
      <c r="AC83" s="49" t="str">
        <f>VLOOKUP(A83,Enforcements!$C$7:$E$32,3,0)</f>
        <v>SIGNAL</v>
      </c>
    </row>
    <row r="84" spans="1:29" s="64" customFormat="1" x14ac:dyDescent="0.25">
      <c r="A84" s="43" t="s">
        <v>334</v>
      </c>
      <c r="B84" s="43">
        <v>4014</v>
      </c>
      <c r="C84" s="43" t="s">
        <v>60</v>
      </c>
      <c r="D84" s="43" t="s">
        <v>83</v>
      </c>
      <c r="E84" s="25">
        <v>42546.496469907404</v>
      </c>
      <c r="F84" s="25">
        <v>42546.497534722221</v>
      </c>
      <c r="G84" s="31">
        <v>1</v>
      </c>
      <c r="H84" s="25" t="s">
        <v>177</v>
      </c>
      <c r="I84" s="25">
        <v>42546.525787037041</v>
      </c>
      <c r="J84" s="43">
        <v>0</v>
      </c>
      <c r="K84" s="43" t="str">
        <f>IF(ISEVEN(B84),(B84-1)&amp;"/"&amp;B84,B84&amp;"/"&amp;(B84+1))</f>
        <v>4013/4014</v>
      </c>
      <c r="L84" s="43" t="str">
        <f>VLOOKUP(A84,'Trips&amp;Operators'!$C$1:$E$10000,3,FALSE)</f>
        <v>ACKERMAN</v>
      </c>
      <c r="M84" s="11">
        <f>I84-F84</f>
        <v>2.825231481983792E-2</v>
      </c>
      <c r="N84" s="12">
        <f>24*60*SUM($M84:$M84)</f>
        <v>40.683333340566605</v>
      </c>
      <c r="O84" s="12"/>
      <c r="P84" s="12"/>
      <c r="Q84" s="44"/>
      <c r="R84" s="44"/>
      <c r="S84" s="70">
        <f>SUM(U84:U84)/12</f>
        <v>1</v>
      </c>
      <c r="T84" s="2" t="str">
        <f>IF(ISEVEN(LEFT(A84,3)),"Southbound","NorthBound")</f>
        <v>NorthBound</v>
      </c>
      <c r="U84" s="2">
        <f>COUNTIFS(Variables!$M$2:$M$19, "&gt;=" &amp; Y84, Variables!$M$2:$M$19, "&lt;=" &amp; Z84)</f>
        <v>12</v>
      </c>
      <c r="V84" s="48" t="str">
        <f>"https://search-rtdc-monitor-bjffxe2xuh6vdkpspy63sjmuny.us-east-1.es.amazonaws.com/_plugin/kibana/#/discover/Steve-Slow-Train-Analysis-(2080s-and-2083s)?_g=(refreshInterval:(display:Off,section:0,value:0),time:(from:'"&amp;TEXT(E84-1/24/60,"yyyy-MM-DD hh:mm:ss")&amp;"-0600',mode:absolute,to:'"&amp;TEXT(I84+1/24/60,"yyyy-MM-DD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84&amp;"%22')),sort:!(Time,asc))"</f>
        <v>https://search-rtdc-monitor-bjffxe2xuh6vdkpspy63sjmuny.us-east-1.es.amazonaws.com/_plugin/kibana/#/discover/Steve-Slow-Train-Analysis-(2080s-and-2083s)?_g=(refreshInterval:(display:Off,section:0,value:0),time:(from:'2016-06-25 11:53:55-0600',mode:absolute,to:'2016-06-25 12:38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84" s="48" t="str">
        <f>IF(AA84&lt;23,"Y","N")</f>
        <v>N</v>
      </c>
      <c r="X84" s="48">
        <f>VALUE(LEFT(A84,3))-VALUE(LEFT(A83,3))</f>
        <v>1</v>
      </c>
      <c r="Y84" s="48">
        <f>RIGHT(D84,LEN(D84)-4)/10000</f>
        <v>4.58E-2</v>
      </c>
      <c r="Z84" s="48">
        <f>RIGHT(H84,LEN(H84)-4)/10000</f>
        <v>23.3293</v>
      </c>
      <c r="AA84" s="48">
        <f>ABS(Z84-Y84)</f>
        <v>23.2835</v>
      </c>
      <c r="AB84" s="49" t="e">
        <f>VLOOKUP(A84,Enforcements!$C$7:$J$32,8,0)</f>
        <v>#N/A</v>
      </c>
      <c r="AC84" s="49" t="e">
        <f>VLOOKUP(A84,Enforcements!$C$7:$E$32,3,0)</f>
        <v>#N/A</v>
      </c>
    </row>
    <row r="85" spans="1:29" s="2" customFormat="1" x14ac:dyDescent="0.25">
      <c r="A85" s="43" t="s">
        <v>335</v>
      </c>
      <c r="B85" s="43">
        <v>4013</v>
      </c>
      <c r="C85" s="43" t="s">
        <v>60</v>
      </c>
      <c r="D85" s="43" t="s">
        <v>80</v>
      </c>
      <c r="E85" s="25">
        <v>42546.53460648148</v>
      </c>
      <c r="F85" s="25">
        <v>42546.535740740743</v>
      </c>
      <c r="G85" s="31">
        <v>1</v>
      </c>
      <c r="H85" s="25" t="s">
        <v>336</v>
      </c>
      <c r="I85" s="25">
        <v>42546.560185185182</v>
      </c>
      <c r="J85" s="43">
        <v>2</v>
      </c>
      <c r="K85" s="43" t="str">
        <f>IF(ISEVEN(B85),(B85-1)&amp;"/"&amp;B85,B85&amp;"/"&amp;(B85+1))</f>
        <v>4013/4014</v>
      </c>
      <c r="L85" s="43" t="str">
        <f>VLOOKUP(A85,'Trips&amp;Operators'!$C$1:$E$10000,3,FALSE)</f>
        <v>ACKERMAN</v>
      </c>
      <c r="M85" s="11">
        <f>I85-F85</f>
        <v>2.4444444439723156E-2</v>
      </c>
      <c r="N85" s="12">
        <f>24*60*SUM($M85:$M85)</f>
        <v>35.199999993201345</v>
      </c>
      <c r="O85" s="12"/>
      <c r="P85" s="12"/>
      <c r="Q85" s="44"/>
      <c r="R85" s="44"/>
      <c r="S85" s="70">
        <f>SUM(U85:U85)/12</f>
        <v>0.75</v>
      </c>
      <c r="T85" s="2" t="str">
        <f>IF(ISEVEN(LEFT(A85,3)),"Southbound","NorthBound")</f>
        <v>Southbound</v>
      </c>
      <c r="U85" s="2">
        <f>COUNTIFS(Variables!$M$2:$M$19, "&lt;=" &amp; Y85, Variables!$M$2:$M$19, "&gt;=" &amp; Z85)</f>
        <v>9</v>
      </c>
      <c r="V85" s="48" t="str">
        <f>"https://search-rtdc-monitor-bjffxe2xuh6vdkpspy63sjmuny.us-east-1.es.amazonaws.com/_plugin/kibana/#/discover/Steve-Slow-Train-Analysis-(2080s-and-2083s)?_g=(refreshInterval:(display:Off,section:0,value:0),time:(from:'"&amp;TEXT(E85-1/24/60,"yyyy-MM-DD hh:mm:ss")&amp;"-0600',mode:absolute,to:'"&amp;TEXT(I85+1/24/60,"yyyy-MM-DD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85&amp;"%22')),sort:!(Time,asc))"</f>
        <v>https://search-rtdc-monitor-bjffxe2xuh6vdkpspy63sjmuny.us-east-1.es.amazonaws.com/_plugin/kibana/#/discover/Steve-Slow-Train-Analysis-(2080s-and-2083s)?_g=(refreshInterval:(display:Off,section:0,value:0),time:(from:'2016-06-25 12:48:50-0600',mode:absolute,to:'2016-06-25 13:27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85" s="48" t="str">
        <f>IF(AA85&lt;23,"Y","N")</f>
        <v>Y</v>
      </c>
      <c r="X85" s="48">
        <f>VALUE(LEFT(A85,3))-VALUE(LEFT(A84,3))</f>
        <v>1</v>
      </c>
      <c r="Y85" s="48">
        <f>RIGHT(D85,LEN(D85)-4)/10000</f>
        <v>23.297799999999999</v>
      </c>
      <c r="Z85" s="48">
        <f>RIGHT(H85,LEN(H85)-4)/10000</f>
        <v>3.6732999999999998</v>
      </c>
      <c r="AA85" s="48">
        <f>ABS(Z85-Y85)</f>
        <v>19.624499999999998</v>
      </c>
      <c r="AB85" s="49">
        <f>VLOOKUP(A85,Enforcements!$C$7:$J$32,8,0)</f>
        <v>36657</v>
      </c>
      <c r="AC85" s="49" t="str">
        <f>VLOOKUP(A85,Enforcements!$C$7:$E$32,3,0)</f>
        <v>SIGNAL</v>
      </c>
    </row>
    <row r="86" spans="1:29" s="2" customFormat="1" ht="14.25" customHeight="1" x14ac:dyDescent="0.25">
      <c r="A86" s="43" t="s">
        <v>337</v>
      </c>
      <c r="B86" s="43">
        <v>4018</v>
      </c>
      <c r="C86" s="43" t="s">
        <v>60</v>
      </c>
      <c r="D86" s="43" t="s">
        <v>338</v>
      </c>
      <c r="E86" s="25">
        <v>42546.518379629626</v>
      </c>
      <c r="F86" s="25">
        <v>42546.519328703704</v>
      </c>
      <c r="G86" s="31">
        <v>1</v>
      </c>
      <c r="H86" s="25" t="s">
        <v>159</v>
      </c>
      <c r="I86" s="25">
        <v>42546.543645833335</v>
      </c>
      <c r="J86" s="43">
        <v>0</v>
      </c>
      <c r="K86" s="43" t="str">
        <f>IF(ISEVEN(B86),(B86-1)&amp;"/"&amp;B86,B86&amp;"/"&amp;(B86+1))</f>
        <v>4017/4018</v>
      </c>
      <c r="L86" s="43" t="str">
        <f>VLOOKUP(A86,'Trips&amp;Operators'!$C$1:$E$10000,3,FALSE)</f>
        <v>HELVIE</v>
      </c>
      <c r="M86" s="11">
        <f>I86-F86</f>
        <v>2.4317129631526768E-2</v>
      </c>
      <c r="N86" s="12">
        <f>24*60*SUM($M86:$M86)</f>
        <v>35.016666669398546</v>
      </c>
      <c r="O86" s="12"/>
      <c r="P86" s="12"/>
      <c r="Q86" s="44"/>
      <c r="R86" s="44"/>
      <c r="S86" s="70">
        <f>SUM(U86:U86)/12</f>
        <v>0.75</v>
      </c>
      <c r="T86" s="2" t="str">
        <f>IF(ISEVEN(LEFT(A86,3)),"Southbound","NorthBound")</f>
        <v>NorthBound</v>
      </c>
      <c r="U86" s="2">
        <f>COUNTIFS(Variables!$M$2:$M$19, "&gt;=" &amp; Y86, Variables!$M$2:$M$19, "&lt;=" &amp; Z86)</f>
        <v>9</v>
      </c>
      <c r="V86" s="48" t="str">
        <f>"https://search-rtdc-monitor-bjffxe2xuh6vdkpspy63sjmuny.us-east-1.es.amazonaws.com/_plugin/kibana/#/discover/Steve-Slow-Train-Analysis-(2080s-and-2083s)?_g=(refreshInterval:(display:Off,section:0,value:0),time:(from:'"&amp;TEXT(E86-1/24/60,"yyyy-MM-DD hh:mm:ss")&amp;"-0600',mode:absolute,to:'"&amp;TEXT(I86+1/24/60,"yyyy-MM-DD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86&amp;"%22')),sort:!(Time,asc))"</f>
        <v>https://search-rtdc-monitor-bjffxe2xuh6vdkpspy63sjmuny.us-east-1.es.amazonaws.com/_plugin/kibana/#/discover/Steve-Slow-Train-Analysis-(2080s-and-2083s)?_g=(refreshInterval:(display:Off,section:0,value:0),time:(from:'2016-06-25 12:25:28-0600',mode:absolute,to:'2016-06-25 13:03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86" s="48" t="str">
        <f>IF(AA86&lt;23,"Y","N")</f>
        <v>Y</v>
      </c>
      <c r="X86" s="48">
        <f>VALUE(LEFT(A86,3))-VALUE(LEFT(A85,3))</f>
        <v>1</v>
      </c>
      <c r="Y86" s="48">
        <f>RIGHT(D86,LEN(D86)-4)/10000</f>
        <v>3.7214</v>
      </c>
      <c r="Z86" s="48">
        <f>RIGHT(H86,LEN(H86)-4)/10000</f>
        <v>23.330200000000001</v>
      </c>
      <c r="AA86" s="48">
        <f>ABS(Z86-Y86)</f>
        <v>19.608800000000002</v>
      </c>
      <c r="AB86" s="49" t="e">
        <f>VLOOKUP(A86,Enforcements!$C$7:$J$32,8,0)</f>
        <v>#N/A</v>
      </c>
      <c r="AC86" s="49" t="e">
        <f>VLOOKUP(A86,Enforcements!$C$7:$E$32,3,0)</f>
        <v>#N/A</v>
      </c>
    </row>
    <row r="87" spans="1:29" s="2" customFormat="1" x14ac:dyDescent="0.25">
      <c r="A87" s="43" t="s">
        <v>339</v>
      </c>
      <c r="B87" s="43">
        <v>4017</v>
      </c>
      <c r="C87" s="43" t="s">
        <v>60</v>
      </c>
      <c r="D87" s="43" t="s">
        <v>175</v>
      </c>
      <c r="E87" s="25">
        <v>42546.546770833331</v>
      </c>
      <c r="F87" s="25">
        <v>42546.547534722224</v>
      </c>
      <c r="G87" s="31">
        <v>1</v>
      </c>
      <c r="H87" s="25" t="s">
        <v>340</v>
      </c>
      <c r="I87" s="25">
        <v>42546.576388888891</v>
      </c>
      <c r="J87" s="43">
        <v>0</v>
      </c>
      <c r="K87" s="43" t="str">
        <f>IF(ISEVEN(B87),(B87-1)&amp;"/"&amp;B87,B87&amp;"/"&amp;(B87+1))</f>
        <v>4017/4018</v>
      </c>
      <c r="L87" s="43" t="str">
        <f>VLOOKUP(A87,'Trips&amp;Operators'!$C$1:$E$10000,3,FALSE)</f>
        <v>HELVIE</v>
      </c>
      <c r="M87" s="11">
        <f>I87-F87</f>
        <v>2.8854166666860692E-2</v>
      </c>
      <c r="N87" s="12">
        <f>24*60*SUM($M87:$M87)</f>
        <v>41.550000000279397</v>
      </c>
      <c r="O87" s="12"/>
      <c r="P87" s="12"/>
      <c r="Q87" s="44"/>
      <c r="R87" s="44"/>
      <c r="S87" s="70">
        <f>SUM(U87:U87)/12</f>
        <v>1</v>
      </c>
      <c r="T87" s="2" t="str">
        <f>IF(ISEVEN(LEFT(A87,3)),"Southbound","NorthBound")</f>
        <v>Southbound</v>
      </c>
      <c r="U87" s="2">
        <f>COUNTIFS(Variables!$M$2:$M$19, "&lt;=" &amp; Y87, Variables!$M$2:$M$19, "&gt;=" &amp; Z87)</f>
        <v>12</v>
      </c>
      <c r="V87" s="48" t="str">
        <f>"https://search-rtdc-monitor-bjffxe2xuh6vdkpspy63sjmuny.us-east-1.es.amazonaws.com/_plugin/kibana/#/discover/Steve-Slow-Train-Analysis-(2080s-and-2083s)?_g=(refreshInterval:(display:Off,section:0,value:0),time:(from:'"&amp;TEXT(E87-1/24/60,"yyyy-MM-DD hh:mm:ss")&amp;"-0600',mode:absolute,to:'"&amp;TEXT(I87+1/24/60,"yyyy-MM-DD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87&amp;"%22')),sort:!(Time,asc))"</f>
        <v>https://search-rtdc-monitor-bjffxe2xuh6vdkpspy63sjmuny.us-east-1.es.amazonaws.com/_plugin/kibana/#/discover/Steve-Slow-Train-Analysis-(2080s-and-2083s)?_g=(refreshInterval:(display:Off,section:0,value:0),time:(from:'2016-06-25 13:06:21-0600',mode:absolute,to:'2016-06-25 13:51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87" s="48" t="str">
        <f>IF(AA87&lt;23,"Y","N")</f>
        <v>N</v>
      </c>
      <c r="X87" s="48">
        <f>VALUE(LEFT(A87,3))-VALUE(LEFT(A86,3))</f>
        <v>1</v>
      </c>
      <c r="Y87" s="48">
        <f>RIGHT(D87,LEN(D87)-4)/10000</f>
        <v>23.298500000000001</v>
      </c>
      <c r="Z87" s="48">
        <f>RIGHT(H87,LEN(H87)-4)/10000</f>
        <v>1.54E-2</v>
      </c>
      <c r="AA87" s="48">
        <f>ABS(Z87-Y87)</f>
        <v>23.283100000000001</v>
      </c>
      <c r="AB87" s="49" t="e">
        <f>VLOOKUP(A87,Enforcements!$C$7:$J$32,8,0)</f>
        <v>#N/A</v>
      </c>
      <c r="AC87" s="49" t="e">
        <f>VLOOKUP(A87,Enforcements!$C$7:$E$32,3,0)</f>
        <v>#N/A</v>
      </c>
    </row>
    <row r="88" spans="1:29" s="2" customFormat="1" x14ac:dyDescent="0.25">
      <c r="A88" s="43" t="s">
        <v>341</v>
      </c>
      <c r="B88" s="43">
        <v>4042</v>
      </c>
      <c r="C88" s="43" t="s">
        <v>60</v>
      </c>
      <c r="D88" s="43" t="s">
        <v>161</v>
      </c>
      <c r="E88" s="25">
        <v>42546.517511574071</v>
      </c>
      <c r="F88" s="25">
        <v>42546.518437500003</v>
      </c>
      <c r="G88" s="31">
        <v>1</v>
      </c>
      <c r="H88" s="25" t="s">
        <v>186</v>
      </c>
      <c r="I88" s="25">
        <v>42546.547974537039</v>
      </c>
      <c r="J88" s="43">
        <v>1</v>
      </c>
      <c r="K88" s="43" t="str">
        <f>IF(ISEVEN(B88),(B88-1)&amp;"/"&amp;B88,B88&amp;"/"&amp;(B88+1))</f>
        <v>4041/4042</v>
      </c>
      <c r="L88" s="43" t="str">
        <f>VLOOKUP(A88,'Trips&amp;Operators'!$C$1:$E$10000,3,FALSE)</f>
        <v>MAYBERRY</v>
      </c>
      <c r="M88" s="11">
        <f>I88-F88</f>
        <v>2.9537037036789116E-2</v>
      </c>
      <c r="N88" s="12">
        <f>24*60*SUM($M88:$M88)</f>
        <v>42.533333332976326</v>
      </c>
      <c r="O88" s="12"/>
      <c r="P88" s="12"/>
      <c r="Q88" s="44"/>
      <c r="R88" s="44"/>
      <c r="S88" s="70">
        <f>SUM(U88:U88)/12</f>
        <v>1</v>
      </c>
      <c r="T88" s="2" t="str">
        <f>IF(ISEVEN(LEFT(A88,3)),"Southbound","NorthBound")</f>
        <v>NorthBound</v>
      </c>
      <c r="U88" s="2">
        <f>COUNTIFS(Variables!$M$2:$M$19, "&gt;=" &amp; Y88, Variables!$M$2:$M$19, "&lt;=" &amp; Z88)</f>
        <v>12</v>
      </c>
      <c r="V88" s="48" t="str">
        <f>"https://search-rtdc-monitor-bjffxe2xuh6vdkpspy63sjmuny.us-east-1.es.amazonaws.com/_plugin/kibana/#/discover/Steve-Slow-Train-Analysis-(2080s-and-2083s)?_g=(refreshInterval:(display:Off,section:0,value:0),time:(from:'"&amp;TEXT(E88-1/24/60,"yyyy-MM-DD hh:mm:ss")&amp;"-0600',mode:absolute,to:'"&amp;TEXT(I88+1/24/60,"yyyy-MM-DD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88&amp;"%22')),sort:!(Time,asc))"</f>
        <v>https://search-rtdc-monitor-bjffxe2xuh6vdkpspy63sjmuny.us-east-1.es.amazonaws.com/_plugin/kibana/#/discover/Steve-Slow-Train-Analysis-(2080s-and-2083s)?_g=(refreshInterval:(display:Off,section:0,value:0),time:(from:'2016-06-25 12:24:13-0600',mode:absolute,to:'2016-06-25 13:10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88" s="48" t="str">
        <f>IF(AA88&lt;23,"Y","N")</f>
        <v>N</v>
      </c>
      <c r="X88" s="48">
        <f>VALUE(LEFT(A88,3))-VALUE(LEFT(A87,3))</f>
        <v>1</v>
      </c>
      <c r="Y88" s="48">
        <f>RIGHT(D88,LEN(D88)-4)/10000</f>
        <v>4.7500000000000001E-2</v>
      </c>
      <c r="Z88" s="48">
        <f>RIGHT(H88,LEN(H88)-4)/10000</f>
        <v>23.329899999999999</v>
      </c>
      <c r="AA88" s="48">
        <f>ABS(Z88-Y88)</f>
        <v>23.282399999999999</v>
      </c>
      <c r="AB88" s="49">
        <f>VLOOKUP(A88,Enforcements!$C$7:$J$32,8,0)</f>
        <v>17867</v>
      </c>
      <c r="AC88" s="49" t="str">
        <f>VLOOKUP(A88,Enforcements!$C$7:$E$32,3,0)</f>
        <v>PERMANENT SPEED RESTRICTION</v>
      </c>
    </row>
    <row r="89" spans="1:29" s="2" customFormat="1" x14ac:dyDescent="0.25">
      <c r="A89" s="43" t="s">
        <v>342</v>
      </c>
      <c r="B89" s="43">
        <v>4041</v>
      </c>
      <c r="C89" s="43" t="s">
        <v>60</v>
      </c>
      <c r="D89" s="43" t="s">
        <v>311</v>
      </c>
      <c r="E89" s="25">
        <v>42546.550925925927</v>
      </c>
      <c r="F89" s="25">
        <v>42546.551724537036</v>
      </c>
      <c r="G89" s="31">
        <v>1</v>
      </c>
      <c r="H89" s="25" t="s">
        <v>67</v>
      </c>
      <c r="I89" s="25">
        <v>42546.58734953704</v>
      </c>
      <c r="J89" s="43">
        <v>0</v>
      </c>
      <c r="K89" s="43" t="str">
        <f>IF(ISEVEN(B89),(B89-1)&amp;"/"&amp;B89,B89&amp;"/"&amp;(B89+1))</f>
        <v>4041/4042</v>
      </c>
      <c r="L89" s="43" t="str">
        <f>VLOOKUP(A89,'Trips&amp;Operators'!$C$1:$E$10000,3,FALSE)</f>
        <v>MAYBERRY</v>
      </c>
      <c r="M89" s="11">
        <f>I89-F89</f>
        <v>3.5625000004074536E-2</v>
      </c>
      <c r="N89" s="12">
        <f>24*60*SUM($M89:$M89)</f>
        <v>51.300000005867332</v>
      </c>
      <c r="O89" s="12"/>
      <c r="P89" s="12"/>
      <c r="Q89" s="44"/>
      <c r="R89" s="44"/>
      <c r="S89" s="70">
        <f>SUM(U89:U89)/12</f>
        <v>1</v>
      </c>
      <c r="T89" s="2" t="str">
        <f>IF(ISEVEN(LEFT(A89,3)),"Southbound","NorthBound")</f>
        <v>Southbound</v>
      </c>
      <c r="U89" s="2">
        <f>COUNTIFS(Variables!$M$2:$M$19, "&lt;=" &amp; Y89, Variables!$M$2:$M$19, "&gt;=" &amp; Z89)</f>
        <v>12</v>
      </c>
      <c r="V89" s="48" t="str">
        <f>"https://search-rtdc-monitor-bjffxe2xuh6vdkpspy63sjmuny.us-east-1.es.amazonaws.com/_plugin/kibana/#/discover/Steve-Slow-Train-Analysis-(2080s-and-2083s)?_g=(refreshInterval:(display:Off,section:0,value:0),time:(from:'"&amp;TEXT(E89-1/24/60,"yyyy-MM-DD hh:mm:ss")&amp;"-0600',mode:absolute,to:'"&amp;TEXT(I89+1/24/60,"yyyy-MM-DD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89&amp;"%22')),sort:!(Time,asc))"</f>
        <v>https://search-rtdc-monitor-bjffxe2xuh6vdkpspy63sjmuny.us-east-1.es.amazonaws.com/_plugin/kibana/#/discover/Steve-Slow-Train-Analysis-(2080s-and-2083s)?_g=(refreshInterval:(display:Off,section:0,value:0),time:(from:'2016-06-25 13:12:20-0600',mode:absolute,to:'2016-06-25 14:06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89" s="48" t="str">
        <f>IF(AA89&lt;23,"Y","N")</f>
        <v>N</v>
      </c>
      <c r="X89" s="48">
        <f>VALUE(LEFT(A89,3))-VALUE(LEFT(A88,3))</f>
        <v>1</v>
      </c>
      <c r="Y89" s="48">
        <f>RIGHT(D89,LEN(D89)-4)/10000</f>
        <v>23.2959</v>
      </c>
      <c r="Z89" s="48">
        <f>RIGHT(H89,LEN(H89)-4)/10000</f>
        <v>1.47E-2</v>
      </c>
      <c r="AA89" s="48">
        <f>ABS(Z89-Y89)</f>
        <v>23.281199999999998</v>
      </c>
      <c r="AB89" s="49" t="e">
        <f>VLOOKUP(A89,Enforcements!$C$7:$J$32,8,0)</f>
        <v>#N/A</v>
      </c>
      <c r="AC89" s="49" t="e">
        <f>VLOOKUP(A89,Enforcements!$C$7:$E$32,3,0)</f>
        <v>#N/A</v>
      </c>
    </row>
    <row r="90" spans="1:29" s="2" customFormat="1" x14ac:dyDescent="0.25">
      <c r="A90" s="43" t="s">
        <v>343</v>
      </c>
      <c r="B90" s="43">
        <v>4025</v>
      </c>
      <c r="C90" s="43" t="s">
        <v>60</v>
      </c>
      <c r="D90" s="43" t="s">
        <v>206</v>
      </c>
      <c r="E90" s="25">
        <v>42546.527060185188</v>
      </c>
      <c r="F90" s="25">
        <v>42546.529247685183</v>
      </c>
      <c r="G90" s="31">
        <v>3</v>
      </c>
      <c r="H90" s="25" t="s">
        <v>248</v>
      </c>
      <c r="I90" s="25">
        <v>42546.55746527778</v>
      </c>
      <c r="J90" s="43">
        <v>0</v>
      </c>
      <c r="K90" s="43" t="str">
        <f>IF(ISEVEN(B90),(B90-1)&amp;"/"&amp;B90,B90&amp;"/"&amp;(B90+1))</f>
        <v>4025/4026</v>
      </c>
      <c r="L90" s="43" t="str">
        <f>VLOOKUP(A90,'Trips&amp;Operators'!$C$1:$E$10000,3,FALSE)</f>
        <v>WEBSTER</v>
      </c>
      <c r="M90" s="11">
        <f>I90-F90</f>
        <v>2.8217592596774921E-2</v>
      </c>
      <c r="N90" s="12">
        <f>24*60*SUM($M90:$M90)</f>
        <v>40.633333339355886</v>
      </c>
      <c r="O90" s="12"/>
      <c r="P90" s="12"/>
      <c r="Q90" s="44"/>
      <c r="R90" s="44"/>
      <c r="S90" s="70">
        <f>SUM(U90:U90)/12</f>
        <v>1</v>
      </c>
      <c r="T90" s="2" t="str">
        <f>IF(ISEVEN(LEFT(A90,3)),"Southbound","NorthBound")</f>
        <v>NorthBound</v>
      </c>
      <c r="U90" s="2">
        <f>COUNTIFS(Variables!$M$2:$M$19, "&gt;=" &amp; Y90, Variables!$M$2:$M$19, "&lt;=" &amp; Z90)</f>
        <v>12</v>
      </c>
      <c r="V90" s="48" t="str">
        <f>"https://search-rtdc-monitor-bjffxe2xuh6vdkpspy63sjmuny.us-east-1.es.amazonaws.com/_plugin/kibana/#/discover/Steve-Slow-Train-Analysis-(2080s-and-2083s)?_g=(refreshInterval:(display:Off,section:0,value:0),time:(from:'"&amp;TEXT(E90-1/24/60,"yyyy-MM-DD hh:mm:ss")&amp;"-0600',mode:absolute,to:'"&amp;TEXT(I90+1/24/60,"yyyy-MM-DD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90&amp;"%22')),sort:!(Time,asc))"</f>
        <v>https://search-rtdc-monitor-bjffxe2xuh6vdkpspy63sjmuny.us-east-1.es.amazonaws.com/_plugin/kibana/#/discover/Steve-Slow-Train-Analysis-(2080s-and-2083s)?_g=(refreshInterval:(display:Off,section:0,value:0),time:(from:'2016-06-25 12:37:58-0600',mode:absolute,to:'2016-06-25 13:23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90" s="48" t="str">
        <f>IF(AA90&lt;23,"Y","N")</f>
        <v>N</v>
      </c>
      <c r="X90" s="48">
        <f>VALUE(LEFT(A90,3))-VALUE(LEFT(A89,3))</f>
        <v>1</v>
      </c>
      <c r="Y90" s="48">
        <f>RIGHT(D90,LEN(D90)-4)/10000</f>
        <v>4.4400000000000002E-2</v>
      </c>
      <c r="Z90" s="48">
        <f>RIGHT(H90,LEN(H90)-4)/10000</f>
        <v>23.3308</v>
      </c>
      <c r="AA90" s="48">
        <f>ABS(Z90-Y90)</f>
        <v>23.2864</v>
      </c>
      <c r="AB90" s="49" t="e">
        <f>VLOOKUP(A90,Enforcements!$C$7:$J$32,8,0)</f>
        <v>#N/A</v>
      </c>
      <c r="AC90" s="49" t="e">
        <f>VLOOKUP(A90,Enforcements!$C$7:$E$32,3,0)</f>
        <v>#N/A</v>
      </c>
    </row>
    <row r="91" spans="1:29" s="2" customFormat="1" x14ac:dyDescent="0.25">
      <c r="A91" s="43" t="s">
        <v>344</v>
      </c>
      <c r="B91" s="43">
        <v>4026</v>
      </c>
      <c r="C91" s="43" t="s">
        <v>60</v>
      </c>
      <c r="D91" s="43" t="s">
        <v>196</v>
      </c>
      <c r="E91" s="25">
        <v>42546.56349537037</v>
      </c>
      <c r="F91" s="25">
        <v>42546.564247685186</v>
      </c>
      <c r="G91" s="31">
        <v>1</v>
      </c>
      <c r="H91" s="25" t="s">
        <v>119</v>
      </c>
      <c r="I91" s="25">
        <v>42546.596782407411</v>
      </c>
      <c r="J91" s="43">
        <v>0</v>
      </c>
      <c r="K91" s="43" t="str">
        <f>IF(ISEVEN(B91),(B91-1)&amp;"/"&amp;B91,B91&amp;"/"&amp;(B91+1))</f>
        <v>4025/4026</v>
      </c>
      <c r="L91" s="43" t="str">
        <f>VLOOKUP(A91,'Trips&amp;Operators'!$C$1:$E$10000,3,FALSE)</f>
        <v>WEBSTER</v>
      </c>
      <c r="M91" s="11">
        <f>I91-F91</f>
        <v>3.2534722224227153E-2</v>
      </c>
      <c r="N91" s="12">
        <f>24*60*SUM($M91:$M91)</f>
        <v>46.8500000028871</v>
      </c>
      <c r="O91" s="12"/>
      <c r="P91" s="12"/>
      <c r="Q91" s="44"/>
      <c r="R91" s="44"/>
      <c r="S91" s="70">
        <f>SUM(U91:U91)/12</f>
        <v>1</v>
      </c>
      <c r="T91" s="2" t="str">
        <f>IF(ISEVEN(LEFT(A91,3)),"Southbound","NorthBound")</f>
        <v>Southbound</v>
      </c>
      <c r="U91" s="2">
        <f>COUNTIFS(Variables!$M$2:$M$19, "&lt;=" &amp; Y91, Variables!$M$2:$M$19, "&gt;=" &amp; Z91)</f>
        <v>12</v>
      </c>
      <c r="V91" s="48" t="str">
        <f>"https://search-rtdc-monitor-bjffxe2xuh6vdkpspy63sjmuny.us-east-1.es.amazonaws.com/_plugin/kibana/#/discover/Steve-Slow-Train-Analysis-(2080s-and-2083s)?_g=(refreshInterval:(display:Off,section:0,value:0),time:(from:'"&amp;TEXT(E91-1/24/60,"yyyy-MM-DD hh:mm:ss")&amp;"-0600',mode:absolute,to:'"&amp;TEXT(I91+1/24/60,"yyyy-MM-DD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91&amp;"%22')),sort:!(Time,asc))"</f>
        <v>https://search-rtdc-monitor-bjffxe2xuh6vdkpspy63sjmuny.us-east-1.es.amazonaws.com/_plugin/kibana/#/discover/Steve-Slow-Train-Analysis-(2080s-and-2083s)?_g=(refreshInterval:(display:Off,section:0,value:0),time:(from:'2016-06-25 13:30:26-0600',mode:absolute,to:'2016-06-25 14:20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91" s="48" t="str">
        <f>IF(AA91&lt;23,"Y","N")</f>
        <v>N</v>
      </c>
      <c r="X91" s="48">
        <f>VALUE(LEFT(A91,3))-VALUE(LEFT(A90,3))</f>
        <v>1</v>
      </c>
      <c r="Y91" s="48">
        <f>RIGHT(D91,LEN(D91)-4)/10000</f>
        <v>23.3002</v>
      </c>
      <c r="Z91" s="48">
        <f>RIGHT(H91,LEN(H91)-4)/10000</f>
        <v>1.4999999999999999E-2</v>
      </c>
      <c r="AA91" s="48">
        <f>ABS(Z91-Y91)</f>
        <v>23.2852</v>
      </c>
      <c r="AB91" s="49" t="e">
        <f>VLOOKUP(A91,Enforcements!$C$7:$J$32,8,0)</f>
        <v>#N/A</v>
      </c>
      <c r="AC91" s="49" t="e">
        <f>VLOOKUP(A91,Enforcements!$C$7:$E$32,3,0)</f>
        <v>#N/A</v>
      </c>
    </row>
    <row r="92" spans="1:29" s="2" customFormat="1" x14ac:dyDescent="0.25">
      <c r="A92" s="43" t="s">
        <v>345</v>
      </c>
      <c r="B92" s="43">
        <v>4044</v>
      </c>
      <c r="C92" s="43" t="s">
        <v>60</v>
      </c>
      <c r="D92" s="43" t="s">
        <v>83</v>
      </c>
      <c r="E92" s="25">
        <v>42546.5391087963</v>
      </c>
      <c r="F92" s="25">
        <v>42546.540486111109</v>
      </c>
      <c r="G92" s="31">
        <v>1</v>
      </c>
      <c r="H92" s="25" t="s">
        <v>177</v>
      </c>
      <c r="I92" s="25">
        <v>42546.56689814815</v>
      </c>
      <c r="J92" s="43">
        <v>0</v>
      </c>
      <c r="K92" s="43" t="str">
        <f>IF(ISEVEN(B92),(B92-1)&amp;"/"&amp;B92,B92&amp;"/"&amp;(B92+1))</f>
        <v>4043/4044</v>
      </c>
      <c r="L92" s="43" t="str">
        <f>VLOOKUP(A92,'Trips&amp;Operators'!$C$1:$E$10000,3,FALSE)</f>
        <v>RIVERA</v>
      </c>
      <c r="M92" s="11">
        <f>I92-F92</f>
        <v>2.641203704115469E-2</v>
      </c>
      <c r="N92" s="12">
        <f>24*60*SUM($M92:$M92)</f>
        <v>38.033333339262754</v>
      </c>
      <c r="O92" s="12"/>
      <c r="P92" s="12"/>
      <c r="Q92" s="44"/>
      <c r="R92" s="44"/>
      <c r="S92" s="70">
        <f>SUM(U92:U92)/12</f>
        <v>1</v>
      </c>
      <c r="T92" s="2" t="str">
        <f>IF(ISEVEN(LEFT(A92,3)),"Southbound","NorthBound")</f>
        <v>NorthBound</v>
      </c>
      <c r="U92" s="2">
        <f>COUNTIFS(Variables!$M$2:$M$19, "&gt;=" &amp; Y92, Variables!$M$2:$M$19, "&lt;=" &amp; Z92)</f>
        <v>12</v>
      </c>
      <c r="V92" s="48" t="str">
        <f>"https://search-rtdc-monitor-bjffxe2xuh6vdkpspy63sjmuny.us-east-1.es.amazonaws.com/_plugin/kibana/#/discover/Steve-Slow-Train-Analysis-(2080s-and-2083s)?_g=(refreshInterval:(display:Off,section:0,value:0),time:(from:'"&amp;TEXT(E92-1/24/60,"yyyy-MM-DD hh:mm:ss")&amp;"-0600',mode:absolute,to:'"&amp;TEXT(I92+1/24/60,"yyyy-MM-DD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92&amp;"%22')),sort:!(Time,asc))"</f>
        <v>https://search-rtdc-monitor-bjffxe2xuh6vdkpspy63sjmuny.us-east-1.es.amazonaws.com/_plugin/kibana/#/discover/Steve-Slow-Train-Analysis-(2080s-and-2083s)?_g=(refreshInterval:(display:Off,section:0,value:0),time:(from:'2016-06-25 12:55:19-0600',mode:absolute,to:'2016-06-25 13:37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92" s="48" t="str">
        <f>IF(AA92&lt;23,"Y","N")</f>
        <v>N</v>
      </c>
      <c r="X92" s="48">
        <f>VALUE(LEFT(A92,3))-VALUE(LEFT(A91,3))</f>
        <v>1</v>
      </c>
      <c r="Y92" s="48">
        <f>RIGHT(D92,LEN(D92)-4)/10000</f>
        <v>4.58E-2</v>
      </c>
      <c r="Z92" s="48">
        <f>RIGHT(H92,LEN(H92)-4)/10000</f>
        <v>23.3293</v>
      </c>
      <c r="AA92" s="48">
        <f>ABS(Z92-Y92)</f>
        <v>23.2835</v>
      </c>
      <c r="AB92" s="49" t="e">
        <f>VLOOKUP(A92,Enforcements!$C$7:$J$32,8,0)</f>
        <v>#N/A</v>
      </c>
      <c r="AC92" s="49" t="e">
        <f>VLOOKUP(A92,Enforcements!$C$7:$E$32,3,0)</f>
        <v>#N/A</v>
      </c>
    </row>
    <row r="93" spans="1:29" s="2" customFormat="1" x14ac:dyDescent="0.25">
      <c r="A93" s="43" t="s">
        <v>346</v>
      </c>
      <c r="B93" s="43">
        <v>4043</v>
      </c>
      <c r="C93" s="43" t="s">
        <v>60</v>
      </c>
      <c r="D93" s="43" t="s">
        <v>80</v>
      </c>
      <c r="E93" s="25">
        <v>42546.574502314812</v>
      </c>
      <c r="F93" s="25">
        <v>42546.576423611114</v>
      </c>
      <c r="G93" s="31">
        <v>2</v>
      </c>
      <c r="H93" s="25" t="s">
        <v>109</v>
      </c>
      <c r="I93" s="25">
        <v>42546.608310185184</v>
      </c>
      <c r="J93" s="43">
        <v>1</v>
      </c>
      <c r="K93" s="43" t="str">
        <f>IF(ISEVEN(B93),(B93-1)&amp;"/"&amp;B93,B93&amp;"/"&amp;(B93+1))</f>
        <v>4043/4044</v>
      </c>
      <c r="L93" s="43" t="str">
        <f>VLOOKUP(A93,'Trips&amp;Operators'!$C$1:$E$10000,3,FALSE)</f>
        <v>RIVERA</v>
      </c>
      <c r="M93" s="11">
        <f>I93-F93</f>
        <v>3.1886574070085771E-2</v>
      </c>
      <c r="N93" s="12">
        <f>24*60*SUM($M93:$M93)</f>
        <v>45.916666660923511</v>
      </c>
      <c r="O93" s="12"/>
      <c r="P93" s="12"/>
      <c r="Q93" s="44"/>
      <c r="R93" s="44"/>
      <c r="S93" s="70">
        <f>SUM(U93:U93)/12</f>
        <v>1</v>
      </c>
      <c r="T93" s="2" t="str">
        <f>IF(ISEVEN(LEFT(A93,3)),"Southbound","NorthBound")</f>
        <v>Southbound</v>
      </c>
      <c r="U93" s="2">
        <f>COUNTIFS(Variables!$M$2:$M$19, "&lt;=" &amp; Y93, Variables!$M$2:$M$19, "&gt;=" &amp; Z93)</f>
        <v>12</v>
      </c>
      <c r="V93" s="48" t="str">
        <f>"https://search-rtdc-monitor-bjffxe2xuh6vdkpspy63sjmuny.us-east-1.es.amazonaws.com/_plugin/kibana/#/discover/Steve-Slow-Train-Analysis-(2080s-and-2083s)?_g=(refreshInterval:(display:Off,section:0,value:0),time:(from:'"&amp;TEXT(E93-1/24/60,"yyyy-MM-DD hh:mm:ss")&amp;"-0600',mode:absolute,to:'"&amp;TEXT(I93+1/24/60,"yyyy-MM-DD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93&amp;"%22')),sort:!(Time,asc))"</f>
        <v>https://search-rtdc-monitor-bjffxe2xuh6vdkpspy63sjmuny.us-east-1.es.amazonaws.com/_plugin/kibana/#/discover/Steve-Slow-Train-Analysis-(2080s-and-2083s)?_g=(refreshInterval:(display:Off,section:0,value:0),time:(from:'2016-06-25 13:46:17-0600',mode:absolute,to:'2016-06-25 14:36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93" s="48" t="str">
        <f>IF(AA93&lt;23,"Y","N")</f>
        <v>N</v>
      </c>
      <c r="X93" s="48">
        <f>VALUE(LEFT(A93,3))-VALUE(LEFT(A92,3))</f>
        <v>1</v>
      </c>
      <c r="Y93" s="48">
        <f>RIGHT(D93,LEN(D93)-4)/10000</f>
        <v>23.297799999999999</v>
      </c>
      <c r="Z93" s="48">
        <f>RIGHT(H93,LEN(H93)-4)/10000</f>
        <v>1.6299999999999999E-2</v>
      </c>
      <c r="AA93" s="48">
        <f>ABS(Z93-Y93)</f>
        <v>23.281499999999998</v>
      </c>
      <c r="AB93" s="49" t="e">
        <f>VLOOKUP(A93,Enforcements!$C$7:$J$32,8,0)</f>
        <v>#N/A</v>
      </c>
      <c r="AC93" s="49" t="e">
        <f>VLOOKUP(A93,Enforcements!$C$7:$E$32,3,0)</f>
        <v>#N/A</v>
      </c>
    </row>
    <row r="94" spans="1:29" s="2" customFormat="1" x14ac:dyDescent="0.25">
      <c r="A94" s="43" t="s">
        <v>347</v>
      </c>
      <c r="B94" s="43">
        <v>4007</v>
      </c>
      <c r="C94" s="43" t="s">
        <v>60</v>
      </c>
      <c r="D94" s="43" t="s">
        <v>348</v>
      </c>
      <c r="E94" s="25">
        <v>42546.54896990741</v>
      </c>
      <c r="F94" s="25">
        <v>42546.549664351849</v>
      </c>
      <c r="G94" s="31">
        <v>0</v>
      </c>
      <c r="H94" s="25" t="s">
        <v>349</v>
      </c>
      <c r="I94" s="25">
        <v>42546.576898148145</v>
      </c>
      <c r="J94" s="43">
        <v>0</v>
      </c>
      <c r="K94" s="43" t="str">
        <f>IF(ISEVEN(B94),(B94-1)&amp;"/"&amp;B94,B94&amp;"/"&amp;(B94+1))</f>
        <v>4007/4008</v>
      </c>
      <c r="L94" s="43" t="str">
        <f>VLOOKUP(A94,'Trips&amp;Operators'!$C$1:$E$10000,3,FALSE)</f>
        <v>YANAI</v>
      </c>
      <c r="M94" s="11">
        <f>I94-F94</f>
        <v>2.7233796296059154E-2</v>
      </c>
      <c r="N94" s="12">
        <f>24*60*SUM($M94:$M94)</f>
        <v>39.216666666325182</v>
      </c>
      <c r="O94" s="12"/>
      <c r="P94" s="12"/>
      <c r="Q94" s="44"/>
      <c r="R94" s="44"/>
      <c r="S94" s="70">
        <f>SUM(U94:U94)/12</f>
        <v>1</v>
      </c>
      <c r="T94" s="2" t="str">
        <f>IF(ISEVEN(LEFT(A94,3)),"Southbound","NorthBound")</f>
        <v>NorthBound</v>
      </c>
      <c r="U94" s="2">
        <f>COUNTIFS(Variables!$M$2:$M$19, "&gt;=" &amp; Y94, Variables!$M$2:$M$19, "&lt;=" &amp; Z94)</f>
        <v>12</v>
      </c>
      <c r="V94" s="48" t="str">
        <f>"https://search-rtdc-monitor-bjffxe2xuh6vdkpspy63sjmuny.us-east-1.es.amazonaws.com/_plugin/kibana/#/discover/Steve-Slow-Train-Analysis-(2080s-and-2083s)?_g=(refreshInterval:(display:Off,section:0,value:0),time:(from:'"&amp;TEXT(E94-1/24/60,"yyyy-MM-DD hh:mm:ss")&amp;"-0600',mode:absolute,to:'"&amp;TEXT(I94+1/24/60,"yyyy-MM-DD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94&amp;"%22')),sort:!(Time,asc))"</f>
        <v>https://search-rtdc-monitor-bjffxe2xuh6vdkpspy63sjmuny.us-east-1.es.amazonaws.com/_plugin/kibana/#/discover/Steve-Slow-Train-Analysis-(2080s-and-2083s)?_g=(refreshInterval:(display:Off,section:0,value:0),time:(from:'2016-06-25 13:09:31-0600',mode:absolute,to:'2016-06-25 13:51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94" s="48" t="str">
        <f>IF(AA94&lt;23,"Y","N")</f>
        <v>N</v>
      </c>
      <c r="X94" s="48">
        <f>VALUE(LEFT(A94,3))-VALUE(LEFT(A93,3))</f>
        <v>1</v>
      </c>
      <c r="Y94" s="48">
        <f>RIGHT(D94,LEN(D94)-4)/10000</f>
        <v>4.3299999999999998E-2</v>
      </c>
      <c r="Z94" s="48">
        <f>RIGHT(H94,LEN(H94)-4)/10000</f>
        <v>23.3323</v>
      </c>
      <c r="AA94" s="48">
        <f>ABS(Z94-Y94)</f>
        <v>23.289000000000001</v>
      </c>
      <c r="AB94" s="49" t="e">
        <f>VLOOKUP(A94,Enforcements!$C$7:$J$32,8,0)</f>
        <v>#N/A</v>
      </c>
      <c r="AC94" s="49" t="e">
        <f>VLOOKUP(A94,Enforcements!$C$7:$E$32,3,0)</f>
        <v>#N/A</v>
      </c>
    </row>
    <row r="95" spans="1:29" s="2" customFormat="1" x14ac:dyDescent="0.25">
      <c r="A95" s="43" t="s">
        <v>350</v>
      </c>
      <c r="B95" s="43">
        <v>4008</v>
      </c>
      <c r="C95" s="43" t="s">
        <v>60</v>
      </c>
      <c r="D95" s="43" t="s">
        <v>207</v>
      </c>
      <c r="E95" s="25">
        <v>42546.587731481479</v>
      </c>
      <c r="F95" s="25">
        <v>42546.588692129626</v>
      </c>
      <c r="G95" s="31">
        <v>1</v>
      </c>
      <c r="H95" s="25" t="s">
        <v>180</v>
      </c>
      <c r="I95" s="25">
        <v>42546.617025462961</v>
      </c>
      <c r="J95" s="43">
        <v>1</v>
      </c>
      <c r="K95" s="43" t="str">
        <f>IF(ISEVEN(B95),(B95-1)&amp;"/"&amp;B95,B95&amp;"/"&amp;(B95+1))</f>
        <v>4007/4008</v>
      </c>
      <c r="L95" s="43" t="str">
        <f>VLOOKUP(A95,'Trips&amp;Operators'!$C$1:$E$10000,3,FALSE)</f>
        <v>YANAI</v>
      </c>
      <c r="M95" s="11">
        <f>I95-F95</f>
        <v>2.8333333335467614E-2</v>
      </c>
      <c r="N95" s="12">
        <f>24*60*SUM($M95:$M95)</f>
        <v>40.800000003073364</v>
      </c>
      <c r="O95" s="12"/>
      <c r="P95" s="12"/>
      <c r="Q95" s="44"/>
      <c r="R95" s="44"/>
      <c r="S95" s="70">
        <f>SUM(U95:U95)/12</f>
        <v>1</v>
      </c>
      <c r="T95" s="2" t="str">
        <f>IF(ISEVEN(LEFT(A95,3)),"Southbound","NorthBound")</f>
        <v>Southbound</v>
      </c>
      <c r="U95" s="2">
        <f>COUNTIFS(Variables!$M$2:$M$19, "&lt;=" &amp; Y95, Variables!$M$2:$M$19, "&gt;=" &amp; Z95)</f>
        <v>12</v>
      </c>
      <c r="V95" s="48" t="str">
        <f>"https://search-rtdc-monitor-bjffxe2xuh6vdkpspy63sjmuny.us-east-1.es.amazonaws.com/_plugin/kibana/#/discover/Steve-Slow-Train-Analysis-(2080s-and-2083s)?_g=(refreshInterval:(display:Off,section:0,value:0),time:(from:'"&amp;TEXT(E95-1/24/60,"yyyy-MM-DD hh:mm:ss")&amp;"-0600',mode:absolute,to:'"&amp;TEXT(I95+1/24/60,"yyyy-MM-DD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95&amp;"%22')),sort:!(Time,asc))"</f>
        <v>https://search-rtdc-monitor-bjffxe2xuh6vdkpspy63sjmuny.us-east-1.es.amazonaws.com/_plugin/kibana/#/discover/Steve-Slow-Train-Analysis-(2080s-and-2083s)?_g=(refreshInterval:(display:Off,section:0,value:0),time:(from:'2016-06-25 14:05:20-0600',mode:absolute,to:'2016-06-25 14:49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95" s="48" t="str">
        <f>IF(AA95&lt;23,"Y","N")</f>
        <v>N</v>
      </c>
      <c r="X95" s="48">
        <f>VALUE(LEFT(A95,3))-VALUE(LEFT(A94,3))</f>
        <v>1</v>
      </c>
      <c r="Y95" s="48">
        <f>RIGHT(D95,LEN(D95)-4)/10000</f>
        <v>23.3</v>
      </c>
      <c r="Z95" s="48">
        <f>RIGHT(H95,LEN(H95)-4)/10000</f>
        <v>1.6899999999999998E-2</v>
      </c>
      <c r="AA95" s="48">
        <f>ABS(Z95-Y95)</f>
        <v>23.283100000000001</v>
      </c>
      <c r="AB95" s="49" t="e">
        <f>VLOOKUP(A95,Enforcements!$C$7:$J$32,8,0)</f>
        <v>#N/A</v>
      </c>
      <c r="AC95" s="49" t="e">
        <f>VLOOKUP(A95,Enforcements!$C$7:$E$32,3,0)</f>
        <v>#N/A</v>
      </c>
    </row>
    <row r="96" spans="1:29" s="2" customFormat="1" x14ac:dyDescent="0.25">
      <c r="A96" s="43" t="s">
        <v>351</v>
      </c>
      <c r="B96" s="43">
        <v>4024</v>
      </c>
      <c r="C96" s="43" t="s">
        <v>60</v>
      </c>
      <c r="D96" s="43" t="s">
        <v>79</v>
      </c>
      <c r="E96" s="25">
        <v>42546.560474537036</v>
      </c>
      <c r="F96" s="25">
        <v>42546.562604166669</v>
      </c>
      <c r="G96" s="31">
        <v>3</v>
      </c>
      <c r="H96" s="25" t="s">
        <v>213</v>
      </c>
      <c r="I96" s="25">
        <v>42546.587719907409</v>
      </c>
      <c r="J96" s="43">
        <v>0</v>
      </c>
      <c r="K96" s="43" t="str">
        <f>IF(ISEVEN(B96),(B96-1)&amp;"/"&amp;B96,B96&amp;"/"&amp;(B96+1))</f>
        <v>4023/4024</v>
      </c>
      <c r="L96" s="43" t="str">
        <f>VLOOKUP(A96,'Trips&amp;Operators'!$C$1:$E$10000,3,FALSE)</f>
        <v>LOCKLEAR</v>
      </c>
      <c r="M96" s="11">
        <f>I96-F96</f>
        <v>2.5115740740147885E-2</v>
      </c>
      <c r="N96" s="12">
        <f>24*60*SUM($M96:$M96)</f>
        <v>36.166666665812954</v>
      </c>
      <c r="O96" s="12"/>
      <c r="P96" s="12"/>
      <c r="Q96" s="44"/>
      <c r="R96" s="44"/>
      <c r="S96" s="70">
        <f>SUM(U96:U96)/12</f>
        <v>1</v>
      </c>
      <c r="T96" s="2" t="str">
        <f>IF(ISEVEN(LEFT(A96,3)),"Southbound","NorthBound")</f>
        <v>NorthBound</v>
      </c>
      <c r="U96" s="2">
        <f>COUNTIFS(Variables!$M$2:$M$19, "&gt;=" &amp; Y96, Variables!$M$2:$M$19, "&lt;=" &amp; Z96)</f>
        <v>12</v>
      </c>
      <c r="V96" s="48" t="str">
        <f>"https://search-rtdc-monitor-bjffxe2xuh6vdkpspy63sjmuny.us-east-1.es.amazonaws.com/_plugin/kibana/#/discover/Steve-Slow-Train-Analysis-(2080s-and-2083s)?_g=(refreshInterval:(display:Off,section:0,value:0),time:(from:'"&amp;TEXT(E96-1/24/60,"yyyy-MM-DD hh:mm:ss")&amp;"-0600',mode:absolute,to:'"&amp;TEXT(I96+1/24/60,"yyyy-MM-DD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96&amp;"%22')),sort:!(Time,asc))"</f>
        <v>https://search-rtdc-monitor-bjffxe2xuh6vdkpspy63sjmuny.us-east-1.es.amazonaws.com/_plugin/kibana/#/discover/Steve-Slow-Train-Analysis-(2080s-and-2083s)?_g=(refreshInterval:(display:Off,section:0,value:0),time:(from:'2016-06-25 13:26:05-0600',mode:absolute,to:'2016-06-25 14:07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96" s="48" t="str">
        <f>IF(AA96&lt;23,"Y","N")</f>
        <v>N</v>
      </c>
      <c r="X96" s="48">
        <f>VALUE(LEFT(A96,3))-VALUE(LEFT(A95,3))</f>
        <v>1</v>
      </c>
      <c r="Y96" s="48">
        <f>RIGHT(D96,LEN(D96)-4)/10000</f>
        <v>4.53E-2</v>
      </c>
      <c r="Z96" s="48">
        <f>RIGHT(H96,LEN(H96)-4)/10000</f>
        <v>23.332799999999999</v>
      </c>
      <c r="AA96" s="48">
        <f>ABS(Z96-Y96)</f>
        <v>23.287499999999998</v>
      </c>
      <c r="AB96" s="49" t="e">
        <f>VLOOKUP(A96,Enforcements!$C$7:$J$32,8,0)</f>
        <v>#N/A</v>
      </c>
      <c r="AC96" s="49" t="e">
        <f>VLOOKUP(A96,Enforcements!$C$7:$E$32,3,0)</f>
        <v>#N/A</v>
      </c>
    </row>
    <row r="97" spans="1:29" s="2" customFormat="1" x14ac:dyDescent="0.25">
      <c r="A97" s="43" t="s">
        <v>352</v>
      </c>
      <c r="B97" s="43">
        <v>4023</v>
      </c>
      <c r="C97" s="43" t="s">
        <v>60</v>
      </c>
      <c r="D97" s="43" t="s">
        <v>353</v>
      </c>
      <c r="E97" s="25">
        <v>42546.599803240744</v>
      </c>
      <c r="F97" s="25">
        <v>42546.600532407407</v>
      </c>
      <c r="G97" s="31">
        <v>1</v>
      </c>
      <c r="H97" s="25" t="s">
        <v>75</v>
      </c>
      <c r="I97" s="25">
        <v>42546.628599537034</v>
      </c>
      <c r="J97" s="43">
        <v>0</v>
      </c>
      <c r="K97" s="43" t="str">
        <f>IF(ISEVEN(B97),(B97-1)&amp;"/"&amp;B97,B97&amp;"/"&amp;(B97+1))</f>
        <v>4023/4024</v>
      </c>
      <c r="L97" s="43" t="str">
        <f>VLOOKUP(A97,'Trips&amp;Operators'!$C$1:$E$10000,3,FALSE)</f>
        <v>LOCKLEAR</v>
      </c>
      <c r="M97" s="11">
        <f>I97-F97</f>
        <v>2.806712962774327E-2</v>
      </c>
      <c r="N97" s="12">
        <f>24*60*SUM($M97:$M97)</f>
        <v>40.416666663950309</v>
      </c>
      <c r="O97" s="12"/>
      <c r="P97" s="12"/>
      <c r="Q97" s="44"/>
      <c r="R97" s="44"/>
      <c r="S97" s="70">
        <f>SUM(U97:U97)/12</f>
        <v>1</v>
      </c>
      <c r="T97" s="2" t="str">
        <f>IF(ISEVEN(LEFT(A97,3)),"Southbound","NorthBound")</f>
        <v>Southbound</v>
      </c>
      <c r="U97" s="2">
        <f>COUNTIFS(Variables!$M$2:$M$19, "&lt;=" &amp; Y97, Variables!$M$2:$M$19, "&gt;=" &amp; Z97)</f>
        <v>12</v>
      </c>
      <c r="V97" s="48" t="str">
        <f>"https://search-rtdc-monitor-bjffxe2xuh6vdkpspy63sjmuny.us-east-1.es.amazonaws.com/_plugin/kibana/#/discover/Steve-Slow-Train-Analysis-(2080s-and-2083s)?_g=(refreshInterval:(display:Off,section:0,value:0),time:(from:'"&amp;TEXT(E97-1/24/60,"yyyy-MM-DD hh:mm:ss")&amp;"-0600',mode:absolute,to:'"&amp;TEXT(I97+1/24/60,"yyyy-MM-DD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97&amp;"%22')),sort:!(Time,asc))"</f>
        <v>https://search-rtdc-monitor-bjffxe2xuh6vdkpspy63sjmuny.us-east-1.es.amazonaws.com/_plugin/kibana/#/discover/Steve-Slow-Train-Analysis-(2080s-and-2083s)?_g=(refreshInterval:(display:Off,section:0,value:0),time:(from:'2016-06-25 14:22:43-0600',mode:absolute,to:'2016-06-25 15:06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97" s="48" t="str">
        <f>IF(AA97&lt;23,"Y","N")</f>
        <v>N</v>
      </c>
      <c r="X97" s="48">
        <f>VALUE(LEFT(A97,3))-VALUE(LEFT('[1]Train Runs'!A15,3))</f>
        <v>0</v>
      </c>
      <c r="Y97" s="48">
        <f>RIGHT(D97,LEN(D97)-4)/10000</f>
        <v>23.3019</v>
      </c>
      <c r="Z97" s="48">
        <f>RIGHT(H97,LEN(H97)-4)/10000</f>
        <v>1.5599999999999999E-2</v>
      </c>
      <c r="AA97" s="48">
        <f>ABS(Z97-Y97)</f>
        <v>23.286300000000001</v>
      </c>
      <c r="AB97" s="49" t="e">
        <f>VLOOKUP(A97,Enforcements!$C$7:$J$32,8,0)</f>
        <v>#N/A</v>
      </c>
      <c r="AC97" s="49" t="e">
        <f>VLOOKUP(A97,Enforcements!$C$7:$E$32,3,0)</f>
        <v>#N/A</v>
      </c>
    </row>
    <row r="98" spans="1:29" s="2" customFormat="1" x14ac:dyDescent="0.25">
      <c r="A98" s="43" t="s">
        <v>364</v>
      </c>
      <c r="B98" s="43">
        <v>4014</v>
      </c>
      <c r="C98" s="43" t="s">
        <v>60</v>
      </c>
      <c r="D98" s="43" t="s">
        <v>144</v>
      </c>
      <c r="E98" s="25">
        <v>42546.570763888885</v>
      </c>
      <c r="F98" s="25">
        <v>42546.571712962963</v>
      </c>
      <c r="G98" s="31">
        <v>1</v>
      </c>
      <c r="H98" s="25" t="s">
        <v>365</v>
      </c>
      <c r="I98" s="25">
        <v>42546.59814814815</v>
      </c>
      <c r="J98" s="43">
        <v>0</v>
      </c>
      <c r="K98" s="43" t="str">
        <f>IF(ISEVEN(B98),(B98-1)&amp;"/"&amp;B98,B98&amp;"/"&amp;(B98+1))</f>
        <v>4013/4014</v>
      </c>
      <c r="L98" s="43" t="str">
        <f>VLOOKUP(A98,'Trips&amp;Operators'!$C$1:$E$10000,3,FALSE)</f>
        <v>ACKERMAN</v>
      </c>
      <c r="M98" s="11">
        <f>I98-F98</f>
        <v>2.6435185187438037E-2</v>
      </c>
      <c r="N98" s="12">
        <f>24*60*SUM($M98:$M98)</f>
        <v>38.066666669910774</v>
      </c>
      <c r="O98" s="12"/>
      <c r="P98" s="12"/>
      <c r="Q98" s="44"/>
      <c r="R98" s="44"/>
      <c r="S98" s="70">
        <f>SUM(U98:U98)/12</f>
        <v>1</v>
      </c>
      <c r="T98" s="2" t="str">
        <f>IF(ISEVEN(LEFT(A98,3)),"Southbound","NorthBound")</f>
        <v>NorthBound</v>
      </c>
      <c r="U98" s="2">
        <f>COUNTIFS(Variables!$M$2:$M$19, "&gt;=" &amp; Y98, Variables!$M$2:$M$19, "&lt;=" &amp; Z98)</f>
        <v>12</v>
      </c>
      <c r="V98" s="48" t="str">
        <f>"https://search-rtdc-monitor-bjffxe2xuh6vdkpspy63sjmuny.us-east-1.es.amazonaws.com/_plugin/kibana/#/discover/Steve-Slow-Train-Analysis-(2080s-and-2083s)?_g=(refreshInterval:(display:Off,section:0,value:0),time:(from:'"&amp;TEXT(E98-1/24/60,"yyyy-MM-DD hh:mm:ss")&amp;"-0600',mode:absolute,to:'"&amp;TEXT(I98+1/24/60,"yyyy-MM-DD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98&amp;"%22')),sort:!(Time,asc))"</f>
        <v>https://search-rtdc-monitor-bjffxe2xuh6vdkpspy63sjmuny.us-east-1.es.amazonaws.com/_plugin/kibana/#/discover/Steve-Slow-Train-Analysis-(2080s-and-2083s)?_g=(refreshInterval:(display:Off,section:0,value:0),time:(from:'2016-06-25 13:40:54-0600',mode:absolute,to:'2016-06-25 14:22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98" s="48" t="str">
        <f>IF(AA98&lt;23,"Y","N")</f>
        <v>N</v>
      </c>
      <c r="X98" s="48">
        <f>VALUE(LEFT(A98,3))-VALUE(LEFT('[1]Train Runs'!A25,3))</f>
        <v>0</v>
      </c>
      <c r="Y98" s="48">
        <f>RIGHT(D98,LEN(D98)-4)/10000</f>
        <v>4.7300000000000002E-2</v>
      </c>
      <c r="Z98" s="48">
        <f>RIGHT(H98,LEN(H98)-4)/10000</f>
        <v>23.330400000000001</v>
      </c>
      <c r="AA98" s="48">
        <f>ABS(Z98-Y98)</f>
        <v>23.283100000000001</v>
      </c>
      <c r="AB98" s="49" t="e">
        <f>VLOOKUP(A98,Enforcements!$C$7:$J$32,8,0)</f>
        <v>#N/A</v>
      </c>
      <c r="AC98" s="49" t="e">
        <f>VLOOKUP(A98,Enforcements!$C$7:$E$32,3,0)</f>
        <v>#N/A</v>
      </c>
    </row>
    <row r="99" spans="1:29" s="2" customFormat="1" x14ac:dyDescent="0.25">
      <c r="A99" s="43" t="s">
        <v>376</v>
      </c>
      <c r="B99" s="43">
        <v>4013</v>
      </c>
      <c r="C99" s="43" t="s">
        <v>60</v>
      </c>
      <c r="D99" s="43" t="s">
        <v>187</v>
      </c>
      <c r="E99" s="25">
        <v>42546.605000000003</v>
      </c>
      <c r="F99" s="25">
        <v>42546.605995370373</v>
      </c>
      <c r="G99" s="31">
        <v>1</v>
      </c>
      <c r="H99" s="25" t="s">
        <v>68</v>
      </c>
      <c r="I99" s="25">
        <v>42546.63994212963</v>
      </c>
      <c r="J99" s="43">
        <v>0</v>
      </c>
      <c r="K99" s="43" t="str">
        <f>IF(ISEVEN(B99),(B99-1)&amp;"/"&amp;B99,B99&amp;"/"&amp;(B99+1))</f>
        <v>4013/4014</v>
      </c>
      <c r="L99" s="43" t="str">
        <f>VLOOKUP(A99,'Trips&amp;Operators'!$C$1:$E$10000,3,FALSE)</f>
        <v>ACKERMAN</v>
      </c>
      <c r="M99" s="11">
        <f>I99-F99</f>
        <v>3.3946759256650694E-2</v>
      </c>
      <c r="N99" s="12">
        <f>24*60*SUM($M99:$M99)</f>
        <v>48.883333329576999</v>
      </c>
      <c r="O99" s="12"/>
      <c r="P99" s="12"/>
      <c r="Q99" s="44"/>
      <c r="R99" s="44"/>
      <c r="S99" s="70">
        <f>SUM(U99:U99)/12</f>
        <v>1</v>
      </c>
      <c r="T99" s="2" t="str">
        <f>IF(ISEVEN(LEFT(A99,3)),"Southbound","NorthBound")</f>
        <v>Southbound</v>
      </c>
      <c r="U99" s="2">
        <f>COUNTIFS(Variables!$M$2:$M$19, "&lt;=" &amp; Y99, Variables!$M$2:$M$19, "&gt;=" &amp; Z99)</f>
        <v>12</v>
      </c>
      <c r="V99" s="48" t="str">
        <f>"https://search-rtdc-monitor-bjffxe2xuh6vdkpspy63sjmuny.us-east-1.es.amazonaws.com/_plugin/kibana/#/discover/Steve-Slow-Train-Analysis-(2080s-and-2083s)?_g=(refreshInterval:(display:Off,section:0,value:0),time:(from:'"&amp;TEXT(E99-1/24/60,"yyyy-MM-DD hh:mm:ss")&amp;"-0600',mode:absolute,to:'"&amp;TEXT(I99+1/24/60,"yyyy-MM-DD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99&amp;"%22')),sort:!(Time,asc))"</f>
        <v>https://search-rtdc-monitor-bjffxe2xuh6vdkpspy63sjmuny.us-east-1.es.amazonaws.com/_plugin/kibana/#/discover/Steve-Slow-Train-Analysis-(2080s-and-2083s)?_g=(refreshInterval:(display:Off,section:0,value:0),time:(from:'2016-06-25 14:30:12-0600',mode:absolute,to:'2016-06-25 15:22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99" s="48" t="str">
        <f>IF(AA99&lt;23,"Y","N")</f>
        <v>N</v>
      </c>
      <c r="X99" s="48">
        <f>VALUE(LEFT(A99,3))-VALUE(LEFT('[1]Train Runs'!A35,3))</f>
        <v>0</v>
      </c>
      <c r="Y99" s="48">
        <f>RIGHT(D99,LEN(D99)-4)/10000</f>
        <v>23.2987</v>
      </c>
      <c r="Z99" s="48">
        <f>RIGHT(H99,LEN(H99)-4)/10000</f>
        <v>1.6E-2</v>
      </c>
      <c r="AA99" s="48">
        <f>ABS(Z99-Y99)</f>
        <v>23.282700000000002</v>
      </c>
      <c r="AB99" s="49" t="e">
        <f>VLOOKUP(A99,Enforcements!$C$7:$J$32,8,0)</f>
        <v>#N/A</v>
      </c>
      <c r="AC99" s="49" t="e">
        <f>VLOOKUP(A99,Enforcements!$C$7:$E$32,3,0)</f>
        <v>#N/A</v>
      </c>
    </row>
    <row r="100" spans="1:29" s="2" customFormat="1" x14ac:dyDescent="0.25">
      <c r="A100" s="43" t="s">
        <v>387</v>
      </c>
      <c r="B100" s="43">
        <v>4018</v>
      </c>
      <c r="C100" s="43" t="s">
        <v>60</v>
      </c>
      <c r="D100" s="43" t="s">
        <v>69</v>
      </c>
      <c r="E100" s="25">
        <v>42546.578414351854</v>
      </c>
      <c r="F100" s="25">
        <v>42546.579664351855</v>
      </c>
      <c r="G100" s="31">
        <v>1</v>
      </c>
      <c r="H100" s="25" t="s">
        <v>186</v>
      </c>
      <c r="I100" s="25">
        <v>42546.610543981478</v>
      </c>
      <c r="J100" s="43">
        <v>1</v>
      </c>
      <c r="K100" s="43" t="str">
        <f>IF(ISEVEN(B100),(B100-1)&amp;"/"&amp;B100,B100&amp;"/"&amp;(B100+1))</f>
        <v>4017/4018</v>
      </c>
      <c r="L100" s="43" t="str">
        <f>VLOOKUP(A100,'Trips&amp;Operators'!$C$1:$E$10000,3,FALSE)</f>
        <v>STEWART</v>
      </c>
      <c r="M100" s="11">
        <f>I100-F100</f>
        <v>3.0879629623086657E-2</v>
      </c>
      <c r="N100" s="12">
        <f>24*60*SUM($M100:$M100)</f>
        <v>44.466666657244787</v>
      </c>
      <c r="O100" s="12"/>
      <c r="P100" s="12"/>
      <c r="Q100" s="44"/>
      <c r="R100" s="44"/>
      <c r="S100" s="70">
        <f>SUM(U100:U100)/12</f>
        <v>1</v>
      </c>
      <c r="T100" s="2" t="str">
        <f>IF(ISEVEN(LEFT(A100,3)),"Southbound","NorthBound")</f>
        <v>NorthBound</v>
      </c>
      <c r="U100" s="2">
        <f>COUNTIFS(Variables!$M$2:$M$19, "&gt;=" &amp; Y100, Variables!$M$2:$M$19, "&lt;=" &amp; Z100)</f>
        <v>12</v>
      </c>
      <c r="V100" s="48" t="str">
        <f>"https://search-rtdc-monitor-bjffxe2xuh6vdkpspy63sjmuny.us-east-1.es.amazonaws.com/_plugin/kibana/#/discover/Steve-Slow-Train-Analysis-(2080s-and-2083s)?_g=(refreshInterval:(display:Off,section:0,value:0),time:(from:'"&amp;TEXT(E100-1/24/60,"yyyy-MM-DD hh:mm:ss")&amp;"-0600',mode:absolute,to:'"&amp;TEXT(I100+1/24/60,"yyyy-MM-DD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100&amp;"%22')),sort:!(Time,asc))"</f>
        <v>https://search-rtdc-monitor-bjffxe2xuh6vdkpspy63sjmuny.us-east-1.es.amazonaws.com/_plugin/kibana/#/discover/Steve-Slow-Train-Analysis-(2080s-and-2083s)?_g=(refreshInterval:(display:Off,section:0,value:0),time:(from:'2016-06-25 13:51:55-0600',mode:absolute,to:'2016-06-25 14:40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00" s="48" t="str">
        <f>IF(AA100&lt;23,"Y","N")</f>
        <v>N</v>
      </c>
      <c r="X100" s="48">
        <f>VALUE(LEFT(A100,3))-VALUE(LEFT('[1]Train Runs'!A45,3))</f>
        <v>0</v>
      </c>
      <c r="Y100" s="48">
        <f>RIGHT(D100,LEN(D100)-4)/10000</f>
        <v>4.5999999999999999E-2</v>
      </c>
      <c r="Z100" s="48">
        <f>RIGHT(H100,LEN(H100)-4)/10000</f>
        <v>23.329899999999999</v>
      </c>
      <c r="AA100" s="48">
        <f>ABS(Z100-Y100)</f>
        <v>23.283899999999999</v>
      </c>
      <c r="AB100" s="49" t="e">
        <f>VLOOKUP(A100,Enforcements!$C$7:$J$32,8,0)</f>
        <v>#N/A</v>
      </c>
      <c r="AC100" s="49" t="e">
        <f>VLOOKUP(A100,Enforcements!$C$7:$E$32,3,0)</f>
        <v>#N/A</v>
      </c>
    </row>
    <row r="101" spans="1:29" s="2" customFormat="1" x14ac:dyDescent="0.25">
      <c r="A101" s="43" t="s">
        <v>392</v>
      </c>
      <c r="B101" s="43">
        <v>4017</v>
      </c>
      <c r="C101" s="43" t="s">
        <v>60</v>
      </c>
      <c r="D101" s="43" t="s">
        <v>71</v>
      </c>
      <c r="E101" s="25">
        <v>42546.620671296296</v>
      </c>
      <c r="F101" s="25">
        <v>42546.621469907404</v>
      </c>
      <c r="G101" s="31">
        <v>1</v>
      </c>
      <c r="H101" s="25" t="s">
        <v>61</v>
      </c>
      <c r="I101" s="25">
        <v>42546.650694444441</v>
      </c>
      <c r="J101" s="43">
        <v>0</v>
      </c>
      <c r="K101" s="43" t="str">
        <f>IF(ISEVEN(B101),(B101-1)&amp;"/"&amp;B101,B101&amp;"/"&amp;(B101+1))</f>
        <v>4017/4018</v>
      </c>
      <c r="L101" s="43" t="str">
        <f>VLOOKUP(A101,'Trips&amp;Operators'!$C$1:$E$10000,3,FALSE)</f>
        <v>STEWART</v>
      </c>
      <c r="M101" s="11">
        <f>I101-F101</f>
        <v>2.9224537036498077E-2</v>
      </c>
      <c r="N101" s="12">
        <f>24*60*SUM($M101:$M101)</f>
        <v>42.083333332557231</v>
      </c>
      <c r="O101" s="12"/>
      <c r="P101" s="12"/>
      <c r="Q101" s="44"/>
      <c r="R101" s="44"/>
      <c r="S101" s="70">
        <f>SUM(U101:U101)/12</f>
        <v>1</v>
      </c>
      <c r="T101" s="2" t="str">
        <f>IF(ISEVEN(LEFT(A101,3)),"Southbound","NorthBound")</f>
        <v>Southbound</v>
      </c>
      <c r="U101" s="2">
        <f>COUNTIFS(Variables!$M$2:$M$19, "&lt;=" &amp; Y101, Variables!$M$2:$M$19, "&gt;=" &amp; Z101)</f>
        <v>12</v>
      </c>
      <c r="V101" s="48" t="str">
        <f>"https://search-rtdc-monitor-bjffxe2xuh6vdkpspy63sjmuny.us-east-1.es.amazonaws.com/_plugin/kibana/#/discover/Steve-Slow-Train-Analysis-(2080s-and-2083s)?_g=(refreshInterval:(display:Off,section:0,value:0),time:(from:'"&amp;TEXT(E101-1/24/60,"yyyy-MM-DD hh:mm:ss")&amp;"-0600',mode:absolute,to:'"&amp;TEXT(I101+1/24/60,"yyyy-MM-DD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101&amp;"%22')),sort:!(Time,asc))"</f>
        <v>https://search-rtdc-monitor-bjffxe2xuh6vdkpspy63sjmuny.us-east-1.es.amazonaws.com/_plugin/kibana/#/discover/Steve-Slow-Train-Analysis-(2080s-and-2083s)?_g=(refreshInterval:(display:Off,section:0,value:0),time:(from:'2016-06-25 14:52:46-0600',mode:absolute,to:'2016-06-25 15:38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01" s="48" t="str">
        <f>IF(AA101&lt;23,"Y","N")</f>
        <v>N</v>
      </c>
      <c r="X101" s="48">
        <f>VALUE(LEFT(A101,3))-VALUE(LEFT('[1]Train Runs'!A46,3))</f>
        <v>1</v>
      </c>
      <c r="Y101" s="48">
        <f>RIGHT(D101,LEN(D101)-4)/10000</f>
        <v>23.297699999999999</v>
      </c>
      <c r="Z101" s="48">
        <f>RIGHT(H101,LEN(H101)-4)/10000</f>
        <v>1.4500000000000001E-2</v>
      </c>
      <c r="AA101" s="48">
        <f>ABS(Z101-Y101)</f>
        <v>23.283199999999997</v>
      </c>
      <c r="AB101" s="49" t="e">
        <f>VLOOKUP(A101,Enforcements!$C$7:$J$32,8,0)</f>
        <v>#N/A</v>
      </c>
      <c r="AC101" s="49" t="e">
        <f>VLOOKUP(A101,Enforcements!$C$7:$E$32,3,0)</f>
        <v>#N/A</v>
      </c>
    </row>
    <row r="102" spans="1:29" s="2" customFormat="1" x14ac:dyDescent="0.25">
      <c r="A102" s="43" t="s">
        <v>393</v>
      </c>
      <c r="B102" s="43">
        <v>4042</v>
      </c>
      <c r="C102" s="43" t="s">
        <v>60</v>
      </c>
      <c r="D102" s="43" t="s">
        <v>102</v>
      </c>
      <c r="E102" s="25">
        <v>42546.588506944441</v>
      </c>
      <c r="F102" s="25">
        <v>42546.589409722219</v>
      </c>
      <c r="G102" s="31">
        <v>1</v>
      </c>
      <c r="H102" s="25" t="s">
        <v>111</v>
      </c>
      <c r="I102" s="25">
        <v>42546.620856481481</v>
      </c>
      <c r="J102" s="43">
        <v>1</v>
      </c>
      <c r="K102" s="43" t="str">
        <f>IF(ISEVEN(B102),(B102-1)&amp;"/"&amp;B102,B102&amp;"/"&amp;(B102+1))</f>
        <v>4041/4042</v>
      </c>
      <c r="L102" s="43" t="str">
        <f>VLOOKUP(A102,'Trips&amp;Operators'!$C$1:$E$10000,3,FALSE)</f>
        <v>MAYBERRY</v>
      </c>
      <c r="M102" s="11">
        <f>I102-F102</f>
        <v>3.1446759261598345E-2</v>
      </c>
      <c r="N102" s="12">
        <f>24*60*SUM($M102:$M102)</f>
        <v>45.283333336701617</v>
      </c>
      <c r="O102" s="12"/>
      <c r="P102" s="12"/>
      <c r="Q102" s="44"/>
      <c r="R102" s="44"/>
      <c r="S102" s="70">
        <f>SUM(U102:U102)/12</f>
        <v>1</v>
      </c>
      <c r="T102" s="2" t="str">
        <f>IF(ISEVEN(LEFT(A102,3)),"Southbound","NorthBound")</f>
        <v>NorthBound</v>
      </c>
      <c r="U102" s="2">
        <f>COUNTIFS(Variables!$M$2:$M$19, "&gt;=" &amp; Y102, Variables!$M$2:$M$19, "&lt;=" &amp; Z102)</f>
        <v>12</v>
      </c>
      <c r="V102" s="48" t="str">
        <f>"https://search-rtdc-monitor-bjffxe2xuh6vdkpspy63sjmuny.us-east-1.es.amazonaws.com/_plugin/kibana/#/discover/Steve-Slow-Train-Analysis-(2080s-and-2083s)?_g=(refreshInterval:(display:Off,section:0,value:0),time:(from:'"&amp;TEXT(E102-1/24/60,"yyyy-MM-DD hh:mm:ss")&amp;"-0600',mode:absolute,to:'"&amp;TEXT(I102+1/24/60,"yyyy-MM-DD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102&amp;"%22')),sort:!(Time,asc))"</f>
        <v>https://search-rtdc-monitor-bjffxe2xuh6vdkpspy63sjmuny.us-east-1.es.amazonaws.com/_plugin/kibana/#/discover/Steve-Slow-Train-Analysis-(2080s-and-2083s)?_g=(refreshInterval:(display:Off,section:0,value:0),time:(from:'2016-06-25 14:06:27-0600',mode:absolute,to:'2016-06-25 14:55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02" s="48" t="str">
        <f>IF(AA102&lt;23,"Y","N")</f>
        <v>N</v>
      </c>
      <c r="X102" s="48">
        <f>VALUE(LEFT(A102,3))-VALUE(LEFT(A101,3))</f>
        <v>1</v>
      </c>
      <c r="Y102" s="48">
        <f>RIGHT(D102,LEN(D102)-4)/10000</f>
        <v>4.4699999999999997E-2</v>
      </c>
      <c r="Z102" s="48">
        <f>RIGHT(H102,LEN(H102)-4)/10000</f>
        <v>23.3291</v>
      </c>
      <c r="AA102" s="48">
        <f>ABS(Z102-Y102)</f>
        <v>23.284400000000002</v>
      </c>
      <c r="AB102" s="49" t="e">
        <f>VLOOKUP(A102,Enforcements!$C$7:$J$32,8,0)</f>
        <v>#N/A</v>
      </c>
      <c r="AC102" s="49" t="e">
        <f>VLOOKUP(A102,Enforcements!$C$7:$E$32,3,0)</f>
        <v>#N/A</v>
      </c>
    </row>
    <row r="103" spans="1:29" s="2" customFormat="1" x14ac:dyDescent="0.25">
      <c r="A103" s="43" t="s">
        <v>394</v>
      </c>
      <c r="B103" s="43">
        <v>4041</v>
      </c>
      <c r="C103" s="43" t="s">
        <v>60</v>
      </c>
      <c r="D103" s="43" t="s">
        <v>189</v>
      </c>
      <c r="E103" s="25">
        <v>42546.62332175926</v>
      </c>
      <c r="F103" s="25">
        <v>42546.624178240738</v>
      </c>
      <c r="G103" s="31">
        <v>1</v>
      </c>
      <c r="H103" s="25" t="s">
        <v>173</v>
      </c>
      <c r="I103" s="25">
        <v>42546.694155092591</v>
      </c>
      <c r="J103" s="43">
        <v>3</v>
      </c>
      <c r="K103" s="43" t="str">
        <f>IF(ISEVEN(B103),(B103-1)&amp;"/"&amp;B103,B103&amp;"/"&amp;(B103+1))</f>
        <v>4041/4042</v>
      </c>
      <c r="L103" s="43" t="str">
        <f>VLOOKUP(A103,'Trips&amp;Operators'!$C$1:$E$10000,3,FALSE)</f>
        <v>MAYBERRY</v>
      </c>
      <c r="M103" s="11">
        <f>I103-F103</f>
        <v>6.9976851853425615E-2</v>
      </c>
      <c r="N103" s="12">
        <f>24*60*SUM($M103:$M103)</f>
        <v>100.76666666893288</v>
      </c>
      <c r="O103" s="12"/>
      <c r="P103" s="12"/>
      <c r="Q103" s="44"/>
      <c r="R103" s="44"/>
      <c r="S103" s="70">
        <f>SUM(U103:U103)/12</f>
        <v>0</v>
      </c>
      <c r="T103" s="2" t="str">
        <f>IF(ISEVEN(LEFT(A103,3)),"Southbound","NorthBound")</f>
        <v>Southbound</v>
      </c>
      <c r="U103" s="2">
        <f>COUNTIFS(Variables!$M$2:$M$19, "&lt;=" &amp; Y103, Variables!$M$2:$M$19, "&gt;=" &amp; Z103)</f>
        <v>0</v>
      </c>
      <c r="V103" s="48" t="str">
        <f>"https://search-rtdc-monitor-bjffxe2xuh6vdkpspy63sjmuny.us-east-1.es.amazonaws.com/_plugin/kibana/#/discover/Steve-Slow-Train-Analysis-(2080s-and-2083s)?_g=(refreshInterval:(display:Off,section:0,value:0),time:(from:'"&amp;TEXT(E103-1/24/60,"yyyy-MM-DD hh:mm:ss")&amp;"-0600',mode:absolute,to:'"&amp;TEXT(I103+1/24/60,"yyyy-MM-DD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103&amp;"%22')),sort:!(Time,asc))"</f>
        <v>https://search-rtdc-monitor-bjffxe2xuh6vdkpspy63sjmuny.us-east-1.es.amazonaws.com/_plugin/kibana/#/discover/Steve-Slow-Train-Analysis-(2080s-and-2083s)?_g=(refreshInterval:(display:Off,section:0,value:0),time:(from:'2016-06-25 14:56:35-0600',mode:absolute,to:'2016-06-25 16:40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03" s="48" t="str">
        <f>IF(AA103&lt;23,"Y","N")</f>
        <v>Y</v>
      </c>
      <c r="X103" s="48">
        <f>VALUE(LEFT(A103,3))-VALUE(LEFT(A102,3))</f>
        <v>1</v>
      </c>
      <c r="Y103" s="48">
        <f>RIGHT(D103,LEN(D103)-4)/10000</f>
        <v>23.297000000000001</v>
      </c>
      <c r="Z103" s="48">
        <f>RIGHT(H103,LEN(H103)-4)/10000</f>
        <v>23.296900000000001</v>
      </c>
      <c r="AA103" s="48">
        <f>ABS(Z103-Y103)</f>
        <v>9.9999999999766942E-5</v>
      </c>
      <c r="AB103" s="49">
        <f>VLOOKUP(A103,Enforcements!$C$7:$J$32,8,0)</f>
        <v>63068</v>
      </c>
      <c r="AC103" s="49" t="str">
        <f>VLOOKUP(A103,Enforcements!$C$7:$E$32,3,0)</f>
        <v>GRADE CROSSING</v>
      </c>
    </row>
    <row r="104" spans="1:29" s="2" customFormat="1" x14ac:dyDescent="0.25">
      <c r="A104" s="43" t="s">
        <v>395</v>
      </c>
      <c r="B104" s="43">
        <v>4025</v>
      </c>
      <c r="C104" s="43" t="s">
        <v>60</v>
      </c>
      <c r="D104" s="43" t="s">
        <v>113</v>
      </c>
      <c r="E104" s="25">
        <v>42546.59815972222</v>
      </c>
      <c r="F104" s="25">
        <v>42546.599166666667</v>
      </c>
      <c r="G104" s="31">
        <v>1</v>
      </c>
      <c r="H104" s="25" t="s">
        <v>143</v>
      </c>
      <c r="I104" s="25">
        <v>42546.630532407406</v>
      </c>
      <c r="J104" s="43">
        <v>0</v>
      </c>
      <c r="K104" s="43" t="str">
        <f>IF(ISEVEN(B104),(B104-1)&amp;"/"&amp;B104,B104&amp;"/"&amp;(B104+1))</f>
        <v>4025/4026</v>
      </c>
      <c r="L104" s="43" t="str">
        <f>VLOOKUP(A104,'Trips&amp;Operators'!$C$1:$E$10000,3,FALSE)</f>
        <v>WEBSTER</v>
      </c>
      <c r="M104" s="11">
        <f>I104-F104</f>
        <v>3.1365740738692693E-2</v>
      </c>
      <c r="N104" s="12">
        <f>24*60*SUM($M104:$M104)</f>
        <v>45.166666663717479</v>
      </c>
      <c r="O104" s="12"/>
      <c r="P104" s="12"/>
      <c r="Q104" s="44"/>
      <c r="R104" s="44"/>
      <c r="S104" s="70">
        <f>SUM(U104:U104)/12</f>
        <v>1</v>
      </c>
      <c r="T104" s="2" t="str">
        <f>IF(ISEVEN(LEFT(A104,3)),"Southbound","NorthBound")</f>
        <v>NorthBound</v>
      </c>
      <c r="U104" s="2">
        <f>COUNTIFS(Variables!$M$2:$M$19, "&gt;=" &amp; Y104, Variables!$M$2:$M$19, "&lt;=" &amp; Z104)</f>
        <v>12</v>
      </c>
      <c r="V104" s="48" t="str">
        <f>"https://search-rtdc-monitor-bjffxe2xuh6vdkpspy63sjmuny.us-east-1.es.amazonaws.com/_plugin/kibana/#/discover/Steve-Slow-Train-Analysis-(2080s-and-2083s)?_g=(refreshInterval:(display:Off,section:0,value:0),time:(from:'"&amp;TEXT(E104-1/24/60,"yyyy-MM-DD hh:mm:ss")&amp;"-0600',mode:absolute,to:'"&amp;TEXT(I104+1/24/60,"yyyy-MM-DD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104&amp;"%22')),sort:!(Time,asc))"</f>
        <v>https://search-rtdc-monitor-bjffxe2xuh6vdkpspy63sjmuny.us-east-1.es.amazonaws.com/_plugin/kibana/#/discover/Steve-Slow-Train-Analysis-(2080s-and-2083s)?_g=(refreshInterval:(display:Off,section:0,value:0),time:(from:'2016-06-25 14:20:21-0600',mode:absolute,to:'2016-06-25 15:08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04" s="48" t="str">
        <f>IF(AA104&lt;23,"Y","N")</f>
        <v>N</v>
      </c>
      <c r="X104" s="48">
        <f>VALUE(LEFT(A104,3))-VALUE(LEFT(A103,3))</f>
        <v>1</v>
      </c>
      <c r="Y104" s="48">
        <f>RIGHT(D104,LEN(D104)-4)/10000</f>
        <v>4.5499999999999999E-2</v>
      </c>
      <c r="Z104" s="48">
        <f>RIGHT(H104,LEN(H104)-4)/10000</f>
        <v>23.328800000000001</v>
      </c>
      <c r="AA104" s="48">
        <f>ABS(Z104-Y104)</f>
        <v>23.283300000000001</v>
      </c>
      <c r="AB104" s="49" t="e">
        <f>VLOOKUP(A104,Enforcements!$C$7:$J$32,8,0)</f>
        <v>#N/A</v>
      </c>
      <c r="AC104" s="49" t="e">
        <f>VLOOKUP(A104,Enforcements!$C$7:$E$32,3,0)</f>
        <v>#N/A</v>
      </c>
    </row>
    <row r="105" spans="1:29" s="2" customFormat="1" x14ac:dyDescent="0.25">
      <c r="A105" s="43" t="s">
        <v>396</v>
      </c>
      <c r="B105" s="43">
        <v>4026</v>
      </c>
      <c r="C105" s="43" t="s">
        <v>60</v>
      </c>
      <c r="D105" s="43" t="s">
        <v>203</v>
      </c>
      <c r="E105" s="25">
        <v>42546.641817129632</v>
      </c>
      <c r="F105" s="25">
        <v>42546.643275462964</v>
      </c>
      <c r="G105" s="31">
        <v>2</v>
      </c>
      <c r="H105" s="25" t="s">
        <v>76</v>
      </c>
      <c r="I105" s="25">
        <v>42546.670868055553</v>
      </c>
      <c r="J105" s="43">
        <v>0</v>
      </c>
      <c r="K105" s="43" t="str">
        <f>IF(ISEVEN(B105),(B105-1)&amp;"/"&amp;B105,B105&amp;"/"&amp;(B105+1))</f>
        <v>4025/4026</v>
      </c>
      <c r="L105" s="43" t="str">
        <f>VLOOKUP(A105,'Trips&amp;Operators'!$C$1:$E$10000,3,FALSE)</f>
        <v>WEBSTER</v>
      </c>
      <c r="M105" s="11">
        <f>I105-F105</f>
        <v>2.7592592588916887E-2</v>
      </c>
      <c r="N105" s="12">
        <f>24*60*SUM($M105:$M105)</f>
        <v>39.733333328040317</v>
      </c>
      <c r="O105" s="12"/>
      <c r="P105" s="12"/>
      <c r="Q105" s="44"/>
      <c r="R105" s="44"/>
      <c r="S105" s="70">
        <f>SUM(U105:U105)/12</f>
        <v>1</v>
      </c>
      <c r="T105" s="2" t="str">
        <f>IF(ISEVEN(LEFT(A105,3)),"Southbound","NorthBound")</f>
        <v>Southbound</v>
      </c>
      <c r="U105" s="2">
        <f>COUNTIFS(Variables!$M$2:$M$19, "&lt;=" &amp; Y105, Variables!$M$2:$M$19, "&gt;=" &amp; Z105)</f>
        <v>12</v>
      </c>
      <c r="V105" s="48" t="str">
        <f>"https://search-rtdc-monitor-bjffxe2xuh6vdkpspy63sjmuny.us-east-1.es.amazonaws.com/_plugin/kibana/#/discover/Steve-Slow-Train-Analysis-(2080s-and-2083s)?_g=(refreshInterval:(display:Off,section:0,value:0),time:(from:'"&amp;TEXT(E105-1/24/60,"yyyy-MM-DD hh:mm:ss")&amp;"-0600',mode:absolute,to:'"&amp;TEXT(I105+1/24/60,"yyyy-MM-DD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105&amp;"%22')),sort:!(Time,asc))"</f>
        <v>https://search-rtdc-monitor-bjffxe2xuh6vdkpspy63sjmuny.us-east-1.es.amazonaws.com/_plugin/kibana/#/discover/Steve-Slow-Train-Analysis-(2080s-and-2083s)?_g=(refreshInterval:(display:Off,section:0,value:0),time:(from:'2016-06-25 15:23:13-0600',mode:absolute,to:'2016-06-25 16:07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05" s="48" t="str">
        <f>IF(AA105&lt;23,"Y","N")</f>
        <v>N</v>
      </c>
      <c r="X105" s="48">
        <f>VALUE(LEFT(A105,3))-VALUE(LEFT(A104,3))</f>
        <v>1</v>
      </c>
      <c r="Y105" s="48">
        <f>RIGHT(D105,LEN(D105)-4)/10000</f>
        <v>23.2973</v>
      </c>
      <c r="Z105" s="48">
        <f>RIGHT(H105,LEN(H105)-4)/10000</f>
        <v>1.49E-2</v>
      </c>
      <c r="AA105" s="48">
        <f>ABS(Z105-Y105)</f>
        <v>23.282399999999999</v>
      </c>
      <c r="AB105" s="49" t="e">
        <f>VLOOKUP(A105,Enforcements!$C$7:$J$32,8,0)</f>
        <v>#N/A</v>
      </c>
      <c r="AC105" s="49" t="e">
        <f>VLOOKUP(A105,Enforcements!$C$7:$E$32,3,0)</f>
        <v>#N/A</v>
      </c>
    </row>
    <row r="106" spans="1:29" s="2" customFormat="1" x14ac:dyDescent="0.25">
      <c r="A106" s="43" t="s">
        <v>397</v>
      </c>
      <c r="B106" s="43">
        <v>4044</v>
      </c>
      <c r="C106" s="43" t="s">
        <v>60</v>
      </c>
      <c r="D106" s="43" t="s">
        <v>113</v>
      </c>
      <c r="E106" s="25">
        <v>42546.611493055556</v>
      </c>
      <c r="F106" s="25">
        <v>42546.612384259257</v>
      </c>
      <c r="G106" s="31">
        <v>1</v>
      </c>
      <c r="H106" s="25" t="s">
        <v>174</v>
      </c>
      <c r="I106" s="25">
        <v>42546.640069444446</v>
      </c>
      <c r="J106" s="43">
        <v>0</v>
      </c>
      <c r="K106" s="43" t="str">
        <f>IF(ISEVEN(B106),(B106-1)&amp;"/"&amp;B106,B106&amp;"/"&amp;(B106+1))</f>
        <v>4043/4044</v>
      </c>
      <c r="L106" s="43" t="str">
        <f>VLOOKUP(A106,'Trips&amp;Operators'!$C$1:$E$10000,3,FALSE)</f>
        <v>RIVERA</v>
      </c>
      <c r="M106" s="11">
        <f>I106-F106</f>
        <v>2.768518518860219E-2</v>
      </c>
      <c r="N106" s="12">
        <f>24*60*SUM($M106:$M106)</f>
        <v>39.866666671587154</v>
      </c>
      <c r="O106" s="12"/>
      <c r="P106" s="12"/>
      <c r="Q106" s="44"/>
      <c r="R106" s="44"/>
      <c r="S106" s="70">
        <f>SUM(U106:U106)/12</f>
        <v>1</v>
      </c>
      <c r="T106" s="2" t="str">
        <f>IF(ISEVEN(LEFT(A106,3)),"Southbound","NorthBound")</f>
        <v>NorthBound</v>
      </c>
      <c r="U106" s="2">
        <f>COUNTIFS(Variables!$M$2:$M$19, "&gt;=" &amp; Y106, Variables!$M$2:$M$19, "&lt;=" &amp; Z106)</f>
        <v>12</v>
      </c>
      <c r="V106" s="48" t="str">
        <f>"https://search-rtdc-monitor-bjffxe2xuh6vdkpspy63sjmuny.us-east-1.es.amazonaws.com/_plugin/kibana/#/discover/Steve-Slow-Train-Analysis-(2080s-and-2083s)?_g=(refreshInterval:(display:Off,section:0,value:0),time:(from:'"&amp;TEXT(E106-1/24/60,"yyyy-MM-DD hh:mm:ss")&amp;"-0600',mode:absolute,to:'"&amp;TEXT(I106+1/24/60,"yyyy-MM-DD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106&amp;"%22')),sort:!(Time,asc))"</f>
        <v>https://search-rtdc-monitor-bjffxe2xuh6vdkpspy63sjmuny.us-east-1.es.amazonaws.com/_plugin/kibana/#/discover/Steve-Slow-Train-Analysis-(2080s-and-2083s)?_g=(refreshInterval:(display:Off,section:0,value:0),time:(from:'2016-06-25 14:39:33-0600',mode:absolute,to:'2016-06-25 15:22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06" s="48" t="str">
        <f>IF(AA106&lt;23,"Y","N")</f>
        <v>N</v>
      </c>
      <c r="X106" s="48">
        <f>VALUE(LEFT(A106,3))-VALUE(LEFT(A105,3))</f>
        <v>1</v>
      </c>
      <c r="Y106" s="48">
        <f>RIGHT(D106,LEN(D106)-4)/10000</f>
        <v>4.5499999999999999E-2</v>
      </c>
      <c r="Z106" s="48">
        <f>RIGHT(H106,LEN(H106)-4)/10000</f>
        <v>23.33</v>
      </c>
      <c r="AA106" s="48">
        <f>ABS(Z106-Y106)</f>
        <v>23.284499999999998</v>
      </c>
      <c r="AB106" s="49" t="e">
        <f>VLOOKUP(A106,Enforcements!$C$7:$J$32,8,0)</f>
        <v>#N/A</v>
      </c>
      <c r="AC106" s="49" t="e">
        <f>VLOOKUP(A106,Enforcements!$C$7:$E$32,3,0)</f>
        <v>#N/A</v>
      </c>
    </row>
    <row r="107" spans="1:29" s="2" customFormat="1" x14ac:dyDescent="0.25">
      <c r="A107" s="43" t="s">
        <v>398</v>
      </c>
      <c r="B107" s="43">
        <v>4043</v>
      </c>
      <c r="C107" s="43" t="s">
        <v>60</v>
      </c>
      <c r="D107" s="43" t="s">
        <v>196</v>
      </c>
      <c r="E107" s="25">
        <v>42546.649016203701</v>
      </c>
      <c r="F107" s="25">
        <v>42546.65</v>
      </c>
      <c r="G107" s="31">
        <v>1</v>
      </c>
      <c r="H107" s="25" t="s">
        <v>119</v>
      </c>
      <c r="I107" s="25">
        <v>42546.680046296293</v>
      </c>
      <c r="J107" s="43">
        <v>0</v>
      </c>
      <c r="K107" s="43" t="str">
        <f>IF(ISEVEN(B107),(B107-1)&amp;"/"&amp;B107,B107&amp;"/"&amp;(B107+1))</f>
        <v>4043/4044</v>
      </c>
      <c r="L107" s="43" t="str">
        <f>VLOOKUP(A107,'Trips&amp;Operators'!$C$1:$E$10000,3,FALSE)</f>
        <v>RIVERA</v>
      </c>
      <c r="M107" s="11">
        <f>I107-F107</f>
        <v>3.0046296291402541E-2</v>
      </c>
      <c r="N107" s="12">
        <f>24*60*SUM($M107:$M107)</f>
        <v>43.266666659619659</v>
      </c>
      <c r="O107" s="12"/>
      <c r="P107" s="12"/>
      <c r="Q107" s="44"/>
      <c r="R107" s="44"/>
      <c r="S107" s="70">
        <f>SUM(U107:U107)/12</f>
        <v>0</v>
      </c>
      <c r="T107" s="2" t="str">
        <f>IF(ISEVEN(LEFT(A107,3)),"Southbound","NorthBound")</f>
        <v>Southbound</v>
      </c>
      <c r="U107" s="2">
        <f>COUNTIFS(Variables!$M$2:$M$19, "&lt;=" &amp; Y107, Variables!$M$2:$M$19, "&gt;=" &amp; Z107)</f>
        <v>0</v>
      </c>
      <c r="V107" s="48" t="str">
        <f>"https://search-rtdc-monitor-bjffxe2xuh6vdkpspy63sjmuny.us-east-1.es.amazonaws.com/_plugin/kibana/#/discover/Steve-Slow-Train-Analysis-(2080s-and-2083s)?_g=(refreshInterval:(display:Off,section:0,value:0),time:(from:'"&amp;TEXT(E107-1/24/60,"yyyy-MM-DD hh:mm:ss")&amp;"-0600',mode:absolute,to:'"&amp;TEXT(I107+1/24/60,"yyyy-MM-DD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107&amp;"%22')),sort:!(Time,asc))"</f>
        <v>https://search-rtdc-monitor-bjffxe2xuh6vdkpspy63sjmuny.us-east-1.es.amazonaws.com/_plugin/kibana/#/discover/Steve-Slow-Train-Analysis-(2080s-and-2083s)?_g=(refreshInterval:(display:Off,section:0,value:0),time:(from:'2016-06-25 15:33:35-0600',mode:absolute,to:'2016-06-25 16:20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07" s="48" t="str">
        <f>IF(AA107&lt;23,"Y","N")</f>
        <v>N</v>
      </c>
      <c r="X107" s="48">
        <f>VALUE(LEFT(A107,3))-VALUE(LEFT('[1]Train Runs'!A47,3))</f>
        <v>0</v>
      </c>
      <c r="Y107" s="48">
        <v>4.6699999999999998E-2</v>
      </c>
      <c r="Z107" s="48">
        <v>23.2974</v>
      </c>
      <c r="AA107" s="48">
        <f>ABS(Z107-Y107)</f>
        <v>23.250699999999998</v>
      </c>
      <c r="AB107" s="49" t="e">
        <f>VLOOKUP(A107,Enforcements!$C$7:$J$32,8,0)</f>
        <v>#N/A</v>
      </c>
      <c r="AC107" s="49" t="e">
        <f>VLOOKUP(A107,Enforcements!$C$7:$E$32,3,0)</f>
        <v>#N/A</v>
      </c>
    </row>
    <row r="108" spans="1:29" s="2" customFormat="1" x14ac:dyDescent="0.25">
      <c r="A108" s="43" t="s">
        <v>400</v>
      </c>
      <c r="B108" s="43">
        <v>4007</v>
      </c>
      <c r="C108" s="43" t="s">
        <v>60</v>
      </c>
      <c r="D108" s="43" t="s">
        <v>179</v>
      </c>
      <c r="E108" s="25">
        <v>42546.621111111112</v>
      </c>
      <c r="F108" s="25">
        <v>42546.621967592589</v>
      </c>
      <c r="G108" s="31">
        <v>1</v>
      </c>
      <c r="H108" s="25" t="s">
        <v>284</v>
      </c>
      <c r="I108" s="25">
        <v>42546.649907407409</v>
      </c>
      <c r="J108" s="43">
        <v>0</v>
      </c>
      <c r="K108" s="43" t="str">
        <f>IF(ISEVEN(B108),(B108-1)&amp;"/"&amp;B108,B108&amp;"/"&amp;(B108+1))</f>
        <v>4007/4008</v>
      </c>
      <c r="L108" s="43" t="str">
        <f>VLOOKUP(A108,'Trips&amp;Operators'!$C$1:$E$10000,3,FALSE)</f>
        <v>YANAI</v>
      </c>
      <c r="M108" s="11">
        <f>I108-F108</f>
        <v>2.7939814819546882E-2</v>
      </c>
      <c r="N108" s="12">
        <f>24*60*SUM($M108:$M108)</f>
        <v>40.23333334014751</v>
      </c>
      <c r="O108" s="12"/>
      <c r="P108" s="12"/>
      <c r="Q108" s="44"/>
      <c r="R108" s="44"/>
      <c r="S108" s="70">
        <f>SUM(U108:U108)/12</f>
        <v>1</v>
      </c>
      <c r="T108" s="2" t="str">
        <f>IF(ISEVEN(LEFT(A108,3)),"Southbound","NorthBound")</f>
        <v>NorthBound</v>
      </c>
      <c r="U108" s="2">
        <f>COUNTIFS(Variables!$M$2:$M$19, "&gt;=" &amp; Y108, Variables!$M$2:$M$19, "&lt;=" &amp; Z108)</f>
        <v>12</v>
      </c>
      <c r="V108" s="48" t="str">
        <f>"https://search-rtdc-monitor-bjffxe2xuh6vdkpspy63sjmuny.us-east-1.es.amazonaws.com/_plugin/kibana/#/discover/Steve-Slow-Train-Analysis-(2080s-and-2083s)?_g=(refreshInterval:(display:Off,section:0,value:0),time:(from:'"&amp;TEXT(E108-1/24/60,"yyyy-MM-DD hh:mm:ss")&amp;"-0600',mode:absolute,to:'"&amp;TEXT(I108+1/24/60,"yyyy-MM-DD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108&amp;"%22')),sort:!(Time,asc))"</f>
        <v>https://search-rtdc-monitor-bjffxe2xuh6vdkpspy63sjmuny.us-east-1.es.amazonaws.com/_plugin/kibana/#/discover/Steve-Slow-Train-Analysis-(2080s-and-2083s)?_g=(refreshInterval:(display:Off,section:0,value:0),time:(from:'2016-06-25 14:53:24-0600',mode:absolute,to:'2016-06-25 15:36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08" s="48" t="str">
        <f>IF(AA108&lt;23,"Y","N")</f>
        <v>N</v>
      </c>
      <c r="X108" s="48">
        <f>VALUE(LEFT(A108,3))-VALUE(LEFT(A107,3))</f>
        <v>1</v>
      </c>
      <c r="Y108" s="48">
        <f>RIGHT(D108,LEN(D108)-4)/10000</f>
        <v>4.8000000000000001E-2</v>
      </c>
      <c r="Z108" s="48">
        <f>RIGHT(H108,LEN(H108)-4)/10000</f>
        <v>23.330500000000001</v>
      </c>
      <c r="AA108" s="48">
        <f>ABS(Z108-Y108)</f>
        <v>23.282500000000002</v>
      </c>
      <c r="AB108" s="49" t="e">
        <f>VLOOKUP(A108,Enforcements!$C$7:$J$32,8,0)</f>
        <v>#N/A</v>
      </c>
      <c r="AC108" s="49" t="e">
        <f>VLOOKUP(A108,Enforcements!$C$7:$E$32,3,0)</f>
        <v>#N/A</v>
      </c>
    </row>
    <row r="109" spans="1:29" s="2" customFormat="1" x14ac:dyDescent="0.25">
      <c r="A109" s="43" t="s">
        <v>401</v>
      </c>
      <c r="B109" s="43">
        <v>4008</v>
      </c>
      <c r="C109" s="43" t="s">
        <v>60</v>
      </c>
      <c r="D109" s="43" t="s">
        <v>107</v>
      </c>
      <c r="E109" s="25">
        <v>42546.659050925926</v>
      </c>
      <c r="F109" s="25">
        <v>42546.660358796296</v>
      </c>
      <c r="G109" s="31">
        <v>1</v>
      </c>
      <c r="H109" s="25" t="s">
        <v>68</v>
      </c>
      <c r="I109" s="25">
        <v>42546.692002314812</v>
      </c>
      <c r="J109" s="43">
        <v>0</v>
      </c>
      <c r="K109" s="43" t="str">
        <f>IF(ISEVEN(B109),(B109-1)&amp;"/"&amp;B109,B109&amp;"/"&amp;(B109+1))</f>
        <v>4007/4008</v>
      </c>
      <c r="L109" s="43" t="str">
        <f>VLOOKUP(A109,'Trips&amp;Operators'!$C$1:$E$10000,3,FALSE)</f>
        <v>YANAI</v>
      </c>
      <c r="M109" s="11">
        <f>I109-F109</f>
        <v>3.1643518515920732E-2</v>
      </c>
      <c r="N109" s="12">
        <f>24*60*SUM($M109:$M109)</f>
        <v>45.566666662925854</v>
      </c>
      <c r="O109" s="12"/>
      <c r="P109" s="12"/>
      <c r="Q109" s="44"/>
      <c r="R109" s="44"/>
      <c r="S109" s="70">
        <f>SUM(U109:U109)/12</f>
        <v>1</v>
      </c>
      <c r="T109" s="2" t="str">
        <f>IF(ISEVEN(LEFT(A109,3)),"Southbound","NorthBound")</f>
        <v>Southbound</v>
      </c>
      <c r="U109" s="2">
        <f>COUNTIFS(Variables!$M$2:$M$19, "&lt;=" &amp; Y109, Variables!$M$2:$M$19, "&gt;=" &amp; Z109)</f>
        <v>12</v>
      </c>
      <c r="V109" s="48" t="str">
        <f>"https://search-rtdc-monitor-bjffxe2xuh6vdkpspy63sjmuny.us-east-1.es.amazonaws.com/_plugin/kibana/#/discover/Steve-Slow-Train-Analysis-(2080s-and-2083s)?_g=(refreshInterval:(display:Off,section:0,value:0),time:(from:'"&amp;TEXT(E109-1/24/60,"yyyy-MM-DD hh:mm:ss")&amp;"-0600',mode:absolute,to:'"&amp;TEXT(I109+1/24/60,"yyyy-MM-DD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109&amp;"%22')),sort:!(Time,asc))"</f>
        <v>https://search-rtdc-monitor-bjffxe2xuh6vdkpspy63sjmuny.us-east-1.es.amazonaws.com/_plugin/kibana/#/discover/Steve-Slow-Train-Analysis-(2080s-and-2083s)?_g=(refreshInterval:(display:Off,section:0,value:0),time:(from:'2016-06-25 15:48:02-0600',mode:absolute,to:'2016-06-25 16:37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09" s="48" t="str">
        <f>IF(AA109&lt;23,"Y","N")</f>
        <v>N</v>
      </c>
      <c r="X109" s="48">
        <f>VALUE(LEFT(A109,3))-VALUE(LEFT(A108,3))</f>
        <v>1</v>
      </c>
      <c r="Y109" s="48">
        <f>RIGHT(D109,LEN(D109)-4)/10000</f>
        <v>23.299800000000001</v>
      </c>
      <c r="Z109" s="48">
        <f>RIGHT(H109,LEN(H109)-4)/10000</f>
        <v>1.6E-2</v>
      </c>
      <c r="AA109" s="48">
        <f>ABS(Z109-Y109)</f>
        <v>23.283800000000003</v>
      </c>
      <c r="AB109" s="49" t="e">
        <f>VLOOKUP(A109,Enforcements!$C$7:$J$32,8,0)</f>
        <v>#N/A</v>
      </c>
      <c r="AC109" s="49" t="e">
        <f>VLOOKUP(A109,Enforcements!$C$7:$E$32,3,0)</f>
        <v>#N/A</v>
      </c>
    </row>
    <row r="110" spans="1:29" s="2" customFormat="1" x14ac:dyDescent="0.25">
      <c r="A110" s="43" t="s">
        <v>402</v>
      </c>
      <c r="B110" s="43">
        <v>4024</v>
      </c>
      <c r="C110" s="43" t="s">
        <v>60</v>
      </c>
      <c r="D110" s="43" t="s">
        <v>155</v>
      </c>
      <c r="E110" s="25">
        <v>42546.631793981483</v>
      </c>
      <c r="F110" s="25">
        <v>42546.635520833333</v>
      </c>
      <c r="G110" s="31">
        <v>5</v>
      </c>
      <c r="H110" s="25" t="s">
        <v>403</v>
      </c>
      <c r="I110" s="25">
        <v>42546.66170138889</v>
      </c>
      <c r="J110" s="43">
        <v>1</v>
      </c>
      <c r="K110" s="43" t="str">
        <f>IF(ISEVEN(B110),(B110-1)&amp;"/"&amp;B110,B110&amp;"/"&amp;(B110+1))</f>
        <v>4023/4024</v>
      </c>
      <c r="L110" s="43" t="str">
        <f>VLOOKUP(A110,'Trips&amp;Operators'!$C$1:$E$10000,3,FALSE)</f>
        <v>LOCKLEAR</v>
      </c>
      <c r="M110" s="11">
        <f>I110-F110</f>
        <v>2.6180555556493346E-2</v>
      </c>
      <c r="N110" s="12">
        <f>24*60*SUM($M110:$M110)</f>
        <v>37.700000001350418</v>
      </c>
      <c r="O110" s="12"/>
      <c r="P110" s="12"/>
      <c r="Q110" s="44"/>
      <c r="R110" s="44"/>
      <c r="S110" s="70">
        <f>SUM(U110:U110)/12</f>
        <v>1</v>
      </c>
      <c r="T110" s="2" t="str">
        <f>IF(ISEVEN(LEFT(A110,3)),"Southbound","NorthBound")</f>
        <v>NorthBound</v>
      </c>
      <c r="U110" s="2">
        <f>COUNTIFS(Variables!$M$2:$M$19, "&gt;=" &amp; Y110, Variables!$M$2:$M$19, "&lt;=" &amp; Z110)</f>
        <v>12</v>
      </c>
      <c r="V110" s="48" t="str">
        <f>"https://search-rtdc-monitor-bjffxe2xuh6vdkpspy63sjmuny.us-east-1.es.amazonaws.com/_plugin/kibana/#/discover/Steve-Slow-Train-Analysis-(2080s-and-2083s)?_g=(refreshInterval:(display:Off,section:0,value:0),time:(from:'"&amp;TEXT(E110-1/24/60,"yyyy-MM-DD hh:mm:ss")&amp;"-0600',mode:absolute,to:'"&amp;TEXT(I110+1/24/60,"yyyy-MM-DD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110&amp;"%22')),sort:!(Time,asc))"</f>
        <v>https://search-rtdc-monitor-bjffxe2xuh6vdkpspy63sjmuny.us-east-1.es.amazonaws.com/_plugin/kibana/#/discover/Steve-Slow-Train-Analysis-(2080s-and-2083s)?_g=(refreshInterval:(display:Off,section:0,value:0),time:(from:'2016-06-25 15:08:47-0600',mode:absolute,to:'2016-06-25 15:53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10" s="48" t="str">
        <f>IF(AA110&lt;23,"Y","N")</f>
        <v>N</v>
      </c>
      <c r="X110" s="48">
        <f>VALUE(LEFT(A110,3))-VALUE(LEFT(A109,3))</f>
        <v>1</v>
      </c>
      <c r="Y110" s="48">
        <f>RIGHT(D110,LEN(D110)-4)/10000</f>
        <v>4.7100000000000003E-2</v>
      </c>
      <c r="Z110" s="48">
        <f>RIGHT(H110,LEN(H110)-4)/10000</f>
        <v>23.333400000000001</v>
      </c>
      <c r="AA110" s="48">
        <f>ABS(Z110-Y110)</f>
        <v>23.286300000000001</v>
      </c>
      <c r="AB110" s="49">
        <f>VLOOKUP(A110,Enforcements!$C$7:$J$32,8,0)</f>
        <v>232107</v>
      </c>
      <c r="AC110" s="49" t="str">
        <f>VLOOKUP(A110,Enforcements!$C$7:$E$32,3,0)</f>
        <v>PERMANENT SPEED RESTRICTION</v>
      </c>
    </row>
    <row r="111" spans="1:29" s="2" customFormat="1" x14ac:dyDescent="0.25">
      <c r="A111" s="43" t="s">
        <v>404</v>
      </c>
      <c r="B111" s="43">
        <v>4023</v>
      </c>
      <c r="C111" s="43" t="s">
        <v>60</v>
      </c>
      <c r="D111" s="43" t="s">
        <v>405</v>
      </c>
      <c r="E111" s="25">
        <v>42546.671134259261</v>
      </c>
      <c r="F111" s="25">
        <v>42546.672175925924</v>
      </c>
      <c r="G111" s="31">
        <v>1</v>
      </c>
      <c r="H111" s="25" t="s">
        <v>68</v>
      </c>
      <c r="I111" s="25">
        <v>42546.702233796299</v>
      </c>
      <c r="J111" s="43">
        <v>0</v>
      </c>
      <c r="K111" s="43" t="str">
        <f>IF(ISEVEN(B111),(B111-1)&amp;"/"&amp;B111,B111&amp;"/"&amp;(B111+1))</f>
        <v>4023/4024</v>
      </c>
      <c r="L111" s="43" t="str">
        <f>VLOOKUP(A111,'Trips&amp;Operators'!$C$1:$E$10000,3,FALSE)</f>
        <v>LOCKLEAR</v>
      </c>
      <c r="M111" s="11">
        <f>I111-F111</f>
        <v>3.0057870375458151E-2</v>
      </c>
      <c r="N111" s="12">
        <f>24*60*SUM($M111:$M111)</f>
        <v>43.283333340659738</v>
      </c>
      <c r="O111" s="12"/>
      <c r="P111" s="12"/>
      <c r="Q111" s="44"/>
      <c r="R111" s="44"/>
      <c r="S111" s="70">
        <f>SUM(U111:U111)/12</f>
        <v>1</v>
      </c>
      <c r="T111" s="2" t="str">
        <f>IF(ISEVEN(LEFT(A111,3)),"Southbound","NorthBound")</f>
        <v>Southbound</v>
      </c>
      <c r="U111" s="2">
        <f>COUNTIFS(Variables!$M$2:$M$19, "&lt;=" &amp; Y111, Variables!$M$2:$M$19, "&gt;=" &amp; Z111)</f>
        <v>12</v>
      </c>
      <c r="V111" s="48" t="str">
        <f>"https://search-rtdc-monitor-bjffxe2xuh6vdkpspy63sjmuny.us-east-1.es.amazonaws.com/_plugin/kibana/#/discover/Steve-Slow-Train-Analysis-(2080s-and-2083s)?_g=(refreshInterval:(display:Off,section:0,value:0),time:(from:'"&amp;TEXT(E111-1/24/60,"yyyy-MM-DD hh:mm:ss")&amp;"-0600',mode:absolute,to:'"&amp;TEXT(I111+1/24/60,"yyyy-MM-DD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111&amp;"%22')),sort:!(Time,asc))"</f>
        <v>https://search-rtdc-monitor-bjffxe2xuh6vdkpspy63sjmuny.us-east-1.es.amazonaws.com/_plugin/kibana/#/discover/Steve-Slow-Train-Analysis-(2080s-and-2083s)?_g=(refreshInterval:(display:Off,section:0,value:0),time:(from:'2016-06-25 16:05:26-0600',mode:absolute,to:'2016-06-25 16:52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11" s="48" t="str">
        <f>IF(AA111&lt;23,"Y","N")</f>
        <v>N</v>
      </c>
      <c r="X111" s="48">
        <f>VALUE(LEFT(A111,3))-VALUE(LEFT(A110,3))</f>
        <v>1</v>
      </c>
      <c r="Y111" s="48">
        <f>RIGHT(D111,LEN(D111)-4)/10000</f>
        <v>23.300999999999998</v>
      </c>
      <c r="Z111" s="48">
        <f>RIGHT(H111,LEN(H111)-4)/10000</f>
        <v>1.6E-2</v>
      </c>
      <c r="AA111" s="48">
        <f>ABS(Z111-Y111)</f>
        <v>23.285</v>
      </c>
      <c r="AB111" s="49" t="e">
        <f>VLOOKUP(A111,Enforcements!$C$7:$J$32,8,0)</f>
        <v>#N/A</v>
      </c>
      <c r="AC111" s="49" t="e">
        <f>VLOOKUP(A111,Enforcements!$C$7:$E$32,3,0)</f>
        <v>#N/A</v>
      </c>
    </row>
    <row r="112" spans="1:29" s="2" customFormat="1" x14ac:dyDescent="0.25">
      <c r="A112" s="43" t="s">
        <v>406</v>
      </c>
      <c r="B112" s="43">
        <v>4014</v>
      </c>
      <c r="C112" s="43" t="s">
        <v>60</v>
      </c>
      <c r="D112" s="43" t="s">
        <v>201</v>
      </c>
      <c r="E112" s="25">
        <v>42546.642870370371</v>
      </c>
      <c r="F112" s="25">
        <v>42546.643750000003</v>
      </c>
      <c r="G112" s="31">
        <v>1</v>
      </c>
      <c r="H112" s="25" t="s">
        <v>407</v>
      </c>
      <c r="I112" s="25">
        <v>42546.670682870368</v>
      </c>
      <c r="J112" s="43">
        <v>0</v>
      </c>
      <c r="K112" s="43" t="str">
        <f>IF(ISEVEN(B112),(B112-1)&amp;"/"&amp;B112,B112&amp;"/"&amp;(B112+1))</f>
        <v>4013/4014</v>
      </c>
      <c r="L112" s="43" t="str">
        <f>VLOOKUP(A112,'Trips&amp;Operators'!$C$1:$E$10000,3,FALSE)</f>
        <v>ACKERMAN</v>
      </c>
      <c r="M112" s="11">
        <f>I112-F112</f>
        <v>2.693287036527181E-2</v>
      </c>
      <c r="N112" s="12">
        <f>24*60*SUM($M112:$M112)</f>
        <v>38.783333325991407</v>
      </c>
      <c r="O112" s="12"/>
      <c r="P112" s="12"/>
      <c r="Q112" s="44"/>
      <c r="R112" s="44"/>
      <c r="S112" s="70">
        <f>SUM(U112:U112)/12</f>
        <v>1</v>
      </c>
      <c r="T112" s="2" t="str">
        <f>IF(ISEVEN(LEFT(A112,3)),"Southbound","NorthBound")</f>
        <v>NorthBound</v>
      </c>
      <c r="U112" s="2">
        <f>COUNTIFS(Variables!$M$2:$M$19, "&gt;=" &amp; Y112, Variables!$M$2:$M$19, "&lt;=" &amp; Z112)</f>
        <v>12</v>
      </c>
      <c r="V112" s="48" t="str">
        <f>"https://search-rtdc-monitor-bjffxe2xuh6vdkpspy63sjmuny.us-east-1.es.amazonaws.com/_plugin/kibana/#/discover/Steve-Slow-Train-Analysis-(2080s-and-2083s)?_g=(refreshInterval:(display:Off,section:0,value:0),time:(from:'"&amp;TEXT(E112-1/24/60,"yyyy-MM-DD hh:mm:ss")&amp;"-0600',mode:absolute,to:'"&amp;TEXT(I112+1/24/60,"yyyy-MM-DD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112&amp;"%22')),sort:!(Time,asc))"</f>
        <v>https://search-rtdc-monitor-bjffxe2xuh6vdkpspy63sjmuny.us-east-1.es.amazonaws.com/_plugin/kibana/#/discover/Steve-Slow-Train-Analysis-(2080s-and-2083s)?_g=(refreshInterval:(display:Off,section:0,value:0),time:(from:'2016-06-25 15:24:44-0600',mode:absolute,to:'2016-06-25 16:06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12" s="48" t="str">
        <f>IF(AA112&lt;23,"Y","N")</f>
        <v>N</v>
      </c>
      <c r="X112" s="48">
        <f>VALUE(LEFT(A112,3))-VALUE(LEFT(A111,3))</f>
        <v>1</v>
      </c>
      <c r="Y112" s="48">
        <f>RIGHT(D112,LEN(D112)-4)/10000</f>
        <v>4.5100000000000001E-2</v>
      </c>
      <c r="Z112" s="48">
        <f>RIGHT(H112,LEN(H112)-4)/10000</f>
        <v>23.322199999999999</v>
      </c>
      <c r="AA112" s="48">
        <f>ABS(Z112-Y112)</f>
        <v>23.277099999999997</v>
      </c>
      <c r="AB112" s="49" t="e">
        <f>VLOOKUP(A112,Enforcements!$C$7:$J$32,8,0)</f>
        <v>#N/A</v>
      </c>
      <c r="AC112" s="49" t="e">
        <f>VLOOKUP(A112,Enforcements!$C$7:$E$32,3,0)</f>
        <v>#N/A</v>
      </c>
    </row>
    <row r="113" spans="1:29" s="2" customFormat="1" x14ac:dyDescent="0.25">
      <c r="A113" s="43" t="s">
        <v>408</v>
      </c>
      <c r="B113" s="43">
        <v>4013</v>
      </c>
      <c r="C113" s="43" t="s">
        <v>60</v>
      </c>
      <c r="D113" s="43" t="s">
        <v>409</v>
      </c>
      <c r="E113" s="25">
        <v>42546.679745370369</v>
      </c>
      <c r="F113" s="25">
        <v>42546.680717592593</v>
      </c>
      <c r="G113" s="31">
        <v>1</v>
      </c>
      <c r="H113" s="25" t="s">
        <v>286</v>
      </c>
      <c r="I113" s="25">
        <v>42546.715439814812</v>
      </c>
      <c r="J113" s="43">
        <v>2</v>
      </c>
      <c r="K113" s="43" t="str">
        <f>IF(ISEVEN(B113),(B113-1)&amp;"/"&amp;B113,B113&amp;"/"&amp;(B113+1))</f>
        <v>4013/4014</v>
      </c>
      <c r="L113" s="43" t="str">
        <f>VLOOKUP(A113,'Trips&amp;Operators'!$C$1:$E$10000,3,FALSE)</f>
        <v>ACKERMAN</v>
      </c>
      <c r="M113" s="11">
        <f>I113-F113</f>
        <v>3.4722222218988463E-2</v>
      </c>
      <c r="N113" s="12">
        <f>24*60*SUM($M113:$M113)</f>
        <v>49.999999995343387</v>
      </c>
      <c r="O113" s="12"/>
      <c r="P113" s="12"/>
      <c r="Q113" s="44"/>
      <c r="R113" s="44"/>
      <c r="S113" s="70">
        <f>SUM(U113:U113)/12</f>
        <v>1</v>
      </c>
      <c r="T113" s="2" t="str">
        <f>IF(ISEVEN(LEFT(A113,3)),"Southbound","NorthBound")</f>
        <v>Southbound</v>
      </c>
      <c r="U113" s="2">
        <f>COUNTIFS(Variables!$M$2:$M$19, "&lt;=" &amp; Y113, Variables!$M$2:$M$19, "&gt;=" &amp; Z113)</f>
        <v>12</v>
      </c>
      <c r="V113" s="48" t="str">
        <f>"https://search-rtdc-monitor-bjffxe2xuh6vdkpspy63sjmuny.us-east-1.es.amazonaws.com/_plugin/kibana/#/discover/Steve-Slow-Train-Analysis-(2080s-and-2083s)?_g=(refreshInterval:(display:Off,section:0,value:0),time:(from:'"&amp;TEXT(E113-1/24/60,"yyyy-MM-DD hh:mm:ss")&amp;"-0600',mode:absolute,to:'"&amp;TEXT(I113+1/24/60,"yyyy-MM-DD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113&amp;"%22')),sort:!(Time,asc))"</f>
        <v>https://search-rtdc-monitor-bjffxe2xuh6vdkpspy63sjmuny.us-east-1.es.amazonaws.com/_plugin/kibana/#/discover/Steve-Slow-Train-Analysis-(2080s-and-2083s)?_g=(refreshInterval:(display:Off,section:0,value:0),time:(from:'2016-06-25 16:17:50-0600',mode:absolute,to:'2016-06-25 17:11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13" s="48" t="str">
        <f>IF(AA113&lt;23,"Y","N")</f>
        <v>N</v>
      </c>
      <c r="X113" s="48">
        <f>VALUE(LEFT(A113,3))-VALUE(LEFT(A112,3))</f>
        <v>1</v>
      </c>
      <c r="Y113" s="48">
        <f>RIGHT(D113,LEN(D113)-4)/10000</f>
        <v>23.2911</v>
      </c>
      <c r="Z113" s="48">
        <f>RIGHT(H113,LEN(H113)-4)/10000</f>
        <v>1.38E-2</v>
      </c>
      <c r="AA113" s="48">
        <f>ABS(Z113-Y113)</f>
        <v>23.2773</v>
      </c>
      <c r="AB113" s="49">
        <f>VLOOKUP(A113,Enforcements!$C$7:$J$32,8,0)</f>
        <v>190834</v>
      </c>
      <c r="AC113" s="49" t="str">
        <f>VLOOKUP(A113,Enforcements!$C$7:$E$32,3,0)</f>
        <v>PERMANENT SPEED RESTRICTION</v>
      </c>
    </row>
    <row r="114" spans="1:29" s="2" customFormat="1" x14ac:dyDescent="0.25">
      <c r="A114" s="43" t="s">
        <v>410</v>
      </c>
      <c r="B114" s="43">
        <v>4018</v>
      </c>
      <c r="C114" s="43" t="s">
        <v>60</v>
      </c>
      <c r="D114" s="43" t="s">
        <v>155</v>
      </c>
      <c r="E114" s="25">
        <v>42546.652557870373</v>
      </c>
      <c r="F114" s="25">
        <v>42546.653958333336</v>
      </c>
      <c r="G114" s="31">
        <v>2</v>
      </c>
      <c r="H114" s="25" t="s">
        <v>365</v>
      </c>
      <c r="I114" s="25">
        <v>42546.683206018519</v>
      </c>
      <c r="J114" s="43">
        <v>0</v>
      </c>
      <c r="K114" s="43" t="str">
        <f>IF(ISEVEN(B114),(B114-1)&amp;"/"&amp;B114,B114&amp;"/"&amp;(B114+1))</f>
        <v>4017/4018</v>
      </c>
      <c r="L114" s="43" t="str">
        <f>VLOOKUP(A114,'Trips&amp;Operators'!$C$1:$E$10000,3,FALSE)</f>
        <v>STEWART</v>
      </c>
      <c r="M114" s="11">
        <f>I114-F114</f>
        <v>2.9247685182781424E-2</v>
      </c>
      <c r="N114" s="12">
        <f>24*60*SUM($M114:$M114)</f>
        <v>42.116666663205251</v>
      </c>
      <c r="O114" s="12"/>
      <c r="P114" s="12"/>
      <c r="Q114" s="44"/>
      <c r="R114" s="44"/>
      <c r="S114" s="70">
        <f>SUM(U114:U114)/12</f>
        <v>1</v>
      </c>
      <c r="T114" s="2" t="str">
        <f>IF(ISEVEN(LEFT(A114,3)),"Southbound","NorthBound")</f>
        <v>NorthBound</v>
      </c>
      <c r="U114" s="2">
        <f>COUNTIFS(Variables!$M$2:$M$19, "&gt;=" &amp; Y114, Variables!$M$2:$M$19, "&lt;=" &amp; Z114)</f>
        <v>12</v>
      </c>
      <c r="V114" s="48" t="str">
        <f>"https://search-rtdc-monitor-bjffxe2xuh6vdkpspy63sjmuny.us-east-1.es.amazonaws.com/_plugin/kibana/#/discover/Steve-Slow-Train-Analysis-(2080s-and-2083s)?_g=(refreshInterval:(display:Off,section:0,value:0),time:(from:'"&amp;TEXT(E114-1/24/60,"yyyy-MM-DD hh:mm:ss")&amp;"-0600',mode:absolute,to:'"&amp;TEXT(I114+1/24/60,"yyyy-MM-DD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114&amp;"%22')),sort:!(Time,asc))"</f>
        <v>https://search-rtdc-monitor-bjffxe2xuh6vdkpspy63sjmuny.us-east-1.es.amazonaws.com/_plugin/kibana/#/discover/Steve-Slow-Train-Analysis-(2080s-and-2083s)?_g=(refreshInterval:(display:Off,section:0,value:0),time:(from:'2016-06-25 15:38:41-0600',mode:absolute,to:'2016-06-25 16:24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14" s="48" t="str">
        <f>IF(AA114&lt;23,"Y","N")</f>
        <v>N</v>
      </c>
      <c r="X114" s="48">
        <f>VALUE(LEFT(A114,3))-VALUE(LEFT(A113,3))</f>
        <v>1</v>
      </c>
      <c r="Y114" s="48">
        <f>RIGHT(D114,LEN(D114)-4)/10000</f>
        <v>4.7100000000000003E-2</v>
      </c>
      <c r="Z114" s="48">
        <f>RIGHT(H114,LEN(H114)-4)/10000</f>
        <v>23.330400000000001</v>
      </c>
      <c r="AA114" s="48">
        <f>ABS(Z114-Y114)</f>
        <v>23.283300000000001</v>
      </c>
      <c r="AB114" s="49" t="e">
        <f>VLOOKUP(A114,Enforcements!$C$7:$J$32,8,0)</f>
        <v>#N/A</v>
      </c>
      <c r="AC114" s="49" t="e">
        <f>VLOOKUP(A114,Enforcements!$C$7:$E$32,3,0)</f>
        <v>#N/A</v>
      </c>
    </row>
    <row r="115" spans="1:29" s="2" customFormat="1" x14ac:dyDescent="0.25">
      <c r="A115" s="43" t="s">
        <v>411</v>
      </c>
      <c r="B115" s="43">
        <v>4017</v>
      </c>
      <c r="C115" s="43" t="s">
        <v>60</v>
      </c>
      <c r="D115" s="43" t="s">
        <v>187</v>
      </c>
      <c r="E115" s="25">
        <v>42546.689050925925</v>
      </c>
      <c r="F115" s="25">
        <v>42546.690451388888</v>
      </c>
      <c r="G115" s="31">
        <v>2</v>
      </c>
      <c r="H115" s="25" t="s">
        <v>340</v>
      </c>
      <c r="I115" s="25">
        <v>42546.725972222222</v>
      </c>
      <c r="J115" s="43">
        <v>0</v>
      </c>
      <c r="K115" s="43" t="str">
        <f>IF(ISEVEN(B115),(B115-1)&amp;"/"&amp;B115,B115&amp;"/"&amp;(B115+1))</f>
        <v>4017/4018</v>
      </c>
      <c r="L115" s="43" t="str">
        <f>VLOOKUP(A115,'Trips&amp;Operators'!$C$1:$E$10000,3,FALSE)</f>
        <v>STEWART</v>
      </c>
      <c r="M115" s="11">
        <f>I115-F115</f>
        <v>3.5520833334885538E-2</v>
      </c>
      <c r="N115" s="12">
        <f>24*60*SUM($M115:$M115)</f>
        <v>51.150000002235174</v>
      </c>
      <c r="O115" s="12"/>
      <c r="P115" s="12"/>
      <c r="Q115" s="44"/>
      <c r="R115" s="44"/>
      <c r="S115" s="70">
        <f>SUM(U115:U115)/12</f>
        <v>1</v>
      </c>
      <c r="T115" s="2" t="str">
        <f>IF(ISEVEN(LEFT(A115,3)),"Southbound","NorthBound")</f>
        <v>Southbound</v>
      </c>
      <c r="U115" s="2">
        <f>COUNTIFS(Variables!$M$2:$M$19, "&lt;=" &amp; Y115, Variables!$M$2:$M$19, "&gt;=" &amp; Z115)</f>
        <v>12</v>
      </c>
      <c r="V115" s="48" t="str">
        <f>"https://search-rtdc-monitor-bjffxe2xuh6vdkpspy63sjmuny.us-east-1.es.amazonaws.com/_plugin/kibana/#/discover/Steve-Slow-Train-Analysis-(2080s-and-2083s)?_g=(refreshInterval:(display:Off,section:0,value:0),time:(from:'"&amp;TEXT(E115-1/24/60,"yyyy-MM-DD hh:mm:ss")&amp;"-0600',mode:absolute,to:'"&amp;TEXT(I115+1/24/60,"yyyy-MM-DD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115&amp;"%22')),sort:!(Time,asc))"</f>
        <v>https://search-rtdc-monitor-bjffxe2xuh6vdkpspy63sjmuny.us-east-1.es.amazonaws.com/_plugin/kibana/#/discover/Steve-Slow-Train-Analysis-(2080s-and-2083s)?_g=(refreshInterval:(display:Off,section:0,value:0),time:(from:'2016-06-25 16:31:14-0600',mode:absolute,to:'2016-06-25 17:26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15" s="48" t="str">
        <f>IF(AA115&lt;23,"Y","N")</f>
        <v>N</v>
      </c>
      <c r="X115" s="48">
        <f>VALUE(LEFT(A115,3))-VALUE(LEFT(A114,3))</f>
        <v>1</v>
      </c>
      <c r="Y115" s="48">
        <f>RIGHT(D115,LEN(D115)-4)/10000</f>
        <v>23.2987</v>
      </c>
      <c r="Z115" s="48">
        <f>RIGHT(H115,LEN(H115)-4)/10000</f>
        <v>1.54E-2</v>
      </c>
      <c r="AA115" s="48">
        <f>ABS(Z115-Y115)</f>
        <v>23.283300000000001</v>
      </c>
      <c r="AB115" s="49" t="e">
        <f>VLOOKUP(A115,Enforcements!$C$7:$J$32,8,0)</f>
        <v>#N/A</v>
      </c>
      <c r="AC115" s="49" t="e">
        <f>VLOOKUP(A115,Enforcements!$C$7:$E$32,3,0)</f>
        <v>#N/A</v>
      </c>
    </row>
    <row r="116" spans="1:29" s="2" customFormat="1" x14ac:dyDescent="0.25">
      <c r="A116" s="43" t="s">
        <v>412</v>
      </c>
      <c r="B116" s="43">
        <v>4042</v>
      </c>
      <c r="C116" s="43" t="s">
        <v>60</v>
      </c>
      <c r="D116" s="43" t="s">
        <v>114</v>
      </c>
      <c r="E116" s="25">
        <v>42546.66202546296</v>
      </c>
      <c r="F116" s="25">
        <v>42546.663530092592</v>
      </c>
      <c r="G116" s="31">
        <v>2</v>
      </c>
      <c r="H116" s="25" t="s">
        <v>104</v>
      </c>
      <c r="I116" s="25">
        <v>42546.693425925929</v>
      </c>
      <c r="J116" s="43">
        <v>0</v>
      </c>
      <c r="K116" s="43" t="str">
        <f>IF(ISEVEN(B116),(B116-1)&amp;"/"&amp;B116,B116&amp;"/"&amp;(B116+1))</f>
        <v>4041/4042</v>
      </c>
      <c r="L116" s="43" t="str">
        <f>VLOOKUP(A116,'Trips&amp;Operators'!$C$1:$E$10000,3,FALSE)</f>
        <v>MAYBERRY</v>
      </c>
      <c r="M116" s="11">
        <f>I116-F116</f>
        <v>2.9895833336922806E-2</v>
      </c>
      <c r="N116" s="12">
        <f>24*60*SUM($M116:$M116)</f>
        <v>43.05000000516884</v>
      </c>
      <c r="O116" s="12"/>
      <c r="P116" s="12"/>
      <c r="Q116" s="44"/>
      <c r="R116" s="44"/>
      <c r="S116" s="70">
        <f>SUM(U116:U116)/12</f>
        <v>1</v>
      </c>
      <c r="T116" s="2" t="str">
        <f>IF(ISEVEN(LEFT(A116,3)),"Southbound","NorthBound")</f>
        <v>NorthBound</v>
      </c>
      <c r="U116" s="2">
        <f>COUNTIFS(Variables!$M$2:$M$19, "&gt;=" &amp; Y116, Variables!$M$2:$M$19, "&lt;=" &amp; Z116)</f>
        <v>12</v>
      </c>
      <c r="V116" s="48" t="str">
        <f>"https://search-rtdc-monitor-bjffxe2xuh6vdkpspy63sjmuny.us-east-1.es.amazonaws.com/_plugin/kibana/#/discover/Steve-Slow-Train-Analysis-(2080s-and-2083s)?_g=(refreshInterval:(display:Off,section:0,value:0),time:(from:'"&amp;TEXT(E116-1/24/60,"yyyy-MM-DD hh:mm:ss")&amp;"-0600',mode:absolute,to:'"&amp;TEXT(I116+1/24/60,"yyyy-MM-DD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116&amp;"%22')),sort:!(Time,asc))"</f>
        <v>https://search-rtdc-monitor-bjffxe2xuh6vdkpspy63sjmuny.us-east-1.es.amazonaws.com/_plugin/kibana/#/discover/Steve-Slow-Train-Analysis-(2080s-and-2083s)?_g=(refreshInterval:(display:Off,section:0,value:0),time:(from:'2016-06-25 15:52:19-0600',mode:absolute,to:'2016-06-25 16:39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16" s="48" t="str">
        <f>IF(AA116&lt;23,"Y","N")</f>
        <v>N</v>
      </c>
      <c r="X116" s="48">
        <f>VALUE(LEFT(A116,3))-VALUE(LEFT(A115,3))</f>
        <v>1</v>
      </c>
      <c r="Y116" s="48">
        <f>RIGHT(D116,LEN(D116)-4)/10000</f>
        <v>4.6699999999999998E-2</v>
      </c>
      <c r="Z116" s="48">
        <f>RIGHT(H116,LEN(H116)-4)/10000</f>
        <v>23.329699999999999</v>
      </c>
      <c r="AA116" s="48">
        <f>ABS(Z116-Y116)</f>
        <v>23.282999999999998</v>
      </c>
      <c r="AB116" s="49" t="e">
        <f>VLOOKUP(A116,Enforcements!$C$7:$J$32,8,0)</f>
        <v>#N/A</v>
      </c>
      <c r="AC116" s="49" t="e">
        <f>VLOOKUP(A116,Enforcements!$C$7:$E$32,3,0)</f>
        <v>#N/A</v>
      </c>
    </row>
    <row r="117" spans="1:29" s="2" customFormat="1" x14ac:dyDescent="0.25">
      <c r="A117" s="43" t="s">
        <v>413</v>
      </c>
      <c r="B117" s="43">
        <v>4041</v>
      </c>
      <c r="C117" s="43" t="s">
        <v>60</v>
      </c>
      <c r="D117" s="43" t="s">
        <v>173</v>
      </c>
      <c r="E117" s="25">
        <v>42546.697696759256</v>
      </c>
      <c r="F117" s="25">
        <v>42546.698599537034</v>
      </c>
      <c r="G117" s="31">
        <v>1</v>
      </c>
      <c r="H117" s="25" t="s">
        <v>157</v>
      </c>
      <c r="I117" s="25">
        <v>42546.735381944447</v>
      </c>
      <c r="J117" s="43">
        <v>0</v>
      </c>
      <c r="K117" s="43" t="str">
        <f>IF(ISEVEN(B117),(B117-1)&amp;"/"&amp;B117,B117&amp;"/"&amp;(B117+1))</f>
        <v>4041/4042</v>
      </c>
      <c r="L117" s="43" t="str">
        <f>VLOOKUP(A117,'Trips&amp;Operators'!$C$1:$E$10000,3,FALSE)</f>
        <v>MAYBERRY</v>
      </c>
      <c r="M117" s="11">
        <f>I117-F117</f>
        <v>3.6782407412829343E-2</v>
      </c>
      <c r="N117" s="12">
        <f>24*60*SUM($M117:$M117)</f>
        <v>52.966666674474254</v>
      </c>
      <c r="O117" s="12"/>
      <c r="P117" s="12"/>
      <c r="Q117" s="44"/>
      <c r="R117" s="44"/>
      <c r="S117" s="70">
        <f>SUM(U117:U117)/12</f>
        <v>1</v>
      </c>
      <c r="T117" s="2" t="str">
        <f>IF(ISEVEN(LEFT(A117,3)),"Southbound","NorthBound")</f>
        <v>Southbound</v>
      </c>
      <c r="U117" s="2">
        <f>COUNTIFS(Variables!$M$2:$M$19, "&lt;=" &amp; Y117, Variables!$M$2:$M$19, "&gt;=" &amp; Z117)</f>
        <v>12</v>
      </c>
      <c r="V117" s="48" t="str">
        <f>"https://search-rtdc-monitor-bjffxe2xuh6vdkpspy63sjmuny.us-east-1.es.amazonaws.com/_plugin/kibana/#/discover/Steve-Slow-Train-Analysis-(2080s-and-2083s)?_g=(refreshInterval:(display:Off,section:0,value:0),time:(from:'"&amp;TEXT(E117-1/24/60,"yyyy-MM-DD hh:mm:ss")&amp;"-0600',mode:absolute,to:'"&amp;TEXT(I117+1/24/60,"yyyy-MM-DD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117&amp;"%22')),sort:!(Time,asc))"</f>
        <v>https://search-rtdc-monitor-bjffxe2xuh6vdkpspy63sjmuny.us-east-1.es.amazonaws.com/_plugin/kibana/#/discover/Steve-Slow-Train-Analysis-(2080s-and-2083s)?_g=(refreshInterval:(display:Off,section:0,value:0),time:(from:'2016-06-25 16:43:41-0600',mode:absolute,to:'2016-06-25 17:39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17" s="48" t="str">
        <f>IF(AA117&lt;23,"Y","N")</f>
        <v>N</v>
      </c>
      <c r="X117" s="48">
        <f>VALUE(LEFT(A117,3))-VALUE(LEFT(A116,3))</f>
        <v>1</v>
      </c>
      <c r="Y117" s="48">
        <f>RIGHT(D117,LEN(D117)-4)/10000</f>
        <v>23.296900000000001</v>
      </c>
      <c r="Z117" s="48">
        <f>RIGHT(H117,LEN(H117)-4)/10000</f>
        <v>1.43E-2</v>
      </c>
      <c r="AA117" s="48">
        <f>ABS(Z117-Y117)</f>
        <v>23.282600000000002</v>
      </c>
      <c r="AB117" s="49" t="e">
        <f>VLOOKUP(A117,Enforcements!$C$7:$J$32,8,0)</f>
        <v>#N/A</v>
      </c>
      <c r="AC117" s="49" t="e">
        <f>VLOOKUP(A117,Enforcements!$C$7:$E$32,3,0)</f>
        <v>#N/A</v>
      </c>
    </row>
    <row r="118" spans="1:29" s="2" customFormat="1" x14ac:dyDescent="0.25">
      <c r="A118" s="43" t="s">
        <v>414</v>
      </c>
      <c r="B118" s="43">
        <v>4025</v>
      </c>
      <c r="C118" s="43" t="s">
        <v>60</v>
      </c>
      <c r="D118" s="43" t="s">
        <v>161</v>
      </c>
      <c r="E118" s="25">
        <v>42546.674178240741</v>
      </c>
      <c r="F118" s="25">
        <v>42546.675127314818</v>
      </c>
      <c r="G118" s="31">
        <v>1</v>
      </c>
      <c r="H118" s="25" t="s">
        <v>208</v>
      </c>
      <c r="I118" s="25">
        <v>42546.705520833333</v>
      </c>
      <c r="J118" s="43">
        <v>0</v>
      </c>
      <c r="K118" s="43" t="str">
        <f>IF(ISEVEN(B118),(B118-1)&amp;"/"&amp;B118,B118&amp;"/"&amp;(B118+1))</f>
        <v>4025/4026</v>
      </c>
      <c r="L118" s="43" t="str">
        <f>VLOOKUP(A118,'Trips&amp;Operators'!$C$1:$E$10000,3,FALSE)</f>
        <v>WEBSTER</v>
      </c>
      <c r="M118" s="11">
        <f>I118-F118</f>
        <v>3.0393518514756579E-2</v>
      </c>
      <c r="N118" s="12">
        <f>24*60*SUM($M118:$M118)</f>
        <v>43.766666661249474</v>
      </c>
      <c r="O118" s="12"/>
      <c r="P118" s="12"/>
      <c r="Q118" s="44"/>
      <c r="R118" s="44"/>
      <c r="S118" s="70">
        <f>SUM(U118:U118)/12</f>
        <v>1</v>
      </c>
      <c r="T118" s="2" t="str">
        <f>IF(ISEVEN(LEFT(A118,3)),"Southbound","NorthBound")</f>
        <v>NorthBound</v>
      </c>
      <c r="U118" s="2">
        <f>COUNTIFS(Variables!$M$2:$M$19, "&gt;=" &amp; Y118, Variables!$M$2:$M$19, "&lt;=" &amp; Z118)</f>
        <v>12</v>
      </c>
      <c r="V118" s="48" t="str">
        <f>"https://search-rtdc-monitor-bjffxe2xuh6vdkpspy63sjmuny.us-east-1.es.amazonaws.com/_plugin/kibana/#/discover/Steve-Slow-Train-Analysis-(2080s-and-2083s)?_g=(refreshInterval:(display:Off,section:0,value:0),time:(from:'"&amp;TEXT(E118-1/24/60,"yyyy-MM-DD hh:mm:ss")&amp;"-0600',mode:absolute,to:'"&amp;TEXT(I118+1/24/60,"yyyy-MM-DD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118&amp;"%22')),sort:!(Time,asc))"</f>
        <v>https://search-rtdc-monitor-bjffxe2xuh6vdkpspy63sjmuny.us-east-1.es.amazonaws.com/_plugin/kibana/#/discover/Steve-Slow-Train-Analysis-(2080s-and-2083s)?_g=(refreshInterval:(display:Off,section:0,value:0),time:(from:'2016-06-25 16:09:49-0600',mode:absolute,to:'2016-06-25 16:56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18" s="48" t="str">
        <f>IF(AA118&lt;23,"Y","N")</f>
        <v>N</v>
      </c>
      <c r="X118" s="48">
        <f>VALUE(LEFT(A118,3))-VALUE(LEFT(A117,3))</f>
        <v>1</v>
      </c>
      <c r="Y118" s="48">
        <f>RIGHT(D118,LEN(D118)-4)/10000</f>
        <v>4.7500000000000001E-2</v>
      </c>
      <c r="Z118" s="48">
        <f>RIGHT(H118,LEN(H118)-4)/10000</f>
        <v>23.331199999999999</v>
      </c>
      <c r="AA118" s="48">
        <f>ABS(Z118-Y118)</f>
        <v>23.2837</v>
      </c>
      <c r="AB118" s="49" t="e">
        <f>VLOOKUP(A118,Enforcements!$C$7:$J$32,8,0)</f>
        <v>#N/A</v>
      </c>
      <c r="AC118" s="49" t="e">
        <f>VLOOKUP(A118,Enforcements!$C$7:$E$32,3,0)</f>
        <v>#N/A</v>
      </c>
    </row>
    <row r="119" spans="1:29" s="2" customFormat="1" x14ac:dyDescent="0.25">
      <c r="A119" s="43" t="s">
        <v>415</v>
      </c>
      <c r="B119" s="43">
        <v>4026</v>
      </c>
      <c r="C119" s="43" t="s">
        <v>60</v>
      </c>
      <c r="D119" s="43" t="s">
        <v>416</v>
      </c>
      <c r="E119" s="25">
        <v>42546.713819444441</v>
      </c>
      <c r="F119" s="25">
        <v>42546.71534722222</v>
      </c>
      <c r="G119" s="31">
        <v>2</v>
      </c>
      <c r="H119" s="25" t="s">
        <v>76</v>
      </c>
      <c r="I119" s="25">
        <v>42546.744687500002</v>
      </c>
      <c r="J119" s="43">
        <v>0</v>
      </c>
      <c r="K119" s="43" t="str">
        <f>IF(ISEVEN(B119),(B119-1)&amp;"/"&amp;B119,B119&amp;"/"&amp;(B119+1))</f>
        <v>4025/4026</v>
      </c>
      <c r="L119" s="43" t="str">
        <f>VLOOKUP(A119,'Trips&amp;Operators'!$C$1:$E$10000,3,FALSE)</f>
        <v>WEBSTER</v>
      </c>
      <c r="M119" s="11">
        <f>I119-F119</f>
        <v>2.9340277782466728E-2</v>
      </c>
      <c r="N119" s="12">
        <f>24*60*SUM($M119:$M119)</f>
        <v>42.250000006752089</v>
      </c>
      <c r="O119" s="12"/>
      <c r="P119" s="12"/>
      <c r="Q119" s="44"/>
      <c r="R119" s="44"/>
      <c r="S119" s="70">
        <f>SUM(U119:U119)/12</f>
        <v>1</v>
      </c>
      <c r="T119" s="2" t="str">
        <f>IF(ISEVEN(LEFT(A119,3)),"Southbound","NorthBound")</f>
        <v>Southbound</v>
      </c>
      <c r="U119" s="2">
        <f>COUNTIFS(Variables!$M$2:$M$19, "&lt;=" &amp; Y119, Variables!$M$2:$M$19, "&gt;=" &amp; Z119)</f>
        <v>12</v>
      </c>
      <c r="V119" s="48" t="str">
        <f>"https://search-rtdc-monitor-bjffxe2xuh6vdkpspy63sjmuny.us-east-1.es.amazonaws.com/_plugin/kibana/#/discover/Steve-Slow-Train-Analysis-(2080s-and-2083s)?_g=(refreshInterval:(display:Off,section:0,value:0),time:(from:'"&amp;TEXT(E119-1/24/60,"yyyy-MM-DD hh:mm:ss")&amp;"-0600',mode:absolute,to:'"&amp;TEXT(I119+1/24/60,"yyyy-MM-DD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119&amp;"%22')),sort:!(Time,asc))"</f>
        <v>https://search-rtdc-monitor-bjffxe2xuh6vdkpspy63sjmuny.us-east-1.es.amazonaws.com/_plugin/kibana/#/discover/Steve-Slow-Train-Analysis-(2080s-and-2083s)?_g=(refreshInterval:(display:Off,section:0,value:0),time:(from:'2016-06-25 17:06:54-0600',mode:absolute,to:'2016-06-25 17:53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19" s="48" t="str">
        <f>IF(AA119&lt;23,"Y","N")</f>
        <v>N</v>
      </c>
      <c r="X119" s="48">
        <f>VALUE(LEFT(A119,3))-VALUE(LEFT(A118,3))</f>
        <v>1</v>
      </c>
      <c r="Y119" s="48">
        <f>RIGHT(D119,LEN(D119)-4)/10000</f>
        <v>23.299099999999999</v>
      </c>
      <c r="Z119" s="48">
        <f>RIGHT(H119,LEN(H119)-4)/10000</f>
        <v>1.49E-2</v>
      </c>
      <c r="AA119" s="48">
        <f>ABS(Z119-Y119)</f>
        <v>23.284199999999998</v>
      </c>
      <c r="AB119" s="49" t="e">
        <f>VLOOKUP(A119,Enforcements!$C$7:$J$32,8,0)</f>
        <v>#N/A</v>
      </c>
      <c r="AC119" s="49" t="e">
        <f>VLOOKUP(A119,Enforcements!$C$7:$E$32,3,0)</f>
        <v>#N/A</v>
      </c>
    </row>
    <row r="120" spans="1:29" s="2" customFormat="1" x14ac:dyDescent="0.25">
      <c r="A120" s="43" t="s">
        <v>417</v>
      </c>
      <c r="B120" s="43">
        <v>4044</v>
      </c>
      <c r="C120" s="43" t="s">
        <v>60</v>
      </c>
      <c r="D120" s="43" t="s">
        <v>418</v>
      </c>
      <c r="E120" s="25">
        <v>42546.681585648148</v>
      </c>
      <c r="F120" s="25">
        <v>42546.68310185185</v>
      </c>
      <c r="G120" s="31">
        <v>2</v>
      </c>
      <c r="H120" s="25" t="s">
        <v>101</v>
      </c>
      <c r="I120" s="25">
        <v>42546.714502314811</v>
      </c>
      <c r="J120" s="43">
        <v>0</v>
      </c>
      <c r="K120" s="43" t="str">
        <f>IF(ISEVEN(B120),(B120-1)&amp;"/"&amp;B120,B120&amp;"/"&amp;(B120+1))</f>
        <v>4043/4044</v>
      </c>
      <c r="L120" s="43" t="str">
        <f>VLOOKUP(A120,'Trips&amp;Operators'!$C$1:$E$10000,3,FALSE)</f>
        <v>RIVERA</v>
      </c>
      <c r="M120" s="11">
        <f>I120-F120</f>
        <v>3.1400462961755693E-2</v>
      </c>
      <c r="N120" s="12">
        <f>24*60*SUM($M120:$M120)</f>
        <v>45.216666664928198</v>
      </c>
      <c r="O120" s="12"/>
      <c r="P120" s="12"/>
      <c r="Q120" s="44"/>
      <c r="R120" s="44"/>
      <c r="S120" s="70">
        <f>SUM(U120:U120)/12</f>
        <v>1</v>
      </c>
      <c r="T120" s="2" t="str">
        <f>IF(ISEVEN(LEFT(A120,3)),"Southbound","NorthBound")</f>
        <v>NorthBound</v>
      </c>
      <c r="U120" s="2">
        <f>COUNTIFS(Variables!$M$2:$M$19, "&gt;=" &amp; Y120, Variables!$M$2:$M$19, "&lt;=" &amp; Z120)</f>
        <v>12</v>
      </c>
      <c r="V120" s="48" t="str">
        <f>"https://search-rtdc-monitor-bjffxe2xuh6vdkpspy63sjmuny.us-east-1.es.amazonaws.com/_plugin/kibana/#/discover/Steve-Slow-Train-Analysis-(2080s-and-2083s)?_g=(refreshInterval:(display:Off,section:0,value:0),time:(from:'"&amp;TEXT(E120-1/24/60,"yyyy-MM-DD hh:mm:ss")&amp;"-0600',mode:absolute,to:'"&amp;TEXT(I120+1/24/60,"yyyy-MM-DD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120&amp;"%22')),sort:!(Time,asc))"</f>
        <v>https://search-rtdc-monitor-bjffxe2xuh6vdkpspy63sjmuny.us-east-1.es.amazonaws.com/_plugin/kibana/#/discover/Steve-Slow-Train-Analysis-(2080s-and-2083s)?_g=(refreshInterval:(display:Off,section:0,value:0),time:(from:'2016-06-25 16:20:29-0600',mode:absolute,to:'2016-06-25 17:09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20" s="48" t="str">
        <f>IF(AA120&lt;23,"Y","N")</f>
        <v>N</v>
      </c>
      <c r="X120" s="48">
        <f>VALUE(LEFT(A120,3))-VALUE(LEFT(A119,3))</f>
        <v>1</v>
      </c>
      <c r="Y120" s="48">
        <f>RIGHT(D120,LEN(D120)-4)/10000</f>
        <v>4.3700000000000003E-2</v>
      </c>
      <c r="Z120" s="48">
        <f>RIGHT(H120,LEN(H120)-4)/10000</f>
        <v>23.329499999999999</v>
      </c>
      <c r="AA120" s="48">
        <f>ABS(Z120-Y120)</f>
        <v>23.285799999999998</v>
      </c>
      <c r="AB120" s="49" t="e">
        <f>VLOOKUP(A120,Enforcements!$C$7:$J$32,8,0)</f>
        <v>#N/A</v>
      </c>
      <c r="AC120" s="49" t="e">
        <f>VLOOKUP(A120,Enforcements!$C$7:$E$32,3,0)</f>
        <v>#N/A</v>
      </c>
    </row>
    <row r="121" spans="1:29" s="2" customFormat="1" x14ac:dyDescent="0.25">
      <c r="A121" s="43" t="s">
        <v>419</v>
      </c>
      <c r="B121" s="43">
        <v>4043</v>
      </c>
      <c r="C121" s="43" t="s">
        <v>60</v>
      </c>
      <c r="D121" s="43" t="s">
        <v>182</v>
      </c>
      <c r="E121" s="25">
        <v>42546.720752314817</v>
      </c>
      <c r="F121" s="25">
        <v>42546.721956018519</v>
      </c>
      <c r="G121" s="31">
        <v>1</v>
      </c>
      <c r="H121" s="25" t="s">
        <v>112</v>
      </c>
      <c r="I121" s="25">
        <v>42546.753391203703</v>
      </c>
      <c r="J121" s="43">
        <v>0</v>
      </c>
      <c r="K121" s="43" t="str">
        <f>IF(ISEVEN(B121),(B121-1)&amp;"/"&amp;B121,B121&amp;"/"&amp;(B121+1))</f>
        <v>4043/4044</v>
      </c>
      <c r="L121" s="43" t="str">
        <f>VLOOKUP(A121,'Trips&amp;Operators'!$C$1:$E$10000,3,FALSE)</f>
        <v>RIVERA</v>
      </c>
      <c r="M121" s="11">
        <f>I121-F121</f>
        <v>3.1435185184818693E-2</v>
      </c>
      <c r="N121" s="12">
        <f>24*60*SUM($M121:$M121)</f>
        <v>45.266666666138917</v>
      </c>
      <c r="O121" s="12"/>
      <c r="P121" s="12"/>
      <c r="Q121" s="44"/>
      <c r="R121" s="44"/>
      <c r="S121" s="70">
        <f>SUM(U121:U121)/12</f>
        <v>1</v>
      </c>
      <c r="T121" s="2" t="str">
        <f>IF(ISEVEN(LEFT(A121,3)),"Southbound","NorthBound")</f>
        <v>Southbound</v>
      </c>
      <c r="U121" s="2">
        <f>COUNTIFS(Variables!$M$2:$M$19, "&lt;=" &amp; Y121, Variables!$M$2:$M$19, "&gt;=" &amp; Z121)</f>
        <v>12</v>
      </c>
      <c r="V121" s="48" t="str">
        <f>"https://search-rtdc-monitor-bjffxe2xuh6vdkpspy63sjmuny.us-east-1.es.amazonaws.com/_plugin/kibana/#/discover/Steve-Slow-Train-Analysis-(2080s-and-2083s)?_g=(refreshInterval:(display:Off,section:0,value:0),time:(from:'"&amp;TEXT(E121-1/24/60,"yyyy-MM-DD hh:mm:ss")&amp;"-0600',mode:absolute,to:'"&amp;TEXT(I121+1/24/60,"yyyy-MM-DD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121&amp;"%22')),sort:!(Time,asc))"</f>
        <v>https://search-rtdc-monitor-bjffxe2xuh6vdkpspy63sjmuny.us-east-1.es.amazonaws.com/_plugin/kibana/#/discover/Steve-Slow-Train-Analysis-(2080s-and-2083s)?_g=(refreshInterval:(display:Off,section:0,value:0),time:(from:'2016-06-25 17:16:53-0600',mode:absolute,to:'2016-06-25 18:05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21" s="48" t="str">
        <f>IF(AA121&lt;23,"Y","N")</f>
        <v>N</v>
      </c>
      <c r="X121" s="48">
        <f>VALUE(LEFT(A121,3))-VALUE(LEFT(A120,3))</f>
        <v>1</v>
      </c>
      <c r="Y121" s="48">
        <f>RIGHT(D121,LEN(D121)-4)/10000</f>
        <v>23.2971</v>
      </c>
      <c r="Z121" s="48">
        <f>RIGHT(H121,LEN(H121)-4)/10000</f>
        <v>1.3899999999999999E-2</v>
      </c>
      <c r="AA121" s="48">
        <f>ABS(Z121-Y121)</f>
        <v>23.283200000000001</v>
      </c>
      <c r="AB121" s="49" t="e">
        <f>VLOOKUP(A121,Enforcements!$C$7:$J$32,8,0)</f>
        <v>#N/A</v>
      </c>
      <c r="AC121" s="49" t="e">
        <f>VLOOKUP(A121,Enforcements!$C$7:$E$32,3,0)</f>
        <v>#N/A</v>
      </c>
    </row>
    <row r="122" spans="1:29" s="2" customFormat="1" x14ac:dyDescent="0.25">
      <c r="A122" s="43" t="s">
        <v>420</v>
      </c>
      <c r="B122" s="43">
        <v>4007</v>
      </c>
      <c r="C122" s="43" t="s">
        <v>60</v>
      </c>
      <c r="D122" s="43" t="s">
        <v>155</v>
      </c>
      <c r="E122" s="25">
        <v>42546.694594907407</v>
      </c>
      <c r="F122" s="25">
        <v>42546.695532407408</v>
      </c>
      <c r="G122" s="31">
        <v>1</v>
      </c>
      <c r="H122" s="25" t="s">
        <v>208</v>
      </c>
      <c r="I122" s="25">
        <v>42547.244884259257</v>
      </c>
      <c r="J122" s="43">
        <v>0</v>
      </c>
      <c r="K122" s="43" t="str">
        <f>IF(ISEVEN(B122),(B122-1)&amp;"/"&amp;B122,B122&amp;"/"&amp;(B122+1))</f>
        <v>4007/4008</v>
      </c>
      <c r="L122" s="43" t="str">
        <f>VLOOKUP(A122,'Trips&amp;Operators'!$C$1:$E$10000,3,FALSE)</f>
        <v>YANAI</v>
      </c>
      <c r="M122" s="11">
        <f>I122-F122</f>
        <v>0.549351851848769</v>
      </c>
      <c r="N122" s="12">
        <f>24*60*SUM($M122:$M122)</f>
        <v>791.06666666222736</v>
      </c>
      <c r="O122" s="12"/>
      <c r="P122" s="12"/>
      <c r="Q122" s="44"/>
      <c r="R122" s="44"/>
      <c r="S122" s="70">
        <f>SUM(U122:U122)/12</f>
        <v>1</v>
      </c>
      <c r="T122" s="2" t="str">
        <f>IF(ISEVEN(LEFT(A122,3)),"Southbound","NorthBound")</f>
        <v>NorthBound</v>
      </c>
      <c r="U122" s="2">
        <f>COUNTIFS(Variables!$M$2:$M$19, "&gt;=" &amp; Y122, Variables!$M$2:$M$19, "&lt;=" &amp; Z122)</f>
        <v>12</v>
      </c>
      <c r="V122" s="48" t="str">
        <f>"https://search-rtdc-monitor-bjffxe2xuh6vdkpspy63sjmuny.us-east-1.es.amazonaws.com/_plugin/kibana/#/discover/Steve-Slow-Train-Analysis-(2080s-and-2083s)?_g=(refreshInterval:(display:Off,section:0,value:0),time:(from:'"&amp;TEXT(E122-1/24/60,"yyyy-MM-DD hh:mm:ss")&amp;"-0600',mode:absolute,to:'"&amp;TEXT(I122+1/24/60,"yyyy-MM-DD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122&amp;"%22')),sort:!(Time,asc))"</f>
        <v>https://search-rtdc-monitor-bjffxe2xuh6vdkpspy63sjmuny.us-east-1.es.amazonaws.com/_plugin/kibana/#/discover/Steve-Slow-Train-Analysis-(2080s-and-2083s)?_g=(refreshInterval:(display:Off,section:0,value:0),time:(from:'2016-06-25 16:39:13-0600',mode:absolute,to:'2016-06-26 05:53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22" s="48" t="str">
        <f>IF(AA122&lt;23,"Y","N")</f>
        <v>N</v>
      </c>
      <c r="X122" s="48">
        <f>VALUE(LEFT(A122,3))-VALUE(LEFT(A121,3))</f>
        <v>1</v>
      </c>
      <c r="Y122" s="48">
        <f>RIGHT(D122,LEN(D122)-4)/10000</f>
        <v>4.7100000000000003E-2</v>
      </c>
      <c r="Z122" s="48">
        <f>RIGHT(H122,LEN(H122)-4)/10000</f>
        <v>23.331199999999999</v>
      </c>
      <c r="AA122" s="48">
        <f>ABS(Z122-Y122)</f>
        <v>23.284099999999999</v>
      </c>
      <c r="AB122" s="49" t="e">
        <f>VLOOKUP(A122,Enforcements!$C$7:$J$32,8,0)</f>
        <v>#N/A</v>
      </c>
      <c r="AC122" s="49" t="e">
        <f>VLOOKUP(A122,Enforcements!$C$7:$E$32,3,0)</f>
        <v>#N/A</v>
      </c>
    </row>
    <row r="123" spans="1:29" s="2" customFormat="1" x14ac:dyDescent="0.25">
      <c r="A123" s="43" t="s">
        <v>420</v>
      </c>
      <c r="B123" s="43">
        <v>4007</v>
      </c>
      <c r="C123" s="43" t="s">
        <v>60</v>
      </c>
      <c r="D123" s="43" t="s">
        <v>114</v>
      </c>
      <c r="E123" s="25">
        <v>42546.694594907407</v>
      </c>
      <c r="F123" s="25">
        <v>42546.697245370371</v>
      </c>
      <c r="G123" s="31">
        <v>3</v>
      </c>
      <c r="H123" s="25" t="s">
        <v>208</v>
      </c>
      <c r="I123" s="25">
        <v>42547.244884259257</v>
      </c>
      <c r="J123" s="43">
        <v>0</v>
      </c>
      <c r="K123" s="43" t="str">
        <f>IF(ISEVEN(B123),(B123-1)&amp;"/"&amp;B123,B123&amp;"/"&amp;(B123+1))</f>
        <v>4007/4008</v>
      </c>
      <c r="L123" s="43" t="str">
        <f>VLOOKUP(A123,'Trips&amp;Operators'!$C$1:$E$10000,3,FALSE)</f>
        <v>YANAI</v>
      </c>
      <c r="M123" s="11">
        <f>I123-F123</f>
        <v>0.54763888888555812</v>
      </c>
      <c r="N123" s="12">
        <f>24*60*SUM($M123:$M123)</f>
        <v>788.59999999520369</v>
      </c>
      <c r="O123" s="12"/>
      <c r="P123" s="12"/>
      <c r="Q123" s="44"/>
      <c r="R123" s="44"/>
      <c r="S123" s="70">
        <f>SUM(U123:U123)/12</f>
        <v>1</v>
      </c>
      <c r="T123" s="2" t="str">
        <f>IF(ISEVEN(LEFT(A123,3)),"Southbound","NorthBound")</f>
        <v>NorthBound</v>
      </c>
      <c r="U123" s="2">
        <f>COUNTIFS(Variables!$M$2:$M$19, "&gt;=" &amp; Y123, Variables!$M$2:$M$19, "&lt;=" &amp; Z123)</f>
        <v>12</v>
      </c>
      <c r="V123" s="48" t="str">
        <f>"https://search-rtdc-monitor-bjffxe2xuh6vdkpspy63sjmuny.us-east-1.es.amazonaws.com/_plugin/kibana/#/discover/Steve-Slow-Train-Analysis-(2080s-and-2083s)?_g=(refreshInterval:(display:Off,section:0,value:0),time:(from:'"&amp;TEXT(E123-1/24/60,"yyyy-MM-DD hh:mm:ss")&amp;"-0600',mode:absolute,to:'"&amp;TEXT(I123+1/24/60,"yyyy-MM-DD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123&amp;"%22')),sort:!(Time,asc))"</f>
        <v>https://search-rtdc-monitor-bjffxe2xuh6vdkpspy63sjmuny.us-east-1.es.amazonaws.com/_plugin/kibana/#/discover/Steve-Slow-Train-Analysis-(2080s-and-2083s)?_g=(refreshInterval:(display:Off,section:0,value:0),time:(from:'2016-06-25 16:39:13-0600',mode:absolute,to:'2016-06-26 05:53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23" s="48" t="str">
        <f>IF(AA123&lt;23,"Y","N")</f>
        <v>N</v>
      </c>
      <c r="X123" s="48">
        <f>VALUE(LEFT(A123,3))-VALUE(LEFT(A122,3))</f>
        <v>0</v>
      </c>
      <c r="Y123" s="48">
        <f>RIGHT(D123,LEN(D123)-4)/10000</f>
        <v>4.6699999999999998E-2</v>
      </c>
      <c r="Z123" s="48">
        <f>RIGHT(H123,LEN(H123)-4)/10000</f>
        <v>23.331199999999999</v>
      </c>
      <c r="AA123" s="48">
        <f>ABS(Z123-Y123)</f>
        <v>23.284499999999998</v>
      </c>
      <c r="AB123" s="49" t="e">
        <f>VLOOKUP(A123,Enforcements!$C$7:$J$32,8,0)</f>
        <v>#N/A</v>
      </c>
      <c r="AC123" s="49" t="e">
        <f>VLOOKUP(A123,Enforcements!$C$7:$E$32,3,0)</f>
        <v>#N/A</v>
      </c>
    </row>
    <row r="124" spans="1:29" s="2" customFormat="1" x14ac:dyDescent="0.25">
      <c r="A124" s="43" t="s">
        <v>421</v>
      </c>
      <c r="B124" s="43">
        <v>4008</v>
      </c>
      <c r="C124" s="43" t="s">
        <v>60</v>
      </c>
      <c r="D124" s="43" t="s">
        <v>121</v>
      </c>
      <c r="E124" s="25">
        <v>42546.734756944446</v>
      </c>
      <c r="F124" s="25">
        <v>42546.735960648148</v>
      </c>
      <c r="G124" s="31">
        <v>1</v>
      </c>
      <c r="H124" s="25" t="s">
        <v>422</v>
      </c>
      <c r="I124" s="25">
        <v>42546.76390046296</v>
      </c>
      <c r="J124" s="43">
        <v>0</v>
      </c>
      <c r="K124" s="43" t="str">
        <f>IF(ISEVEN(B124),(B124-1)&amp;"/"&amp;B124,B124&amp;"/"&amp;(B124+1))</f>
        <v>4007/4008</v>
      </c>
      <c r="L124" s="43" t="str">
        <f>VLOOKUP(A124,'Trips&amp;Operators'!$C$1:$E$10000,3,FALSE)</f>
        <v>YANAI</v>
      </c>
      <c r="M124" s="11">
        <f>I124-F124</f>
        <v>2.7939814812270924E-2</v>
      </c>
      <c r="N124" s="12">
        <f>24*60*SUM($M124:$M124)</f>
        <v>40.233333329670131</v>
      </c>
      <c r="O124" s="12"/>
      <c r="P124" s="12"/>
      <c r="Q124" s="44"/>
      <c r="R124" s="44"/>
      <c r="S124" s="70">
        <f>SUM(U124:U124)/12</f>
        <v>1</v>
      </c>
      <c r="T124" s="2" t="str">
        <f>IF(ISEVEN(LEFT(A124,3)),"Southbound","NorthBound")</f>
        <v>Southbound</v>
      </c>
      <c r="U124" s="2">
        <f>COUNTIFS(Variables!$M$2:$M$19, "&lt;=" &amp; Y124, Variables!$M$2:$M$19, "&gt;=" &amp; Z124)</f>
        <v>12</v>
      </c>
      <c r="V124" s="48" t="str">
        <f>"https://search-rtdc-monitor-bjffxe2xuh6vdkpspy63sjmuny.us-east-1.es.amazonaws.com/_plugin/kibana/#/discover/Steve-Slow-Train-Analysis-(2080s-and-2083s)?_g=(refreshInterval:(display:Off,section:0,value:0),time:(from:'"&amp;TEXT(E124-1/24/60,"yyyy-MM-DD hh:mm:ss")&amp;"-0600',mode:absolute,to:'"&amp;TEXT(I124+1/24/60,"yyyy-MM-DD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124&amp;"%22')),sort:!(Time,asc))"</f>
        <v>https://search-rtdc-monitor-bjffxe2xuh6vdkpspy63sjmuny.us-east-1.es.amazonaws.com/_plugin/kibana/#/discover/Steve-Slow-Train-Analysis-(2080s-and-2083s)?_g=(refreshInterval:(display:Off,section:0,value:0),time:(from:'2016-06-25 17:37:03-0600',mode:absolute,to:'2016-06-25 18:21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24" s="48" t="str">
        <f>IF(AA124&lt;23,"Y","N")</f>
        <v>N</v>
      </c>
      <c r="X124" s="48">
        <f>VALUE(LEFT(A124,3))-VALUE(LEFT(A123,3))</f>
        <v>1</v>
      </c>
      <c r="Y124" s="48">
        <f>RIGHT(D124,LEN(D124)-4)/10000</f>
        <v>23.298300000000001</v>
      </c>
      <c r="Z124" s="48">
        <f>RIGHT(H124,LEN(H124)-4)/10000</f>
        <v>0.1188</v>
      </c>
      <c r="AA124" s="48">
        <f>ABS(Z124-Y124)</f>
        <v>23.179500000000001</v>
      </c>
      <c r="AB124" s="49" t="e">
        <f>VLOOKUP(A124,Enforcements!$C$7:$J$32,8,0)</f>
        <v>#N/A</v>
      </c>
      <c r="AC124" s="49" t="e">
        <f>VLOOKUP(A124,Enforcements!$C$7:$E$32,3,0)</f>
        <v>#N/A</v>
      </c>
    </row>
    <row r="125" spans="1:29" s="2" customFormat="1" x14ac:dyDescent="0.25">
      <c r="A125" s="43" t="s">
        <v>423</v>
      </c>
      <c r="B125" s="43">
        <v>4024</v>
      </c>
      <c r="C125" s="43" t="s">
        <v>60</v>
      </c>
      <c r="D125" s="43" t="s">
        <v>110</v>
      </c>
      <c r="E125" s="25">
        <v>42546.704259259262</v>
      </c>
      <c r="F125" s="25">
        <v>42546.70516203704</v>
      </c>
      <c r="G125" s="31">
        <v>1</v>
      </c>
      <c r="H125" s="25" t="s">
        <v>424</v>
      </c>
      <c r="I125" s="25">
        <v>42546.734548611108</v>
      </c>
      <c r="J125" s="43">
        <v>0</v>
      </c>
      <c r="K125" s="43" t="str">
        <f>IF(ISEVEN(B125),(B125-1)&amp;"/"&amp;B125,B125&amp;"/"&amp;(B125+1))</f>
        <v>4023/4024</v>
      </c>
      <c r="L125" s="43" t="str">
        <f>VLOOKUP(A125,'Trips&amp;Operators'!$C$1:$E$10000,3,FALSE)</f>
        <v>LOCKLEAR</v>
      </c>
      <c r="M125" s="11">
        <f>I125-F125</f>
        <v>2.9386574067757465E-2</v>
      </c>
      <c r="N125" s="12">
        <f>24*60*SUM($M125:$M125)</f>
        <v>42.31666665757075</v>
      </c>
      <c r="O125" s="12"/>
      <c r="P125" s="12"/>
      <c r="Q125" s="44"/>
      <c r="R125" s="44"/>
      <c r="S125" s="70">
        <f>SUM(U125:U125)/12</f>
        <v>1</v>
      </c>
      <c r="T125" s="2" t="str">
        <f>IF(ISEVEN(LEFT(A125,3)),"Southbound","NorthBound")</f>
        <v>NorthBound</v>
      </c>
      <c r="U125" s="2">
        <f>COUNTIFS(Variables!$M$2:$M$19, "&gt;=" &amp; Y125, Variables!$M$2:$M$19, "&lt;=" &amp; Z125)</f>
        <v>12</v>
      </c>
      <c r="V125" s="48" t="str">
        <f>"https://search-rtdc-monitor-bjffxe2xuh6vdkpspy63sjmuny.us-east-1.es.amazonaws.com/_plugin/kibana/#/discover/Steve-Slow-Train-Analysis-(2080s-and-2083s)?_g=(refreshInterval:(display:Off,section:0,value:0),time:(from:'"&amp;TEXT(E125-1/24/60,"yyyy-MM-DD hh:mm:ss")&amp;"-0600',mode:absolute,to:'"&amp;TEXT(I125+1/24/60,"yyyy-MM-DD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125&amp;"%22')),sort:!(Time,asc))"</f>
        <v>https://search-rtdc-monitor-bjffxe2xuh6vdkpspy63sjmuny.us-east-1.es.amazonaws.com/_plugin/kibana/#/discover/Steve-Slow-Train-Analysis-(2080s-and-2083s)?_g=(refreshInterval:(display:Off,section:0,value:0),time:(from:'2016-06-25 16:53:08-0600',mode:absolute,to:'2016-06-25 17:38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25" s="48" t="str">
        <f>IF(AA125&lt;23,"Y","N")</f>
        <v>N</v>
      </c>
      <c r="X125" s="48">
        <f>VALUE(LEFT(A125,3))-VALUE(LEFT(A124,3))</f>
        <v>1</v>
      </c>
      <c r="Y125" s="48">
        <f>RIGHT(D125,LEN(D125)-4)/10000</f>
        <v>4.6899999999999997E-2</v>
      </c>
      <c r="Z125" s="48">
        <f>RIGHT(H125,LEN(H125)-4)/10000</f>
        <v>23.3339</v>
      </c>
      <c r="AA125" s="48">
        <f>ABS(Z125-Y125)</f>
        <v>23.286999999999999</v>
      </c>
      <c r="AB125" s="49" t="e">
        <f>VLOOKUP(A125,Enforcements!$C$7:$J$32,8,0)</f>
        <v>#N/A</v>
      </c>
      <c r="AC125" s="49" t="e">
        <f>VLOOKUP(A125,Enforcements!$C$7:$E$32,3,0)</f>
        <v>#N/A</v>
      </c>
    </row>
    <row r="126" spans="1:29" s="2" customFormat="1" x14ac:dyDescent="0.25">
      <c r="A126" s="43" t="s">
        <v>425</v>
      </c>
      <c r="B126" s="43">
        <v>4023</v>
      </c>
      <c r="C126" s="43" t="s">
        <v>60</v>
      </c>
      <c r="D126" s="43" t="s">
        <v>426</v>
      </c>
      <c r="E126" s="25">
        <v>42546.743842592594</v>
      </c>
      <c r="F126" s="25">
        <v>42546.744976851849</v>
      </c>
      <c r="G126" s="31">
        <v>1</v>
      </c>
      <c r="H126" s="25" t="s">
        <v>75</v>
      </c>
      <c r="I126" s="25">
        <v>42546.775520833333</v>
      </c>
      <c r="J126" s="43">
        <v>1</v>
      </c>
      <c r="K126" s="43" t="str">
        <f>IF(ISEVEN(B126),(B126-1)&amp;"/"&amp;B126,B126&amp;"/"&amp;(B126+1))</f>
        <v>4023/4024</v>
      </c>
      <c r="L126" s="43" t="str">
        <f>VLOOKUP(A126,'Trips&amp;Operators'!$C$1:$E$10000,3,FALSE)</f>
        <v>LOCKLEAR</v>
      </c>
      <c r="M126" s="11">
        <f>I126-F126</f>
        <v>3.054398148378823E-2</v>
      </c>
      <c r="N126" s="12">
        <f>24*60*SUM($M126:$M126)</f>
        <v>43.983333336655051</v>
      </c>
      <c r="O126" s="12"/>
      <c r="P126" s="12"/>
      <c r="Q126" s="44"/>
      <c r="R126" s="44"/>
      <c r="S126" s="70">
        <f>SUM(U126:U126)/12</f>
        <v>1</v>
      </c>
      <c r="T126" s="2" t="str">
        <f>IF(ISEVEN(LEFT(A126,3)),"Southbound","NorthBound")</f>
        <v>Southbound</v>
      </c>
      <c r="U126" s="2">
        <f>COUNTIFS(Variables!$M$2:$M$19, "&lt;=" &amp; Y126, Variables!$M$2:$M$19, "&gt;=" &amp; Z126)</f>
        <v>12</v>
      </c>
      <c r="V126" s="48" t="str">
        <f>"https://search-rtdc-monitor-bjffxe2xuh6vdkpspy63sjmuny.us-east-1.es.amazonaws.com/_plugin/kibana/#/discover/Steve-Slow-Train-Analysis-(2080s-and-2083s)?_g=(refreshInterval:(display:Off,section:0,value:0),time:(from:'"&amp;TEXT(E126-1/24/60,"yyyy-MM-DD hh:mm:ss")&amp;"-0600',mode:absolute,to:'"&amp;TEXT(I126+1/24/60,"yyyy-MM-DD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126&amp;"%22')),sort:!(Time,asc))"</f>
        <v>https://search-rtdc-monitor-bjffxe2xuh6vdkpspy63sjmuny.us-east-1.es.amazonaws.com/_plugin/kibana/#/discover/Steve-Slow-Train-Analysis-(2080s-and-2083s)?_g=(refreshInterval:(display:Off,section:0,value:0),time:(from:'2016-06-25 17:50:08-0600',mode:absolute,to:'2016-06-25 18:37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26" s="48" t="str">
        <f>IF(AA126&lt;23,"Y","N")</f>
        <v>N</v>
      </c>
      <c r="X126" s="48">
        <f>VALUE(LEFT(A126,3))-VALUE(LEFT(A125,3))</f>
        <v>1</v>
      </c>
      <c r="Y126" s="48">
        <f>RIGHT(D126,LEN(D126)-4)/10000</f>
        <v>23.302099999999999</v>
      </c>
      <c r="Z126" s="48">
        <f>RIGHT(H126,LEN(H126)-4)/10000</f>
        <v>1.5599999999999999E-2</v>
      </c>
      <c r="AA126" s="48">
        <f>ABS(Z126-Y126)</f>
        <v>23.2865</v>
      </c>
      <c r="AB126" s="49">
        <f>VLOOKUP(A126,Enforcements!$C$7:$J$32,8,0)</f>
        <v>42961</v>
      </c>
      <c r="AC126" s="49" t="str">
        <f>VLOOKUP(A126,Enforcements!$C$7:$E$32,3,0)</f>
        <v>GRADE CROSSING</v>
      </c>
    </row>
    <row r="127" spans="1:29" s="2" customFormat="1" x14ac:dyDescent="0.25">
      <c r="A127" s="43" t="s">
        <v>427</v>
      </c>
      <c r="B127" s="43">
        <v>4014</v>
      </c>
      <c r="C127" s="43" t="s">
        <v>60</v>
      </c>
      <c r="D127" s="43" t="s">
        <v>110</v>
      </c>
      <c r="E127" s="25">
        <v>42546.717013888891</v>
      </c>
      <c r="F127" s="25">
        <v>42546.718078703707</v>
      </c>
      <c r="G127" s="31">
        <v>1</v>
      </c>
      <c r="H127" s="25" t="s">
        <v>428</v>
      </c>
      <c r="I127" s="25">
        <v>42546.744085648148</v>
      </c>
      <c r="J127" s="43">
        <v>0</v>
      </c>
      <c r="K127" s="43" t="str">
        <f>IF(ISEVEN(B127),(B127-1)&amp;"/"&amp;B127,B127&amp;"/"&amp;(B127+1))</f>
        <v>4013/4014</v>
      </c>
      <c r="L127" s="43" t="str">
        <f>VLOOKUP(A127,'Trips&amp;Operators'!$C$1:$E$10000,3,FALSE)</f>
        <v>ACKERMAN</v>
      </c>
      <c r="M127" s="11">
        <f>I127-F127</f>
        <v>2.6006944441178348E-2</v>
      </c>
      <c r="N127" s="12">
        <f>24*60*SUM($M127:$M127)</f>
        <v>37.449999995296821</v>
      </c>
      <c r="O127" s="12"/>
      <c r="P127" s="12"/>
      <c r="Q127" s="44"/>
      <c r="R127" s="44"/>
      <c r="S127" s="70">
        <f>SUM(U127:U127)/12</f>
        <v>1</v>
      </c>
      <c r="T127" s="2" t="str">
        <f>IF(ISEVEN(LEFT(A127,3)),"Southbound","NorthBound")</f>
        <v>NorthBound</v>
      </c>
      <c r="U127" s="2">
        <f>COUNTIFS(Variables!$M$2:$M$19, "&gt;=" &amp; Y127, Variables!$M$2:$M$19, "&lt;=" &amp; Z127)</f>
        <v>12</v>
      </c>
      <c r="V127" s="48" t="str">
        <f>"https://search-rtdc-monitor-bjffxe2xuh6vdkpspy63sjmuny.us-east-1.es.amazonaws.com/_plugin/kibana/#/discover/Steve-Slow-Train-Analysis-(2080s-and-2083s)?_g=(refreshInterval:(display:Off,section:0,value:0),time:(from:'"&amp;TEXT(E127-1/24/60,"yyyy-MM-DD hh:mm:ss")&amp;"-0600',mode:absolute,to:'"&amp;TEXT(I127+1/24/60,"yyyy-MM-DD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127&amp;"%22')),sort:!(Time,asc))"</f>
        <v>https://search-rtdc-monitor-bjffxe2xuh6vdkpspy63sjmuny.us-east-1.es.amazonaws.com/_plugin/kibana/#/discover/Steve-Slow-Train-Analysis-(2080s-and-2083s)?_g=(refreshInterval:(display:Off,section:0,value:0),time:(from:'2016-06-25 17:11:30-0600',mode:absolute,to:'2016-06-25 17:52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27" s="48" t="str">
        <f>IF(AA127&lt;23,"Y","N")</f>
        <v>N</v>
      </c>
      <c r="X127" s="48">
        <f>VALUE(LEFT(A127,3))-VALUE(LEFT(A126,3))</f>
        <v>1</v>
      </c>
      <c r="Y127" s="48">
        <f>RIGHT(D127,LEN(D127)-4)/10000</f>
        <v>4.6899999999999997E-2</v>
      </c>
      <c r="Z127" s="48">
        <f>RIGHT(H127,LEN(H127)-4)/10000</f>
        <v>23.332899999999999</v>
      </c>
      <c r="AA127" s="48">
        <f>ABS(Z127-Y127)</f>
        <v>23.285999999999998</v>
      </c>
      <c r="AB127" s="49" t="e">
        <f>VLOOKUP(A127,Enforcements!$C$7:$J$32,8,0)</f>
        <v>#N/A</v>
      </c>
      <c r="AC127" s="49" t="e">
        <f>VLOOKUP(A127,Enforcements!$C$7:$E$32,3,0)</f>
        <v>#N/A</v>
      </c>
    </row>
    <row r="128" spans="1:29" s="2" customFormat="1" x14ac:dyDescent="0.25">
      <c r="A128" s="43" t="s">
        <v>429</v>
      </c>
      <c r="B128" s="43">
        <v>4013</v>
      </c>
      <c r="C128" s="43" t="s">
        <v>60</v>
      </c>
      <c r="D128" s="43" t="s">
        <v>405</v>
      </c>
      <c r="E128" s="25">
        <v>42546.750567129631</v>
      </c>
      <c r="F128" s="25">
        <v>42546.751643518517</v>
      </c>
      <c r="G128" s="31">
        <v>1</v>
      </c>
      <c r="H128" s="25" t="s">
        <v>183</v>
      </c>
      <c r="I128" s="25">
        <v>42546.786990740744</v>
      </c>
      <c r="J128" s="43">
        <v>0</v>
      </c>
      <c r="K128" s="43" t="str">
        <f>IF(ISEVEN(B128),(B128-1)&amp;"/"&amp;B128,B128&amp;"/"&amp;(B128+1))</f>
        <v>4013/4014</v>
      </c>
      <c r="L128" s="43" t="str">
        <f>VLOOKUP(A128,'Trips&amp;Operators'!$C$1:$E$10000,3,FALSE)</f>
        <v>ACKERMAN</v>
      </c>
      <c r="M128" s="11">
        <f>I128-F128</f>
        <v>3.5347222226846498E-2</v>
      </c>
      <c r="N128" s="12">
        <f>24*60*SUM($M128:$M128)</f>
        <v>50.900000006658956</v>
      </c>
      <c r="O128" s="12"/>
      <c r="P128" s="12"/>
      <c r="Q128" s="44"/>
      <c r="R128" s="44"/>
      <c r="S128" s="70">
        <f>SUM(U128:U128)/12</f>
        <v>1</v>
      </c>
      <c r="T128" s="2" t="str">
        <f>IF(ISEVEN(LEFT(A128,3)),"Southbound","NorthBound")</f>
        <v>Southbound</v>
      </c>
      <c r="U128" s="2">
        <f>COUNTIFS(Variables!$M$2:$M$19, "&lt;=" &amp; Y128, Variables!$M$2:$M$19, "&gt;=" &amp; Z128)</f>
        <v>12</v>
      </c>
      <c r="V128" s="48" t="str">
        <f>"https://search-rtdc-monitor-bjffxe2xuh6vdkpspy63sjmuny.us-east-1.es.amazonaws.com/_plugin/kibana/#/discover/Steve-Slow-Train-Analysis-(2080s-and-2083s)?_g=(refreshInterval:(display:Off,section:0,value:0),time:(from:'"&amp;TEXT(E128-1/24/60,"yyyy-MM-DD hh:mm:ss")&amp;"-0600',mode:absolute,to:'"&amp;TEXT(I128+1/24/60,"yyyy-MM-DD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128&amp;"%22')),sort:!(Time,asc))"</f>
        <v>https://search-rtdc-monitor-bjffxe2xuh6vdkpspy63sjmuny.us-east-1.es.amazonaws.com/_plugin/kibana/#/discover/Steve-Slow-Train-Analysis-(2080s-and-2083s)?_g=(refreshInterval:(display:Off,section:0,value:0),time:(from:'2016-06-25 17:59:49-0600',mode:absolute,to:'2016-06-25 18:54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28" s="48" t="str">
        <f>IF(AA128&lt;23,"Y","N")</f>
        <v>N</v>
      </c>
      <c r="X128" s="48">
        <f>VALUE(LEFT(A128,3))-VALUE(LEFT(A127,3))</f>
        <v>1</v>
      </c>
      <c r="Y128" s="48">
        <f>RIGHT(D128,LEN(D128)-4)/10000</f>
        <v>23.300999999999998</v>
      </c>
      <c r="Z128" s="48">
        <f>RIGHT(H128,LEN(H128)-4)/10000</f>
        <v>1.3599999999999999E-2</v>
      </c>
      <c r="AA128" s="48">
        <f>ABS(Z128-Y128)</f>
        <v>23.287399999999998</v>
      </c>
      <c r="AB128" s="49" t="e">
        <f>VLOOKUP(A128,Enforcements!$C$7:$J$32,8,0)</f>
        <v>#N/A</v>
      </c>
      <c r="AC128" s="49" t="e">
        <f>VLOOKUP(A128,Enforcements!$C$7:$E$32,3,0)</f>
        <v>#N/A</v>
      </c>
    </row>
    <row r="129" spans="1:29" s="2" customFormat="1" x14ac:dyDescent="0.25">
      <c r="A129" s="43" t="s">
        <v>430</v>
      </c>
      <c r="B129" s="43">
        <v>4018</v>
      </c>
      <c r="C129" s="43" t="s">
        <v>60</v>
      </c>
      <c r="D129" s="43" t="s">
        <v>102</v>
      </c>
      <c r="E129" s="25">
        <v>42546.727777777778</v>
      </c>
      <c r="F129" s="25">
        <v>42546.728726851848</v>
      </c>
      <c r="G129" s="31">
        <v>1</v>
      </c>
      <c r="H129" s="25" t="s">
        <v>431</v>
      </c>
      <c r="I129" s="25">
        <v>42546.756180555552</v>
      </c>
      <c r="J129" s="43">
        <v>1</v>
      </c>
      <c r="K129" s="43" t="str">
        <f>IF(ISEVEN(B129),(B129-1)&amp;"/"&amp;B129,B129&amp;"/"&amp;(B129+1))</f>
        <v>4017/4018</v>
      </c>
      <c r="L129" s="43" t="str">
        <f>VLOOKUP(A129,'Trips&amp;Operators'!$C$1:$E$10000,3,FALSE)</f>
        <v>STEWART</v>
      </c>
      <c r="M129" s="11">
        <f>I129-F129</f>
        <v>2.7453703703940846E-2</v>
      </c>
      <c r="N129" s="12">
        <f>24*60*SUM($M129:$M129)</f>
        <v>39.533333333674818</v>
      </c>
      <c r="O129" s="12"/>
      <c r="P129" s="12"/>
      <c r="Q129" s="44"/>
      <c r="R129" s="44"/>
      <c r="S129" s="70">
        <f>SUM(U129:U129)/12</f>
        <v>1</v>
      </c>
      <c r="T129" s="2" t="str">
        <f>IF(ISEVEN(LEFT(A129,3)),"Southbound","NorthBound")</f>
        <v>NorthBound</v>
      </c>
      <c r="U129" s="2">
        <f>COUNTIFS(Variables!$M$2:$M$19, "&gt;=" &amp; Y129, Variables!$M$2:$M$19, "&lt;=" &amp; Z129)</f>
        <v>12</v>
      </c>
      <c r="V129" s="48" t="str">
        <f>"https://search-rtdc-monitor-bjffxe2xuh6vdkpspy63sjmuny.us-east-1.es.amazonaws.com/_plugin/kibana/#/discover/Steve-Slow-Train-Analysis-(2080s-and-2083s)?_g=(refreshInterval:(display:Off,section:0,value:0),time:(from:'"&amp;TEXT(E129-1/24/60,"yyyy-MM-DD hh:mm:ss")&amp;"-0600',mode:absolute,to:'"&amp;TEXT(I129+1/24/60,"yyyy-MM-DD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129&amp;"%22')),sort:!(Time,asc))"</f>
        <v>https://search-rtdc-monitor-bjffxe2xuh6vdkpspy63sjmuny.us-east-1.es.amazonaws.com/_plugin/kibana/#/discover/Steve-Slow-Train-Analysis-(2080s-and-2083s)?_g=(refreshInterval:(display:Off,section:0,value:0),time:(from:'2016-06-25 17:27:00-0600',mode:absolute,to:'2016-06-25 18:09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29" s="48" t="str">
        <f>IF(AA129&lt;23,"Y","N")</f>
        <v>N</v>
      </c>
      <c r="X129" s="48">
        <f>VALUE(LEFT(A129,3))-VALUE(LEFT(A128,3))</f>
        <v>1</v>
      </c>
      <c r="Y129" s="48">
        <f>RIGHT(D129,LEN(D129)-4)/10000</f>
        <v>4.4699999999999997E-2</v>
      </c>
      <c r="Z129" s="48">
        <f>RIGHT(H129,LEN(H129)-4)/10000</f>
        <v>23.3232</v>
      </c>
      <c r="AA129" s="48">
        <f>ABS(Z129-Y129)</f>
        <v>23.278500000000001</v>
      </c>
      <c r="AB129" s="49" t="e">
        <f>VLOOKUP(A129,Enforcements!$C$7:$J$32,8,0)</f>
        <v>#N/A</v>
      </c>
      <c r="AC129" s="49" t="e">
        <f>VLOOKUP(A129,Enforcements!$C$7:$E$32,3,0)</f>
        <v>#N/A</v>
      </c>
    </row>
    <row r="130" spans="1:29" s="2" customFormat="1" x14ac:dyDescent="0.25">
      <c r="A130" s="43" t="s">
        <v>432</v>
      </c>
      <c r="B130" s="43">
        <v>4017</v>
      </c>
      <c r="C130" s="43" t="s">
        <v>60</v>
      </c>
      <c r="D130" s="43" t="s">
        <v>433</v>
      </c>
      <c r="E130" s="25">
        <v>42546.765694444446</v>
      </c>
      <c r="F130" s="25">
        <v>42546.766481481478</v>
      </c>
      <c r="G130" s="31">
        <v>1</v>
      </c>
      <c r="H130" s="25" t="s">
        <v>434</v>
      </c>
      <c r="I130" s="25">
        <v>42546.797754629632</v>
      </c>
      <c r="J130" s="43">
        <v>0</v>
      </c>
      <c r="K130" s="43" t="str">
        <f>IF(ISEVEN(B130),(B130-1)&amp;"/"&amp;B130,B130&amp;"/"&amp;(B130+1))</f>
        <v>4017/4018</v>
      </c>
      <c r="L130" s="43" t="str">
        <f>VLOOKUP(A130,'Trips&amp;Operators'!$C$1:$E$10000,3,FALSE)</f>
        <v>STEWART</v>
      </c>
      <c r="M130" s="11">
        <f>I130-F130</f>
        <v>3.1273148153559305E-2</v>
      </c>
      <c r="N130" s="12">
        <f>24*60*SUM($M130:$M130)</f>
        <v>45.033333341125399</v>
      </c>
      <c r="O130" s="12"/>
      <c r="P130" s="12"/>
      <c r="Q130" s="44"/>
      <c r="R130" s="44"/>
      <c r="S130" s="70">
        <f>SUM(U130:U130)/12</f>
        <v>1</v>
      </c>
      <c r="T130" s="2" t="str">
        <f>IF(ISEVEN(LEFT(A130,3)),"Southbound","NorthBound")</f>
        <v>Southbound</v>
      </c>
      <c r="U130" s="2">
        <f>COUNTIFS(Variables!$M$2:$M$19, "&lt;=" &amp; Y130, Variables!$M$2:$M$19, "&gt;=" &amp; Z130)</f>
        <v>12</v>
      </c>
      <c r="V130" s="48" t="str">
        <f>"https://search-rtdc-monitor-bjffxe2xuh6vdkpspy63sjmuny.us-east-1.es.amazonaws.com/_plugin/kibana/#/discover/Steve-Slow-Train-Analysis-(2080s-and-2083s)?_g=(refreshInterval:(display:Off,section:0,value:0),time:(from:'"&amp;TEXT(E130-1/24/60,"yyyy-MM-DD hh:mm:ss")&amp;"-0600',mode:absolute,to:'"&amp;TEXT(I130+1/24/60,"yyyy-MM-DD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130&amp;"%22')),sort:!(Time,asc))"</f>
        <v>https://search-rtdc-monitor-bjffxe2xuh6vdkpspy63sjmuny.us-east-1.es.amazonaws.com/_plugin/kibana/#/discover/Steve-Slow-Train-Analysis-(2080s-and-2083s)?_g=(refreshInterval:(display:Off,section:0,value:0),time:(from:'2016-06-25 18:21:36-0600',mode:absolute,to:'2016-06-25 19:09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30" s="48" t="str">
        <f>IF(AA130&lt;23,"Y","N")</f>
        <v>N</v>
      </c>
      <c r="X130" s="48">
        <f>VALUE(LEFT(A130,3))-VALUE(LEFT(A129,3))</f>
        <v>1</v>
      </c>
      <c r="Y130" s="48">
        <f>RIGHT(D130,LEN(D130)-4)/10000</f>
        <v>23.290199999999999</v>
      </c>
      <c r="Z130" s="48">
        <f>RIGHT(H130,LEN(H130)-4)/10000</f>
        <v>1.67E-2</v>
      </c>
      <c r="AA130" s="48">
        <f>ABS(Z130-Y130)</f>
        <v>23.273499999999999</v>
      </c>
      <c r="AB130" s="49" t="e">
        <f>VLOOKUP(A130,Enforcements!$C$7:$J$32,8,0)</f>
        <v>#N/A</v>
      </c>
      <c r="AC130" s="49" t="e">
        <f>VLOOKUP(A130,Enforcements!$C$7:$E$32,3,0)</f>
        <v>#N/A</v>
      </c>
    </row>
    <row r="131" spans="1:29" s="2" customFormat="1" x14ac:dyDescent="0.25">
      <c r="A131" s="43" t="s">
        <v>435</v>
      </c>
      <c r="B131" s="43">
        <v>4042</v>
      </c>
      <c r="C131" s="43" t="s">
        <v>60</v>
      </c>
      <c r="D131" s="43" t="s">
        <v>87</v>
      </c>
      <c r="E131" s="25">
        <v>42546.737743055557</v>
      </c>
      <c r="F131" s="25">
        <v>42546.738796296297</v>
      </c>
      <c r="G131" s="31">
        <v>1</v>
      </c>
      <c r="H131" s="25" t="s">
        <v>153</v>
      </c>
      <c r="I131" s="25">
        <v>42546.765370370369</v>
      </c>
      <c r="J131" s="43">
        <v>0</v>
      </c>
      <c r="K131" s="43" t="str">
        <f>IF(ISEVEN(B131),(B131-1)&amp;"/"&amp;B131,B131&amp;"/"&amp;(B131+1))</f>
        <v>4041/4042</v>
      </c>
      <c r="L131" s="43" t="str">
        <f>VLOOKUP(A131,'Trips&amp;Operators'!$C$1:$E$10000,3,FALSE)</f>
        <v>LEVERE</v>
      </c>
      <c r="M131" s="11">
        <f>I131-F131</f>
        <v>2.6574074072414078E-2</v>
      </c>
      <c r="N131" s="12">
        <f>24*60*SUM($M131:$M131)</f>
        <v>38.266666664276272</v>
      </c>
      <c r="O131" s="12"/>
      <c r="P131" s="12"/>
      <c r="Q131" s="44"/>
      <c r="R131" s="44"/>
      <c r="S131" s="70">
        <f>SUM(U131:U131)/12</f>
        <v>1</v>
      </c>
      <c r="T131" s="2" t="str">
        <f>IF(ISEVEN(LEFT(A131,3)),"Southbound","NorthBound")</f>
        <v>NorthBound</v>
      </c>
      <c r="U131" s="2">
        <f>COUNTIFS(Variables!$M$2:$M$19, "&gt;=" &amp; Y131, Variables!$M$2:$M$19, "&lt;=" &amp; Z131)</f>
        <v>12</v>
      </c>
      <c r="V131" s="48" t="str">
        <f>"https://search-rtdc-monitor-bjffxe2xuh6vdkpspy63sjmuny.us-east-1.es.amazonaws.com/_plugin/kibana/#/discover/Steve-Slow-Train-Analysis-(2080s-and-2083s)?_g=(refreshInterval:(display:Off,section:0,value:0),time:(from:'"&amp;TEXT(E131-1/24/60,"yyyy-MM-DD hh:mm:ss")&amp;"-0600',mode:absolute,to:'"&amp;TEXT(I131+1/24/60,"yyyy-MM-DD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131&amp;"%22')),sort:!(Time,asc))"</f>
        <v>https://search-rtdc-monitor-bjffxe2xuh6vdkpspy63sjmuny.us-east-1.es.amazonaws.com/_plugin/kibana/#/discover/Steve-Slow-Train-Analysis-(2080s-and-2083s)?_g=(refreshInterval:(display:Off,section:0,value:0),time:(from:'2016-06-25 17:41:21-0600',mode:absolute,to:'2016-06-25 18:23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31" s="48" t="str">
        <f>IF(AA131&lt;23,"Y","N")</f>
        <v>N</v>
      </c>
      <c r="X131" s="48">
        <f>VALUE(LEFT(A131,3))-VALUE(LEFT(A130,3))</f>
        <v>1</v>
      </c>
      <c r="Y131" s="48">
        <f>RIGHT(D131,LEN(D131)-4)/10000</f>
        <v>4.6399999999999997E-2</v>
      </c>
      <c r="Z131" s="48">
        <f>RIGHT(H131,LEN(H131)-4)/10000</f>
        <v>23.3263</v>
      </c>
      <c r="AA131" s="48">
        <f>ABS(Z131-Y131)</f>
        <v>23.279900000000001</v>
      </c>
      <c r="AB131" s="49" t="e">
        <f>VLOOKUP(A131,Enforcements!$C$7:$J$32,8,0)</f>
        <v>#N/A</v>
      </c>
      <c r="AC131" s="49" t="e">
        <f>VLOOKUP(A131,Enforcements!$C$7:$E$32,3,0)</f>
        <v>#N/A</v>
      </c>
    </row>
    <row r="132" spans="1:29" s="2" customFormat="1" x14ac:dyDescent="0.25">
      <c r="A132" s="43" t="s">
        <v>436</v>
      </c>
      <c r="B132" s="43">
        <v>4041</v>
      </c>
      <c r="C132" s="43" t="s">
        <v>60</v>
      </c>
      <c r="D132" s="43" t="s">
        <v>438</v>
      </c>
      <c r="E132" s="25">
        <v>42546.769803240742</v>
      </c>
      <c r="F132" s="25">
        <v>42546.770902777775</v>
      </c>
      <c r="G132" s="31">
        <v>1</v>
      </c>
      <c r="H132" s="25" t="s">
        <v>68</v>
      </c>
      <c r="I132" s="25">
        <v>42546.805405092593</v>
      </c>
      <c r="J132" s="43">
        <v>0</v>
      </c>
      <c r="K132" s="43" t="str">
        <f>IF(ISEVEN(B132),(B132-1)&amp;"/"&amp;B132,B132&amp;"/"&amp;(B132+1))</f>
        <v>4041/4042</v>
      </c>
      <c r="L132" s="43" t="str">
        <f>VLOOKUP(A132,'Trips&amp;Operators'!$C$1:$E$10000,3,FALSE)</f>
        <v>LEVERE</v>
      </c>
      <c r="M132" s="11">
        <f>I132-F132</f>
        <v>3.4502314818382729E-2</v>
      </c>
      <c r="N132" s="12">
        <f>24*60*SUM($M132:$M132)</f>
        <v>49.68333333847113</v>
      </c>
      <c r="O132" s="12"/>
      <c r="P132" s="12"/>
      <c r="Q132" s="44"/>
      <c r="R132" s="44"/>
      <c r="S132" s="70">
        <f>SUM(U132:U132)/12</f>
        <v>1</v>
      </c>
      <c r="T132" s="2" t="str">
        <f>IF(ISEVEN(LEFT(A132,3)),"Southbound","NorthBound")</f>
        <v>Southbound</v>
      </c>
      <c r="U132" s="2">
        <f>COUNTIFS(Variables!$M$2:$M$19, "&lt;=" &amp; Y132, Variables!$M$2:$M$19, "&gt;=" &amp; Z132)</f>
        <v>12</v>
      </c>
      <c r="V132" s="48" t="str">
        <f>"https://search-rtdc-monitor-bjffxe2xuh6vdkpspy63sjmuny.us-east-1.es.amazonaws.com/_plugin/kibana/#/discover/Steve-Slow-Train-Analysis-(2080s-and-2083s)?_g=(refreshInterval:(display:Off,section:0,value:0),time:(from:'"&amp;TEXT(E132-1/24/60,"yyyy-MM-DD hh:mm:ss")&amp;"-0600',mode:absolute,to:'"&amp;TEXT(I132+1/24/60,"yyyy-MM-DD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132&amp;"%22')),sort:!(Time,asc))"</f>
        <v>https://search-rtdc-monitor-bjffxe2xuh6vdkpspy63sjmuny.us-east-1.es.amazonaws.com/_plugin/kibana/#/discover/Steve-Slow-Train-Analysis-(2080s-and-2083s)?_g=(refreshInterval:(display:Off,section:0,value:0),time:(from:'2016-06-25 18:27:31-0600',mode:absolute,to:'2016-06-25 19:20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32" s="48" t="str">
        <f>IF(AA132&lt;23,"Y","N")</f>
        <v>N</v>
      </c>
      <c r="X132" s="48">
        <f>VALUE(LEFT(A132,3))-VALUE(LEFT(A131,3))</f>
        <v>1</v>
      </c>
      <c r="Y132" s="48">
        <f>RIGHT(D132,LEN(D132)-4)/10000</f>
        <v>23.294699999999999</v>
      </c>
      <c r="Z132" s="48">
        <f>RIGHT(H132,LEN(H132)-4)/10000</f>
        <v>1.6E-2</v>
      </c>
      <c r="AA132" s="48">
        <f>ABS(Z132-Y132)</f>
        <v>23.278700000000001</v>
      </c>
      <c r="AB132" s="49" t="e">
        <f>VLOOKUP(A132,Enforcements!$C$7:$J$32,8,0)</f>
        <v>#N/A</v>
      </c>
      <c r="AC132" s="49" t="e">
        <f>VLOOKUP(A132,Enforcements!$C$7:$E$32,3,0)</f>
        <v>#N/A</v>
      </c>
    </row>
    <row r="133" spans="1:29" s="2" customFormat="1" x14ac:dyDescent="0.25">
      <c r="A133" s="43" t="s">
        <v>436</v>
      </c>
      <c r="B133" s="43">
        <v>4041</v>
      </c>
      <c r="C133" s="43" t="s">
        <v>60</v>
      </c>
      <c r="D133" s="43" t="s">
        <v>437</v>
      </c>
      <c r="E133" s="25">
        <v>42546.769803240742</v>
      </c>
      <c r="F133" s="25">
        <v>42546.778726851851</v>
      </c>
      <c r="G133" s="31">
        <v>12</v>
      </c>
      <c r="H133" s="25" t="s">
        <v>68</v>
      </c>
      <c r="I133" s="25">
        <v>42546.805405092593</v>
      </c>
      <c r="J133" s="43">
        <v>0</v>
      </c>
      <c r="K133" s="43" t="str">
        <f>IF(ISEVEN(B133),(B133-1)&amp;"/"&amp;B133,B133&amp;"/"&amp;(B133+1))</f>
        <v>4041/4042</v>
      </c>
      <c r="L133" s="43" t="str">
        <f>VLOOKUP(A133,'Trips&amp;Operators'!$C$1:$E$10000,3,FALSE)</f>
        <v>LEVERE</v>
      </c>
      <c r="M133" s="11">
        <f>I133-F133</f>
        <v>2.6678240741603076E-2</v>
      </c>
      <c r="N133" s="12">
        <f>24*60*SUM($M133:$M133)</f>
        <v>38.41666666790843</v>
      </c>
      <c r="O133" s="12"/>
      <c r="P133" s="12"/>
      <c r="Q133" s="44"/>
      <c r="R133" s="44"/>
      <c r="S133" s="70">
        <f>SUM(U133:U133)/12</f>
        <v>1</v>
      </c>
      <c r="T133" s="2" t="str">
        <f>IF(ISEVEN(LEFT(A133,3)),"Southbound","NorthBound")</f>
        <v>Southbound</v>
      </c>
      <c r="U133" s="2">
        <f>COUNTIFS(Variables!$M$2:$M$19, "&lt;=" &amp; Y133, Variables!$M$2:$M$19, "&gt;=" &amp; Z133)</f>
        <v>12</v>
      </c>
      <c r="V133" s="48" t="str">
        <f>"https://search-rtdc-monitor-bjffxe2xuh6vdkpspy63sjmuny.us-east-1.es.amazonaws.com/_plugin/kibana/#/discover/Steve-Slow-Train-Analysis-(2080s-and-2083s)?_g=(refreshInterval:(display:Off,section:0,value:0),time:(from:'"&amp;TEXT(E133-1/24/60,"yyyy-MM-DD hh:mm:ss")&amp;"-0600',mode:absolute,to:'"&amp;TEXT(I133+1/24/60,"yyyy-MM-DD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133&amp;"%22')),sort:!(Time,asc))"</f>
        <v>https://search-rtdc-monitor-bjffxe2xuh6vdkpspy63sjmuny.us-east-1.es.amazonaws.com/_plugin/kibana/#/discover/Steve-Slow-Train-Analysis-(2080s-and-2083s)?_g=(refreshInterval:(display:Off,section:0,value:0),time:(from:'2016-06-25 18:27:31-0600',mode:absolute,to:'2016-06-25 19:20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33" s="48" t="str">
        <f>IF(AA133&lt;23,"Y","N")</f>
        <v>N</v>
      </c>
      <c r="X133" s="48">
        <f>VALUE(LEFT(A133,3))-VALUE(LEFT(A132,3))</f>
        <v>0</v>
      </c>
      <c r="Y133" s="48">
        <f>RIGHT(D133,LEN(D133)-4)/10000</f>
        <v>23.293199999999999</v>
      </c>
      <c r="Z133" s="48">
        <f>RIGHT(H133,LEN(H133)-4)/10000</f>
        <v>1.6E-2</v>
      </c>
      <c r="AA133" s="48">
        <f>ABS(Z133-Y133)</f>
        <v>23.277200000000001</v>
      </c>
      <c r="AB133" s="49" t="e">
        <f>VLOOKUP(A133,Enforcements!$C$7:$J$32,8,0)</f>
        <v>#N/A</v>
      </c>
      <c r="AC133" s="49" t="e">
        <f>VLOOKUP(A133,Enforcements!$C$7:$E$32,3,0)</f>
        <v>#N/A</v>
      </c>
    </row>
    <row r="134" spans="1:29" s="2" customFormat="1" x14ac:dyDescent="0.25">
      <c r="A134" s="43" t="s">
        <v>439</v>
      </c>
      <c r="B134" s="43">
        <v>4025</v>
      </c>
      <c r="C134" s="43" t="s">
        <v>60</v>
      </c>
      <c r="D134" s="43" t="s">
        <v>303</v>
      </c>
      <c r="E134" s="25">
        <v>42546.745995370373</v>
      </c>
      <c r="F134" s="25">
        <v>42546.74722222222</v>
      </c>
      <c r="G134" s="31">
        <v>1</v>
      </c>
      <c r="H134" s="25" t="s">
        <v>440</v>
      </c>
      <c r="I134" s="25">
        <v>42546.776574074072</v>
      </c>
      <c r="J134" s="43">
        <v>2</v>
      </c>
      <c r="K134" s="43" t="str">
        <f>IF(ISEVEN(B134),(B134-1)&amp;"/"&amp;B134,B134&amp;"/"&amp;(B134+1))</f>
        <v>4025/4026</v>
      </c>
      <c r="L134" s="43" t="str">
        <f>VLOOKUP(A134,'Trips&amp;Operators'!$C$1:$E$10000,3,FALSE)</f>
        <v>WEBSTER</v>
      </c>
      <c r="M134" s="11">
        <f>I134-F134</f>
        <v>2.9351851851970423E-2</v>
      </c>
      <c r="N134" s="12">
        <f>24*60*SUM($M134:$M134)</f>
        <v>42.266666666837409</v>
      </c>
      <c r="O134" s="12"/>
      <c r="P134" s="12"/>
      <c r="Q134" s="44"/>
      <c r="R134" s="44"/>
      <c r="S134" s="70">
        <f>SUM(U134:U134)/12</f>
        <v>1</v>
      </c>
      <c r="T134" s="2" t="str">
        <f>IF(ISEVEN(LEFT(A134,3)),"Southbound","NorthBound")</f>
        <v>NorthBound</v>
      </c>
      <c r="U134" s="2">
        <f>COUNTIFS(Variables!$M$2:$M$19, "&gt;=" &amp; Y134, Variables!$M$2:$M$19, "&lt;=" &amp; Z134)</f>
        <v>12</v>
      </c>
      <c r="V134" s="48" t="str">
        <f>"https://search-rtdc-monitor-bjffxe2xuh6vdkpspy63sjmuny.us-east-1.es.amazonaws.com/_plugin/kibana/#/discover/Steve-Slow-Train-Analysis-(2080s-and-2083s)?_g=(refreshInterval:(display:Off,section:0,value:0),time:(from:'"&amp;TEXT(E134-1/24/60,"yyyy-MM-DD hh:mm:ss")&amp;"-0600',mode:absolute,to:'"&amp;TEXT(I134+1/24/60,"yyyy-MM-DD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134&amp;"%22')),sort:!(Time,asc))"</f>
        <v>https://search-rtdc-monitor-bjffxe2xuh6vdkpspy63sjmuny.us-east-1.es.amazonaws.com/_plugin/kibana/#/discover/Steve-Slow-Train-Analysis-(2080s-and-2083s)?_g=(refreshInterval:(display:Off,section:0,value:0),time:(from:'2016-06-25 17:53:14-0600',mode:absolute,to:'2016-06-25 18:39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34" s="48" t="str">
        <f>IF(AA134&lt;23,"Y","N")</f>
        <v>N</v>
      </c>
      <c r="X134" s="48">
        <f>VALUE(LEFT(A134,3))-VALUE(LEFT(A133,3))</f>
        <v>1</v>
      </c>
      <c r="Y134" s="48">
        <f>RIGHT(D134,LEN(D134)-4)/10000</f>
        <v>4.4200000000000003E-2</v>
      </c>
      <c r="Z134" s="48">
        <f>RIGHT(H134,LEN(H134)-4)/10000</f>
        <v>23.332000000000001</v>
      </c>
      <c r="AA134" s="48">
        <f>ABS(Z134-Y134)</f>
        <v>23.287800000000001</v>
      </c>
      <c r="AB134" s="49" t="e">
        <f>VLOOKUP(A134,Enforcements!$C$7:$J$32,8,0)</f>
        <v>#N/A</v>
      </c>
      <c r="AC134" s="49" t="e">
        <f>VLOOKUP(A134,Enforcements!$C$7:$E$32,3,0)</f>
        <v>#N/A</v>
      </c>
    </row>
    <row r="135" spans="1:29" s="2" customFormat="1" x14ac:dyDescent="0.25">
      <c r="A135" s="43" t="s">
        <v>441</v>
      </c>
      <c r="B135" s="43">
        <v>4026</v>
      </c>
      <c r="C135" s="43" t="s">
        <v>60</v>
      </c>
      <c r="D135" s="43" t="s">
        <v>217</v>
      </c>
      <c r="E135" s="25">
        <v>42546.784826388888</v>
      </c>
      <c r="F135" s="25">
        <v>42546.785671296297</v>
      </c>
      <c r="G135" s="31">
        <v>1</v>
      </c>
      <c r="H135" s="25" t="s">
        <v>103</v>
      </c>
      <c r="I135" s="25">
        <v>42546.81585648148</v>
      </c>
      <c r="J135" s="43">
        <v>0</v>
      </c>
      <c r="K135" s="43" t="str">
        <f>IF(ISEVEN(B135),(B135-1)&amp;"/"&amp;B135,B135&amp;"/"&amp;(B135+1))</f>
        <v>4025/4026</v>
      </c>
      <c r="L135" s="43" t="str">
        <f>VLOOKUP(A135,'Trips&amp;Operators'!$C$1:$E$10000,3,FALSE)</f>
        <v>WEBSTER</v>
      </c>
      <c r="M135" s="11">
        <f>I135-F135</f>
        <v>3.0185185183654539E-2</v>
      </c>
      <c r="N135" s="12">
        <f>24*60*SUM($M135:$M135)</f>
        <v>43.466666664462537</v>
      </c>
      <c r="O135" s="12"/>
      <c r="P135" s="12"/>
      <c r="Q135" s="44"/>
      <c r="R135" s="44"/>
      <c r="S135" s="70">
        <f>SUM(U135:U135)/12</f>
        <v>1</v>
      </c>
      <c r="T135" s="2" t="str">
        <f>IF(ISEVEN(LEFT(A135,3)),"Southbound","NorthBound")</f>
        <v>Southbound</v>
      </c>
      <c r="U135" s="2">
        <f>COUNTIFS(Variables!$M$2:$M$19, "&lt;=" &amp; Y135, Variables!$M$2:$M$19, "&gt;=" &amp; Z135)</f>
        <v>12</v>
      </c>
      <c r="V135" s="48" t="str">
        <f>"https://search-rtdc-monitor-bjffxe2xuh6vdkpspy63sjmuny.us-east-1.es.amazonaws.com/_plugin/kibana/#/discover/Steve-Slow-Train-Analysis-(2080s-and-2083s)?_g=(refreshInterval:(display:Off,section:0,value:0),time:(from:'"&amp;TEXT(E135-1/24/60,"yyyy-MM-DD hh:mm:ss")&amp;"-0600',mode:absolute,to:'"&amp;TEXT(I135+1/24/60,"yyyy-MM-DD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135&amp;"%22')),sort:!(Time,asc))"</f>
        <v>https://search-rtdc-monitor-bjffxe2xuh6vdkpspy63sjmuny.us-east-1.es.amazonaws.com/_plugin/kibana/#/discover/Steve-Slow-Train-Analysis-(2080s-and-2083s)?_g=(refreshInterval:(display:Off,section:0,value:0),time:(from:'2016-06-25 18:49:09-0600',mode:absolute,to:'2016-06-25 19:35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35" s="48" t="str">
        <f>IF(AA135&lt;23,"Y","N")</f>
        <v>N</v>
      </c>
      <c r="X135" s="48">
        <f>VALUE(LEFT(A135,3))-VALUE(LEFT(A134,3))</f>
        <v>1</v>
      </c>
      <c r="Y135" s="48">
        <f>RIGHT(D135,LEN(D135)-4)/10000</f>
        <v>23.299399999999999</v>
      </c>
      <c r="Z135" s="48">
        <f>RIGHT(H135,LEN(H135)-4)/10000</f>
        <v>1.5800000000000002E-2</v>
      </c>
      <c r="AA135" s="48">
        <f>ABS(Z135-Y135)</f>
        <v>23.2836</v>
      </c>
      <c r="AB135" s="49" t="e">
        <f>VLOOKUP(A135,Enforcements!$C$7:$J$32,8,0)</f>
        <v>#N/A</v>
      </c>
      <c r="AC135" s="49" t="e">
        <f>VLOOKUP(A135,Enforcements!$C$7:$E$32,3,0)</f>
        <v>#N/A</v>
      </c>
    </row>
    <row r="136" spans="1:29" s="2" customFormat="1" x14ac:dyDescent="0.25">
      <c r="A136" s="43" t="s">
        <v>442</v>
      </c>
      <c r="B136" s="43">
        <v>4044</v>
      </c>
      <c r="C136" s="43" t="s">
        <v>60</v>
      </c>
      <c r="D136" s="43" t="s">
        <v>291</v>
      </c>
      <c r="E136" s="25">
        <v>42546.757141203707</v>
      </c>
      <c r="F136" s="25">
        <v>42546.759120370371</v>
      </c>
      <c r="G136" s="31">
        <v>2</v>
      </c>
      <c r="H136" s="25" t="s">
        <v>181</v>
      </c>
      <c r="I136" s="25">
        <v>42546.786226851851</v>
      </c>
      <c r="J136" s="43">
        <v>1</v>
      </c>
      <c r="K136" s="43" t="str">
        <f>IF(ISEVEN(B136),(B136-1)&amp;"/"&amp;B136,B136&amp;"/"&amp;(B136+1))</f>
        <v>4043/4044</v>
      </c>
      <c r="L136" s="43" t="str">
        <f>VLOOKUP(A136,'Trips&amp;Operators'!$C$1:$E$10000,3,FALSE)</f>
        <v>BRUDER</v>
      </c>
      <c r="M136" s="11">
        <f>I136-F136</f>
        <v>2.7106481480586808E-2</v>
      </c>
      <c r="N136" s="12">
        <f>24*60*SUM($M136:$M136)</f>
        <v>39.033333332045004</v>
      </c>
      <c r="O136" s="12"/>
      <c r="P136" s="12"/>
      <c r="Q136" s="44"/>
      <c r="R136" s="44"/>
      <c r="S136" s="70">
        <f>SUM(U136:U136)/12</f>
        <v>1</v>
      </c>
      <c r="T136" s="2" t="str">
        <f>IF(ISEVEN(LEFT(A136,3)),"Southbound","NorthBound")</f>
        <v>NorthBound</v>
      </c>
      <c r="U136" s="2">
        <f>COUNTIFS(Variables!$M$2:$M$19, "&gt;=" &amp; Y136, Variables!$M$2:$M$19, "&lt;=" &amp; Z136)</f>
        <v>12</v>
      </c>
      <c r="V136" s="48" t="str">
        <f>"https://search-rtdc-monitor-bjffxe2xuh6vdkpspy63sjmuny.us-east-1.es.amazonaws.com/_plugin/kibana/#/discover/Steve-Slow-Train-Analysis-(2080s-and-2083s)?_g=(refreshInterval:(display:Off,section:0,value:0),time:(from:'"&amp;TEXT(E136-1/24/60,"yyyy-MM-DD hh:mm:ss")&amp;"-0600',mode:absolute,to:'"&amp;TEXT(I136+1/24/60,"yyyy-MM-DD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136&amp;"%22')),sort:!(Time,asc))"</f>
        <v>https://search-rtdc-monitor-bjffxe2xuh6vdkpspy63sjmuny.us-east-1.es.amazonaws.com/_plugin/kibana/#/discover/Steve-Slow-Train-Analysis-(2080s-and-2083s)?_g=(refreshInterval:(display:Off,section:0,value:0),time:(from:'2016-06-25 18:09:17-0600',mode:absolute,to:'2016-06-25 18:53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36" s="48" t="str">
        <f>IF(AA136&lt;23,"Y","N")</f>
        <v>N</v>
      </c>
      <c r="X136" s="48">
        <f>VALUE(LEFT(A136,3))-VALUE(LEFT(A135,3))</f>
        <v>1</v>
      </c>
      <c r="Y136" s="48">
        <f>RIGHT(D136,LEN(D136)-4)/10000</f>
        <v>4.6600000000000003E-2</v>
      </c>
      <c r="Z136" s="48">
        <f>RIGHT(H136,LEN(H136)-4)/10000</f>
        <v>23.328299999999999</v>
      </c>
      <c r="AA136" s="48">
        <f>ABS(Z136-Y136)</f>
        <v>23.281699999999997</v>
      </c>
      <c r="AB136" s="49" t="e">
        <f>VLOOKUP(A136,Enforcements!$C$7:$J$32,8,0)</f>
        <v>#N/A</v>
      </c>
      <c r="AC136" s="49" t="e">
        <f>VLOOKUP(A136,Enforcements!$C$7:$E$32,3,0)</f>
        <v>#N/A</v>
      </c>
    </row>
    <row r="137" spans="1:29" s="2" customFormat="1" x14ac:dyDescent="0.25">
      <c r="A137" s="43" t="s">
        <v>443</v>
      </c>
      <c r="B137" s="43">
        <v>4043</v>
      </c>
      <c r="C137" s="43" t="s">
        <v>60</v>
      </c>
      <c r="D137" s="43" t="s">
        <v>416</v>
      </c>
      <c r="E137" s="25">
        <v>42546.793020833335</v>
      </c>
      <c r="F137" s="25">
        <v>42546.794259259259</v>
      </c>
      <c r="G137" s="31">
        <v>1</v>
      </c>
      <c r="H137" s="25" t="s">
        <v>76</v>
      </c>
      <c r="I137" s="25">
        <v>42546.825821759259</v>
      </c>
      <c r="J137" s="43">
        <v>0</v>
      </c>
      <c r="K137" s="43" t="str">
        <f>IF(ISEVEN(B137),(B137-1)&amp;"/"&amp;B137,B137&amp;"/"&amp;(B137+1))</f>
        <v>4043/4044</v>
      </c>
      <c r="L137" s="43" t="str">
        <f>VLOOKUP(A137,'Trips&amp;Operators'!$C$1:$E$10000,3,FALSE)</f>
        <v>BRUDER</v>
      </c>
      <c r="M137" s="11">
        <f>I137-F137</f>
        <v>3.1562500000291038E-2</v>
      </c>
      <c r="N137" s="12">
        <f>24*60*SUM($M137:$M137)</f>
        <v>45.450000000419095</v>
      </c>
      <c r="O137" s="12"/>
      <c r="P137" s="12"/>
      <c r="Q137" s="44"/>
      <c r="R137" s="44"/>
      <c r="S137" s="70">
        <f>SUM(U137:U137)/12</f>
        <v>1</v>
      </c>
      <c r="T137" s="2" t="str">
        <f>IF(ISEVEN(LEFT(A137,3)),"Southbound","NorthBound")</f>
        <v>Southbound</v>
      </c>
      <c r="U137" s="2">
        <f>COUNTIFS(Variables!$M$2:$M$19, "&lt;=" &amp; Y137, Variables!$M$2:$M$19, "&gt;=" &amp; Z137)</f>
        <v>12</v>
      </c>
      <c r="V137" s="48" t="str">
        <f>"https://search-rtdc-monitor-bjffxe2xuh6vdkpspy63sjmuny.us-east-1.es.amazonaws.com/_plugin/kibana/#/discover/Steve-Slow-Train-Analysis-(2080s-and-2083s)?_g=(refreshInterval:(display:Off,section:0,value:0),time:(from:'"&amp;TEXT(E137-1/24/60,"yyyy-MM-DD hh:mm:ss")&amp;"-0600',mode:absolute,to:'"&amp;TEXT(I137+1/24/60,"yyyy-MM-DD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137&amp;"%22')),sort:!(Time,asc))"</f>
        <v>https://search-rtdc-monitor-bjffxe2xuh6vdkpspy63sjmuny.us-east-1.es.amazonaws.com/_plugin/kibana/#/discover/Steve-Slow-Train-Analysis-(2080s-and-2083s)?_g=(refreshInterval:(display:Off,section:0,value:0),time:(from:'2016-06-25 19:00:57-0600',mode:absolute,to:'2016-06-25 19:50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37" s="48" t="str">
        <f>IF(AA137&lt;23,"Y","N")</f>
        <v>N</v>
      </c>
      <c r="X137" s="48">
        <f>VALUE(LEFT(A137,3))-VALUE(LEFT(A136,3))</f>
        <v>1</v>
      </c>
      <c r="Y137" s="48">
        <f>RIGHT(D137,LEN(D137)-4)/10000</f>
        <v>23.299099999999999</v>
      </c>
      <c r="Z137" s="48">
        <f>RIGHT(H137,LEN(H137)-4)/10000</f>
        <v>1.49E-2</v>
      </c>
      <c r="AA137" s="48">
        <f>ABS(Z137-Y137)</f>
        <v>23.284199999999998</v>
      </c>
      <c r="AB137" s="49" t="e">
        <f>VLOOKUP(A137,Enforcements!$C$7:$J$32,8,0)</f>
        <v>#N/A</v>
      </c>
      <c r="AC137" s="49" t="e">
        <f>VLOOKUP(A137,Enforcements!$C$7:$E$32,3,0)</f>
        <v>#N/A</v>
      </c>
    </row>
    <row r="138" spans="1:29" s="2" customFormat="1" x14ac:dyDescent="0.25">
      <c r="A138" s="43" t="s">
        <v>444</v>
      </c>
      <c r="B138" s="43">
        <v>4027</v>
      </c>
      <c r="C138" s="43" t="s">
        <v>60</v>
      </c>
      <c r="D138" s="43" t="s">
        <v>73</v>
      </c>
      <c r="E138" s="25">
        <v>42546.768611111111</v>
      </c>
      <c r="F138" s="25">
        <v>42546.770972222221</v>
      </c>
      <c r="G138" s="31">
        <v>3</v>
      </c>
      <c r="H138" s="25" t="s">
        <v>328</v>
      </c>
      <c r="I138" s="25">
        <v>42546.804039351853</v>
      </c>
      <c r="J138" s="43">
        <v>0</v>
      </c>
      <c r="K138" s="43" t="str">
        <f>IF(ISEVEN(B138),(B138-1)&amp;"/"&amp;B138,B138&amp;"/"&amp;(B138+1))</f>
        <v>4027/4028</v>
      </c>
      <c r="L138" s="43" t="str">
        <f>VLOOKUP(A138,'Trips&amp;Operators'!$C$1:$E$10000,3,FALSE)</f>
        <v>CHANDLER</v>
      </c>
      <c r="M138" s="11">
        <f>I138-F138</f>
        <v>3.3067129632399883E-2</v>
      </c>
      <c r="N138" s="12">
        <f>24*60*SUM($M138:$M138)</f>
        <v>47.616666670655832</v>
      </c>
      <c r="O138" s="12"/>
      <c r="P138" s="12"/>
      <c r="Q138" s="44"/>
      <c r="R138" s="44"/>
      <c r="S138" s="70">
        <f>SUM(U138:U138)/12</f>
        <v>1</v>
      </c>
      <c r="T138" s="2" t="str">
        <f>IF(ISEVEN(LEFT(A138,3)),"Southbound","NorthBound")</f>
        <v>NorthBound</v>
      </c>
      <c r="U138" s="2">
        <f>COUNTIFS(Variables!$M$2:$M$19, "&gt;=" &amp; Y138, Variables!$M$2:$M$19, "&lt;=" &amp; Z138)</f>
        <v>12</v>
      </c>
      <c r="V138" s="48" t="str">
        <f>"https://search-rtdc-monitor-bjffxe2xuh6vdkpspy63sjmuny.us-east-1.es.amazonaws.com/_plugin/kibana/#/discover/Steve-Slow-Train-Analysis-(2080s-and-2083s)?_g=(refreshInterval:(display:Off,section:0,value:0),time:(from:'"&amp;TEXT(E138-1/24/60,"yyyy-MM-DD hh:mm:ss")&amp;"-0600',mode:absolute,to:'"&amp;TEXT(I138+1/24/60,"yyyy-MM-DD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138&amp;"%22')),sort:!(Time,asc))"</f>
        <v>https://search-rtdc-monitor-bjffxe2xuh6vdkpspy63sjmuny.us-east-1.es.amazonaws.com/_plugin/kibana/#/discover/Steve-Slow-Train-Analysis-(2080s-and-2083s)?_g=(refreshInterval:(display:Off,section:0,value:0),time:(from:'2016-06-25 18:25:48-0600',mode:absolute,to:'2016-06-25 19:18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38" s="48" t="str">
        <f>IF(AA138&lt;23,"Y","N")</f>
        <v>N</v>
      </c>
      <c r="X138" s="48">
        <f>VALUE(LEFT(A138,3))-VALUE(LEFT(A137,3))</f>
        <v>1</v>
      </c>
      <c r="Y138" s="48">
        <f>RIGHT(D138,LEN(D138)-4)/10000</f>
        <v>4.5699999999999998E-2</v>
      </c>
      <c r="Z138" s="48">
        <f>RIGHT(H138,LEN(H138)-4)/10000</f>
        <v>23.331099999999999</v>
      </c>
      <c r="AA138" s="48">
        <f>ABS(Z138-Y138)</f>
        <v>23.285399999999999</v>
      </c>
      <c r="AB138" s="49" t="e">
        <f>VLOOKUP(A138,Enforcements!$C$7:$J$32,8,0)</f>
        <v>#N/A</v>
      </c>
      <c r="AC138" s="49" t="e">
        <f>VLOOKUP(A138,Enforcements!$C$7:$E$32,3,0)</f>
        <v>#N/A</v>
      </c>
    </row>
    <row r="139" spans="1:29" s="2" customFormat="1" x14ac:dyDescent="0.25">
      <c r="A139" s="43" t="s">
        <v>445</v>
      </c>
      <c r="B139" s="43">
        <v>4028</v>
      </c>
      <c r="C139" s="43" t="s">
        <v>60</v>
      </c>
      <c r="D139" s="43" t="s">
        <v>71</v>
      </c>
      <c r="E139" s="25">
        <v>42546.806863425925</v>
      </c>
      <c r="F139" s="25">
        <v>42546.807870370372</v>
      </c>
      <c r="G139" s="31">
        <v>1</v>
      </c>
      <c r="H139" s="25" t="s">
        <v>197</v>
      </c>
      <c r="I139" s="25">
        <v>42546.921469907407</v>
      </c>
      <c r="J139" s="43">
        <v>3</v>
      </c>
      <c r="K139" s="43" t="str">
        <f>IF(ISEVEN(B139),(B139-1)&amp;"/"&amp;B139,B139&amp;"/"&amp;(B139+1))</f>
        <v>4027/4028</v>
      </c>
      <c r="L139" s="43" t="str">
        <f>VLOOKUP(A139,'Trips&amp;Operators'!$C$1:$E$10000,3,FALSE)</f>
        <v>CHANDLER</v>
      </c>
      <c r="M139" s="11">
        <f>I139-F139</f>
        <v>0.11359953703504289</v>
      </c>
      <c r="N139" s="12">
        <f>24*60*SUM($M139:$M139)</f>
        <v>163.58333333046176</v>
      </c>
      <c r="O139" s="12"/>
      <c r="P139" s="12"/>
      <c r="Q139" s="44"/>
      <c r="R139" s="44"/>
      <c r="S139" s="70">
        <f>SUM(U139:U139)/12</f>
        <v>1</v>
      </c>
      <c r="T139" s="2" t="str">
        <f>IF(ISEVEN(LEFT(A139,3)),"Southbound","NorthBound")</f>
        <v>Southbound</v>
      </c>
      <c r="U139" s="2">
        <f>COUNTIFS(Variables!$M$2:$M$19, "&lt;=" &amp; Y139, Variables!$M$2:$M$19, "&gt;=" &amp; Z139)</f>
        <v>12</v>
      </c>
      <c r="V139" s="48" t="str">
        <f>"https://search-rtdc-monitor-bjffxe2xuh6vdkpspy63sjmuny.us-east-1.es.amazonaws.com/_plugin/kibana/#/discover/Steve-Slow-Train-Analysis-(2080s-and-2083s)?_g=(refreshInterval:(display:Off,section:0,value:0),time:(from:'"&amp;TEXT(E139-1/24/60,"yyyy-MM-DD hh:mm:ss")&amp;"-0600',mode:absolute,to:'"&amp;TEXT(I139+1/24/60,"yyyy-MM-DD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139&amp;"%22')),sort:!(Time,asc))"</f>
        <v>https://search-rtdc-monitor-bjffxe2xuh6vdkpspy63sjmuny.us-east-1.es.amazonaws.com/_plugin/kibana/#/discover/Steve-Slow-Train-Analysis-(2080s-and-2083s)?_g=(refreshInterval:(display:Off,section:0,value:0),time:(from:'2016-06-25 19:20:53-0600',mode:absolute,to:'2016-06-25 22:07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39" s="48" t="str">
        <f>IF(AA139&lt;23,"Y","N")</f>
        <v>N</v>
      </c>
      <c r="X139" s="48">
        <f>VALUE(LEFT(A139,3))-VALUE(LEFT(A138,3))</f>
        <v>1</v>
      </c>
      <c r="Y139" s="48">
        <f>RIGHT(D139,LEN(D139)-4)/10000</f>
        <v>23.297699999999999</v>
      </c>
      <c r="Z139" s="48">
        <f>RIGHT(H139,LEN(H139)-4)/10000</f>
        <v>1.72E-2</v>
      </c>
      <c r="AA139" s="48">
        <f>ABS(Z139-Y139)</f>
        <v>23.2805</v>
      </c>
      <c r="AB139" s="49">
        <f>VLOOKUP(A139,Enforcements!$C$7:$J$32,8,0)</f>
        <v>63068</v>
      </c>
      <c r="AC139" s="49" t="str">
        <f>VLOOKUP(A139,Enforcements!$C$7:$E$32,3,0)</f>
        <v>GRADE CROSSING</v>
      </c>
    </row>
    <row r="140" spans="1:29" s="2" customFormat="1" x14ac:dyDescent="0.25">
      <c r="A140" s="43" t="s">
        <v>446</v>
      </c>
      <c r="B140" s="43">
        <v>4014</v>
      </c>
      <c r="C140" s="43" t="s">
        <v>60</v>
      </c>
      <c r="D140" s="43" t="s">
        <v>291</v>
      </c>
      <c r="E140" s="25">
        <v>42546.789548611108</v>
      </c>
      <c r="F140" s="25">
        <v>42546.790625000001</v>
      </c>
      <c r="G140" s="31">
        <v>1</v>
      </c>
      <c r="H140" s="25" t="s">
        <v>269</v>
      </c>
      <c r="I140" s="25">
        <v>42546.817858796298</v>
      </c>
      <c r="J140" s="43">
        <v>1</v>
      </c>
      <c r="K140" s="43" t="str">
        <f>IF(ISEVEN(B140),(B140-1)&amp;"/"&amp;B140,B140&amp;"/"&amp;(B140+1))</f>
        <v>4013/4014</v>
      </c>
      <c r="L140" s="43" t="str">
        <f>VLOOKUP(A140,'Trips&amp;Operators'!$C$1:$E$10000,3,FALSE)</f>
        <v>ADANE</v>
      </c>
      <c r="M140" s="11">
        <f>I140-F140</f>
        <v>2.7233796296059154E-2</v>
      </c>
      <c r="N140" s="12">
        <f>24*60*SUM($M140:$M140)</f>
        <v>39.216666666325182</v>
      </c>
      <c r="O140" s="12"/>
      <c r="P140" s="12"/>
      <c r="Q140" s="44"/>
      <c r="R140" s="44"/>
      <c r="S140" s="70">
        <f>SUM(U140:U140)/12</f>
        <v>1</v>
      </c>
      <c r="T140" s="2" t="str">
        <f>IF(ISEVEN(LEFT(A140,3)),"Southbound","NorthBound")</f>
        <v>NorthBound</v>
      </c>
      <c r="U140" s="2">
        <f>COUNTIFS(Variables!$M$2:$M$19, "&gt;=" &amp; Y140, Variables!$M$2:$M$19, "&lt;=" &amp; Z140)</f>
        <v>12</v>
      </c>
      <c r="V140" s="48" t="str">
        <f>"https://search-rtdc-monitor-bjffxe2xuh6vdkpspy63sjmuny.us-east-1.es.amazonaws.com/_plugin/kibana/#/discover/Steve-Slow-Train-Analysis-(2080s-and-2083s)?_g=(refreshInterval:(display:Off,section:0,value:0),time:(from:'"&amp;TEXT(E140-1/24/60,"yyyy-MM-DD hh:mm:ss")&amp;"-0600',mode:absolute,to:'"&amp;TEXT(I140+1/24/60,"yyyy-MM-DD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140&amp;"%22')),sort:!(Time,asc))"</f>
        <v>https://search-rtdc-monitor-bjffxe2xuh6vdkpspy63sjmuny.us-east-1.es.amazonaws.com/_plugin/kibana/#/discover/Steve-Slow-Train-Analysis-(2080s-and-2083s)?_g=(refreshInterval:(display:Off,section:0,value:0),time:(from:'2016-06-25 18:55:57-0600',mode:absolute,to:'2016-06-25 19:38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40" s="48" t="str">
        <f>IF(AA140&lt;23,"Y","N")</f>
        <v>N</v>
      </c>
      <c r="X140" s="48">
        <f>VALUE(LEFT(A140,3))-VALUE(LEFT(A139,3))</f>
        <v>1</v>
      </c>
      <c r="Y140" s="48">
        <f>RIGHT(D140,LEN(D140)-4)/10000</f>
        <v>4.6600000000000003E-2</v>
      </c>
      <c r="Z140" s="48">
        <f>RIGHT(H140,LEN(H140)-4)/10000</f>
        <v>23.331399999999999</v>
      </c>
      <c r="AA140" s="48">
        <f>ABS(Z140-Y140)</f>
        <v>23.284799999999997</v>
      </c>
      <c r="AB140" s="49">
        <f>VLOOKUP(A140,Enforcements!$C$7:$J$32,8,0)</f>
        <v>27333</v>
      </c>
      <c r="AC140" s="49" t="str">
        <f>VLOOKUP(A140,Enforcements!$C$7:$E$32,3,0)</f>
        <v>PERMANENT SPEED RESTRICTION</v>
      </c>
    </row>
    <row r="141" spans="1:29" s="2" customFormat="1" x14ac:dyDescent="0.25">
      <c r="A141" s="43" t="s">
        <v>447</v>
      </c>
      <c r="B141" s="43">
        <v>4013</v>
      </c>
      <c r="C141" s="43" t="s">
        <v>60</v>
      </c>
      <c r="D141" s="43" t="s">
        <v>289</v>
      </c>
      <c r="E141" s="25">
        <v>42546.828888888886</v>
      </c>
      <c r="F141" s="25">
        <v>42546.830034722225</v>
      </c>
      <c r="G141" s="31">
        <v>1</v>
      </c>
      <c r="H141" s="25" t="s">
        <v>183</v>
      </c>
      <c r="I141" s="25">
        <v>42546.856689814813</v>
      </c>
      <c r="J141" s="43">
        <v>1</v>
      </c>
      <c r="K141" s="43" t="str">
        <f>IF(ISEVEN(B141),(B141-1)&amp;"/"&amp;B141,B141&amp;"/"&amp;(B141+1))</f>
        <v>4013/4014</v>
      </c>
      <c r="L141" s="43" t="str">
        <f>VLOOKUP(A141,'Trips&amp;Operators'!$C$1:$E$10000,3,FALSE)</f>
        <v>ADANE</v>
      </c>
      <c r="M141" s="11">
        <f>I141-F141</f>
        <v>2.6655092588043772E-2</v>
      </c>
      <c r="N141" s="12">
        <f>24*60*SUM($M141:$M141)</f>
        <v>38.383333326783031</v>
      </c>
      <c r="O141" s="12"/>
      <c r="P141" s="12"/>
      <c r="Q141" s="44"/>
      <c r="R141" s="44"/>
      <c r="S141" s="70">
        <f>SUM(U141:U141)/12</f>
        <v>1</v>
      </c>
      <c r="T141" s="2" t="str">
        <f>IF(ISEVEN(LEFT(A141,3)),"Southbound","NorthBound")</f>
        <v>Southbound</v>
      </c>
      <c r="U141" s="2">
        <f>COUNTIFS(Variables!$M$2:$M$19, "&lt;=" &amp; Y141, Variables!$M$2:$M$19, "&gt;=" &amp; Z141)</f>
        <v>12</v>
      </c>
      <c r="V141" s="48" t="str">
        <f>"https://search-rtdc-monitor-bjffxe2xuh6vdkpspy63sjmuny.us-east-1.es.amazonaws.com/_plugin/kibana/#/discover/Steve-Slow-Train-Analysis-(2080s-and-2083s)?_g=(refreshInterval:(display:Off,section:0,value:0),time:(from:'"&amp;TEXT(E141-1/24/60,"yyyy-MM-DD hh:mm:ss")&amp;"-0600',mode:absolute,to:'"&amp;TEXT(I141+1/24/60,"yyyy-MM-DD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141&amp;"%22')),sort:!(Time,asc))"</f>
        <v>https://search-rtdc-monitor-bjffxe2xuh6vdkpspy63sjmuny.us-east-1.es.amazonaws.com/_plugin/kibana/#/discover/Steve-Slow-Train-Analysis-(2080s-and-2083s)?_g=(refreshInterval:(display:Off,section:0,value:0),time:(from:'2016-06-25 19:52:36-0600',mode:absolute,to:'2016-06-25 20:34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41" s="48" t="str">
        <f>IF(AA141&lt;23,"Y","N")</f>
        <v>N</v>
      </c>
      <c r="X141" s="48">
        <f>VALUE(LEFT(A141,3))-VALUE(LEFT(A140,3))</f>
        <v>1</v>
      </c>
      <c r="Y141" s="48">
        <f>RIGHT(D141,LEN(D141)-4)/10000</f>
        <v>23.299299999999999</v>
      </c>
      <c r="Z141" s="48">
        <f>RIGHT(H141,LEN(H141)-4)/10000</f>
        <v>1.3599999999999999E-2</v>
      </c>
      <c r="AA141" s="48">
        <f>ABS(Z141-Y141)</f>
        <v>23.285699999999999</v>
      </c>
      <c r="AB141" s="49" t="e">
        <f>VLOOKUP(A141,Enforcements!$C$7:$J$32,8,0)</f>
        <v>#N/A</v>
      </c>
      <c r="AC141" s="49" t="e">
        <f>VLOOKUP(A141,Enforcements!$C$7:$E$32,3,0)</f>
        <v>#N/A</v>
      </c>
    </row>
    <row r="142" spans="1:29" s="2" customFormat="1" x14ac:dyDescent="0.25">
      <c r="A142" s="43" t="s">
        <v>448</v>
      </c>
      <c r="B142" s="43">
        <v>4042</v>
      </c>
      <c r="C142" s="43" t="s">
        <v>60</v>
      </c>
      <c r="D142" s="43" t="s">
        <v>102</v>
      </c>
      <c r="E142" s="25">
        <v>42546.807395833333</v>
      </c>
      <c r="F142" s="25">
        <v>42546.808321759258</v>
      </c>
      <c r="G142" s="31">
        <v>1</v>
      </c>
      <c r="H142" s="25" t="s">
        <v>199</v>
      </c>
      <c r="I142" s="25">
        <v>42546.838391203702</v>
      </c>
      <c r="J142" s="43">
        <v>0</v>
      </c>
      <c r="K142" s="43" t="str">
        <f>IF(ISEVEN(B142),(B142-1)&amp;"/"&amp;B142,B142&amp;"/"&amp;(B142+1))</f>
        <v>4041/4042</v>
      </c>
      <c r="L142" s="43" t="str">
        <f>VLOOKUP(A142,'Trips&amp;Operators'!$C$1:$E$10000,3,FALSE)</f>
        <v>LEVERE</v>
      </c>
      <c r="M142" s="11">
        <f>I142-F142</f>
        <v>3.0069444444961846E-2</v>
      </c>
      <c r="N142" s="12">
        <f>24*60*SUM($M142:$M142)</f>
        <v>43.300000000745058</v>
      </c>
      <c r="O142" s="12"/>
      <c r="P142" s="12"/>
      <c r="Q142" s="44"/>
      <c r="R142" s="44"/>
      <c r="S142" s="70">
        <f>SUM(U142:U142)/12</f>
        <v>1</v>
      </c>
      <c r="T142" s="2" t="str">
        <f>IF(ISEVEN(LEFT(A142,3)),"Southbound","NorthBound")</f>
        <v>NorthBound</v>
      </c>
      <c r="U142" s="2">
        <f>COUNTIFS(Variables!$M$2:$M$19, "&gt;=" &amp; Y142, Variables!$M$2:$M$19, "&lt;=" &amp; Z142)</f>
        <v>12</v>
      </c>
      <c r="V142" s="48" t="str">
        <f>"https://search-rtdc-monitor-bjffxe2xuh6vdkpspy63sjmuny.us-east-1.es.amazonaws.com/_plugin/kibana/#/discover/Steve-Slow-Train-Analysis-(2080s-and-2083s)?_g=(refreshInterval:(display:Off,section:0,value:0),time:(from:'"&amp;TEXT(E142-1/24/60,"yyyy-MM-DD hh:mm:ss")&amp;"-0600',mode:absolute,to:'"&amp;TEXT(I142+1/24/60,"yyyy-MM-DD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142&amp;"%22')),sort:!(Time,asc))"</f>
        <v>https://search-rtdc-monitor-bjffxe2xuh6vdkpspy63sjmuny.us-east-1.es.amazonaws.com/_plugin/kibana/#/discover/Steve-Slow-Train-Analysis-(2080s-and-2083s)?_g=(refreshInterval:(display:Off,section:0,value:0),time:(from:'2016-06-25 19:21:39-0600',mode:absolute,to:'2016-06-25 20:08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42" s="48" t="str">
        <f>IF(AA142&lt;23,"Y","N")</f>
        <v>N</v>
      </c>
      <c r="X142" s="48">
        <f>VALUE(LEFT(A142,3))-VALUE(LEFT(A141,3))</f>
        <v>1</v>
      </c>
      <c r="Y142" s="48">
        <f>RIGHT(D142,LEN(D142)-4)/10000</f>
        <v>4.4699999999999997E-2</v>
      </c>
      <c r="Z142" s="48">
        <f>RIGHT(H142,LEN(H142)-4)/10000</f>
        <v>23.328399999999998</v>
      </c>
      <c r="AA142" s="48">
        <f>ABS(Z142-Y142)</f>
        <v>23.2837</v>
      </c>
      <c r="AB142" s="49" t="e">
        <f>VLOOKUP(A142,Enforcements!$C$7:$J$32,8,0)</f>
        <v>#N/A</v>
      </c>
      <c r="AC142" s="49" t="e">
        <f>VLOOKUP(A142,Enforcements!$C$7:$E$32,3,0)</f>
        <v>#N/A</v>
      </c>
    </row>
    <row r="143" spans="1:29" s="2" customFormat="1" x14ac:dyDescent="0.25">
      <c r="A143" s="43" t="s">
        <v>449</v>
      </c>
      <c r="B143" s="43">
        <v>4041</v>
      </c>
      <c r="C143" s="43" t="s">
        <v>60</v>
      </c>
      <c r="D143" s="43" t="s">
        <v>450</v>
      </c>
      <c r="E143" s="25">
        <v>42546.842847222222</v>
      </c>
      <c r="F143" s="25">
        <v>42546.843923611108</v>
      </c>
      <c r="G143" s="25">
        <v>1</v>
      </c>
      <c r="H143" s="25" t="s">
        <v>68</v>
      </c>
      <c r="I143" s="25">
        <v>42546.879131944443</v>
      </c>
      <c r="J143" s="43">
        <v>1</v>
      </c>
      <c r="K143" s="43" t="str">
        <f>IF(ISEVEN(B143),(B143-1)&amp;"/"&amp;B143,B143&amp;"/"&amp;(B143+1))</f>
        <v>4041/4042</v>
      </c>
      <c r="L143" s="43" t="str">
        <f>VLOOKUP(A143,'Trips&amp;Operators'!$C$1:$E$10000,3,FALSE)</f>
        <v>LEVERE</v>
      </c>
      <c r="M143" s="11">
        <f>I143-F143</f>
        <v>3.5208333334594499E-2</v>
      </c>
      <c r="N143" s="12">
        <f>24*60*SUM($M143:$M143)</f>
        <v>50.700000001816079</v>
      </c>
      <c r="O143" s="12"/>
      <c r="P143" s="12"/>
      <c r="Q143" s="44"/>
      <c r="R143" s="44"/>
      <c r="S143" s="70">
        <f>SUM(U143:U143)/12</f>
        <v>1</v>
      </c>
      <c r="T143" s="2" t="str">
        <f>IF(ISEVEN(LEFT(A143,3)),"Southbound","NorthBound")</f>
        <v>Southbound</v>
      </c>
      <c r="U143" s="2">
        <f>COUNTIFS(Variables!$M$2:$M$19, "&lt;=" &amp; Y143, Variables!$M$2:$M$19, "&gt;=" &amp; Z143)</f>
        <v>12</v>
      </c>
      <c r="V143" s="48" t="str">
        <f>"https://search-rtdc-monitor-bjffxe2xuh6vdkpspy63sjmuny.us-east-1.es.amazonaws.com/_plugin/kibana/#/discover/Steve-Slow-Train-Analysis-(2080s-and-2083s)?_g=(refreshInterval:(display:Off,section:0,value:0),time:(from:'"&amp;TEXT(E143-1/24/60,"yyyy-MM-DD hh:mm:ss")&amp;"-0600',mode:absolute,to:'"&amp;TEXT(I143+1/24/60,"yyyy-MM-DD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143&amp;"%22')),sort:!(Time,asc))"</f>
        <v>https://search-rtdc-monitor-bjffxe2xuh6vdkpspy63sjmuny.us-east-1.es.amazonaws.com/_plugin/kibana/#/discover/Steve-Slow-Train-Analysis-(2080s-and-2083s)?_g=(refreshInterval:(display:Off,section:0,value:0),time:(from:'2016-06-25 20:12:42-0600',mode:absolute,to:'2016-06-25 21:06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43" s="48" t="str">
        <f>IF(AA143&lt;23,"Y","N")</f>
        <v>N</v>
      </c>
      <c r="X143" s="48">
        <f>VALUE(LEFT(A143,3))-VALUE(LEFT(A142,3))</f>
        <v>1</v>
      </c>
      <c r="Y143" s="48">
        <f>RIGHT(D143,LEN(D143)-4)/10000</f>
        <v>23.296700000000001</v>
      </c>
      <c r="Z143" s="48">
        <f>RIGHT(H143,LEN(H143)-4)/10000</f>
        <v>1.6E-2</v>
      </c>
      <c r="AA143" s="48">
        <f>ABS(Z143-Y143)</f>
        <v>23.280700000000003</v>
      </c>
      <c r="AB143" s="49" t="e">
        <f>VLOOKUP(A143,Enforcements!$C$7:$J$32,8,0)</f>
        <v>#N/A</v>
      </c>
      <c r="AC143" s="49" t="e">
        <f>VLOOKUP(A143,Enforcements!$C$7:$E$32,3,0)</f>
        <v>#N/A</v>
      </c>
    </row>
    <row r="144" spans="1:29" s="2" customFormat="1" x14ac:dyDescent="0.25">
      <c r="A144" s="43" t="s">
        <v>451</v>
      </c>
      <c r="B144" s="43">
        <v>4044</v>
      </c>
      <c r="C144" s="43" t="s">
        <v>60</v>
      </c>
      <c r="D144" s="43" t="s">
        <v>83</v>
      </c>
      <c r="E144" s="25">
        <v>42546.827615740738</v>
      </c>
      <c r="F144" s="25">
        <v>42546.828703703701</v>
      </c>
      <c r="G144" s="25">
        <v>1</v>
      </c>
      <c r="H144" s="25" t="s">
        <v>118</v>
      </c>
      <c r="I144" s="25">
        <v>42546.864918981482</v>
      </c>
      <c r="J144" s="43">
        <v>0</v>
      </c>
      <c r="K144" s="43" t="str">
        <f>IF(ISEVEN(B144),(B144-1)&amp;"/"&amp;B144,B144&amp;"/"&amp;(B144+1))</f>
        <v>4043/4044</v>
      </c>
      <c r="L144" s="43" t="str">
        <f>VLOOKUP(A144,'Trips&amp;Operators'!$C$1:$E$10000,3,FALSE)</f>
        <v>BRUDER</v>
      </c>
      <c r="M144" s="11">
        <f>I144-F144</f>
        <v>3.6215277781593613E-2</v>
      </c>
      <c r="N144" s="12">
        <f>24*60*SUM($M144:$M144)</f>
        <v>52.150000005494803</v>
      </c>
      <c r="O144" s="12"/>
      <c r="P144" s="12"/>
      <c r="Q144" s="44"/>
      <c r="R144" s="44"/>
      <c r="S144" s="70">
        <f>SUM(U144:U144)/12</f>
        <v>1</v>
      </c>
      <c r="T144" s="2" t="str">
        <f>IF(ISEVEN(LEFT(A144,3)),"Southbound","NorthBound")</f>
        <v>NorthBound</v>
      </c>
      <c r="U144" s="2">
        <f>COUNTIFS(Variables!$M$2:$M$19, "&gt;=" &amp; Y144, Variables!$M$2:$M$19, "&lt;=" &amp; Z144)</f>
        <v>12</v>
      </c>
      <c r="V144" s="48" t="str">
        <f>"https://search-rtdc-monitor-bjffxe2xuh6vdkpspy63sjmuny.us-east-1.es.amazonaws.com/_plugin/kibana/#/discover/Steve-Slow-Train-Analysis-(2080s-and-2083s)?_g=(refreshInterval:(display:Off,section:0,value:0),time:(from:'"&amp;TEXT(E144-1/24/60,"yyyy-MM-DD hh:mm:ss")&amp;"-0600',mode:absolute,to:'"&amp;TEXT(I144+1/24/60,"yyyy-MM-DD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144&amp;"%22')),sort:!(Time,asc))"</f>
        <v>https://search-rtdc-monitor-bjffxe2xuh6vdkpspy63sjmuny.us-east-1.es.amazonaws.com/_plugin/kibana/#/discover/Steve-Slow-Train-Analysis-(2080s-and-2083s)?_g=(refreshInterval:(display:Off,section:0,value:0),time:(from:'2016-06-25 19:50:46-0600',mode:absolute,to:'2016-06-25 20:46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44" s="48" t="str">
        <f>IF(AA144&lt;23,"Y","N")</f>
        <v>N</v>
      </c>
      <c r="X144" s="48">
        <f>VALUE(LEFT(A144,3))-VALUE(LEFT(A143,3))</f>
        <v>1</v>
      </c>
      <c r="Y144" s="48">
        <f>RIGHT(D144,LEN(D144)-4)/10000</f>
        <v>4.58E-2</v>
      </c>
      <c r="Z144" s="48">
        <f>RIGHT(H144,LEN(H144)-4)/10000</f>
        <v>23.3307</v>
      </c>
      <c r="AA144" s="48">
        <f>ABS(Z144-Y144)</f>
        <v>23.2849</v>
      </c>
      <c r="AB144" s="49" t="e">
        <f>VLOOKUP(A144,Enforcements!$C$7:$J$32,8,0)</f>
        <v>#N/A</v>
      </c>
      <c r="AC144" s="49" t="e">
        <f>VLOOKUP(A144,Enforcements!$C$7:$E$32,3,0)</f>
        <v>#N/A</v>
      </c>
    </row>
    <row r="145" spans="1:29" s="2" customFormat="1" x14ac:dyDescent="0.25">
      <c r="A145" s="43" t="s">
        <v>452</v>
      </c>
      <c r="B145" s="43">
        <v>4043</v>
      </c>
      <c r="C145" s="43" t="s">
        <v>60</v>
      </c>
      <c r="D145" s="43" t="s">
        <v>215</v>
      </c>
      <c r="E145" s="25">
        <v>42546.866770833331</v>
      </c>
      <c r="F145" s="25">
        <v>42546.868634259263</v>
      </c>
      <c r="G145" s="25">
        <v>2</v>
      </c>
      <c r="H145" s="25" t="s">
        <v>62</v>
      </c>
      <c r="I145" s="25">
        <v>42546.899456018517</v>
      </c>
      <c r="J145" s="43">
        <v>0</v>
      </c>
      <c r="K145" s="43" t="str">
        <f>IF(ISEVEN(B145),(B145-1)&amp;"/"&amp;B145,B145&amp;"/"&amp;(B145+1))</f>
        <v>4043/4044</v>
      </c>
      <c r="L145" s="43" t="str">
        <f>VLOOKUP(A145,'Trips&amp;Operators'!$C$1:$E$10000,3,FALSE)</f>
        <v>BRUDER</v>
      </c>
      <c r="M145" s="11">
        <f>I145-F145</f>
        <v>3.0821759253740311E-2</v>
      </c>
      <c r="N145" s="12">
        <f>24*60*SUM($M145:$M145)</f>
        <v>44.383333325386047</v>
      </c>
      <c r="O145" s="12"/>
      <c r="P145" s="12"/>
      <c r="Q145" s="44"/>
      <c r="R145" s="44"/>
      <c r="S145" s="70">
        <f>SUM(U145:U145)/12</f>
        <v>1</v>
      </c>
      <c r="T145" s="2" t="str">
        <f>IF(ISEVEN(LEFT(A145,3)),"Southbound","NorthBound")</f>
        <v>Southbound</v>
      </c>
      <c r="U145" s="2">
        <f>COUNTIFS(Variables!$M$2:$M$19, "&lt;=" &amp; Y145, Variables!$M$2:$M$19, "&gt;=" &amp; Z145)</f>
        <v>12</v>
      </c>
      <c r="V145" s="48" t="str">
        <f>"https://search-rtdc-monitor-bjffxe2xuh6vdkpspy63sjmuny.us-east-1.es.amazonaws.com/_plugin/kibana/#/discover/Steve-Slow-Train-Analysis-(2080s-and-2083s)?_g=(refreshInterval:(display:Off,section:0,value:0),time:(from:'"&amp;TEXT(E145-1/24/60,"yyyy-MM-DD hh:mm:ss")&amp;"-0600',mode:absolute,to:'"&amp;TEXT(I145+1/24/60,"yyyy-MM-DD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145&amp;"%22')),sort:!(Time,asc))"</f>
        <v>https://search-rtdc-monitor-bjffxe2xuh6vdkpspy63sjmuny.us-east-1.es.amazonaws.com/_plugin/kibana/#/discover/Steve-Slow-Train-Analysis-(2080s-and-2083s)?_g=(refreshInterval:(display:Off,section:0,value:0),time:(from:'2016-06-25 20:47:09-0600',mode:absolute,to:'2016-06-25 21:36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45" s="48" t="str">
        <f>IF(AA145&lt;23,"Y","N")</f>
        <v>N</v>
      </c>
      <c r="X145" s="48">
        <f>VALUE(LEFT(A145,3))-VALUE(LEFT(A144,3))</f>
        <v>1</v>
      </c>
      <c r="Y145" s="48">
        <f>RIGHT(D145,LEN(D145)-4)/10000</f>
        <v>23.298400000000001</v>
      </c>
      <c r="Z145" s="48">
        <f>RIGHT(H145,LEN(H145)-4)/10000</f>
        <v>1.52E-2</v>
      </c>
      <c r="AA145" s="48">
        <f>ABS(Z145-Y145)</f>
        <v>23.283200000000001</v>
      </c>
      <c r="AB145" s="49" t="e">
        <f>VLOOKUP(A145,Enforcements!$C$7:$J$32,8,0)</f>
        <v>#N/A</v>
      </c>
      <c r="AC145" s="49" t="e">
        <f>VLOOKUP(A145,Enforcements!$C$7:$E$32,3,0)</f>
        <v>#N/A</v>
      </c>
    </row>
    <row r="146" spans="1:29" s="2" customFormat="1" x14ac:dyDescent="0.25">
      <c r="A146" s="43" t="s">
        <v>453</v>
      </c>
      <c r="B146" s="43">
        <v>4027</v>
      </c>
      <c r="C146" s="43" t="s">
        <v>60</v>
      </c>
      <c r="D146" s="43" t="s">
        <v>87</v>
      </c>
      <c r="E146" s="25">
        <v>42546.850462962961</v>
      </c>
      <c r="F146" s="25">
        <v>42546.852060185185</v>
      </c>
      <c r="G146" s="25">
        <v>2</v>
      </c>
      <c r="H146" s="25" t="s">
        <v>174</v>
      </c>
      <c r="I146" s="25">
        <v>42546.880879629629</v>
      </c>
      <c r="J146" s="43">
        <v>0</v>
      </c>
      <c r="K146" s="43" t="str">
        <f>IF(ISEVEN(B146),(B146-1)&amp;"/"&amp;B146,B146&amp;"/"&amp;(B146+1))</f>
        <v>4027/4028</v>
      </c>
      <c r="L146" s="43" t="str">
        <f>VLOOKUP(A146,'Trips&amp;Operators'!$C$1:$E$10000,3,FALSE)</f>
        <v>CHANDLER</v>
      </c>
      <c r="M146" s="11">
        <f>I146-F146</f>
        <v>2.8819444443797693E-2</v>
      </c>
      <c r="N146" s="12">
        <f>24*60*SUM($M146:$M146)</f>
        <v>41.499999999068677</v>
      </c>
      <c r="O146" s="12"/>
      <c r="P146" s="12"/>
      <c r="Q146" s="44"/>
      <c r="R146" s="44"/>
      <c r="S146" s="70">
        <f>SUM(U146:U146)/12</f>
        <v>1</v>
      </c>
      <c r="T146" s="2" t="str">
        <f>IF(ISEVEN(LEFT(A146,3)),"Southbound","NorthBound")</f>
        <v>NorthBound</v>
      </c>
      <c r="U146" s="2">
        <f>COUNTIFS(Variables!$M$2:$M$19, "&gt;=" &amp; Y146, Variables!$M$2:$M$19, "&lt;=" &amp; Z146)</f>
        <v>12</v>
      </c>
      <c r="V146" s="48" t="str">
        <f>"https://search-rtdc-monitor-bjffxe2xuh6vdkpspy63sjmuny.us-east-1.es.amazonaws.com/_plugin/kibana/#/discover/Steve-Slow-Train-Analysis-(2080s-and-2083s)?_g=(refreshInterval:(display:Off,section:0,value:0),time:(from:'"&amp;TEXT(E146-1/24/60,"yyyy-MM-DD hh:mm:ss")&amp;"-0600',mode:absolute,to:'"&amp;TEXT(I146+1/24/60,"yyyy-MM-DD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146&amp;"%22')),sort:!(Time,asc))"</f>
        <v>https://search-rtdc-monitor-bjffxe2xuh6vdkpspy63sjmuny.us-east-1.es.amazonaws.com/_plugin/kibana/#/discover/Steve-Slow-Train-Analysis-(2080s-and-2083s)?_g=(refreshInterval:(display:Off,section:0,value:0),time:(from:'2016-06-25 20:23:40-0600',mode:absolute,to:'2016-06-25 21:09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46" s="48" t="str">
        <f>IF(AA146&lt;23,"Y","N")</f>
        <v>N</v>
      </c>
      <c r="X146" s="48">
        <f>VALUE(LEFT(A146,3))-VALUE(LEFT(A145,3))</f>
        <v>1</v>
      </c>
      <c r="Y146" s="48">
        <f>RIGHT(D146,LEN(D146)-4)/10000</f>
        <v>4.6399999999999997E-2</v>
      </c>
      <c r="Z146" s="48">
        <f>RIGHT(H146,LEN(H146)-4)/10000</f>
        <v>23.33</v>
      </c>
      <c r="AA146" s="48">
        <f>ABS(Z146-Y146)</f>
        <v>23.2836</v>
      </c>
      <c r="AB146" s="49" t="e">
        <f>VLOOKUP(A146,Enforcements!$C$7:$J$32,8,0)</f>
        <v>#N/A</v>
      </c>
      <c r="AC146" s="49" t="e">
        <f>VLOOKUP(A146,Enforcements!$C$7:$E$32,3,0)</f>
        <v>#N/A</v>
      </c>
    </row>
    <row r="147" spans="1:29" s="2" customFormat="1" x14ac:dyDescent="0.25">
      <c r="A147" s="43" t="s">
        <v>454</v>
      </c>
      <c r="B147" s="43">
        <v>4014</v>
      </c>
      <c r="C147" s="43" t="s">
        <v>60</v>
      </c>
      <c r="D147" s="43" t="s">
        <v>114</v>
      </c>
      <c r="E147" s="25">
        <v>42546.87091435185</v>
      </c>
      <c r="F147" s="25">
        <v>42546.871863425928</v>
      </c>
      <c r="G147" s="25">
        <v>1</v>
      </c>
      <c r="H147" s="25" t="s">
        <v>101</v>
      </c>
      <c r="I147" s="25">
        <v>42546.90047453704</v>
      </c>
      <c r="J147" s="43">
        <v>0</v>
      </c>
      <c r="K147" s="43" t="str">
        <f>IF(ISEVEN(B147),(B147-1)&amp;"/"&amp;B147,B147&amp;"/"&amp;(B147+1))</f>
        <v>4013/4014</v>
      </c>
      <c r="L147" s="43" t="str">
        <f>VLOOKUP(A147,'Trips&amp;Operators'!$C$1:$E$10000,3,FALSE)</f>
        <v>ADANE</v>
      </c>
      <c r="M147" s="11">
        <f>I147-F147</f>
        <v>2.8611111112695653E-2</v>
      </c>
      <c r="N147" s="12">
        <f>24*60*SUM($M147:$M147)</f>
        <v>41.20000000228174</v>
      </c>
      <c r="O147" s="12"/>
      <c r="P147" s="12"/>
      <c r="Q147" s="44"/>
      <c r="R147" s="44"/>
      <c r="S147" s="70">
        <f>SUM(U147:U147)/12</f>
        <v>1</v>
      </c>
      <c r="T147" s="2" t="str">
        <f>IF(ISEVEN(LEFT(A147,3)),"Southbound","NorthBound")</f>
        <v>NorthBound</v>
      </c>
      <c r="U147" s="2">
        <f>COUNTIFS(Variables!$M$2:$M$19, "&gt;=" &amp; Y147, Variables!$M$2:$M$19, "&lt;=" &amp; Z147)</f>
        <v>12</v>
      </c>
      <c r="V147" s="48" t="str">
        <f>"https://search-rtdc-monitor-bjffxe2xuh6vdkpspy63sjmuny.us-east-1.es.amazonaws.com/_plugin/kibana/#/discover/Steve-Slow-Train-Analysis-(2080s-and-2083s)?_g=(refreshInterval:(display:Off,section:0,value:0),time:(from:'"&amp;TEXT(E147-1/24/60,"yyyy-MM-DD hh:mm:ss")&amp;"-0600',mode:absolute,to:'"&amp;TEXT(I147+1/24/60,"yyyy-MM-DD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147&amp;"%22')),sort:!(Time,asc))"</f>
        <v>https://search-rtdc-monitor-bjffxe2xuh6vdkpspy63sjmuny.us-east-1.es.amazonaws.com/_plugin/kibana/#/discover/Steve-Slow-Train-Analysis-(2080s-and-2083s)?_g=(refreshInterval:(display:Off,section:0,value:0),time:(from:'2016-06-25 20:53:07-0600',mode:absolute,to:'2016-06-25 21:37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47" s="48" t="str">
        <f>IF(AA147&lt;23,"Y","N")</f>
        <v>N</v>
      </c>
      <c r="X147" s="48">
        <f>VALUE(LEFT(A147,3))-VALUE(LEFT(A146,3))</f>
        <v>2</v>
      </c>
      <c r="Y147" s="48">
        <f>RIGHT(D147,LEN(D147)-4)/10000</f>
        <v>4.6699999999999998E-2</v>
      </c>
      <c r="Z147" s="48">
        <f>RIGHT(H147,LEN(H147)-4)/10000</f>
        <v>23.329499999999999</v>
      </c>
      <c r="AA147" s="48">
        <f>ABS(Z147-Y147)</f>
        <v>23.282799999999998</v>
      </c>
      <c r="AB147" s="49" t="e">
        <f>VLOOKUP(A147,Enforcements!$C$7:$J$32,8,0)</f>
        <v>#N/A</v>
      </c>
      <c r="AC147" s="49" t="e">
        <f>VLOOKUP(A147,Enforcements!$C$7:$E$32,3,0)</f>
        <v>#N/A</v>
      </c>
    </row>
    <row r="148" spans="1:29" s="2" customFormat="1" x14ac:dyDescent="0.25">
      <c r="A148" s="43" t="s">
        <v>455</v>
      </c>
      <c r="B148" s="43">
        <v>4013</v>
      </c>
      <c r="C148" s="43" t="s">
        <v>60</v>
      </c>
      <c r="D148" s="43" t="s">
        <v>86</v>
      </c>
      <c r="E148" s="25">
        <v>42546.910949074074</v>
      </c>
      <c r="F148" s="25">
        <v>42546.9141087963</v>
      </c>
      <c r="G148" s="25">
        <v>4</v>
      </c>
      <c r="H148" s="25" t="s">
        <v>286</v>
      </c>
      <c r="I148" s="25">
        <v>42546.941006944442</v>
      </c>
      <c r="J148" s="43">
        <v>0</v>
      </c>
      <c r="K148" s="43" t="str">
        <f>IF(ISEVEN(B148),(B148-1)&amp;"/"&amp;B148,B148&amp;"/"&amp;(B148+1))</f>
        <v>4013/4014</v>
      </c>
      <c r="L148" s="43" t="str">
        <f>VLOOKUP(A148,'Trips&amp;Operators'!$C$1:$E$10000,3,FALSE)</f>
        <v>ADANE</v>
      </c>
      <c r="M148" s="11">
        <f>I148-F148</f>
        <v>2.6898148142208811E-2</v>
      </c>
      <c r="N148" s="12">
        <f>24*60*SUM($M148:$M148)</f>
        <v>38.733333324780688</v>
      </c>
      <c r="O148" s="12"/>
      <c r="P148" s="12"/>
      <c r="Q148" s="44"/>
      <c r="R148" s="44"/>
      <c r="S148" s="70">
        <f>SUM(U148:U148)/12</f>
        <v>1</v>
      </c>
      <c r="T148" s="2" t="str">
        <f>IF(ISEVEN(LEFT(A148,3)),"Southbound","NorthBound")</f>
        <v>Southbound</v>
      </c>
      <c r="U148" s="2">
        <f>COUNTIFS(Variables!$M$2:$M$19, "&lt;=" &amp; Y148, Variables!$M$2:$M$19, "&gt;=" &amp; Z148)</f>
        <v>12</v>
      </c>
      <c r="V148" s="48" t="str">
        <f>"https://search-rtdc-monitor-bjffxe2xuh6vdkpspy63sjmuny.us-east-1.es.amazonaws.com/_plugin/kibana/#/discover/Steve-Slow-Train-Analysis-(2080s-and-2083s)?_g=(refreshInterval:(display:Off,section:0,value:0),time:(from:'"&amp;TEXT(E148-1/24/60,"yyyy-MM-DD hh:mm:ss")&amp;"-0600',mode:absolute,to:'"&amp;TEXT(I148+1/24/60,"yyyy-MM-DD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148&amp;"%22')),sort:!(Time,asc))"</f>
        <v>https://search-rtdc-monitor-bjffxe2xuh6vdkpspy63sjmuny.us-east-1.es.amazonaws.com/_plugin/kibana/#/discover/Steve-Slow-Train-Analysis-(2080s-and-2083s)?_g=(refreshInterval:(display:Off,section:0,value:0),time:(from:'2016-06-25 21:50:46-0600',mode:absolute,to:'2016-06-25 22:36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48" s="48" t="str">
        <f>IF(AA148&lt;23,"Y","N")</f>
        <v>N</v>
      </c>
      <c r="X148" s="48">
        <f>VALUE(LEFT(A148,3))-VALUE(LEFT(A147,3))</f>
        <v>1</v>
      </c>
      <c r="Y148" s="48">
        <f>RIGHT(D148,LEN(D148)-4)/10000</f>
        <v>23.297499999999999</v>
      </c>
      <c r="Z148" s="48">
        <f>RIGHT(H148,LEN(H148)-4)/10000</f>
        <v>1.38E-2</v>
      </c>
      <c r="AA148" s="48">
        <f>ABS(Z148-Y148)</f>
        <v>23.2837</v>
      </c>
      <c r="AB148" s="49" t="e">
        <f>VLOOKUP(A148,Enforcements!$C$7:$J$32,8,0)</f>
        <v>#N/A</v>
      </c>
      <c r="AC148" s="49" t="e">
        <f>VLOOKUP(A148,Enforcements!$C$7:$E$32,3,0)</f>
        <v>#N/A</v>
      </c>
    </row>
    <row r="149" spans="1:29" s="2" customFormat="1" x14ac:dyDescent="0.25">
      <c r="A149" s="43" t="s">
        <v>456</v>
      </c>
      <c r="B149" s="43">
        <v>4042</v>
      </c>
      <c r="C149" s="43" t="s">
        <v>60</v>
      </c>
      <c r="D149" s="43" t="s">
        <v>214</v>
      </c>
      <c r="E149" s="25">
        <v>42546.889085648145</v>
      </c>
      <c r="F149" s="25">
        <v>42546.889826388891</v>
      </c>
      <c r="G149" s="25">
        <v>1</v>
      </c>
      <c r="H149" s="25" t="s">
        <v>216</v>
      </c>
      <c r="I149" s="25">
        <v>42546.922592592593</v>
      </c>
      <c r="J149" s="43">
        <v>0</v>
      </c>
      <c r="K149" s="43" t="str">
        <f>IF(ISEVEN(B149),(B149-1)&amp;"/"&amp;B149,B149&amp;"/"&amp;(B149+1))</f>
        <v>4041/4042</v>
      </c>
      <c r="L149" s="43" t="str">
        <f>VLOOKUP(A149,'Trips&amp;Operators'!$C$1:$E$10000,3,FALSE)</f>
        <v>LEVERE</v>
      </c>
      <c r="M149" s="11">
        <f>I149-F149</f>
        <v>3.276620370161254E-2</v>
      </c>
      <c r="N149" s="12">
        <f>24*60*SUM($M149:$M149)</f>
        <v>47.183333330322057</v>
      </c>
      <c r="O149" s="12"/>
      <c r="P149" s="12"/>
      <c r="Q149" s="44"/>
      <c r="R149" s="44"/>
      <c r="S149" s="70">
        <f>SUM(U149:U149)/12</f>
        <v>1</v>
      </c>
      <c r="T149" s="2" t="str">
        <f>IF(ISEVEN(LEFT(A149,3)),"Southbound","NorthBound")</f>
        <v>NorthBound</v>
      </c>
      <c r="U149" s="2">
        <f>COUNTIFS(Variables!$M$2:$M$19, "&gt;=" &amp; Y149, Variables!$M$2:$M$19, "&lt;=" &amp; Z149)</f>
        <v>12</v>
      </c>
      <c r="V149" s="48" t="str">
        <f>"https://search-rtdc-monitor-bjffxe2xuh6vdkpspy63sjmuny.us-east-1.es.amazonaws.com/_plugin/kibana/#/discover/Steve-Slow-Train-Analysis-(2080s-and-2083s)?_g=(refreshInterval:(display:Off,section:0,value:0),time:(from:'"&amp;TEXT(E149-1/24/60,"yyyy-MM-DD hh:mm:ss")&amp;"-0600',mode:absolute,to:'"&amp;TEXT(I149+1/24/60,"yyyy-MM-DD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149&amp;"%22')),sort:!(Time,asc))"</f>
        <v>https://search-rtdc-monitor-bjffxe2xuh6vdkpspy63sjmuny.us-east-1.es.amazonaws.com/_plugin/kibana/#/discover/Steve-Slow-Train-Analysis-(2080s-and-2083s)?_g=(refreshInterval:(display:Off,section:0,value:0),time:(from:'2016-06-25 21:19:17-0600',mode:absolute,to:'2016-06-25 22:09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49" s="48" t="str">
        <f>IF(AA149&lt;23,"Y","N")</f>
        <v>N</v>
      </c>
      <c r="X149" s="48">
        <f>VALUE(LEFT(A149,3))-VALUE(LEFT(A148,3))</f>
        <v>1</v>
      </c>
      <c r="Y149" s="48">
        <f>RIGHT(D149,LEN(D149)-4)/10000</f>
        <v>4.7800000000000002E-2</v>
      </c>
      <c r="Z149" s="48">
        <f>RIGHT(H149,LEN(H149)-4)/10000</f>
        <v>23.3276</v>
      </c>
      <c r="AA149" s="48">
        <f>ABS(Z149-Y149)</f>
        <v>23.279800000000002</v>
      </c>
      <c r="AB149" s="49" t="e">
        <f>VLOOKUP(A149,Enforcements!$C$7:$J$32,8,0)</f>
        <v>#N/A</v>
      </c>
      <c r="AC149" s="49" t="e">
        <f>VLOOKUP(A149,Enforcements!$C$7:$E$32,3,0)</f>
        <v>#N/A</v>
      </c>
    </row>
    <row r="150" spans="1:29" s="2" customFormat="1" x14ac:dyDescent="0.25">
      <c r="A150" s="43" t="s">
        <v>457</v>
      </c>
      <c r="B150" s="43">
        <v>4041</v>
      </c>
      <c r="C150" s="43" t="s">
        <v>60</v>
      </c>
      <c r="D150" s="43" t="s">
        <v>458</v>
      </c>
      <c r="E150" s="25">
        <v>42546.929050925923</v>
      </c>
      <c r="F150" s="25">
        <v>42546.930150462962</v>
      </c>
      <c r="G150" s="25">
        <v>1</v>
      </c>
      <c r="H150" s="25" t="s">
        <v>459</v>
      </c>
      <c r="I150" s="25">
        <v>42546.964201388888</v>
      </c>
      <c r="J150" s="43">
        <v>1</v>
      </c>
      <c r="K150" s="43" t="str">
        <f>IF(ISEVEN(B150),(B150-1)&amp;"/"&amp;B150,B150&amp;"/"&amp;(B150+1))</f>
        <v>4041/4042</v>
      </c>
      <c r="L150" s="43" t="str">
        <f>VLOOKUP(A150,'Trips&amp;Operators'!$C$1:$E$10000,3,FALSE)</f>
        <v>LEVERE</v>
      </c>
      <c r="M150" s="11">
        <f>I150-F150</f>
        <v>3.4050925925839692E-2</v>
      </c>
      <c r="N150" s="12">
        <f>24*60*SUM($M150:$M150)</f>
        <v>49.033333333209157</v>
      </c>
      <c r="O150" s="12"/>
      <c r="P150" s="12"/>
      <c r="Q150" s="44"/>
      <c r="R150" s="44"/>
      <c r="S150" s="70">
        <f>SUM(U150:U150)/12</f>
        <v>1</v>
      </c>
      <c r="T150" s="2" t="str">
        <f>IF(ISEVEN(LEFT(A150,3)),"Southbound","NorthBound")</f>
        <v>Southbound</v>
      </c>
      <c r="U150" s="2">
        <f>COUNTIFS(Variables!$M$2:$M$19, "&lt;=" &amp; Y150, Variables!$M$2:$M$19, "&gt;=" &amp; Z150)</f>
        <v>12</v>
      </c>
      <c r="V150" s="48" t="str">
        <f>"https://search-rtdc-monitor-bjffxe2xuh6vdkpspy63sjmuny.us-east-1.es.amazonaws.com/_plugin/kibana/#/discover/Steve-Slow-Train-Analysis-(2080s-and-2083s)?_g=(refreshInterval:(display:Off,section:0,value:0),time:(from:'"&amp;TEXT(E150-1/24/60,"yyyy-MM-DD hh:mm:ss")&amp;"-0600',mode:absolute,to:'"&amp;TEXT(I150+1/24/60,"yyyy-MM-DD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150&amp;"%22')),sort:!(Time,asc))"</f>
        <v>https://search-rtdc-monitor-bjffxe2xuh6vdkpspy63sjmuny.us-east-1.es.amazonaws.com/_plugin/kibana/#/discover/Steve-Slow-Train-Analysis-(2080s-and-2083s)?_g=(refreshInterval:(display:Off,section:0,value:0),time:(from:'2016-06-25 22:16:50-0600',mode:absolute,to:'2016-06-25 23:09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50" s="48" t="str">
        <f>IF(AA150&lt;23,"Y","N")</f>
        <v>N</v>
      </c>
      <c r="X150" s="48">
        <f>VALUE(LEFT(A150,3))-VALUE(LEFT(A149,3))</f>
        <v>1</v>
      </c>
      <c r="Y150" s="48">
        <f>RIGHT(D150,LEN(D150)-4)/10000</f>
        <v>23.295999999999999</v>
      </c>
      <c r="Z150" s="48">
        <f>RIGHT(H150,LEN(H150)-4)/10000</f>
        <v>1.7399999999999999E-2</v>
      </c>
      <c r="AA150" s="48">
        <f>ABS(Z150-Y150)</f>
        <v>23.278600000000001</v>
      </c>
      <c r="AB150" s="49" t="e">
        <f>VLOOKUP(A150,Enforcements!$C$7:$J$32,8,0)</f>
        <v>#N/A</v>
      </c>
      <c r="AC150" s="49" t="e">
        <f>VLOOKUP(A150,Enforcements!$C$7:$E$32,3,0)</f>
        <v>#N/A</v>
      </c>
    </row>
    <row r="151" spans="1:29" s="2" customFormat="1" x14ac:dyDescent="0.25">
      <c r="A151" s="43" t="s">
        <v>460</v>
      </c>
      <c r="B151" s="43">
        <v>4044</v>
      </c>
      <c r="C151" s="43" t="s">
        <v>60</v>
      </c>
      <c r="D151" s="43" t="s">
        <v>69</v>
      </c>
      <c r="E151" s="25">
        <v>42546.908622685187</v>
      </c>
      <c r="F151" s="25">
        <v>42546.909918981481</v>
      </c>
      <c r="G151" s="25">
        <v>1</v>
      </c>
      <c r="H151" s="25" t="s">
        <v>461</v>
      </c>
      <c r="I151" s="25">
        <v>42546.944525462961</v>
      </c>
      <c r="J151" s="43">
        <v>1</v>
      </c>
      <c r="K151" s="43" t="str">
        <f>IF(ISEVEN(B151),(B151-1)&amp;"/"&amp;B151,B151&amp;"/"&amp;(B151+1))</f>
        <v>4043/4044</v>
      </c>
      <c r="L151" s="43" t="str">
        <f>VLOOKUP(A151,'Trips&amp;Operators'!$C$1:$E$10000,3,FALSE)</f>
        <v>BRUDER</v>
      </c>
      <c r="M151" s="11">
        <f>I151-F151</f>
        <v>3.460648148029577E-2</v>
      </c>
      <c r="N151" s="12">
        <f>24*60*SUM($M151:$M151)</f>
        <v>49.833333331625909</v>
      </c>
      <c r="O151" s="12"/>
      <c r="P151" s="12"/>
      <c r="Q151" s="44"/>
      <c r="R151" s="44"/>
      <c r="S151" s="70">
        <f>SUM(U151:U151)/12</f>
        <v>1</v>
      </c>
      <c r="T151" s="2" t="str">
        <f>IF(ISEVEN(LEFT(A151,3)),"Southbound","NorthBound")</f>
        <v>NorthBound</v>
      </c>
      <c r="U151" s="2">
        <f>COUNTIFS(Variables!$M$2:$M$19, "&gt;=" &amp; Y151, Variables!$M$2:$M$19, "&lt;=" &amp; Z151)</f>
        <v>12</v>
      </c>
      <c r="V151" s="48" t="str">
        <f>"https://search-rtdc-monitor-bjffxe2xuh6vdkpspy63sjmuny.us-east-1.es.amazonaws.com/_plugin/kibana/#/discover/Steve-Slow-Train-Analysis-(2080s-and-2083s)?_g=(refreshInterval:(display:Off,section:0,value:0),time:(from:'"&amp;TEXT(E151-1/24/60,"yyyy-MM-DD hh:mm:ss")&amp;"-0600',mode:absolute,to:'"&amp;TEXT(I151+1/24/60,"yyyy-MM-DD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151&amp;"%22')),sort:!(Time,asc))"</f>
        <v>https://search-rtdc-monitor-bjffxe2xuh6vdkpspy63sjmuny.us-east-1.es.amazonaws.com/_plugin/kibana/#/discover/Steve-Slow-Train-Analysis-(2080s-and-2083s)?_g=(refreshInterval:(display:Off,section:0,value:0),time:(from:'2016-06-25 21:47:25-0600',mode:absolute,to:'2016-06-25 22:41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51" s="48" t="str">
        <f>IF(AA151&lt;23,"Y","N")</f>
        <v>N</v>
      </c>
      <c r="X151" s="48">
        <f>VALUE(LEFT(A151,3))-VALUE(LEFT(A150,3))</f>
        <v>1</v>
      </c>
      <c r="Y151" s="48">
        <f>RIGHT(D151,LEN(D151)-4)/10000</f>
        <v>4.5999999999999999E-2</v>
      </c>
      <c r="Z151" s="48">
        <f>RIGHT(H151,LEN(H151)-4)/10000</f>
        <v>23.327200000000001</v>
      </c>
      <c r="AA151" s="48">
        <f>ABS(Z151-Y151)</f>
        <v>23.281200000000002</v>
      </c>
      <c r="AB151" s="49">
        <f>VLOOKUP(A151,Enforcements!$C$7:$J$32,8,0)</f>
        <v>110617</v>
      </c>
      <c r="AC151" s="49" t="str">
        <f>VLOOKUP(A151,Enforcements!$C$7:$E$32,3,0)</f>
        <v>EQUIPMENT RESTRICTION</v>
      </c>
    </row>
    <row r="152" spans="1:29" s="2" customFormat="1" x14ac:dyDescent="0.25">
      <c r="A152" s="43" t="s">
        <v>460</v>
      </c>
      <c r="B152" s="43">
        <v>4044</v>
      </c>
      <c r="C152" s="43" t="s">
        <v>60</v>
      </c>
      <c r="D152" s="43" t="s">
        <v>155</v>
      </c>
      <c r="E152" s="25">
        <v>42546.908622685187</v>
      </c>
      <c r="F152" s="25">
        <v>42546.911469907405</v>
      </c>
      <c r="G152" s="25">
        <v>4</v>
      </c>
      <c r="H152" s="25" t="s">
        <v>461</v>
      </c>
      <c r="I152" s="25">
        <v>42546.944525462961</v>
      </c>
      <c r="J152" s="43">
        <v>0</v>
      </c>
      <c r="K152" s="43" t="str">
        <f>IF(ISEVEN(B152),(B152-1)&amp;"/"&amp;B152,B152&amp;"/"&amp;(B152+1))</f>
        <v>4043/4044</v>
      </c>
      <c r="L152" s="43" t="str">
        <f>VLOOKUP(A152,'Trips&amp;Operators'!$C$1:$E$10000,3,FALSE)</f>
        <v>BRUDER</v>
      </c>
      <c r="M152" s="11">
        <f>I152-F152</f>
        <v>3.3055555555620231E-2</v>
      </c>
      <c r="N152" s="12">
        <f>24*60*SUM($M152:$M152)</f>
        <v>47.600000000093132</v>
      </c>
      <c r="O152" s="12"/>
      <c r="P152" s="12"/>
      <c r="Q152" s="44"/>
      <c r="R152" s="44"/>
      <c r="S152" s="70">
        <f>SUM(U152:U152)/12</f>
        <v>1</v>
      </c>
      <c r="T152" s="2" t="str">
        <f>IF(ISEVEN(LEFT(A152,3)),"Southbound","NorthBound")</f>
        <v>NorthBound</v>
      </c>
      <c r="U152" s="2">
        <f>COUNTIFS(Variables!$M$2:$M$19, "&gt;=" &amp; Y152, Variables!$M$2:$M$19, "&lt;=" &amp; Z152)</f>
        <v>12</v>
      </c>
      <c r="V152" s="48" t="str">
        <f>"https://search-rtdc-monitor-bjffxe2xuh6vdkpspy63sjmuny.us-east-1.es.amazonaws.com/_plugin/kibana/#/discover/Steve-Slow-Train-Analysis-(2080s-and-2083s)?_g=(refreshInterval:(display:Off,section:0,value:0),time:(from:'"&amp;TEXT(E152-1/24/60,"yyyy-MM-DD hh:mm:ss")&amp;"-0600',mode:absolute,to:'"&amp;TEXT(I152+1/24/60,"yyyy-MM-DD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152&amp;"%22')),sort:!(Time,asc))"</f>
        <v>https://search-rtdc-monitor-bjffxe2xuh6vdkpspy63sjmuny.us-east-1.es.amazonaws.com/_plugin/kibana/#/discover/Steve-Slow-Train-Analysis-(2080s-and-2083s)?_g=(refreshInterval:(display:Off,section:0,value:0),time:(from:'2016-06-25 21:47:25-0600',mode:absolute,to:'2016-06-25 22:41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52" s="48" t="str">
        <f>IF(AA152&lt;23,"Y","N")</f>
        <v>N</v>
      </c>
      <c r="X152" s="48">
        <f>VALUE(LEFT(A152,3))-VALUE(LEFT(A151,3))</f>
        <v>0</v>
      </c>
      <c r="Y152" s="48">
        <f>RIGHT(D152,LEN(D152)-4)/10000</f>
        <v>4.7100000000000003E-2</v>
      </c>
      <c r="Z152" s="48">
        <f>RIGHT(H152,LEN(H152)-4)/10000</f>
        <v>23.327200000000001</v>
      </c>
      <c r="AA152" s="48">
        <f>ABS(Z152-Y152)</f>
        <v>23.280100000000001</v>
      </c>
      <c r="AB152" s="49">
        <f>VLOOKUP(A152,Enforcements!$C$7:$J$32,8,0)</f>
        <v>110617</v>
      </c>
      <c r="AC152" s="49" t="str">
        <f>VLOOKUP(A152,Enforcements!$C$7:$E$32,3,0)</f>
        <v>EQUIPMENT RESTRICTION</v>
      </c>
    </row>
    <row r="153" spans="1:29" s="2" customFormat="1" x14ac:dyDescent="0.25">
      <c r="A153" s="43" t="s">
        <v>460</v>
      </c>
      <c r="B153" s="43">
        <v>4044</v>
      </c>
      <c r="C153" s="43" t="s">
        <v>60</v>
      </c>
      <c r="D153" s="43" t="s">
        <v>201</v>
      </c>
      <c r="E153" s="25">
        <v>42546.916863425926</v>
      </c>
      <c r="F153" s="25">
        <v>42546.917939814812</v>
      </c>
      <c r="G153" s="25">
        <v>1</v>
      </c>
      <c r="H153" s="25" t="s">
        <v>461</v>
      </c>
      <c r="I153" s="25">
        <v>42546.944525462961</v>
      </c>
      <c r="J153" s="43">
        <v>0</v>
      </c>
      <c r="K153" s="43" t="str">
        <f>IF(ISEVEN(B153),(B153-1)&amp;"/"&amp;B153,B153&amp;"/"&amp;(B153+1))</f>
        <v>4043/4044</v>
      </c>
      <c r="L153" s="43" t="str">
        <f>VLOOKUP(A153,'Trips&amp;Operators'!$C$1:$E$10000,3,FALSE)</f>
        <v>BRUDER</v>
      </c>
      <c r="M153" s="11">
        <f>I153-F153</f>
        <v>2.658564814919373E-2</v>
      </c>
      <c r="N153" s="12">
        <f>24*60*SUM($M153:$M153)</f>
        <v>38.283333334838971</v>
      </c>
      <c r="O153" s="12"/>
      <c r="P153" s="12"/>
      <c r="Q153" s="44"/>
      <c r="R153" s="44"/>
      <c r="S153" s="70">
        <f>SUM(U153:U153)/12</f>
        <v>1</v>
      </c>
      <c r="T153" s="2" t="str">
        <f>IF(ISEVEN(LEFT(A153,3)),"Southbound","NorthBound")</f>
        <v>NorthBound</v>
      </c>
      <c r="U153" s="2">
        <f>COUNTIFS(Variables!$M$2:$M$19, "&gt;=" &amp; Y153, Variables!$M$2:$M$19, "&lt;=" &amp; Z153)</f>
        <v>12</v>
      </c>
      <c r="V153" s="48" t="str">
        <f>"https://search-rtdc-monitor-bjffxe2xuh6vdkpspy63sjmuny.us-east-1.es.amazonaws.com/_plugin/kibana/#/discover/Steve-Slow-Train-Analysis-(2080s-and-2083s)?_g=(refreshInterval:(display:Off,section:0,value:0),time:(from:'"&amp;TEXT(E153-1/24/60,"yyyy-MM-DD hh:mm:ss")&amp;"-0600',mode:absolute,to:'"&amp;TEXT(I153+1/24/60,"yyyy-MM-DD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153&amp;"%22')),sort:!(Time,asc))"</f>
        <v>https://search-rtdc-monitor-bjffxe2xuh6vdkpspy63sjmuny.us-east-1.es.amazonaws.com/_plugin/kibana/#/discover/Steve-Slow-Train-Analysis-(2080s-and-2083s)?_g=(refreshInterval:(display:Off,section:0,value:0),time:(from:'2016-06-25 21:59:17-0600',mode:absolute,to:'2016-06-25 22:41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53" s="48" t="str">
        <f>IF(AA153&lt;23,"Y","N")</f>
        <v>N</v>
      </c>
      <c r="X153" s="48">
        <f>VALUE(LEFT(A153,3))-VALUE(LEFT(A152,3))</f>
        <v>0</v>
      </c>
      <c r="Y153" s="48">
        <f>RIGHT(D153,LEN(D153)-4)/10000</f>
        <v>4.5100000000000001E-2</v>
      </c>
      <c r="Z153" s="48">
        <f>RIGHT(H153,LEN(H153)-4)/10000</f>
        <v>23.327200000000001</v>
      </c>
      <c r="AA153" s="48">
        <f>ABS(Z153-Y153)</f>
        <v>23.2821</v>
      </c>
      <c r="AB153" s="49">
        <f>VLOOKUP(A153,Enforcements!$C$7:$J$32,8,0)</f>
        <v>110617</v>
      </c>
      <c r="AC153" s="49" t="str">
        <f>VLOOKUP(A153,Enforcements!$C$7:$E$32,3,0)</f>
        <v>EQUIPMENT RESTRICTION</v>
      </c>
    </row>
    <row r="154" spans="1:29" s="2" customFormat="1" x14ac:dyDescent="0.25">
      <c r="A154" s="43" t="s">
        <v>462</v>
      </c>
      <c r="B154" s="43">
        <v>4043</v>
      </c>
      <c r="C154" s="43" t="s">
        <v>60</v>
      </c>
      <c r="D154" s="43" t="s">
        <v>141</v>
      </c>
      <c r="E154" s="25">
        <v>42546.950937499998</v>
      </c>
      <c r="F154" s="25">
        <v>42546.951828703706</v>
      </c>
      <c r="G154" s="25">
        <v>1</v>
      </c>
      <c r="H154" s="25" t="s">
        <v>463</v>
      </c>
      <c r="I154" s="25">
        <v>42546.982430555552</v>
      </c>
      <c r="J154" s="43">
        <v>1</v>
      </c>
      <c r="K154" s="43" t="str">
        <f>IF(ISEVEN(B154),(B154-1)&amp;"/"&amp;B154,B154&amp;"/"&amp;(B154+1))</f>
        <v>4043/4044</v>
      </c>
      <c r="L154" s="43" t="str">
        <f>VLOOKUP(A154,'Trips&amp;Operators'!$C$1:$E$10000,3,FALSE)</f>
        <v>BRUDER</v>
      </c>
      <c r="M154" s="11">
        <f>I154-F154</f>
        <v>3.0601851845858619E-2</v>
      </c>
      <c r="N154" s="12">
        <f>24*60*SUM($M154:$M154)</f>
        <v>44.066666658036411</v>
      </c>
      <c r="O154" s="12"/>
      <c r="P154" s="12"/>
      <c r="Q154" s="44"/>
      <c r="R154" s="44"/>
      <c r="S154" s="70">
        <f>SUM(U154:U154)/12</f>
        <v>1</v>
      </c>
      <c r="T154" s="2" t="str">
        <f>IF(ISEVEN(LEFT(A154,3)),"Southbound","NorthBound")</f>
        <v>Southbound</v>
      </c>
      <c r="U154" s="2">
        <f>COUNTIFS(Variables!$M$2:$M$19, "&lt;=" &amp; Y154, Variables!$M$2:$M$19, "&gt;=" &amp; Z154)</f>
        <v>12</v>
      </c>
      <c r="V154" s="48" t="str">
        <f>"https://search-rtdc-monitor-bjffxe2xuh6vdkpspy63sjmuny.us-east-1.es.amazonaws.com/_plugin/kibana/#/discover/Steve-Slow-Train-Analysis-(2080s-and-2083s)?_g=(refreshInterval:(display:Off,section:0,value:0),time:(from:'"&amp;TEXT(E154-1/24/60,"yyyy-MM-DD hh:mm:ss")&amp;"-0600',mode:absolute,to:'"&amp;TEXT(I154+1/24/60,"yyyy-MM-DD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154&amp;"%22')),sort:!(Time,asc))"</f>
        <v>https://search-rtdc-monitor-bjffxe2xuh6vdkpspy63sjmuny.us-east-1.es.amazonaws.com/_plugin/kibana/#/discover/Steve-Slow-Train-Analysis-(2080s-and-2083s)?_g=(refreshInterval:(display:Off,section:0,value:0),time:(from:'2016-06-25 22:48:21-0600',mode:absolute,to:'2016-06-25 23:35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54" s="48" t="str">
        <f>IF(AA154&lt;23,"Y","N")</f>
        <v>N</v>
      </c>
      <c r="X154" s="48">
        <f>VALUE(LEFT(A154,3))-VALUE(LEFT(A153,3))</f>
        <v>1</v>
      </c>
      <c r="Y154" s="48">
        <f>RIGHT(D154,LEN(D154)-4)/10000</f>
        <v>23.298200000000001</v>
      </c>
      <c r="Z154" s="48">
        <f>RIGHT(H154,LEN(H154)-4)/10000</f>
        <v>2.1100000000000001E-2</v>
      </c>
      <c r="AA154" s="48">
        <f>ABS(Z154-Y154)</f>
        <v>23.277100000000001</v>
      </c>
      <c r="AB154" s="49" t="e">
        <f>VLOOKUP(A154,Enforcements!$C$7:$J$32,8,0)</f>
        <v>#N/A</v>
      </c>
      <c r="AC154" s="49" t="e">
        <f>VLOOKUP(A154,Enforcements!$C$7:$E$32,3,0)</f>
        <v>#N/A</v>
      </c>
    </row>
    <row r="155" spans="1:29" s="2" customFormat="1" x14ac:dyDescent="0.25">
      <c r="A155" s="43" t="s">
        <v>464</v>
      </c>
      <c r="B155" s="43">
        <v>4027</v>
      </c>
      <c r="C155" s="43" t="s">
        <v>60</v>
      </c>
      <c r="D155" s="43" t="s">
        <v>162</v>
      </c>
      <c r="E155" s="25">
        <v>42546.934733796297</v>
      </c>
      <c r="F155" s="25">
        <v>42546.935833333337</v>
      </c>
      <c r="G155" s="25">
        <v>1</v>
      </c>
      <c r="H155" s="25" t="s">
        <v>101</v>
      </c>
      <c r="I155" s="25">
        <v>42546.963784722226</v>
      </c>
      <c r="J155" s="43">
        <v>0</v>
      </c>
      <c r="K155" s="43" t="str">
        <f>IF(ISEVEN(B155),(B155-1)&amp;"/"&amp;B155,B155&amp;"/"&amp;(B155+1))</f>
        <v>4027/4028</v>
      </c>
      <c r="L155" s="43" t="str">
        <f>VLOOKUP(A155,'Trips&amp;Operators'!$C$1:$E$10000,3,FALSE)</f>
        <v>CHANDLER</v>
      </c>
      <c r="M155" s="11">
        <f>I155-F155</f>
        <v>2.7951388889050577E-2</v>
      </c>
      <c r="N155" s="12">
        <f>24*60*SUM($M155:$M155)</f>
        <v>40.250000000232831</v>
      </c>
      <c r="O155" s="12"/>
      <c r="P155" s="12"/>
      <c r="Q155" s="44"/>
      <c r="R155" s="44"/>
      <c r="S155" s="70">
        <f>SUM(U155:U155)/12</f>
        <v>1</v>
      </c>
      <c r="T155" s="2" t="str">
        <f>IF(ISEVEN(LEFT(A155,3)),"Southbound","NorthBound")</f>
        <v>NorthBound</v>
      </c>
      <c r="U155" s="2">
        <f>COUNTIFS(Variables!$M$2:$M$19, "&gt;=" &amp; Y155, Variables!$M$2:$M$19, "&lt;=" &amp; Z155)</f>
        <v>12</v>
      </c>
      <c r="V155" s="48" t="str">
        <f>"https://search-rtdc-monitor-bjffxe2xuh6vdkpspy63sjmuny.us-east-1.es.amazonaws.com/_plugin/kibana/#/discover/Steve-Slow-Train-Analysis-(2080s-and-2083s)?_g=(refreshInterval:(display:Off,section:0,value:0),time:(from:'"&amp;TEXT(E155-1/24/60,"yyyy-MM-DD hh:mm:ss")&amp;"-0600',mode:absolute,to:'"&amp;TEXT(I155+1/24/60,"yyyy-MM-DD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155&amp;"%22')),sort:!(Time,asc))"</f>
        <v>https://search-rtdc-monitor-bjffxe2xuh6vdkpspy63sjmuny.us-east-1.es.amazonaws.com/_plugin/kibana/#/discover/Steve-Slow-Train-Analysis-(2080s-and-2083s)?_g=(refreshInterval:(display:Off,section:0,value:0),time:(from:'2016-06-25 22:25:01-0600',mode:absolute,to:'2016-06-25 23:08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55" s="48" t="str">
        <f>IF(AA155&lt;23,"Y","N")</f>
        <v>N</v>
      </c>
      <c r="X155" s="48">
        <f>VALUE(LEFT(A155,3))-VALUE(LEFT(A154,3))</f>
        <v>1</v>
      </c>
      <c r="Y155" s="48">
        <f>RIGHT(D155,LEN(D155)-4)/10000</f>
        <v>4.9299999999999997E-2</v>
      </c>
      <c r="Z155" s="48">
        <f>RIGHT(H155,LEN(H155)-4)/10000</f>
        <v>23.329499999999999</v>
      </c>
      <c r="AA155" s="48">
        <f>ABS(Z155-Y155)</f>
        <v>23.280200000000001</v>
      </c>
      <c r="AB155" s="49" t="e">
        <f>VLOOKUP(A155,Enforcements!$C$7:$J$32,8,0)</f>
        <v>#N/A</v>
      </c>
      <c r="AC155" s="49" t="e">
        <f>VLOOKUP(A155,Enforcements!$C$7:$E$32,3,0)</f>
        <v>#N/A</v>
      </c>
    </row>
    <row r="156" spans="1:29" s="2" customFormat="1" x14ac:dyDescent="0.25">
      <c r="A156" s="43" t="s">
        <v>465</v>
      </c>
      <c r="B156" s="43">
        <v>4028</v>
      </c>
      <c r="C156" s="43" t="s">
        <v>60</v>
      </c>
      <c r="D156" s="43" t="s">
        <v>217</v>
      </c>
      <c r="E156" s="25">
        <v>42546.97383101852</v>
      </c>
      <c r="F156" s="25">
        <v>42546.975324074076</v>
      </c>
      <c r="G156" s="25">
        <v>2</v>
      </c>
      <c r="H156" s="25" t="s">
        <v>95</v>
      </c>
      <c r="I156" s="25">
        <v>42547.004490740743</v>
      </c>
      <c r="J156" s="43">
        <v>0</v>
      </c>
      <c r="K156" s="43" t="str">
        <f>IF(ISEVEN(B156),(B156-1)&amp;"/"&amp;B156,B156&amp;"/"&amp;(B156+1))</f>
        <v>4027/4028</v>
      </c>
      <c r="L156" s="43" t="str">
        <f>VLOOKUP(A156,'Trips&amp;Operators'!$C$1:$E$10000,3,FALSE)</f>
        <v>CHANDLER</v>
      </c>
      <c r="M156" s="11">
        <f>I156-F156</f>
        <v>2.9166666667151731E-2</v>
      </c>
      <c r="N156" s="12">
        <f>24*60*SUM($M156:$M156)</f>
        <v>42.000000000698492</v>
      </c>
      <c r="O156" s="12"/>
      <c r="P156" s="12"/>
      <c r="Q156" s="44"/>
      <c r="R156" s="44"/>
      <c r="S156" s="70">
        <f>SUM(U156:U156)/12</f>
        <v>1</v>
      </c>
      <c r="T156" s="2" t="str">
        <f>IF(ISEVEN(LEFT(A156,3)),"Southbound","NorthBound")</f>
        <v>Southbound</v>
      </c>
      <c r="U156" s="2">
        <f>COUNTIFS(Variables!$M$2:$M$19, "&lt;=" &amp; Y156, Variables!$M$2:$M$19, "&gt;=" &amp; Z156)</f>
        <v>12</v>
      </c>
      <c r="V156" s="48" t="str">
        <f>"https://search-rtdc-monitor-bjffxe2xuh6vdkpspy63sjmuny.us-east-1.es.amazonaws.com/_plugin/kibana/#/discover/Steve-Slow-Train-Analysis-(2080s-and-2083s)?_g=(refreshInterval:(display:Off,section:0,value:0),time:(from:'"&amp;TEXT(E156-1/24/60,"yyyy-MM-DD hh:mm:ss")&amp;"-0600',mode:absolute,to:'"&amp;TEXT(I156+1/24/60,"yyyy-MM-DD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156&amp;"%22')),sort:!(Time,asc))"</f>
        <v>https://search-rtdc-monitor-bjffxe2xuh6vdkpspy63sjmuny.us-east-1.es.amazonaws.com/_plugin/kibana/#/discover/Steve-Slow-Train-Analysis-(2080s-and-2083s)?_g=(refreshInterval:(display:Off,section:0,value:0),time:(from:'2016-06-25 23:21:19-0600',mode:absolute,to:'2016-06-26 00:07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56" s="48" t="str">
        <f>IF(AA156&lt;23,"Y","N")</f>
        <v>N</v>
      </c>
      <c r="X156" s="48">
        <f>VALUE(LEFT(A156,3))-VALUE(LEFT(A155,3))</f>
        <v>1</v>
      </c>
      <c r="Y156" s="48">
        <f>RIGHT(D156,LEN(D156)-4)/10000</f>
        <v>23.299399999999999</v>
      </c>
      <c r="Z156" s="48">
        <f>RIGHT(H156,LEN(H156)-4)/10000</f>
        <v>1.61E-2</v>
      </c>
      <c r="AA156" s="48">
        <f>ABS(Z156-Y156)</f>
        <v>23.283299999999997</v>
      </c>
      <c r="AB156" s="49" t="e">
        <f>VLOOKUP(A156,Enforcements!$C$7:$J$32,8,0)</f>
        <v>#N/A</v>
      </c>
      <c r="AC156" s="49" t="e">
        <f>VLOOKUP(A156,Enforcements!$C$7:$E$32,3,0)</f>
        <v>#N/A</v>
      </c>
    </row>
    <row r="157" spans="1:29" s="2" customFormat="1" x14ac:dyDescent="0.25">
      <c r="A157" s="43" t="s">
        <v>466</v>
      </c>
      <c r="B157" s="43">
        <v>4014</v>
      </c>
      <c r="C157" s="43" t="s">
        <v>60</v>
      </c>
      <c r="D157" s="43" t="s">
        <v>69</v>
      </c>
      <c r="E157" s="25">
        <v>42546.955925925926</v>
      </c>
      <c r="F157" s="25">
        <v>42546.956666666665</v>
      </c>
      <c r="G157" s="25">
        <v>1</v>
      </c>
      <c r="H157" s="25" t="s">
        <v>186</v>
      </c>
      <c r="I157" s="25">
        <v>42546.983506944445</v>
      </c>
      <c r="J157" s="43">
        <v>0</v>
      </c>
      <c r="K157" s="43" t="str">
        <f>IF(ISEVEN(B157),(B157-1)&amp;"/"&amp;B157,B157&amp;"/"&amp;(B157+1))</f>
        <v>4013/4014</v>
      </c>
      <c r="L157" s="43" t="str">
        <f>VLOOKUP(A157,'Trips&amp;Operators'!$C$1:$E$10000,3,FALSE)</f>
        <v>ADANE</v>
      </c>
      <c r="M157" s="11">
        <f>I157-F157</f>
        <v>2.6840277780138422E-2</v>
      </c>
      <c r="N157" s="12">
        <f>24*60*SUM($M157:$M157)</f>
        <v>38.650000003399327</v>
      </c>
      <c r="O157" s="12"/>
      <c r="P157" s="12"/>
      <c r="Q157" s="44"/>
      <c r="R157" s="44"/>
      <c r="S157" s="70">
        <f>SUM(U157:U157)/12</f>
        <v>1</v>
      </c>
      <c r="T157" s="2" t="str">
        <f>IF(ISEVEN(LEFT(A157,3)),"Southbound","NorthBound")</f>
        <v>NorthBound</v>
      </c>
      <c r="U157" s="2">
        <f>COUNTIFS(Variables!$M$2:$M$19, "&gt;=" &amp; Y157, Variables!$M$2:$M$19, "&lt;=" &amp; Z157)</f>
        <v>12</v>
      </c>
      <c r="V157" s="48" t="str">
        <f>"https://search-rtdc-monitor-bjffxe2xuh6vdkpspy63sjmuny.us-east-1.es.amazonaws.com/_plugin/kibana/#/discover/Steve-Slow-Train-Analysis-(2080s-and-2083s)?_g=(refreshInterval:(display:Off,section:0,value:0),time:(from:'"&amp;TEXT(E157-1/24/60,"yyyy-MM-DD hh:mm:ss")&amp;"-0600',mode:absolute,to:'"&amp;TEXT(I157+1/24/60,"yyyy-MM-DD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157&amp;"%22')),sort:!(Time,asc))"</f>
        <v>https://search-rtdc-monitor-bjffxe2xuh6vdkpspy63sjmuny.us-east-1.es.amazonaws.com/_plugin/kibana/#/discover/Steve-Slow-Train-Analysis-(2080s-and-2083s)?_g=(refreshInterval:(display:Off,section:0,value:0),time:(from:'2016-06-25 22:55:32-0600',mode:absolute,to:'2016-06-25 23:37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57" s="48" t="str">
        <f>IF(AA157&lt;23,"Y","N")</f>
        <v>N</v>
      </c>
      <c r="X157" s="48">
        <f>VALUE(LEFT(A157,3))-VALUE(LEFT(A156,3))</f>
        <v>1</v>
      </c>
      <c r="Y157" s="48">
        <f>RIGHT(D157,LEN(D157)-4)/10000</f>
        <v>4.5999999999999999E-2</v>
      </c>
      <c r="Z157" s="48">
        <f>RIGHT(H157,LEN(H157)-4)/10000</f>
        <v>23.329899999999999</v>
      </c>
      <c r="AA157" s="48">
        <f>ABS(Z157-Y157)</f>
        <v>23.283899999999999</v>
      </c>
      <c r="AB157" s="49" t="e">
        <f>VLOOKUP(A157,Enforcements!$C$7:$J$32,8,0)</f>
        <v>#N/A</v>
      </c>
      <c r="AC157" s="49" t="e">
        <f>VLOOKUP(A157,Enforcements!$C$7:$E$32,3,0)</f>
        <v>#N/A</v>
      </c>
    </row>
    <row r="158" spans="1:29" s="2" customFormat="1" x14ac:dyDescent="0.25">
      <c r="A158" s="43" t="s">
        <v>467</v>
      </c>
      <c r="B158" s="43">
        <v>4013</v>
      </c>
      <c r="C158" s="43" t="s">
        <v>60</v>
      </c>
      <c r="D158" s="43" t="s">
        <v>71</v>
      </c>
      <c r="E158" s="25">
        <v>42546.993946759256</v>
      </c>
      <c r="F158" s="25">
        <v>42546.996030092596</v>
      </c>
      <c r="G158" s="25">
        <v>3</v>
      </c>
      <c r="H158" s="25" t="s">
        <v>75</v>
      </c>
      <c r="I158" s="25">
        <v>42547.023865740739</v>
      </c>
      <c r="J158" s="43">
        <v>2</v>
      </c>
      <c r="K158" s="43" t="str">
        <f>IF(ISEVEN(B158),(B158-1)&amp;"/"&amp;B158,B158&amp;"/"&amp;(B158+1))</f>
        <v>4013/4014</v>
      </c>
      <c r="L158" s="43" t="str">
        <f>VLOOKUP(A158,'Trips&amp;Operators'!$C$1:$E$10000,3,FALSE)</f>
        <v>ADANE</v>
      </c>
      <c r="M158" s="11">
        <f>I158-F158</f>
        <v>2.7835648143081926E-2</v>
      </c>
      <c r="N158" s="12">
        <f>24*60*SUM($M158:$M158)</f>
        <v>40.083333326037973</v>
      </c>
      <c r="O158" s="12"/>
      <c r="P158" s="12"/>
      <c r="Q158" s="44"/>
      <c r="R158" s="44"/>
      <c r="S158" s="70">
        <f>SUM(U158:U158)/12</f>
        <v>1</v>
      </c>
      <c r="T158" s="2" t="str">
        <f>IF(ISEVEN(LEFT(A158,3)),"Southbound","NorthBound")</f>
        <v>Southbound</v>
      </c>
      <c r="U158" s="2">
        <f>COUNTIFS(Variables!$M$2:$M$19, "&lt;=" &amp; Y158, Variables!$M$2:$M$19, "&gt;=" &amp; Z158)</f>
        <v>12</v>
      </c>
      <c r="V158" s="48" t="str">
        <f>"https://search-rtdc-monitor-bjffxe2xuh6vdkpspy63sjmuny.us-east-1.es.amazonaws.com/_plugin/kibana/#/discover/Steve-Slow-Train-Analysis-(2080s-and-2083s)?_g=(refreshInterval:(display:Off,section:0,value:0),time:(from:'"&amp;TEXT(E158-1/24/60,"yyyy-MM-DD hh:mm:ss")&amp;"-0600',mode:absolute,to:'"&amp;TEXT(I158+1/24/60,"yyyy-MM-DD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158&amp;"%22')),sort:!(Time,asc))"</f>
        <v>https://search-rtdc-monitor-bjffxe2xuh6vdkpspy63sjmuny.us-east-1.es.amazonaws.com/_plugin/kibana/#/discover/Steve-Slow-Train-Analysis-(2080s-and-2083s)?_g=(refreshInterval:(display:Off,section:0,value:0),time:(from:'2016-06-25 23:50:17-0600',mode:absolute,to:'2016-06-26 00:35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58" s="48" t="str">
        <f>IF(AA158&lt;23,"Y","N")</f>
        <v>N</v>
      </c>
      <c r="X158" s="48">
        <f>VALUE(LEFT(A158,3))-VALUE(LEFT(A157,3))</f>
        <v>1</v>
      </c>
      <c r="Y158" s="48">
        <f>RIGHT(D158,LEN(D158)-4)/10000</f>
        <v>23.297699999999999</v>
      </c>
      <c r="Z158" s="48">
        <f>RIGHT(H158,LEN(H158)-4)/10000</f>
        <v>1.5599999999999999E-2</v>
      </c>
      <c r="AA158" s="48">
        <f>ABS(Z158-Y158)</f>
        <v>23.2821</v>
      </c>
      <c r="AB158" s="49">
        <f>VLOOKUP(A158,Enforcements!$C$7:$J$32,8,0)</f>
        <v>183829</v>
      </c>
      <c r="AC158" s="49" t="str">
        <f>VLOOKUP(A158,Enforcements!$C$7:$E$32,3,0)</f>
        <v>PERMANENT SPEED RESTRICTION</v>
      </c>
    </row>
    <row r="159" spans="1:29" x14ac:dyDescent="0.25">
      <c r="A159" s="43" t="s">
        <v>468</v>
      </c>
      <c r="B159" s="43">
        <v>4042</v>
      </c>
      <c r="C159" s="43" t="s">
        <v>60</v>
      </c>
      <c r="D159" s="43" t="s">
        <v>469</v>
      </c>
      <c r="E159" s="25">
        <v>42546.969583333332</v>
      </c>
      <c r="F159" s="25">
        <v>42546.970451388886</v>
      </c>
      <c r="G159" s="25">
        <v>1</v>
      </c>
      <c r="H159" s="25" t="s">
        <v>101</v>
      </c>
      <c r="I159" s="25">
        <v>42547.006944444445</v>
      </c>
      <c r="J159" s="43">
        <v>0</v>
      </c>
      <c r="K159" s="43" t="str">
        <f>IF(ISEVEN(B159),(B159-1)&amp;"/"&amp;B159,B159&amp;"/"&amp;(B159+1))</f>
        <v>4041/4042</v>
      </c>
      <c r="L159" s="43" t="str">
        <f>VLOOKUP(A159,'Trips&amp;Operators'!$C$1:$E$10000,3,FALSE)</f>
        <v>LEVERE</v>
      </c>
      <c r="M159" s="11">
        <f>I159-F159</f>
        <v>3.6493055558821652E-2</v>
      </c>
      <c r="N159" s="12">
        <f>24*60*SUM($M159:$M159)</f>
        <v>52.550000004703179</v>
      </c>
      <c r="O159" s="12"/>
      <c r="P159" s="12"/>
      <c r="Q159" s="44"/>
      <c r="R159" s="44"/>
      <c r="S159" s="70">
        <f>SUM(U159:U159)/12</f>
        <v>1</v>
      </c>
      <c r="T159" s="2" t="str">
        <f>IF(ISEVEN(LEFT(A159,3)),"Southbound","NorthBound")</f>
        <v>NorthBound</v>
      </c>
      <c r="U159" s="2">
        <f>COUNTIFS(Variables!$M$2:$M$19, "&gt;=" &amp; Y159, Variables!$M$2:$M$19, "&lt;=" &amp; Z159)</f>
        <v>12</v>
      </c>
      <c r="V159" s="48" t="str">
        <f>"https://search-rtdc-monitor-bjffxe2xuh6vdkpspy63sjmuny.us-east-1.es.amazonaws.com/_plugin/kibana/#/discover/Steve-Slow-Train-Analysis-(2080s-and-2083s)?_g=(refreshInterval:(display:Off,section:0,value:0),time:(from:'"&amp;TEXT(E159-1/24/60,"yyyy-MM-DD hh:mm:ss")&amp;"-0600',mode:absolute,to:'"&amp;TEXT(I159+1/24/60,"yyyy-MM-DD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159&amp;"%22')),sort:!(Time,asc))"</f>
        <v>https://search-rtdc-monitor-bjffxe2xuh6vdkpspy63sjmuny.us-east-1.es.amazonaws.com/_plugin/kibana/#/discover/Steve-Slow-Train-Analysis-(2080s-and-2083s)?_g=(refreshInterval:(display:Off,section:0,value:0),time:(from:'2016-06-25 23:15:12-0600',mode:absolute,to:'2016-06-26 00:11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59" s="48" t="str">
        <f>IF(AA159&lt;23,"Y","N")</f>
        <v>N</v>
      </c>
      <c r="X159" s="48">
        <f>VALUE(LEFT(A159,3))-VALUE(LEFT(A158,3))</f>
        <v>1</v>
      </c>
      <c r="Y159" s="48">
        <f>RIGHT(D159,LEN(D159)-4)/10000</f>
        <v>4.82E-2</v>
      </c>
      <c r="Z159" s="48">
        <f>RIGHT(H159,LEN(H159)-4)/10000</f>
        <v>23.329499999999999</v>
      </c>
      <c r="AA159" s="48">
        <f>ABS(Z159-Y159)</f>
        <v>23.281299999999998</v>
      </c>
      <c r="AB159" s="49" t="e">
        <f>VLOOKUP(A159,Enforcements!$C$7:$J$32,8,0)</f>
        <v>#N/A</v>
      </c>
      <c r="AC159" s="49" t="e">
        <f>VLOOKUP(A159,Enforcements!$C$7:$E$32,3,0)</f>
        <v>#N/A</v>
      </c>
    </row>
    <row r="160" spans="1:29" x14ac:dyDescent="0.25">
      <c r="A160" s="43" t="s">
        <v>470</v>
      </c>
      <c r="B160" s="43">
        <v>4041</v>
      </c>
      <c r="C160" s="43" t="s">
        <v>60</v>
      </c>
      <c r="D160" s="43" t="s">
        <v>178</v>
      </c>
      <c r="E160" s="25">
        <v>42547.01258101852</v>
      </c>
      <c r="F160" s="25">
        <v>42547.013680555552</v>
      </c>
      <c r="G160" s="25">
        <v>1</v>
      </c>
      <c r="H160" s="25" t="s">
        <v>75</v>
      </c>
      <c r="I160" s="25">
        <v>42547.044988425929</v>
      </c>
      <c r="J160" s="43">
        <v>1</v>
      </c>
      <c r="K160" s="43" t="str">
        <f>IF(ISEVEN(B160),(B160-1)&amp;"/"&amp;B160,B160&amp;"/"&amp;(B160+1))</f>
        <v>4041/4042</v>
      </c>
      <c r="L160" s="43" t="str">
        <f>VLOOKUP(A160,'Trips&amp;Operators'!$C$1:$E$10000,3,FALSE)</f>
        <v>LEVERE</v>
      </c>
      <c r="M160" s="11">
        <f>I160-F160</f>
        <v>3.1307870376622304E-2</v>
      </c>
      <c r="N160" s="12">
        <f>24*60*SUM($M160:$M160)</f>
        <v>45.083333342336118</v>
      </c>
      <c r="O160" s="12"/>
      <c r="P160" s="12"/>
      <c r="Q160" s="44"/>
      <c r="R160" s="44"/>
      <c r="S160" s="70">
        <f>SUM(U160:U160)/12</f>
        <v>1</v>
      </c>
      <c r="T160" s="2" t="str">
        <f>IF(ISEVEN(LEFT(A160,3)),"Southbound","NorthBound")</f>
        <v>Southbound</v>
      </c>
      <c r="U160" s="2">
        <f>COUNTIFS(Variables!$M$2:$M$19, "&lt;=" &amp; Y160, Variables!$M$2:$M$19, "&gt;=" &amp; Z160)</f>
        <v>12</v>
      </c>
      <c r="V160" s="48" t="str">
        <f>"https://search-rtdc-monitor-bjffxe2xuh6vdkpspy63sjmuny.us-east-1.es.amazonaws.com/_plugin/kibana/#/discover/Steve-Slow-Train-Analysis-(2080s-and-2083s)?_g=(refreshInterval:(display:Off,section:0,value:0),time:(from:'"&amp;TEXT(E160-1/24/60,"yyyy-MM-DD hh:mm:ss")&amp;"-0600',mode:absolute,to:'"&amp;TEXT(I160+1/24/60,"yyyy-MM-DD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160&amp;"%22')),sort:!(Time,asc))"</f>
        <v>https://search-rtdc-monitor-bjffxe2xuh6vdkpspy63sjmuny.us-east-1.es.amazonaws.com/_plugin/kibana/#/discover/Steve-Slow-Train-Analysis-(2080s-and-2083s)?_g=(refreshInterval:(display:Off,section:0,value:0),time:(from:'2016-06-26 00:17:07-0600',mode:absolute,to:'2016-06-26 01:05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60" s="48" t="str">
        <f>IF(AA160&lt;23,"Y","N")</f>
        <v>N</v>
      </c>
      <c r="X160" s="48">
        <f>VALUE(LEFT(A160,3))-VALUE(LEFT(A159,3))</f>
        <v>1</v>
      </c>
      <c r="Y160" s="48">
        <f>RIGHT(D160,LEN(D160)-4)/10000</f>
        <v>23.296099999999999</v>
      </c>
      <c r="Z160" s="48">
        <f>RIGHT(H160,LEN(H160)-4)/10000</f>
        <v>1.5599999999999999E-2</v>
      </c>
      <c r="AA160" s="48">
        <f>ABS(Z160-Y160)</f>
        <v>23.2805</v>
      </c>
      <c r="AB160" s="49" t="e">
        <f>VLOOKUP(A160,Enforcements!$C$7:$J$32,8,0)</f>
        <v>#N/A</v>
      </c>
      <c r="AC160" s="49" t="e">
        <f>VLOOKUP(A160,Enforcements!$C$7:$E$32,3,0)</f>
        <v>#N/A</v>
      </c>
    </row>
    <row r="161" spans="1:29" s="2" customFormat="1" x14ac:dyDescent="0.25">
      <c r="A161" s="43" t="s">
        <v>471</v>
      </c>
      <c r="B161" s="43">
        <v>4044</v>
      </c>
      <c r="C161" s="43" t="s">
        <v>60</v>
      </c>
      <c r="D161" s="43" t="s">
        <v>472</v>
      </c>
      <c r="E161" s="25">
        <v>42546.99082175926</v>
      </c>
      <c r="F161" s="25">
        <v>42546.991782407407</v>
      </c>
      <c r="G161" s="25">
        <v>1</v>
      </c>
      <c r="H161" s="25" t="s">
        <v>473</v>
      </c>
      <c r="I161" s="25">
        <v>42547.025787037041</v>
      </c>
      <c r="J161" s="43">
        <v>0</v>
      </c>
      <c r="K161" s="43" t="str">
        <f>IF(ISEVEN(B161),(B161-1)&amp;"/"&amp;B161,B161&amp;"/"&amp;(B161+1))</f>
        <v>4043/4044</v>
      </c>
      <c r="L161" s="43" t="str">
        <f>VLOOKUP(A161,'Trips&amp;Operators'!$C$1:$E$10000,3,FALSE)</f>
        <v>BRUDER</v>
      </c>
      <c r="M161" s="11">
        <f>I161-F161</f>
        <v>3.4004629633272998E-2</v>
      </c>
      <c r="N161" s="12">
        <f>24*60*SUM($M161:$M161)</f>
        <v>48.966666671913117</v>
      </c>
      <c r="O161" s="12"/>
      <c r="P161" s="12"/>
      <c r="Q161" s="44"/>
      <c r="R161" s="44"/>
      <c r="S161" s="70">
        <f>SUM(U161:U161)/12</f>
        <v>1</v>
      </c>
      <c r="T161" s="2" t="str">
        <f>IF(ISEVEN(LEFT(A161,3)),"Southbound","NorthBound")</f>
        <v>NorthBound</v>
      </c>
      <c r="U161" s="2">
        <f>COUNTIFS(Variables!$M$2:$M$19, "&gt;=" &amp; Y161, Variables!$M$2:$M$19, "&lt;=" &amp; Z161)</f>
        <v>12</v>
      </c>
      <c r="V161" s="48" t="str">
        <f>"https://search-rtdc-monitor-bjffxe2xuh6vdkpspy63sjmuny.us-east-1.es.amazonaws.com/_plugin/kibana/#/discover/Steve-Slow-Train-Analysis-(2080s-and-2083s)?_g=(refreshInterval:(display:Off,section:0,value:0),time:(from:'"&amp;TEXT(E161-1/24/60,"yyyy-MM-DD hh:mm:ss")&amp;"-0600',mode:absolute,to:'"&amp;TEXT(I161+1/24/60,"yyyy-MM-DD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161&amp;"%22')),sort:!(Time,asc))"</f>
        <v>https://search-rtdc-monitor-bjffxe2xuh6vdkpspy63sjmuny.us-east-1.es.amazonaws.com/_plugin/kibana/#/discover/Steve-Slow-Train-Analysis-(2080s-and-2083s)?_g=(refreshInterval:(display:Off,section:0,value:0),time:(from:'2016-06-25 23:45:47-0600',mode:absolute,to:'2016-06-26 00:38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61" s="48" t="str">
        <f>IF(AA161&lt;23,"Y","N")</f>
        <v>N</v>
      </c>
      <c r="X161" s="48">
        <f>VALUE(LEFT(A161,3))-VALUE(LEFT(A160,3))</f>
        <v>1</v>
      </c>
      <c r="Y161" s="48">
        <f>RIGHT(D161,LEN(D161)-4)/10000</f>
        <v>5.2200000000000003E-2</v>
      </c>
      <c r="Z161" s="48">
        <f>RIGHT(H161,LEN(H161)-4)/10000</f>
        <v>23.334499999999998</v>
      </c>
      <c r="AA161" s="48">
        <f>ABS(Z161-Y161)</f>
        <v>23.282299999999999</v>
      </c>
      <c r="AB161" s="49" t="e">
        <f>VLOOKUP(A161,Enforcements!$C$7:$J$32,8,0)</f>
        <v>#N/A</v>
      </c>
      <c r="AC161" s="49" t="e">
        <f>VLOOKUP(A161,Enforcements!$C$7:$E$32,3,0)</f>
        <v>#N/A</v>
      </c>
    </row>
    <row r="162" spans="1:29" x14ac:dyDescent="0.25">
      <c r="A162" s="43" t="s">
        <v>474</v>
      </c>
      <c r="B162" s="43">
        <v>4043</v>
      </c>
      <c r="C162" s="43" t="s">
        <v>60</v>
      </c>
      <c r="D162" s="43" t="s">
        <v>215</v>
      </c>
      <c r="E162" s="25">
        <v>42547.032326388886</v>
      </c>
      <c r="F162" s="25">
        <v>42547.033564814818</v>
      </c>
      <c r="G162" s="25">
        <v>1</v>
      </c>
      <c r="H162" s="25" t="s">
        <v>205</v>
      </c>
      <c r="I162" s="25">
        <v>42547.064895833333</v>
      </c>
      <c r="J162" s="43">
        <v>1</v>
      </c>
      <c r="K162" s="43" t="str">
        <f>IF(ISEVEN(B162),(B162-1)&amp;"/"&amp;B162,B162&amp;"/"&amp;(B162+1))</f>
        <v>4043/4044</v>
      </c>
      <c r="L162" s="43" t="str">
        <f>VLOOKUP(A162,'Trips&amp;Operators'!$C$1:$E$10000,3,FALSE)</f>
        <v>BRUDER</v>
      </c>
      <c r="M162" s="11">
        <f>I162-F162</f>
        <v>3.1331018515629694E-2</v>
      </c>
      <c r="N162" s="12">
        <f>24*60*SUM($M162:$M162)</f>
        <v>45.116666662506759</v>
      </c>
      <c r="O162" s="12"/>
      <c r="P162" s="12"/>
      <c r="Q162" s="44"/>
      <c r="R162" s="44"/>
      <c r="S162" s="70">
        <f>SUM(U162:U162)/12</f>
        <v>1</v>
      </c>
      <c r="T162" s="2" t="str">
        <f>IF(ISEVEN(LEFT(A162,3)),"Southbound","NorthBound")</f>
        <v>Southbound</v>
      </c>
      <c r="U162" s="2">
        <f>COUNTIFS(Variables!$M$2:$M$19, "&lt;=" &amp; Y162, Variables!$M$2:$M$19, "&gt;=" &amp; Z162)</f>
        <v>12</v>
      </c>
      <c r="V162" s="48" t="str">
        <f>"https://search-rtdc-monitor-bjffxe2xuh6vdkpspy63sjmuny.us-east-1.es.amazonaws.com/_plugin/kibana/#/discover/Steve-Slow-Train-Analysis-(2080s-and-2083s)?_g=(refreshInterval:(display:Off,section:0,value:0),time:(from:'"&amp;TEXT(E162-1/24/60,"yyyy-MM-DD hh:mm:ss")&amp;"-0600',mode:absolute,to:'"&amp;TEXT(I162+1/24/60,"yyyy-MM-DD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162&amp;"%22')),sort:!(Time,asc))"</f>
        <v>https://search-rtdc-monitor-bjffxe2xuh6vdkpspy63sjmuny.us-east-1.es.amazonaws.com/_plugin/kibana/#/discover/Steve-Slow-Train-Analysis-(2080s-and-2083s)?_g=(refreshInterval:(display:Off,section:0,value:0),time:(from:'2016-06-26 00:45:33-0600',mode:absolute,to:'2016-06-26 01:34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62" s="48" t="str">
        <f>IF(AA162&lt;23,"Y","N")</f>
        <v>N</v>
      </c>
      <c r="X162" s="48">
        <f>VALUE(LEFT(A162,3))-VALUE(LEFT(A161,3))</f>
        <v>1</v>
      </c>
      <c r="Y162" s="48">
        <f>RIGHT(D162,LEN(D162)-4)/10000</f>
        <v>23.298400000000001</v>
      </c>
      <c r="Z162" s="48">
        <f>RIGHT(H162,LEN(H162)-4)/10000</f>
        <v>2.23E-2</v>
      </c>
      <c r="AA162" s="48">
        <f>ABS(Z162-Y162)</f>
        <v>23.2761</v>
      </c>
      <c r="AB162" s="49" t="e">
        <f>VLOOKUP(A162,Enforcements!$C$7:$J$32,8,0)</f>
        <v>#N/A</v>
      </c>
      <c r="AC162" s="49" t="e">
        <f>VLOOKUP(A162,Enforcements!$C$7:$E$32,3,0)</f>
        <v>#N/A</v>
      </c>
    </row>
    <row r="163" spans="1:29" x14ac:dyDescent="0.25">
      <c r="A163" s="43" t="s">
        <v>475</v>
      </c>
      <c r="B163" s="43">
        <v>4027</v>
      </c>
      <c r="C163" s="43" t="s">
        <v>60</v>
      </c>
      <c r="D163" s="43" t="s">
        <v>291</v>
      </c>
      <c r="E163" s="25">
        <v>42547.015405092592</v>
      </c>
      <c r="F163" s="25">
        <v>42547.016597222224</v>
      </c>
      <c r="G163" s="25">
        <v>1</v>
      </c>
      <c r="H163" s="25" t="s">
        <v>198</v>
      </c>
      <c r="I163" s="25">
        <v>42547.046574074076</v>
      </c>
      <c r="J163" s="43">
        <v>0</v>
      </c>
      <c r="K163" s="43" t="str">
        <f>IF(ISEVEN(B163),(B163-1)&amp;"/"&amp;B163,B163&amp;"/"&amp;(B163+1))</f>
        <v>4027/4028</v>
      </c>
      <c r="L163" s="43" t="str">
        <f>VLOOKUP(A163,'Trips&amp;Operators'!$C$1:$E$10000,3,FALSE)</f>
        <v>CHANDLER</v>
      </c>
      <c r="M163" s="11">
        <f>I163-F163</f>
        <v>2.99768518525525E-2</v>
      </c>
      <c r="N163" s="12">
        <f>24*60*SUM($M163:$M163)</f>
        <v>43.166666667675599</v>
      </c>
      <c r="O163" s="12"/>
      <c r="P163" s="12"/>
      <c r="Q163" s="44"/>
      <c r="R163" s="44"/>
      <c r="S163" s="70">
        <f>SUM(U163:U163)/12</f>
        <v>1</v>
      </c>
      <c r="T163" s="2" t="str">
        <f>IF(ISEVEN(LEFT(A163,3)),"Southbound","NorthBound")</f>
        <v>NorthBound</v>
      </c>
      <c r="U163" s="2">
        <f>COUNTIFS(Variables!$M$2:$M$19, "&gt;=" &amp; Y163, Variables!$M$2:$M$19, "&lt;=" &amp; Z163)</f>
        <v>12</v>
      </c>
      <c r="V163" s="48" t="str">
        <f>"https://search-rtdc-monitor-bjffxe2xuh6vdkpspy63sjmuny.us-east-1.es.amazonaws.com/_plugin/kibana/#/discover/Steve-Slow-Train-Analysis-(2080s-and-2083s)?_g=(refreshInterval:(display:Off,section:0,value:0),time:(from:'"&amp;TEXT(E163-1/24/60,"yyyy-MM-DD hh:mm:ss")&amp;"-0600',mode:absolute,to:'"&amp;TEXT(I163+1/24/60,"yyyy-MM-DD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163&amp;"%22')),sort:!(Time,asc))"</f>
        <v>https://search-rtdc-monitor-bjffxe2xuh6vdkpspy63sjmuny.us-east-1.es.amazonaws.com/_plugin/kibana/#/discover/Steve-Slow-Train-Analysis-(2080s-and-2083s)?_g=(refreshInterval:(display:Off,section:0,value:0),time:(from:'2016-06-26 00:21:11-0600',mode:absolute,to:'2016-06-26 01:08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63" s="48" t="str">
        <f>IF(AA163&lt;23,"Y","N")</f>
        <v>N</v>
      </c>
      <c r="X163" s="48">
        <f>VALUE(LEFT(A163,3))-VALUE(LEFT(A162,3))</f>
        <v>1</v>
      </c>
      <c r="Y163" s="48">
        <f>RIGHT(D163,LEN(D163)-4)/10000</f>
        <v>4.6600000000000003E-2</v>
      </c>
      <c r="Z163" s="48">
        <f>RIGHT(H163,LEN(H163)-4)/10000</f>
        <v>23.328900000000001</v>
      </c>
      <c r="AA163" s="48">
        <f>ABS(Z163-Y163)</f>
        <v>23.282299999999999</v>
      </c>
      <c r="AB163" s="49" t="e">
        <f>VLOOKUP(A163,Enforcements!$C$7:$J$32,8,0)</f>
        <v>#N/A</v>
      </c>
      <c r="AC163" s="49" t="e">
        <f>VLOOKUP(A163,Enforcements!$C$7:$E$32,3,0)</f>
        <v>#N/A</v>
      </c>
    </row>
    <row r="164" spans="1:29" x14ac:dyDescent="0.25">
      <c r="A164" s="43" t="s">
        <v>476</v>
      </c>
      <c r="B164" s="43">
        <v>4028</v>
      </c>
      <c r="C164" s="43" t="s">
        <v>60</v>
      </c>
      <c r="D164" s="43" t="s">
        <v>80</v>
      </c>
      <c r="E164" s="25">
        <v>42547.05773148148</v>
      </c>
      <c r="F164" s="25">
        <v>42547.058738425927</v>
      </c>
      <c r="G164" s="25">
        <v>1</v>
      </c>
      <c r="H164" s="25" t="s">
        <v>108</v>
      </c>
      <c r="I164" s="25">
        <v>42547.087326388886</v>
      </c>
      <c r="J164" s="43">
        <v>0</v>
      </c>
      <c r="K164" s="43" t="str">
        <f>IF(ISEVEN(B164),(B164-1)&amp;"/"&amp;B164,B164&amp;"/"&amp;(B164+1))</f>
        <v>4027/4028</v>
      </c>
      <c r="L164" s="43" t="str">
        <f>VLOOKUP(A164,'Trips&amp;Operators'!$C$1:$E$10000,3,FALSE)</f>
        <v>CHANDLER</v>
      </c>
      <c r="M164" s="11">
        <f>I164-F164</f>
        <v>2.8587962959136348E-2</v>
      </c>
      <c r="N164" s="12">
        <f>24*60*SUM($M164:$M164)</f>
        <v>41.166666661156341</v>
      </c>
      <c r="O164" s="12"/>
      <c r="P164" s="12"/>
      <c r="Q164" s="44"/>
      <c r="R164" s="44"/>
      <c r="S164" s="70">
        <f>SUM(U164:U164)/12</f>
        <v>1</v>
      </c>
      <c r="T164" s="2" t="str">
        <f>IF(ISEVEN(LEFT(A164,3)),"Southbound","NorthBound")</f>
        <v>Southbound</v>
      </c>
      <c r="U164" s="2">
        <f>COUNTIFS(Variables!$M$2:$M$19, "&lt;=" &amp; Y164, Variables!$M$2:$M$19, "&gt;=" &amp; Z164)</f>
        <v>12</v>
      </c>
      <c r="V164" s="48" t="str">
        <f>"https://search-rtdc-monitor-bjffxe2xuh6vdkpspy63sjmuny.us-east-1.es.amazonaws.com/_plugin/kibana/#/discover/Steve-Slow-Train-Analysis-(2080s-and-2083s)?_g=(refreshInterval:(display:Off,section:0,value:0),time:(from:'"&amp;TEXT(E164-1/24/60,"yyyy-MM-DD hh:mm:ss")&amp;"-0600',mode:absolute,to:'"&amp;TEXT(I164+1/24/60,"yyyy-MM-DD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164&amp;"%22')),sort:!(Time,asc))"</f>
        <v>https://search-rtdc-monitor-bjffxe2xuh6vdkpspy63sjmuny.us-east-1.es.amazonaws.com/_plugin/kibana/#/discover/Steve-Slow-Train-Analysis-(2080s-and-2083s)?_g=(refreshInterval:(display:Off,section:0,value:0),time:(from:'2016-06-26 01:22:08-0600',mode:absolute,to:'2016-06-26 02:06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64" s="48" t="str">
        <f>IF(AA164&lt;23,"Y","N")</f>
        <v>N</v>
      </c>
      <c r="X164" s="48">
        <f>VALUE(LEFT(A164,3))-VALUE(LEFT(A163,3))</f>
        <v>1</v>
      </c>
      <c r="Y164" s="48">
        <f>RIGHT(D164,LEN(D164)-4)/10000</f>
        <v>23.297799999999999</v>
      </c>
      <c r="Z164" s="48">
        <f>RIGHT(H164,LEN(H164)-4)/10000</f>
        <v>1.7000000000000001E-2</v>
      </c>
      <c r="AA164" s="48">
        <f>ABS(Z164-Y164)</f>
        <v>23.280799999999999</v>
      </c>
      <c r="AB164" s="49" t="e">
        <f>VLOOKUP(A164,Enforcements!$C$7:$J$32,8,0)</f>
        <v>#N/A</v>
      </c>
      <c r="AC164" s="49" t="e">
        <f>VLOOKUP(A164,Enforcements!$C$7:$E$32,3,0)</f>
        <v>#N/A</v>
      </c>
    </row>
    <row r="165" spans="1:29" x14ac:dyDescent="0.25">
      <c r="A165" s="43" t="s">
        <v>477</v>
      </c>
      <c r="B165" s="43">
        <v>4014</v>
      </c>
      <c r="C165" s="43" t="s">
        <v>60</v>
      </c>
      <c r="D165" s="43" t="s">
        <v>114</v>
      </c>
      <c r="E165" s="25">
        <v>42547.035787037035</v>
      </c>
      <c r="F165" s="25">
        <v>42547.036620370367</v>
      </c>
      <c r="G165" s="25">
        <v>1</v>
      </c>
      <c r="H165" s="25" t="s">
        <v>186</v>
      </c>
      <c r="I165" s="25">
        <v>42547.066504629627</v>
      </c>
      <c r="J165" s="43">
        <v>0</v>
      </c>
      <c r="K165" s="43" t="str">
        <f>IF(ISEVEN(B165),(B165-1)&amp;"/"&amp;B165,B165&amp;"/"&amp;(B165+1))</f>
        <v>4013/4014</v>
      </c>
      <c r="L165" s="43" t="str">
        <f>VLOOKUP(A165,'Trips&amp;Operators'!$C$1:$E$10000,3,FALSE)</f>
        <v>ADANE</v>
      </c>
      <c r="M165" s="11">
        <f>I165-F165</f>
        <v>2.9884259260143153E-2</v>
      </c>
      <c r="N165" s="12">
        <f>24*60*SUM($M165:$M165)</f>
        <v>43.033333334606141</v>
      </c>
      <c r="O165" s="12"/>
      <c r="P165" s="12"/>
      <c r="Q165" s="44"/>
      <c r="R165" s="44"/>
      <c r="S165" s="70">
        <f>SUM(U165:U165)/12</f>
        <v>1</v>
      </c>
      <c r="T165" s="2" t="str">
        <f>IF(ISEVEN(LEFT(A165,3)),"Southbound","NorthBound")</f>
        <v>NorthBound</v>
      </c>
      <c r="U165" s="2">
        <f>COUNTIFS(Variables!$M$2:$M$19, "&gt;=" &amp; Y165, Variables!$M$2:$M$19, "&lt;=" &amp; Z165)</f>
        <v>12</v>
      </c>
      <c r="V165" s="48" t="str">
        <f>"https://search-rtdc-monitor-bjffxe2xuh6vdkpspy63sjmuny.us-east-1.es.amazonaws.com/_plugin/kibana/#/discover/Steve-Slow-Train-Analysis-(2080s-and-2083s)?_g=(refreshInterval:(display:Off,section:0,value:0),time:(from:'"&amp;TEXT(E165-1/24/60,"yyyy-MM-DD hh:mm:ss")&amp;"-0600',mode:absolute,to:'"&amp;TEXT(I165+1/24/60,"yyyy-MM-DD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165&amp;"%22')),sort:!(Time,asc))"</f>
        <v>https://search-rtdc-monitor-bjffxe2xuh6vdkpspy63sjmuny.us-east-1.es.amazonaws.com/_plugin/kibana/#/discover/Steve-Slow-Train-Analysis-(2080s-and-2083s)?_g=(refreshInterval:(display:Off,section:0,value:0),time:(from:'2016-06-26 00:50:32-0600',mode:absolute,to:'2016-06-26 01:36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65" s="48" t="str">
        <f>IF(AA165&lt;23,"Y","N")</f>
        <v>N</v>
      </c>
      <c r="X165" s="48">
        <f>VALUE(LEFT(A165,3))-VALUE(LEFT(A164,3))</f>
        <v>1</v>
      </c>
      <c r="Y165" s="48">
        <f>RIGHT(D165,LEN(D165)-4)/10000</f>
        <v>4.6699999999999998E-2</v>
      </c>
      <c r="Z165" s="48">
        <f>RIGHT(H165,LEN(H165)-4)/10000</f>
        <v>23.329899999999999</v>
      </c>
      <c r="AA165" s="48">
        <f>ABS(Z165-Y165)</f>
        <v>23.283199999999997</v>
      </c>
      <c r="AB165" s="49" t="e">
        <f>VLOOKUP(A165,Enforcements!$C$7:$J$32,8,0)</f>
        <v>#N/A</v>
      </c>
      <c r="AC165" s="49" t="e">
        <f>VLOOKUP(A165,Enforcements!$C$7:$E$32,3,0)</f>
        <v>#N/A</v>
      </c>
    </row>
    <row r="166" spans="1:29" x14ac:dyDescent="0.25">
      <c r="A166" s="43" t="s">
        <v>478</v>
      </c>
      <c r="B166" s="43">
        <v>4013</v>
      </c>
      <c r="C166" s="43" t="s">
        <v>60</v>
      </c>
      <c r="D166" s="43" t="s">
        <v>80</v>
      </c>
      <c r="E166" s="25">
        <v>42547.077685185184</v>
      </c>
      <c r="F166" s="25">
        <v>42547.078634259262</v>
      </c>
      <c r="G166" s="25">
        <v>1</v>
      </c>
      <c r="H166" s="25" t="s">
        <v>479</v>
      </c>
      <c r="I166" s="25">
        <v>42547.107372685183</v>
      </c>
      <c r="J166" s="43">
        <v>0</v>
      </c>
      <c r="K166" s="43" t="str">
        <f>IF(ISEVEN(B166),(B166-1)&amp;"/"&amp;B166,B166&amp;"/"&amp;(B166+1))</f>
        <v>4013/4014</v>
      </c>
      <c r="L166" s="43" t="e">
        <f>VLOOKUP(A166,'Trips&amp;Operators'!$C$1:$E$10000,3,FALSE)</f>
        <v>#N/A</v>
      </c>
      <c r="M166" s="11">
        <f>I166-F166</f>
        <v>2.8738425920892041E-2</v>
      </c>
      <c r="N166" s="12">
        <f>24*60*SUM($M166:$M166)</f>
        <v>41.383333326084539</v>
      </c>
      <c r="O166" s="12"/>
      <c r="P166" s="12"/>
      <c r="Q166" s="44"/>
      <c r="R166" s="44"/>
      <c r="S166" s="70">
        <f>SUM(U166:U166)/12</f>
        <v>1</v>
      </c>
      <c r="T166" s="2" t="str">
        <f>IF(ISEVEN(LEFT(A166,3)),"Southbound","NorthBound")</f>
        <v>Southbound</v>
      </c>
      <c r="U166" s="2">
        <f>COUNTIFS(Variables!$M$2:$M$19, "&lt;=" &amp; Y166, Variables!$M$2:$M$19, "&gt;=" &amp; Z166)</f>
        <v>12</v>
      </c>
      <c r="V166" s="48" t="str">
        <f>"https://search-rtdc-monitor-bjffxe2xuh6vdkpspy63sjmuny.us-east-1.es.amazonaws.com/_plugin/kibana/#/discover/Steve-Slow-Train-Analysis-(2080s-and-2083s)?_g=(refreshInterval:(display:Off,section:0,value:0),time:(from:'"&amp;TEXT(E166-1/24/60,"yyyy-MM-DD hh:mm:ss")&amp;"-0600',mode:absolute,to:'"&amp;TEXT(I166+1/24/60,"yyyy-MM-DD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166&amp;"%22')),sort:!(Time,asc))"</f>
        <v>https://search-rtdc-monitor-bjffxe2xuh6vdkpspy63sjmuny.us-east-1.es.amazonaws.com/_plugin/kibana/#/discover/Steve-Slow-Train-Analysis-(2080s-and-2083s)?_g=(refreshInterval:(display:Off,section:0,value:0),time:(from:'2016-06-26 01:50:52-0600',mode:absolute,to:'2016-06-26 02:35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66" s="48" t="str">
        <f>IF(AA166&lt;23,"Y","N")</f>
        <v>N</v>
      </c>
      <c r="X166" s="48">
        <f>VALUE(LEFT(A166,3))-VALUE(LEFT(A165,3))</f>
        <v>1</v>
      </c>
      <c r="Y166" s="48">
        <f>RIGHT(D166,LEN(D166)-4)/10000</f>
        <v>23.297799999999999</v>
      </c>
      <c r="Z166" s="48">
        <f>RIGHT(H166,LEN(H166)-4)/10000</f>
        <v>1.78E-2</v>
      </c>
      <c r="AA166" s="48">
        <f>ABS(Z166-Y166)</f>
        <v>23.279999999999998</v>
      </c>
      <c r="AB166" s="49" t="e">
        <f>VLOOKUP(A166,Enforcements!$C$7:$J$32,8,0)</f>
        <v>#N/A</v>
      </c>
      <c r="AC166" s="49" t="e">
        <f>VLOOKUP(A166,Enforcements!$C$7:$E$32,3,0)</f>
        <v>#N/A</v>
      </c>
    </row>
    <row r="167" spans="1:29" x14ac:dyDescent="0.25">
      <c r="B167" s="42"/>
      <c r="C167" s="42"/>
      <c r="D167" s="42"/>
      <c r="J167" s="42"/>
    </row>
    <row r="168" spans="1:29" x14ac:dyDescent="0.25">
      <c r="B168" s="42"/>
      <c r="C168" s="42"/>
      <c r="D168" s="42"/>
      <c r="J168" s="42"/>
    </row>
    <row r="169" spans="1:29" x14ac:dyDescent="0.25">
      <c r="B169" s="42"/>
      <c r="C169" s="42"/>
      <c r="D169" s="42"/>
      <c r="J169" s="42"/>
    </row>
    <row r="170" spans="1:29" x14ac:dyDescent="0.25">
      <c r="B170" s="42"/>
      <c r="C170" s="42"/>
      <c r="D170" s="42"/>
      <c r="J170" s="42"/>
    </row>
    <row r="171" spans="1:29" x14ac:dyDescent="0.25">
      <c r="B171" s="42"/>
      <c r="C171" s="42"/>
      <c r="D171" s="42"/>
      <c r="J171" s="42"/>
    </row>
    <row r="172" spans="1:29" x14ac:dyDescent="0.25">
      <c r="B172" s="42"/>
      <c r="C172" s="42"/>
      <c r="D172" s="42"/>
      <c r="J172" s="42"/>
    </row>
    <row r="173" spans="1:29" x14ac:dyDescent="0.25">
      <c r="B173" s="42"/>
      <c r="C173" s="42"/>
      <c r="D173" s="42"/>
      <c r="J173" s="42"/>
    </row>
    <row r="174" spans="1:29" x14ac:dyDescent="0.25">
      <c r="B174" s="42"/>
      <c r="C174" s="42"/>
      <c r="D174" s="42"/>
      <c r="J174" s="42"/>
    </row>
    <row r="175" spans="1:29" x14ac:dyDescent="0.25">
      <c r="B175" s="42"/>
      <c r="C175" s="42"/>
      <c r="D175" s="42"/>
      <c r="J175" s="42"/>
    </row>
    <row r="176" spans="1:29" x14ac:dyDescent="0.25">
      <c r="B176" s="42"/>
      <c r="C176" s="42"/>
      <c r="D176" s="42"/>
      <c r="J176" s="42"/>
    </row>
  </sheetData>
  <autoFilter ref="A12:AC144">
    <sortState ref="A13:AC201">
      <sortCondition ref="A12:A144"/>
    </sortState>
  </autoFilter>
  <sortState ref="A13:AC166">
    <sortCondition ref="A13:A166"/>
    <sortCondition ref="F13:F166"/>
  </sortState>
  <mergeCells count="4">
    <mergeCell ref="A11:P11"/>
    <mergeCell ref="I2:J2"/>
    <mergeCell ref="M2:O2"/>
    <mergeCell ref="I3:J3"/>
  </mergeCells>
  <conditionalFormatting sqref="W11:W12 W13:X1048576">
    <cfRule type="cellIs" dxfId="17" priority="69" operator="equal">
      <formula>"Y"</formula>
    </cfRule>
  </conditionalFormatting>
  <conditionalFormatting sqref="X13:X1048576">
    <cfRule type="cellIs" dxfId="16" priority="52" operator="greaterThan">
      <formula>1</formula>
    </cfRule>
  </conditionalFormatting>
  <conditionalFormatting sqref="X12:X1048576">
    <cfRule type="cellIs" dxfId="15" priority="49" operator="equal">
      <formula>0</formula>
    </cfRule>
  </conditionalFormatting>
  <conditionalFormatting sqref="B143:M143 A13:S13 S13:S29 A144:M152 N14:S152 A14:M142 A153:S166 N14:R166">
    <cfRule type="expression" dxfId="14" priority="45">
      <formula>$O13&gt;0</formula>
    </cfRule>
  </conditionalFormatting>
  <conditionalFormatting sqref="A13:S166">
    <cfRule type="expression" dxfId="13" priority="44">
      <formula>$P13&gt;0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3" id="{07B64F47-9FD1-48B1-84DC-90BBCF0B8697}">
            <xm:f>$N13&gt;Variables!$C$2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B143:M143 A13:S13 S13:S29 A144:M152 N14:S152 A14:M142 A153:S166 N14:R166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showGridLines="0" topLeftCell="A10" zoomScale="85" zoomScaleNormal="85" workbookViewId="0">
      <selection activeCell="L7" sqref="L7"/>
    </sheetView>
  </sheetViews>
  <sheetFormatPr defaultRowHeight="15" x14ac:dyDescent="0.25"/>
  <cols>
    <col min="1" max="1" width="18.42578125" style="13" customWidth="1"/>
    <col min="2" max="2" width="17.5703125" customWidth="1"/>
    <col min="3" max="3" width="15.28515625" bestFit="1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73" customWidth="1"/>
    <col min="16" max="16" width="9.140625" style="55"/>
  </cols>
  <sheetData>
    <row r="1" spans="1:17" s="42" customFormat="1" ht="15.75" thickBot="1" x14ac:dyDescent="0.3">
      <c r="A1" s="13"/>
      <c r="P1" s="55"/>
    </row>
    <row r="2" spans="1:17" s="42" customFormat="1" ht="30" x14ac:dyDescent="0.25">
      <c r="A2" s="13"/>
      <c r="K2" s="72" t="s">
        <v>151</v>
      </c>
      <c r="L2" s="73"/>
      <c r="M2" s="74">
        <f>COUNTIF($M$7:$M$874,"=Y")</f>
        <v>17</v>
      </c>
      <c r="P2" s="55"/>
    </row>
    <row r="3" spans="1:17" s="42" customFormat="1" ht="15.75" thickBot="1" x14ac:dyDescent="0.3">
      <c r="A3" s="13"/>
      <c r="K3" s="75" t="s">
        <v>152</v>
      </c>
      <c r="L3" s="76"/>
      <c r="M3" s="77">
        <f>COUNTA($M$7:$M$874)-M2</f>
        <v>36</v>
      </c>
      <c r="P3" s="55"/>
    </row>
    <row r="4" spans="1:17" s="42" customFormat="1" x14ac:dyDescent="0.25">
      <c r="A4" s="13"/>
      <c r="P4" s="55"/>
    </row>
    <row r="5" spans="1:17" s="21" customFormat="1" ht="15" customHeight="1" x14ac:dyDescent="0.25">
      <c r="A5" s="88" t="str">
        <f>"Eagle P3 Braking Events - "&amp;TEXT(Variables!$A$2,"YYYY-mm-dd")</f>
        <v>Eagle P3 Braking Events - 2016-06-24</v>
      </c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22"/>
      <c r="P5" s="53"/>
    </row>
    <row r="6" spans="1:17" s="2" customFormat="1" ht="75" x14ac:dyDescent="0.25">
      <c r="A6" s="20" t="s">
        <v>38</v>
      </c>
      <c r="B6" s="19" t="s">
        <v>37</v>
      </c>
      <c r="C6" s="19" t="s">
        <v>36</v>
      </c>
      <c r="D6" s="19" t="s">
        <v>35</v>
      </c>
      <c r="E6" s="19" t="s">
        <v>34</v>
      </c>
      <c r="F6" s="19" t="s">
        <v>33</v>
      </c>
      <c r="G6" s="19" t="s">
        <v>32</v>
      </c>
      <c r="H6" s="19" t="s">
        <v>31</v>
      </c>
      <c r="I6" s="19" t="s">
        <v>30</v>
      </c>
      <c r="J6" s="19" t="s">
        <v>29</v>
      </c>
      <c r="K6" s="19" t="s">
        <v>28</v>
      </c>
      <c r="L6" s="19" t="s">
        <v>48</v>
      </c>
      <c r="M6" s="19" t="s">
        <v>27</v>
      </c>
      <c r="N6" s="19" t="s">
        <v>24</v>
      </c>
      <c r="P6" s="56" t="s">
        <v>72</v>
      </c>
    </row>
    <row r="7" spans="1:17" s="2" customFormat="1" x14ac:dyDescent="0.25">
      <c r="A7" s="18">
        <v>42546.343553240738</v>
      </c>
      <c r="B7" s="17" t="s">
        <v>220</v>
      </c>
      <c r="C7" s="17" t="s">
        <v>287</v>
      </c>
      <c r="D7" s="17" t="s">
        <v>50</v>
      </c>
      <c r="E7" s="17" t="s">
        <v>224</v>
      </c>
      <c r="F7" s="17">
        <v>790</v>
      </c>
      <c r="G7" s="17">
        <v>794</v>
      </c>
      <c r="H7" s="17">
        <v>144642</v>
      </c>
      <c r="I7" s="17" t="s">
        <v>59</v>
      </c>
      <c r="J7" s="17">
        <v>110617</v>
      </c>
      <c r="K7" s="16" t="s">
        <v>53</v>
      </c>
      <c r="L7" s="16" t="str">
        <f>VLOOKUP(C7,'Trips&amp;Operators'!$C$2:$E$10000,3,FALSE)</f>
        <v>MALAVE</v>
      </c>
      <c r="M7" s="15" t="s">
        <v>149</v>
      </c>
      <c r="N7" s="16"/>
      <c r="P7" s="54" t="str">
        <f>VLOOKUP(C7,'Train Runs'!$A$13:$V$218,22,0)</f>
        <v>https://search-rtdc-monitor-bjffxe2xuh6vdkpspy63sjmuny.us-east-1.es.amazonaws.com/_plugin/kibana/#/discover/Steve-Slow-Train-Analysis-(2080s-and-2083s)?_g=(refreshInterval:(display:Off,section:0,value:0),time:(from:'2016-06-25 08:10:43-0600',mode:absolute,to:'2016-06-25 10:36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7" s="14" t="str">
        <f>MID(B7,13,4)</f>
        <v>4024</v>
      </c>
    </row>
    <row r="8" spans="1:17" s="2" customFormat="1" x14ac:dyDescent="0.25">
      <c r="A8" s="78">
        <v>42546.910891203705</v>
      </c>
      <c r="B8" s="66" t="s">
        <v>488</v>
      </c>
      <c r="C8" s="66" t="s">
        <v>460</v>
      </c>
      <c r="D8" s="66" t="s">
        <v>50</v>
      </c>
      <c r="E8" s="66" t="s">
        <v>224</v>
      </c>
      <c r="F8" s="66">
        <v>790</v>
      </c>
      <c r="G8" s="66">
        <v>802</v>
      </c>
      <c r="H8" s="66">
        <v>145615</v>
      </c>
      <c r="I8" s="66" t="s">
        <v>59</v>
      </c>
      <c r="J8" s="66">
        <v>110617</v>
      </c>
      <c r="K8" s="66" t="s">
        <v>53</v>
      </c>
      <c r="L8" s="16" t="str">
        <f>VLOOKUP(C8,'Trips&amp;Operators'!$C$2:$E$10000,3,FALSE)</f>
        <v>BRUDER</v>
      </c>
      <c r="M8" s="15" t="s">
        <v>149</v>
      </c>
      <c r="N8" s="16"/>
      <c r="P8" s="54" t="str">
        <f>VLOOKUP(C8,'Train Runs'!$A$13:$V$218,22,0)</f>
        <v>https://search-rtdc-monitor-bjffxe2xuh6vdkpspy63sjmuny.us-east-1.es.amazonaws.com/_plugin/kibana/#/discover/Steve-Slow-Train-Analysis-(2080s-and-2083s)?_g=(refreshInterval:(display:Off,section:0,value:0),time:(from:'2016-06-25 21:47:25-0600',mode:absolute,to:'2016-06-25 22:41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8" s="14" t="str">
        <f>MID(B8,13,4)</f>
        <v>4044</v>
      </c>
    </row>
    <row r="9" spans="1:17" s="2" customFormat="1" x14ac:dyDescent="0.25">
      <c r="A9" s="18">
        <v>42546.207083333335</v>
      </c>
      <c r="B9" s="17" t="s">
        <v>220</v>
      </c>
      <c r="C9" s="17" t="s">
        <v>247</v>
      </c>
      <c r="D9" s="17" t="s">
        <v>50</v>
      </c>
      <c r="E9" s="17" t="s">
        <v>77</v>
      </c>
      <c r="F9" s="17">
        <v>0</v>
      </c>
      <c r="G9" s="17">
        <v>42</v>
      </c>
      <c r="H9" s="17">
        <v>62946</v>
      </c>
      <c r="I9" s="17" t="s">
        <v>78</v>
      </c>
      <c r="J9" s="17">
        <v>63068</v>
      </c>
      <c r="K9" s="16" t="s">
        <v>53</v>
      </c>
      <c r="L9" s="16" t="str">
        <f>VLOOKUP(C9,'Trips&amp;Operators'!$C$2:$E$10000,3,FALSE)</f>
        <v>MALAVE</v>
      </c>
      <c r="M9" s="15" t="s">
        <v>149</v>
      </c>
      <c r="N9" s="16"/>
      <c r="P9" s="54" t="str">
        <f>VLOOKUP(C9,'Train Runs'!$A$13:$V$218,22,0)</f>
        <v>https://search-rtdc-monitor-bjffxe2xuh6vdkpspy63sjmuny.us-east-1.es.amazonaws.com/_plugin/kibana/#/discover/Steve-Slow-Train-Analysis-(2080s-and-2083s)?_g=(refreshInterval:(display:Off,section:0,value:0),time:(from:'2016-06-25 04:41:17-0600',mode:absolute,to:'2016-06-25 05:22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9" s="14" t="str">
        <f>MID(B9,13,4)</f>
        <v>4024</v>
      </c>
    </row>
    <row r="10" spans="1:17" s="2" customFormat="1" x14ac:dyDescent="0.25">
      <c r="A10" s="78">
        <v>42546.415497685186</v>
      </c>
      <c r="B10" s="66" t="s">
        <v>91</v>
      </c>
      <c r="C10" s="66" t="s">
        <v>305</v>
      </c>
      <c r="D10" s="66" t="s">
        <v>50</v>
      </c>
      <c r="E10" s="66" t="s">
        <v>77</v>
      </c>
      <c r="F10" s="66">
        <v>0</v>
      </c>
      <c r="G10" s="66">
        <v>165</v>
      </c>
      <c r="H10" s="66">
        <v>62286</v>
      </c>
      <c r="I10" s="66" t="s">
        <v>78</v>
      </c>
      <c r="J10" s="66">
        <v>63068</v>
      </c>
      <c r="K10" s="66" t="s">
        <v>53</v>
      </c>
      <c r="L10" s="16" t="str">
        <f>VLOOKUP(C10,'Trips&amp;Operators'!$C$2:$E$10000,3,FALSE)</f>
        <v>SANTIZO</v>
      </c>
      <c r="M10" s="15" t="s">
        <v>149</v>
      </c>
      <c r="N10" s="16"/>
      <c r="P10" s="54" t="str">
        <f>VLOOKUP(C10,'Train Runs'!$A$13:$V$218,22,0)</f>
        <v>https://search-rtdc-monitor-bjffxe2xuh6vdkpspy63sjmuny.us-east-1.es.amazonaws.com/_plugin/kibana/#/discover/Steve-Slow-Train-Analysis-(2080s-and-2083s)?_g=(refreshInterval:(display:Off,section:0,value:0),time:(from:'2016-06-25 09:39:39-0600',mode:absolute,to:'2016-06-25 10:22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10" s="14" t="str">
        <f>MID(B10,13,4)</f>
        <v>4007</v>
      </c>
    </row>
    <row r="11" spans="1:17" s="2" customFormat="1" x14ac:dyDescent="0.25">
      <c r="A11" s="78">
        <v>42546.677002314813</v>
      </c>
      <c r="B11" s="66" t="s">
        <v>105</v>
      </c>
      <c r="C11" s="66" t="s">
        <v>394</v>
      </c>
      <c r="D11" s="66" t="s">
        <v>50</v>
      </c>
      <c r="E11" s="66" t="s">
        <v>77</v>
      </c>
      <c r="F11" s="66">
        <v>0</v>
      </c>
      <c r="G11" s="66">
        <v>85</v>
      </c>
      <c r="H11" s="66">
        <v>62479</v>
      </c>
      <c r="I11" s="66" t="s">
        <v>78</v>
      </c>
      <c r="J11" s="66">
        <v>63068</v>
      </c>
      <c r="K11" s="66" t="s">
        <v>53</v>
      </c>
      <c r="L11" s="16" t="str">
        <f>VLOOKUP(C11,'Trips&amp;Operators'!$C$2:$E$10000,3,FALSE)</f>
        <v>MAYBERRY</v>
      </c>
      <c r="M11" s="15" t="s">
        <v>149</v>
      </c>
      <c r="N11" s="16"/>
      <c r="P11" s="54" t="str">
        <f>VLOOKUP(C11,'Train Runs'!$A$13:$V$218,22,0)</f>
        <v>https://search-rtdc-monitor-bjffxe2xuh6vdkpspy63sjmuny.us-east-1.es.amazonaws.com/_plugin/kibana/#/discover/Steve-Slow-Train-Analysis-(2080s-and-2083s)?_g=(refreshInterval:(display:Off,section:0,value:0),time:(from:'2016-06-25 14:56:35-0600',mode:absolute,to:'2016-06-25 16:40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11" s="14" t="str">
        <f>MID(B11,13,4)</f>
        <v>4041</v>
      </c>
    </row>
    <row r="12" spans="1:17" s="2" customFormat="1" x14ac:dyDescent="0.25">
      <c r="A12" s="78">
        <v>42546.67769675926</v>
      </c>
      <c r="B12" s="66" t="s">
        <v>105</v>
      </c>
      <c r="C12" s="66" t="s">
        <v>394</v>
      </c>
      <c r="D12" s="66" t="s">
        <v>55</v>
      </c>
      <c r="E12" s="66" t="s">
        <v>77</v>
      </c>
      <c r="F12" s="66">
        <v>0</v>
      </c>
      <c r="G12" s="66">
        <v>3</v>
      </c>
      <c r="H12" s="66">
        <v>63117</v>
      </c>
      <c r="I12" s="66" t="s">
        <v>78</v>
      </c>
      <c r="J12" s="66">
        <v>63068</v>
      </c>
      <c r="K12" s="66" t="s">
        <v>53</v>
      </c>
      <c r="L12" s="16" t="str">
        <f>VLOOKUP(C12,'Trips&amp;Operators'!$C$2:$E$10000,3,FALSE)</f>
        <v>MAYBERRY</v>
      </c>
      <c r="M12" s="15" t="s">
        <v>149</v>
      </c>
      <c r="N12" s="16"/>
      <c r="P12" s="54" t="str">
        <f>VLOOKUP(C12,'Train Runs'!$A$13:$V$218,22,0)</f>
        <v>https://search-rtdc-monitor-bjffxe2xuh6vdkpspy63sjmuny.us-east-1.es.amazonaws.com/_plugin/kibana/#/discover/Steve-Slow-Train-Analysis-(2080s-and-2083s)?_g=(refreshInterval:(display:Off,section:0,value:0),time:(from:'2016-06-25 14:56:35-0600',mode:absolute,to:'2016-06-25 16:40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12" s="14" t="str">
        <f t="shared" ref="Q12:Q30" si="0">MID(B12,13,4)</f>
        <v>4041</v>
      </c>
    </row>
    <row r="13" spans="1:17" s="2" customFormat="1" x14ac:dyDescent="0.25">
      <c r="A13" s="78">
        <v>42546.683703703704</v>
      </c>
      <c r="B13" s="66" t="s">
        <v>105</v>
      </c>
      <c r="C13" s="66" t="s">
        <v>394</v>
      </c>
      <c r="D13" s="66" t="s">
        <v>50</v>
      </c>
      <c r="E13" s="66" t="s">
        <v>77</v>
      </c>
      <c r="F13" s="66">
        <v>600</v>
      </c>
      <c r="G13" s="66">
        <v>713</v>
      </c>
      <c r="H13" s="66">
        <v>106107</v>
      </c>
      <c r="I13" s="66" t="s">
        <v>78</v>
      </c>
      <c r="J13" s="66">
        <v>108954</v>
      </c>
      <c r="K13" s="66" t="s">
        <v>53</v>
      </c>
      <c r="L13" s="16" t="str">
        <f>VLOOKUP(C13,'Trips&amp;Operators'!$C$2:$E$10000,3,FALSE)</f>
        <v>MAYBERRY</v>
      </c>
      <c r="M13" s="15" t="s">
        <v>150</v>
      </c>
      <c r="N13" s="16"/>
      <c r="P13" s="54" t="str">
        <f>VLOOKUP(C13,'Train Runs'!$A$13:$V$218,22,0)</f>
        <v>https://search-rtdc-monitor-bjffxe2xuh6vdkpspy63sjmuny.us-east-1.es.amazonaws.com/_plugin/kibana/#/discover/Steve-Slow-Train-Analysis-(2080s-and-2083s)?_g=(refreshInterval:(display:Off,section:0,value:0),time:(from:'2016-06-25 14:56:35-0600',mode:absolute,to:'2016-06-25 16:40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13" s="14" t="str">
        <f t="shared" si="0"/>
        <v>4041</v>
      </c>
    </row>
    <row r="14" spans="1:17" s="2" customFormat="1" x14ac:dyDescent="0.25">
      <c r="A14" s="18">
        <v>42546.766782407409</v>
      </c>
      <c r="B14" s="17" t="s">
        <v>221</v>
      </c>
      <c r="C14" s="17" t="s">
        <v>425</v>
      </c>
      <c r="D14" s="17" t="s">
        <v>55</v>
      </c>
      <c r="E14" s="17" t="s">
        <v>77</v>
      </c>
      <c r="F14" s="17">
        <v>0</v>
      </c>
      <c r="G14" s="17">
        <v>493</v>
      </c>
      <c r="H14" s="17">
        <v>42903</v>
      </c>
      <c r="I14" s="17" t="s">
        <v>78</v>
      </c>
      <c r="J14" s="17">
        <v>42961</v>
      </c>
      <c r="K14" s="16" t="s">
        <v>54</v>
      </c>
      <c r="L14" s="16" t="str">
        <f>VLOOKUP(C14,'Trips&amp;Operators'!$C$2:$E$10000,3,FALSE)</f>
        <v>LOCKLEAR</v>
      </c>
      <c r="M14" s="15" t="s">
        <v>149</v>
      </c>
      <c r="N14" s="16"/>
      <c r="P14" s="54" t="str">
        <f>VLOOKUP(C14,'Train Runs'!$A$13:$V$218,22,0)</f>
        <v>https://search-rtdc-monitor-bjffxe2xuh6vdkpspy63sjmuny.us-east-1.es.amazonaws.com/_plugin/kibana/#/discover/Steve-Slow-Train-Analysis-(2080s-and-2083s)?_g=(refreshInterval:(display:Off,section:0,value:0),time:(from:'2016-06-25 17:50:08-0600',mode:absolute,to:'2016-06-25 18:37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14" s="14" t="str">
        <f t="shared" si="0"/>
        <v>4023</v>
      </c>
    </row>
    <row r="15" spans="1:17" s="2" customFormat="1" x14ac:dyDescent="0.25">
      <c r="A15" s="18">
        <v>42546.864814814813</v>
      </c>
      <c r="B15" s="17" t="s">
        <v>489</v>
      </c>
      <c r="C15" s="17" t="s">
        <v>445</v>
      </c>
      <c r="D15" s="17" t="s">
        <v>50</v>
      </c>
      <c r="E15" s="17" t="s">
        <v>77</v>
      </c>
      <c r="F15" s="17">
        <v>0</v>
      </c>
      <c r="G15" s="17">
        <v>88</v>
      </c>
      <c r="H15" s="17">
        <v>62418</v>
      </c>
      <c r="I15" s="17" t="s">
        <v>78</v>
      </c>
      <c r="J15" s="17">
        <v>63068</v>
      </c>
      <c r="K15" s="16" t="s">
        <v>53</v>
      </c>
      <c r="L15" s="16" t="str">
        <f>VLOOKUP(C15,'Trips&amp;Operators'!$C$2:$E$10000,3,FALSE)</f>
        <v>CHANDLER</v>
      </c>
      <c r="M15" s="15" t="s">
        <v>149</v>
      </c>
      <c r="N15" s="16"/>
      <c r="P15" s="54" t="str">
        <f>VLOOKUP(C15,'Train Runs'!$A$13:$V$218,22,0)</f>
        <v>https://search-rtdc-monitor-bjffxe2xuh6vdkpspy63sjmuny.us-east-1.es.amazonaws.com/_plugin/kibana/#/discover/Steve-Slow-Train-Analysis-(2080s-and-2083s)?_g=(refreshInterval:(display:Off,section:0,value:0),time:(from:'2016-06-25 19:20:53-0600',mode:absolute,to:'2016-06-25 22:07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15" s="14" t="str">
        <f t="shared" si="0"/>
        <v>4028</v>
      </c>
    </row>
    <row r="16" spans="1:17" s="2" customFormat="1" x14ac:dyDescent="0.25">
      <c r="A16" s="18">
        <v>42546.865486111114</v>
      </c>
      <c r="B16" s="17" t="s">
        <v>489</v>
      </c>
      <c r="C16" s="17" t="s">
        <v>445</v>
      </c>
      <c r="D16" s="17" t="s">
        <v>55</v>
      </c>
      <c r="E16" s="17" t="s">
        <v>77</v>
      </c>
      <c r="F16" s="17">
        <v>0</v>
      </c>
      <c r="G16" s="17">
        <v>3</v>
      </c>
      <c r="H16" s="17">
        <v>63115</v>
      </c>
      <c r="I16" s="17" t="s">
        <v>78</v>
      </c>
      <c r="J16" s="17">
        <v>63068</v>
      </c>
      <c r="K16" s="16" t="s">
        <v>53</v>
      </c>
      <c r="L16" s="16" t="str">
        <f>VLOOKUP(C16,'Trips&amp;Operators'!$C$2:$E$10000,3,FALSE)</f>
        <v>CHANDLER</v>
      </c>
      <c r="M16" s="15" t="s">
        <v>149</v>
      </c>
      <c r="N16" s="16"/>
      <c r="P16" s="54" t="str">
        <f>VLOOKUP(C16,'Train Runs'!$A$13:$V$218,22,0)</f>
        <v>https://search-rtdc-monitor-bjffxe2xuh6vdkpspy63sjmuny.us-east-1.es.amazonaws.com/_plugin/kibana/#/discover/Steve-Slow-Train-Analysis-(2080s-and-2083s)?_g=(refreshInterval:(display:Off,section:0,value:0),time:(from:'2016-06-25 19:20:53-0600',mode:absolute,to:'2016-06-25 22:07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16" s="14" t="str">
        <f t="shared" si="0"/>
        <v>4028</v>
      </c>
    </row>
    <row r="17" spans="1:17" s="2" customFormat="1" x14ac:dyDescent="0.25">
      <c r="A17" s="18">
        <v>42546.871481481481</v>
      </c>
      <c r="B17" s="17" t="s">
        <v>489</v>
      </c>
      <c r="C17" s="17" t="s">
        <v>445</v>
      </c>
      <c r="D17" s="17" t="s">
        <v>50</v>
      </c>
      <c r="E17" s="17" t="s">
        <v>77</v>
      </c>
      <c r="F17" s="17">
        <v>270</v>
      </c>
      <c r="G17" s="17">
        <v>351</v>
      </c>
      <c r="H17" s="17">
        <v>127466</v>
      </c>
      <c r="I17" s="17" t="s">
        <v>78</v>
      </c>
      <c r="J17" s="17">
        <v>127562</v>
      </c>
      <c r="K17" s="16" t="s">
        <v>53</v>
      </c>
      <c r="L17" s="16" t="str">
        <f>VLOOKUP(C17,'Trips&amp;Operators'!$C$2:$E$10000,3,FALSE)</f>
        <v>CHANDLER</v>
      </c>
      <c r="M17" s="15" t="s">
        <v>150</v>
      </c>
      <c r="N17" s="16"/>
      <c r="P17" s="54" t="str">
        <f>VLOOKUP(C17,'Train Runs'!$A$13:$V$218,22,0)</f>
        <v>https://search-rtdc-monitor-bjffxe2xuh6vdkpspy63sjmuny.us-east-1.es.amazonaws.com/_plugin/kibana/#/discover/Steve-Slow-Train-Analysis-(2080s-and-2083s)?_g=(refreshInterval:(display:Off,section:0,value:0),time:(from:'2016-06-25 19:20:53-0600',mode:absolute,to:'2016-06-25 22:07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17" s="14" t="str">
        <f t="shared" si="0"/>
        <v>4028</v>
      </c>
    </row>
    <row r="18" spans="1:17" s="2" customFormat="1" x14ac:dyDescent="0.25">
      <c r="A18" s="18">
        <v>42546.369560185187</v>
      </c>
      <c r="B18" s="17" t="s">
        <v>481</v>
      </c>
      <c r="C18" s="17" t="s">
        <v>294</v>
      </c>
      <c r="D18" s="17" t="s">
        <v>55</v>
      </c>
      <c r="E18" s="17" t="s">
        <v>58</v>
      </c>
      <c r="F18" s="17">
        <v>200</v>
      </c>
      <c r="G18" s="17">
        <v>254</v>
      </c>
      <c r="H18" s="17">
        <v>27525</v>
      </c>
      <c r="I18" s="17" t="s">
        <v>59</v>
      </c>
      <c r="J18" s="17">
        <v>27333</v>
      </c>
      <c r="K18" s="16" t="s">
        <v>53</v>
      </c>
      <c r="L18" s="16" t="str">
        <f>VLOOKUP(C18,'Trips&amp;Operators'!$C$2:$E$10000,3,FALSE)</f>
        <v>CANFIELD</v>
      </c>
      <c r="M18" s="15" t="s">
        <v>150</v>
      </c>
      <c r="N18" s="16"/>
      <c r="P18" s="54" t="str">
        <f>VLOOKUP(C18,'Train Runs'!$A$13:$V$218,22,0)</f>
        <v>https://search-rtdc-monitor-bjffxe2xuh6vdkpspy63sjmuny.us-east-1.es.amazonaws.com/_plugin/kibana/#/discover/Steve-Slow-Train-Analysis-(2080s-and-2083s)?_g=(refreshInterval:(display:Off,section:0,value:0),time:(from:'2016-06-25 08:38:06-0600',mode:absolute,to:'2016-06-25 09:22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18" s="14" t="str">
        <f t="shared" si="0"/>
        <v>4027</v>
      </c>
    </row>
    <row r="19" spans="1:17" s="2" customFormat="1" x14ac:dyDescent="0.25">
      <c r="A19" s="78">
        <v>42546.523923611108</v>
      </c>
      <c r="B19" s="66" t="s">
        <v>106</v>
      </c>
      <c r="C19" s="66" t="s">
        <v>341</v>
      </c>
      <c r="D19" s="66" t="s">
        <v>50</v>
      </c>
      <c r="E19" s="66" t="s">
        <v>58</v>
      </c>
      <c r="F19" s="66">
        <v>400</v>
      </c>
      <c r="G19" s="66">
        <v>524</v>
      </c>
      <c r="H19" s="66">
        <v>16241</v>
      </c>
      <c r="I19" s="66" t="s">
        <v>59</v>
      </c>
      <c r="J19" s="66">
        <v>17867</v>
      </c>
      <c r="K19" s="66" t="s">
        <v>53</v>
      </c>
      <c r="L19" s="16" t="str">
        <f>VLOOKUP(C19,'Trips&amp;Operators'!$C$2:$E$10000,3,FALSE)</f>
        <v>MAYBERRY</v>
      </c>
      <c r="M19" s="15" t="s">
        <v>150</v>
      </c>
      <c r="N19" s="16"/>
      <c r="P19" s="54" t="str">
        <f>VLOOKUP(C19,'Train Runs'!$A$13:$V$218,22,0)</f>
        <v>https://search-rtdc-monitor-bjffxe2xuh6vdkpspy63sjmuny.us-east-1.es.amazonaws.com/_plugin/kibana/#/discover/Steve-Slow-Train-Analysis-(2080s-and-2083s)?_g=(refreshInterval:(display:Off,section:0,value:0),time:(from:'2016-06-25 12:24:13-0600',mode:absolute,to:'2016-06-25 13:10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19" s="14" t="str">
        <f t="shared" si="0"/>
        <v>4042</v>
      </c>
    </row>
    <row r="20" spans="1:17" s="2" customFormat="1" x14ac:dyDescent="0.25">
      <c r="A20" s="18">
        <v>42546.660416666666</v>
      </c>
      <c r="B20" s="17" t="s">
        <v>220</v>
      </c>
      <c r="C20" s="17" t="s">
        <v>402</v>
      </c>
      <c r="D20" s="17" t="s">
        <v>50</v>
      </c>
      <c r="E20" s="17" t="s">
        <v>58</v>
      </c>
      <c r="F20" s="17">
        <v>150</v>
      </c>
      <c r="G20" s="17">
        <v>141</v>
      </c>
      <c r="H20" s="17">
        <v>231519</v>
      </c>
      <c r="I20" s="17" t="s">
        <v>59</v>
      </c>
      <c r="J20" s="17">
        <v>232107</v>
      </c>
      <c r="K20" s="16" t="s">
        <v>53</v>
      </c>
      <c r="L20" s="16" t="str">
        <f>VLOOKUP(C20,'Trips&amp;Operators'!$C$2:$E$10000,3,FALSE)</f>
        <v>LOCKLEAR</v>
      </c>
      <c r="M20" s="15" t="s">
        <v>150</v>
      </c>
      <c r="N20" s="16"/>
      <c r="P20" s="54" t="str">
        <f>VLOOKUP(C20,'Train Runs'!$A$13:$V$218,22,0)</f>
        <v>https://search-rtdc-monitor-bjffxe2xuh6vdkpspy63sjmuny.us-east-1.es.amazonaws.com/_plugin/kibana/#/discover/Steve-Slow-Train-Analysis-(2080s-and-2083s)?_g=(refreshInterval:(display:Off,section:0,value:0),time:(from:'2016-06-25 15:08:47-0600',mode:absolute,to:'2016-06-25 15:53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20" s="14" t="str">
        <f t="shared" si="0"/>
        <v>4024</v>
      </c>
    </row>
    <row r="21" spans="1:17" s="2" customFormat="1" x14ac:dyDescent="0.25">
      <c r="A21" s="78">
        <v>42546.691122685188</v>
      </c>
      <c r="B21" s="66" t="s">
        <v>483</v>
      </c>
      <c r="C21" s="66" t="s">
        <v>408</v>
      </c>
      <c r="D21" s="66" t="s">
        <v>55</v>
      </c>
      <c r="E21" s="66" t="s">
        <v>58</v>
      </c>
      <c r="F21" s="66">
        <v>600</v>
      </c>
      <c r="G21" s="66">
        <v>651</v>
      </c>
      <c r="H21" s="66">
        <v>184550</v>
      </c>
      <c r="I21" s="66" t="s">
        <v>59</v>
      </c>
      <c r="J21" s="66">
        <v>190834</v>
      </c>
      <c r="K21" s="66" t="s">
        <v>54</v>
      </c>
      <c r="L21" s="16" t="str">
        <f>VLOOKUP(C21,'Trips&amp;Operators'!$C$2:$E$10000,3,FALSE)</f>
        <v>ACKERMAN</v>
      </c>
      <c r="M21" s="15" t="s">
        <v>150</v>
      </c>
      <c r="N21" s="16"/>
      <c r="P21" s="54" t="str">
        <f>VLOOKUP(C21,'Train Runs'!$A$13:$V$218,22,0)</f>
        <v>https://search-rtdc-monitor-bjffxe2xuh6vdkpspy63sjmuny.us-east-1.es.amazonaws.com/_plugin/kibana/#/discover/Steve-Slow-Train-Analysis-(2080s-and-2083s)?_g=(refreshInterval:(display:Off,section:0,value:0),time:(from:'2016-06-25 16:17:50-0600',mode:absolute,to:'2016-06-25 17:11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21" s="14" t="str">
        <f t="shared" si="0"/>
        <v>4013</v>
      </c>
    </row>
    <row r="22" spans="1:17" s="2" customFormat="1" x14ac:dyDescent="0.25">
      <c r="A22" s="18">
        <v>42546.797349537039</v>
      </c>
      <c r="B22" s="17" t="s">
        <v>482</v>
      </c>
      <c r="C22" s="17" t="s">
        <v>446</v>
      </c>
      <c r="D22" s="17" t="s">
        <v>55</v>
      </c>
      <c r="E22" s="17" t="s">
        <v>58</v>
      </c>
      <c r="F22" s="17">
        <v>200</v>
      </c>
      <c r="G22" s="17">
        <v>251</v>
      </c>
      <c r="H22" s="17">
        <v>28850</v>
      </c>
      <c r="I22" s="17" t="s">
        <v>59</v>
      </c>
      <c r="J22" s="17">
        <v>27333</v>
      </c>
      <c r="K22" s="16" t="s">
        <v>53</v>
      </c>
      <c r="L22" s="16" t="str">
        <f>VLOOKUP(C22,'Trips&amp;Operators'!$C$2:$E$10000,3,FALSE)</f>
        <v>ADANE</v>
      </c>
      <c r="M22" s="15" t="s">
        <v>150</v>
      </c>
      <c r="N22" s="16"/>
      <c r="P22" s="54" t="str">
        <f>VLOOKUP(C22,'Train Runs'!$A$13:$V$218,22,0)</f>
        <v>https://search-rtdc-monitor-bjffxe2xuh6vdkpspy63sjmuny.us-east-1.es.amazonaws.com/_plugin/kibana/#/discover/Steve-Slow-Train-Analysis-(2080s-and-2083s)?_g=(refreshInterval:(display:Off,section:0,value:0),time:(from:'2016-06-25 18:55:57-0600',mode:absolute,to:'2016-06-25 19:38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22" s="14" t="str">
        <f t="shared" si="0"/>
        <v>4014</v>
      </c>
    </row>
    <row r="23" spans="1:17" s="2" customFormat="1" x14ac:dyDescent="0.25">
      <c r="A23" s="78">
        <v>42547.003668981481</v>
      </c>
      <c r="B23" s="66" t="s">
        <v>483</v>
      </c>
      <c r="C23" s="66" t="s">
        <v>467</v>
      </c>
      <c r="D23" s="66" t="s">
        <v>55</v>
      </c>
      <c r="E23" s="66" t="s">
        <v>58</v>
      </c>
      <c r="F23" s="66">
        <v>700</v>
      </c>
      <c r="G23" s="66">
        <v>751</v>
      </c>
      <c r="H23" s="66">
        <v>180940</v>
      </c>
      <c r="I23" s="66" t="s">
        <v>59</v>
      </c>
      <c r="J23" s="66">
        <v>183829</v>
      </c>
      <c r="K23" s="66" t="s">
        <v>54</v>
      </c>
      <c r="L23" s="16" t="str">
        <f>VLOOKUP(C23,'Trips&amp;Operators'!$C$2:$E$10000,3,FALSE)</f>
        <v>ADANE</v>
      </c>
      <c r="M23" s="15" t="s">
        <v>150</v>
      </c>
      <c r="N23" s="16"/>
      <c r="P23" s="54" t="str">
        <f>VLOOKUP(C23,'Train Runs'!$A$13:$V$218,22,0)</f>
        <v>https://search-rtdc-monitor-bjffxe2xuh6vdkpspy63sjmuny.us-east-1.es.amazonaws.com/_plugin/kibana/#/discover/Steve-Slow-Train-Analysis-(2080s-and-2083s)?_g=(refreshInterval:(display:Off,section:0,value:0),time:(from:'2016-06-25 23:50:17-0600',mode:absolute,to:'2016-06-26 00:35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23" s="14" t="str">
        <f t="shared" si="0"/>
        <v>4013</v>
      </c>
    </row>
    <row r="24" spans="1:17" s="2" customFormat="1" x14ac:dyDescent="0.25">
      <c r="A24" s="18">
        <v>42546.391655092593</v>
      </c>
      <c r="B24" s="17" t="s">
        <v>221</v>
      </c>
      <c r="C24" s="17" t="s">
        <v>288</v>
      </c>
      <c r="D24" s="17" t="s">
        <v>50</v>
      </c>
      <c r="E24" s="17" t="s">
        <v>56</v>
      </c>
      <c r="F24" s="17">
        <v>0</v>
      </c>
      <c r="G24" s="17">
        <v>396</v>
      </c>
      <c r="H24" s="17">
        <v>129103</v>
      </c>
      <c r="I24" s="17" t="s">
        <v>57</v>
      </c>
      <c r="J24" s="17">
        <v>127587</v>
      </c>
      <c r="K24" s="16" t="s">
        <v>54</v>
      </c>
      <c r="L24" s="16" t="str">
        <f>VLOOKUP(C24,'Trips&amp;Operators'!$C$2:$E$10000,3,FALSE)</f>
        <v>MALAVE</v>
      </c>
      <c r="M24" s="15" t="s">
        <v>149</v>
      </c>
      <c r="N24" s="16"/>
      <c r="P24" s="54" t="str">
        <f>VLOOKUP(C24,'Train Runs'!$A$13:$V$218,22,0)</f>
        <v>https://search-rtdc-monitor-bjffxe2xuh6vdkpspy63sjmuny.us-east-1.es.amazonaws.com/_plugin/kibana/#/discover/Steve-Slow-Train-Analysis-(2080s-and-2083s)?_g=(refreshInterval:(display:Off,section:0,value:0),time:(from:'2016-06-25 09:07:58-0600',mode:absolute,to:'2016-06-25 09:51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24" s="14" t="str">
        <f t="shared" si="0"/>
        <v>4023</v>
      </c>
    </row>
    <row r="25" spans="1:17" s="2" customFormat="1" x14ac:dyDescent="0.25">
      <c r="A25" s="18">
        <v>42546.427465277775</v>
      </c>
      <c r="B25" s="17" t="s">
        <v>482</v>
      </c>
      <c r="C25" s="17" t="s">
        <v>312</v>
      </c>
      <c r="D25" s="17" t="s">
        <v>55</v>
      </c>
      <c r="E25" s="17" t="s">
        <v>56</v>
      </c>
      <c r="F25" s="17">
        <v>0</v>
      </c>
      <c r="G25" s="17">
        <v>48</v>
      </c>
      <c r="H25" s="17">
        <v>1865</v>
      </c>
      <c r="I25" s="17" t="s">
        <v>57</v>
      </c>
      <c r="J25" s="17">
        <v>1692</v>
      </c>
      <c r="K25" s="16" t="s">
        <v>53</v>
      </c>
      <c r="L25" s="16" t="str">
        <f>VLOOKUP(C25,'Trips&amp;Operators'!$C$2:$E$10000,3,FALSE)</f>
        <v>ACKERMAN</v>
      </c>
      <c r="M25" s="15" t="s">
        <v>149</v>
      </c>
      <c r="N25" s="16"/>
      <c r="P25" s="54" t="str">
        <f>VLOOKUP(C25,'Train Runs'!$A$13:$V$218,22,0)</f>
        <v>https://search-rtdc-monitor-bjffxe2xuh6vdkpspy63sjmuny.us-east-1.es.amazonaws.com/_plugin/kibana/#/discover/Steve-Slow-Train-Analysis-(2080s-and-2083s)?_g=(refreshInterval:(display:Off,section:0,value:0),time:(from:'2016-06-25 10:11:21-0600',mode:absolute,to:'2016-06-25 10:17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25" s="14" t="str">
        <f t="shared" si="0"/>
        <v>4014</v>
      </c>
    </row>
    <row r="26" spans="1:17" s="2" customFormat="1" x14ac:dyDescent="0.25">
      <c r="A26" s="78">
        <v>42546.538611111115</v>
      </c>
      <c r="B26" s="66" t="s">
        <v>221</v>
      </c>
      <c r="C26" s="66" t="s">
        <v>332</v>
      </c>
      <c r="D26" s="66" t="s">
        <v>50</v>
      </c>
      <c r="E26" s="66" t="s">
        <v>56</v>
      </c>
      <c r="F26" s="66">
        <v>0</v>
      </c>
      <c r="G26" s="66">
        <v>86</v>
      </c>
      <c r="H26" s="66">
        <v>127805</v>
      </c>
      <c r="I26" s="66" t="s">
        <v>57</v>
      </c>
      <c r="J26" s="66">
        <v>127587</v>
      </c>
      <c r="K26" s="66" t="s">
        <v>54</v>
      </c>
      <c r="L26" s="16" t="str">
        <f>VLOOKUP(C26,'Trips&amp;Operators'!$C$2:$E$10000,3,FALSE)</f>
        <v>LOCKLEAR</v>
      </c>
      <c r="M26" s="15" t="s">
        <v>149</v>
      </c>
      <c r="N26" s="16"/>
      <c r="P26" s="54" t="str">
        <f>VLOOKUP(C26,'Train Runs'!$A$13:$V$218,22,0)</f>
        <v>https://search-rtdc-monitor-bjffxe2xuh6vdkpspy63sjmuny.us-east-1.es.amazonaws.com/_plugin/kibana/#/discover/Steve-Slow-Train-Analysis-(2080s-and-2083s)?_g=(refreshInterval:(display:Off,section:0,value:0),time:(from:'2016-06-25 12:37:12-0600',mode:absolute,to:'2016-06-25 13:20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26" s="14" t="str">
        <f t="shared" si="0"/>
        <v>4023</v>
      </c>
    </row>
    <row r="27" spans="1:17" s="2" customFormat="1" x14ac:dyDescent="0.25">
      <c r="A27" s="18">
        <v>42546.559930555559</v>
      </c>
      <c r="B27" s="17" t="s">
        <v>483</v>
      </c>
      <c r="C27" s="17" t="s">
        <v>335</v>
      </c>
      <c r="D27" s="17" t="s">
        <v>50</v>
      </c>
      <c r="E27" s="17" t="s">
        <v>56</v>
      </c>
      <c r="F27" s="17">
        <v>0</v>
      </c>
      <c r="G27" s="17">
        <v>39</v>
      </c>
      <c r="H27" s="17">
        <v>36746</v>
      </c>
      <c r="I27" s="17" t="s">
        <v>57</v>
      </c>
      <c r="J27" s="17">
        <v>36657</v>
      </c>
      <c r="K27" s="16" t="s">
        <v>54</v>
      </c>
      <c r="L27" s="16" t="str">
        <f>VLOOKUP(C27,'Trips&amp;Operators'!$C$2:$E$10000,3,FALSE)</f>
        <v>ACKERMAN</v>
      </c>
      <c r="M27" s="15" t="s">
        <v>149</v>
      </c>
      <c r="N27" s="16"/>
      <c r="P27" s="54" t="str">
        <f>VLOOKUP(C27,'Train Runs'!$A$13:$V$218,22,0)</f>
        <v>https://search-rtdc-monitor-bjffxe2xuh6vdkpspy63sjmuny.us-east-1.es.amazonaws.com/_plugin/kibana/#/discover/Steve-Slow-Train-Analysis-(2080s-and-2083s)?_g=(refreshInterval:(display:Off,section:0,value:0),time:(from:'2016-06-25 12:48:50-0600',mode:absolute,to:'2016-06-25 13:27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27" s="14" t="str">
        <f t="shared" si="0"/>
        <v>4013</v>
      </c>
    </row>
    <row r="28" spans="1:17" s="2" customFormat="1" x14ac:dyDescent="0.25">
      <c r="A28" s="78">
        <v>42546.706817129627</v>
      </c>
      <c r="B28" s="66" t="s">
        <v>483</v>
      </c>
      <c r="C28" s="66" t="s">
        <v>408</v>
      </c>
      <c r="D28" s="66" t="s">
        <v>50</v>
      </c>
      <c r="E28" s="66" t="s">
        <v>56</v>
      </c>
      <c r="F28" s="66">
        <v>0</v>
      </c>
      <c r="G28" s="66">
        <v>334</v>
      </c>
      <c r="H28" s="66">
        <v>37790</v>
      </c>
      <c r="I28" s="66" t="s">
        <v>57</v>
      </c>
      <c r="J28" s="66">
        <v>36657</v>
      </c>
      <c r="K28" s="66" t="s">
        <v>54</v>
      </c>
      <c r="L28" s="16" t="str">
        <f>VLOOKUP(C28,'Trips&amp;Operators'!$C$2:$E$10000,3,FALSE)</f>
        <v>ACKERMAN</v>
      </c>
      <c r="M28" s="15" t="s">
        <v>149</v>
      </c>
      <c r="N28" s="16"/>
      <c r="P28" s="54" t="str">
        <f>VLOOKUP(C28,'Train Runs'!$A$13:$V$218,22,0)</f>
        <v>https://search-rtdc-monitor-bjffxe2xuh6vdkpspy63sjmuny.us-east-1.es.amazonaws.com/_plugin/kibana/#/discover/Steve-Slow-Train-Analysis-(2080s-and-2083s)?_g=(refreshInterval:(display:Off,section:0,value:0),time:(from:'2016-06-25 16:17:50-0600',mode:absolute,to:'2016-06-25 17:11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28" s="14" t="str">
        <f t="shared" si="0"/>
        <v>4013</v>
      </c>
    </row>
    <row r="29" spans="1:17" s="2" customFormat="1" x14ac:dyDescent="0.25">
      <c r="A29" s="78">
        <v>42546.222719907404</v>
      </c>
      <c r="B29" s="66" t="s">
        <v>480</v>
      </c>
      <c r="C29" s="66" t="s">
        <v>242</v>
      </c>
      <c r="D29" s="66" t="s">
        <v>50</v>
      </c>
      <c r="E29" s="66" t="s">
        <v>147</v>
      </c>
      <c r="F29" s="66">
        <v>0</v>
      </c>
      <c r="G29" s="66">
        <v>471</v>
      </c>
      <c r="H29" s="66">
        <v>158091</v>
      </c>
      <c r="I29" s="66" t="s">
        <v>148</v>
      </c>
      <c r="J29" s="66">
        <v>156300</v>
      </c>
      <c r="K29" s="66" t="s">
        <v>54</v>
      </c>
      <c r="L29" s="16" t="str">
        <f>VLOOKUP(C29,'Trips&amp;Operators'!$C$2:$E$10000,3,FALSE)</f>
        <v>YORK</v>
      </c>
      <c r="M29" s="15" t="s">
        <v>149</v>
      </c>
      <c r="N29" s="16"/>
      <c r="P29" s="54" t="str">
        <f>VLOOKUP(C29,'Train Runs'!$A$13:$V$218,22,0)</f>
        <v>https://search-rtdc-monitor-bjffxe2xuh6vdkpspy63sjmuny.us-east-1.es.amazonaws.com/_plugin/kibana/#/discover/Steve-Slow-Train-Analysis-(2080s-and-2083s)?_g=(refreshInterval:(display:Off,section:0,value:0),time:(from:'2016-06-25 04:53:05-0600',mode:absolute,to:'2016-06-25 05:50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29" s="14" t="str">
        <f t="shared" si="0"/>
        <v>4026</v>
      </c>
    </row>
    <row r="30" spans="1:17" s="2" customFormat="1" x14ac:dyDescent="0.25">
      <c r="A30" s="78">
        <v>42546.539814814816</v>
      </c>
      <c r="B30" s="66" t="s">
        <v>483</v>
      </c>
      <c r="C30" s="66" t="s">
        <v>335</v>
      </c>
      <c r="D30" s="66" t="s">
        <v>55</v>
      </c>
      <c r="E30" s="66" t="s">
        <v>147</v>
      </c>
      <c r="F30" s="66">
        <v>0</v>
      </c>
      <c r="G30" s="66">
        <v>172</v>
      </c>
      <c r="H30" s="66">
        <v>230786</v>
      </c>
      <c r="I30" s="66" t="s">
        <v>148</v>
      </c>
      <c r="J30" s="66">
        <v>231147</v>
      </c>
      <c r="K30" s="66" t="s">
        <v>54</v>
      </c>
      <c r="L30" s="16" t="str">
        <f>VLOOKUP(C30,'Trips&amp;Operators'!$C$2:$E$10000,3,FALSE)</f>
        <v>ACKERMAN</v>
      </c>
      <c r="M30" s="15" t="s">
        <v>149</v>
      </c>
      <c r="N30" s="16"/>
      <c r="P30" s="54" t="str">
        <f>VLOOKUP(C30,'Train Runs'!$A$13:$V$218,22,0)</f>
        <v>https://search-rtdc-monitor-bjffxe2xuh6vdkpspy63sjmuny.us-east-1.es.amazonaws.com/_plugin/kibana/#/discover/Steve-Slow-Train-Analysis-(2080s-and-2083s)?_g=(refreshInterval:(display:Off,section:0,value:0),time:(from:'2016-06-25 12:48:50-0600',mode:absolute,to:'2016-06-25 13:27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30" s="14" t="str">
        <f t="shared" si="0"/>
        <v>4013</v>
      </c>
    </row>
    <row r="31" spans="1:17" s="2" customFormat="1" x14ac:dyDescent="0.25">
      <c r="A31" s="78">
        <v>42546.182488425926</v>
      </c>
      <c r="B31" s="66" t="s">
        <v>106</v>
      </c>
      <c r="C31" s="66" t="s">
        <v>238</v>
      </c>
      <c r="D31" s="66" t="s">
        <v>50</v>
      </c>
      <c r="E31" s="66" t="s">
        <v>51</v>
      </c>
      <c r="F31" s="66">
        <v>0</v>
      </c>
      <c r="G31" s="66">
        <v>9</v>
      </c>
      <c r="H31" s="66">
        <v>233322</v>
      </c>
      <c r="I31" s="66" t="s">
        <v>52</v>
      </c>
      <c r="J31" s="66">
        <v>233491</v>
      </c>
      <c r="K31" s="66" t="s">
        <v>53</v>
      </c>
      <c r="L31" s="16" t="str">
        <f>VLOOKUP(C31,'Trips&amp;Operators'!$C$2:$E$10000,3,FALSE)</f>
        <v>STURGEON</v>
      </c>
      <c r="M31" s="15" t="s">
        <v>150</v>
      </c>
      <c r="N31" s="16"/>
      <c r="P31" s="54" t="str">
        <f>VLOOKUP(C31,'Train Runs'!$A$13:$V$218,22,0)</f>
        <v>https://search-rtdc-monitor-bjffxe2xuh6vdkpspy63sjmuny.us-east-1.es.amazonaws.com/_plugin/kibana/#/discover/Steve-Slow-Train-Analysis-(2080s-and-2083s)?_g=(refreshInterval:(display:Off,section:0,value:0),time:(from:'2016-06-25 03:36:56-0600',mode:absolute,to:'2016-06-25 04:23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31" s="14" t="str">
        <f t="shared" ref="Q31:Q32" si="1">MID(B31,13,4)</f>
        <v>4042</v>
      </c>
    </row>
    <row r="32" spans="1:17" s="2" customFormat="1" x14ac:dyDescent="0.25">
      <c r="A32" s="78">
        <v>42546.263854166667</v>
      </c>
      <c r="B32" s="66" t="s">
        <v>221</v>
      </c>
      <c r="C32" s="66" t="s">
        <v>249</v>
      </c>
      <c r="D32" s="66" t="s">
        <v>50</v>
      </c>
      <c r="E32" s="66" t="s">
        <v>51</v>
      </c>
      <c r="F32" s="66">
        <v>0</v>
      </c>
      <c r="G32" s="66">
        <v>6</v>
      </c>
      <c r="H32" s="66">
        <v>121</v>
      </c>
      <c r="I32" s="66" t="s">
        <v>52</v>
      </c>
      <c r="J32" s="66">
        <v>1</v>
      </c>
      <c r="K32" s="66" t="s">
        <v>54</v>
      </c>
      <c r="L32" s="16" t="str">
        <f>VLOOKUP(C32,'Trips&amp;Operators'!$C$2:$E$10000,3,FALSE)</f>
        <v>MALAVE</v>
      </c>
      <c r="M32" s="15" t="s">
        <v>150</v>
      </c>
      <c r="N32" s="16"/>
      <c r="P32" s="54" t="str">
        <f>VLOOKUP(C32,'Train Runs'!$A$13:$V$218,22,0)</f>
        <v>https://search-rtdc-monitor-bjffxe2xuh6vdkpspy63sjmuny.us-east-1.es.amazonaws.com/_plugin/kibana/#/discover/Steve-Slow-Train-Analysis-(2080s-and-2083s)?_g=(refreshInterval:(display:Off,section:0,value:0),time:(from:'2016-06-25 05:35:18-0600',mode:absolute,to:'2016-06-25 06:21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32" s="14" t="str">
        <f t="shared" si="1"/>
        <v>4023</v>
      </c>
    </row>
    <row r="33" spans="1:17" x14ac:dyDescent="0.25">
      <c r="A33" s="18">
        <v>42546.296400462961</v>
      </c>
      <c r="B33" s="17" t="s">
        <v>220</v>
      </c>
      <c r="C33" s="17" t="s">
        <v>266</v>
      </c>
      <c r="D33" s="17" t="s">
        <v>50</v>
      </c>
      <c r="E33" s="17" t="s">
        <v>51</v>
      </c>
      <c r="F33" s="17">
        <v>0</v>
      </c>
      <c r="G33" s="17">
        <v>6</v>
      </c>
      <c r="H33" s="17">
        <v>233318</v>
      </c>
      <c r="I33" s="17" t="s">
        <v>52</v>
      </c>
      <c r="J33" s="17">
        <v>233491</v>
      </c>
      <c r="K33" s="16" t="s">
        <v>53</v>
      </c>
      <c r="L33" s="16" t="str">
        <f>VLOOKUP(C33,'Trips&amp;Operators'!$C$2:$E$10000,3,FALSE)</f>
        <v>MALAVE</v>
      </c>
      <c r="M33" s="15" t="s">
        <v>150</v>
      </c>
      <c r="N33" s="16"/>
      <c r="O33" s="2"/>
      <c r="P33" s="54" t="str">
        <f>VLOOKUP(C33,'Train Runs'!$A$13:$V$218,22,0)</f>
        <v>https://search-rtdc-monitor-bjffxe2xuh6vdkpspy63sjmuny.us-east-1.es.amazonaws.com/_plugin/kibana/#/discover/Steve-Slow-Train-Analysis-(2080s-and-2083s)?_g=(refreshInterval:(display:Off,section:0,value:0),time:(from:'2016-06-25 06:27:07-0600',mode:absolute,to:'2016-06-25 07:08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33" s="14" t="str">
        <f t="shared" ref="Q33:Q81" si="2">MID(B33,13,4)</f>
        <v>4024</v>
      </c>
    </row>
    <row r="34" spans="1:17" x14ac:dyDescent="0.25">
      <c r="A34" s="78">
        <v>42546.336643518516</v>
      </c>
      <c r="B34" s="66" t="s">
        <v>221</v>
      </c>
      <c r="C34" s="66" t="s">
        <v>267</v>
      </c>
      <c r="D34" s="66" t="s">
        <v>50</v>
      </c>
      <c r="E34" s="66" t="s">
        <v>51</v>
      </c>
      <c r="F34" s="66">
        <v>0</v>
      </c>
      <c r="G34" s="66">
        <v>7</v>
      </c>
      <c r="H34" s="66">
        <v>127</v>
      </c>
      <c r="I34" s="66" t="s">
        <v>52</v>
      </c>
      <c r="J34" s="66">
        <v>1</v>
      </c>
      <c r="K34" s="66" t="s">
        <v>54</v>
      </c>
      <c r="L34" s="16" t="str">
        <f>VLOOKUP(C34,'Trips&amp;Operators'!$C$2:$E$10000,3,FALSE)</f>
        <v>MALAVE</v>
      </c>
      <c r="M34" s="15" t="s">
        <v>150</v>
      </c>
      <c r="N34" s="16"/>
      <c r="O34" s="2"/>
      <c r="P34" s="54" t="str">
        <f>VLOOKUP(C34,'Train Runs'!$A$13:$V$218,22,0)</f>
        <v>https://search-rtdc-monitor-bjffxe2xuh6vdkpspy63sjmuny.us-east-1.es.amazonaws.com/_plugin/kibana/#/discover/Steve-Slow-Train-Analysis-(2080s-and-2083s)?_g=(refreshInterval:(display:Off,section:0,value:0),time:(from:'2016-06-25 07:21:50-0600',mode:absolute,to:'2016-06-25 08:06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34" s="14" t="str">
        <f t="shared" si="2"/>
        <v>4023</v>
      </c>
    </row>
    <row r="35" spans="1:17" x14ac:dyDescent="0.25">
      <c r="A35" s="18">
        <v>42546.307152777779</v>
      </c>
      <c r="B35" s="17" t="s">
        <v>82</v>
      </c>
      <c r="C35" s="17" t="s">
        <v>268</v>
      </c>
      <c r="D35" s="17" t="s">
        <v>50</v>
      </c>
      <c r="E35" s="17" t="s">
        <v>51</v>
      </c>
      <c r="F35" s="17">
        <v>0</v>
      </c>
      <c r="G35" s="17">
        <v>4</v>
      </c>
      <c r="H35" s="17">
        <v>233338</v>
      </c>
      <c r="I35" s="17" t="s">
        <v>52</v>
      </c>
      <c r="J35" s="17">
        <v>233491</v>
      </c>
      <c r="K35" s="16" t="s">
        <v>53</v>
      </c>
      <c r="L35" s="16" t="str">
        <f>VLOOKUP(C35,'Trips&amp;Operators'!$C$2:$E$10000,3,FALSE)</f>
        <v>GEBRETEKLE</v>
      </c>
      <c r="M35" s="15" t="s">
        <v>150</v>
      </c>
      <c r="N35" s="16"/>
      <c r="O35" s="2"/>
      <c r="P35" s="54" t="str">
        <f>VLOOKUP(C35,'Train Runs'!$A$13:$V$218,22,0)</f>
        <v>https://search-rtdc-monitor-bjffxe2xuh6vdkpspy63sjmuny.us-east-1.es.amazonaws.com/_plugin/kibana/#/discover/Steve-Slow-Train-Analysis-(2080s-and-2083s)?_g=(refreshInterval:(display:Off,section:0,value:0),time:(from:'2016-06-25 06:38:17-0600',mode:absolute,to:'2016-06-25 07:23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35" s="14" t="str">
        <f t="shared" si="2"/>
        <v>4020</v>
      </c>
    </row>
    <row r="36" spans="1:17" x14ac:dyDescent="0.25">
      <c r="A36" s="18">
        <v>42546.39916666667</v>
      </c>
      <c r="B36" s="17" t="s">
        <v>89</v>
      </c>
      <c r="C36" s="17" t="s">
        <v>285</v>
      </c>
      <c r="D36" s="17" t="s">
        <v>50</v>
      </c>
      <c r="E36" s="17" t="s">
        <v>51</v>
      </c>
      <c r="F36" s="17">
        <v>0</v>
      </c>
      <c r="G36" s="17">
        <v>35</v>
      </c>
      <c r="H36" s="17">
        <v>129</v>
      </c>
      <c r="I36" s="17" t="s">
        <v>52</v>
      </c>
      <c r="J36" s="17">
        <v>1</v>
      </c>
      <c r="K36" s="16" t="s">
        <v>54</v>
      </c>
      <c r="L36" s="16" t="str">
        <f>VLOOKUP(C36,'Trips&amp;Operators'!$C$2:$E$10000,3,FALSE)</f>
        <v>SANTIZO</v>
      </c>
      <c r="M36" s="15" t="s">
        <v>150</v>
      </c>
      <c r="N36" s="16"/>
      <c r="O36" s="2"/>
      <c r="P36" s="54" t="str">
        <f>VLOOKUP(C36,'Train Runs'!$A$13:$V$218,22,0)</f>
        <v>https://search-rtdc-monitor-bjffxe2xuh6vdkpspy63sjmuny.us-east-1.es.amazonaws.com/_plugin/kibana/#/discover/Steve-Slow-Train-Analysis-(2080s-and-2083s)?_g=(refreshInterval:(display:Off,section:0,value:0),time:(from:'2016-06-25 08:38:05-0600',mode:absolute,to:'2016-06-25 09:35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36" s="14" t="str">
        <f t="shared" si="2"/>
        <v>4008</v>
      </c>
    </row>
    <row r="37" spans="1:17" x14ac:dyDescent="0.25">
      <c r="A37" s="18">
        <v>42546.410069444442</v>
      </c>
      <c r="B37" s="17" t="s">
        <v>221</v>
      </c>
      <c r="C37" s="17" t="s">
        <v>288</v>
      </c>
      <c r="D37" s="17" t="s">
        <v>50</v>
      </c>
      <c r="E37" s="17" t="s">
        <v>51</v>
      </c>
      <c r="F37" s="17">
        <v>0</v>
      </c>
      <c r="G37" s="17">
        <v>6</v>
      </c>
      <c r="H37" s="17">
        <v>129</v>
      </c>
      <c r="I37" s="17" t="s">
        <v>52</v>
      </c>
      <c r="J37" s="17">
        <v>1</v>
      </c>
      <c r="K37" s="16" t="s">
        <v>54</v>
      </c>
      <c r="L37" s="16" t="str">
        <f>VLOOKUP(C37,'Trips&amp;Operators'!$C$2:$E$10000,3,FALSE)</f>
        <v>MALAVE</v>
      </c>
      <c r="M37" s="15" t="s">
        <v>150</v>
      </c>
      <c r="N37" s="16"/>
      <c r="O37" s="2"/>
      <c r="P37" s="54" t="str">
        <f>VLOOKUP(C37,'Train Runs'!$A$13:$V$218,22,0)</f>
        <v>https://search-rtdc-monitor-bjffxe2xuh6vdkpspy63sjmuny.us-east-1.es.amazonaws.com/_plugin/kibana/#/discover/Steve-Slow-Train-Analysis-(2080s-and-2083s)?_g=(refreshInterval:(display:Off,section:0,value:0),time:(from:'2016-06-25 09:07:58-0600',mode:absolute,to:'2016-06-25 09:51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37" s="14" t="str">
        <f t="shared" si="2"/>
        <v>4023</v>
      </c>
    </row>
    <row r="38" spans="1:17" x14ac:dyDescent="0.25">
      <c r="A38" s="78">
        <v>42546.419050925928</v>
      </c>
      <c r="B38" s="66" t="s">
        <v>81</v>
      </c>
      <c r="C38" s="66" t="s">
        <v>292</v>
      </c>
      <c r="D38" s="66" t="s">
        <v>50</v>
      </c>
      <c r="E38" s="66" t="s">
        <v>51</v>
      </c>
      <c r="F38" s="66">
        <v>0</v>
      </c>
      <c r="G38" s="66">
        <v>9</v>
      </c>
      <c r="H38" s="66">
        <v>172</v>
      </c>
      <c r="I38" s="66" t="s">
        <v>52</v>
      </c>
      <c r="J38" s="66">
        <v>1</v>
      </c>
      <c r="K38" s="66" t="s">
        <v>54</v>
      </c>
      <c r="L38" s="16" t="str">
        <f>VLOOKUP(C38,'Trips&amp;Operators'!$C$2:$E$10000,3,FALSE)</f>
        <v>GEBRETEKLE</v>
      </c>
      <c r="M38" s="15" t="s">
        <v>150</v>
      </c>
      <c r="N38" s="16"/>
      <c r="O38" s="2"/>
      <c r="P38" s="54" t="str">
        <f>VLOOKUP(C38,'Train Runs'!$A$13:$V$218,22,0)</f>
        <v>https://search-rtdc-monitor-bjffxe2xuh6vdkpspy63sjmuny.us-east-1.es.amazonaws.com/_plugin/kibana/#/discover/Steve-Slow-Train-Analysis-(2080s-and-2083s)?_g=(refreshInterval:(display:Off,section:0,value:0),time:(from:'2016-06-25 09:17:42-0600',mode:absolute,to:'2016-06-25 10:04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38" s="14" t="str">
        <f t="shared" si="2"/>
        <v>4019</v>
      </c>
    </row>
    <row r="39" spans="1:17" x14ac:dyDescent="0.25">
      <c r="A39" s="78">
        <v>42546.440706018519</v>
      </c>
      <c r="B39" s="66" t="s">
        <v>105</v>
      </c>
      <c r="C39" s="66" t="s">
        <v>298</v>
      </c>
      <c r="D39" s="66" t="s">
        <v>50</v>
      </c>
      <c r="E39" s="66" t="s">
        <v>51</v>
      </c>
      <c r="F39" s="66">
        <v>0</v>
      </c>
      <c r="G39" s="66">
        <v>8</v>
      </c>
      <c r="H39" s="66">
        <v>324</v>
      </c>
      <c r="I39" s="66" t="s">
        <v>52</v>
      </c>
      <c r="J39" s="66">
        <v>1</v>
      </c>
      <c r="K39" s="66" t="s">
        <v>54</v>
      </c>
      <c r="L39" s="16" t="str">
        <f>VLOOKUP(C39,'Trips&amp;Operators'!$C$2:$E$10000,3,FALSE)</f>
        <v>NELSON</v>
      </c>
      <c r="M39" s="15" t="s">
        <v>150</v>
      </c>
      <c r="N39" s="16"/>
      <c r="O39" s="2"/>
      <c r="P39" s="54" t="str">
        <f>VLOOKUP(C39,'Train Runs'!$A$13:$V$218,22,0)</f>
        <v>https://search-rtdc-monitor-bjffxe2xuh6vdkpspy63sjmuny.us-east-1.es.amazonaws.com/_plugin/kibana/#/discover/Steve-Slow-Train-Analysis-(2080s-and-2083s)?_g=(refreshInterval:(display:Off,section:0,value:0),time:(from:'2016-06-25 09:49:00-0600',mode:absolute,to:'2016-06-25 10:35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39" s="14" t="str">
        <f t="shared" si="2"/>
        <v>4041</v>
      </c>
    </row>
    <row r="40" spans="1:17" x14ac:dyDescent="0.25">
      <c r="A40" s="18">
        <v>42546.474120370367</v>
      </c>
      <c r="B40" s="17" t="s">
        <v>106</v>
      </c>
      <c r="C40" s="17" t="s">
        <v>320</v>
      </c>
      <c r="D40" s="17" t="s">
        <v>50</v>
      </c>
      <c r="E40" s="17" t="s">
        <v>51</v>
      </c>
      <c r="F40" s="17">
        <v>0</v>
      </c>
      <c r="G40" s="17">
        <v>52</v>
      </c>
      <c r="H40" s="17">
        <v>233298</v>
      </c>
      <c r="I40" s="17" t="s">
        <v>52</v>
      </c>
      <c r="J40" s="17">
        <v>233491</v>
      </c>
      <c r="K40" s="16" t="s">
        <v>53</v>
      </c>
      <c r="L40" s="16" t="str">
        <f>VLOOKUP(C40,'Trips&amp;Operators'!$C$2:$E$10000,3,FALSE)</f>
        <v>MAYBERRY</v>
      </c>
      <c r="M40" s="15" t="s">
        <v>150</v>
      </c>
      <c r="N40" s="16"/>
      <c r="O40" s="2"/>
      <c r="P40" s="54" t="str">
        <f>VLOOKUP(C40,'Train Runs'!$A$13:$V$218,22,0)</f>
        <v>https://search-rtdc-monitor-bjffxe2xuh6vdkpspy63sjmuny.us-east-1.es.amazonaws.com/_plugin/kibana/#/discover/Steve-Slow-Train-Analysis-(2080s-and-2083s)?_g=(refreshInterval:(display:Off,section:0,value:0),time:(from:'2016-06-25 10:38:18-0600',mode:absolute,to:'2016-06-25 11:23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40" s="14" t="str">
        <f t="shared" si="2"/>
        <v>4042</v>
      </c>
    </row>
    <row r="41" spans="1:17" x14ac:dyDescent="0.25">
      <c r="A41" s="78">
        <v>42546.524444444447</v>
      </c>
      <c r="B41" s="66" t="s">
        <v>480</v>
      </c>
      <c r="C41" s="66" t="s">
        <v>324</v>
      </c>
      <c r="D41" s="66" t="s">
        <v>50</v>
      </c>
      <c r="E41" s="66" t="s">
        <v>51</v>
      </c>
      <c r="F41" s="66">
        <v>0</v>
      </c>
      <c r="G41" s="66">
        <v>44</v>
      </c>
      <c r="H41" s="66">
        <v>143</v>
      </c>
      <c r="I41" s="66" t="s">
        <v>52</v>
      </c>
      <c r="J41" s="66">
        <v>1</v>
      </c>
      <c r="K41" s="66" t="s">
        <v>54</v>
      </c>
      <c r="L41" s="16" t="str">
        <f>VLOOKUP(C41,'Trips&amp;Operators'!$C$2:$E$10000,3,FALSE)</f>
        <v>NELSON</v>
      </c>
      <c r="M41" s="15" t="s">
        <v>150</v>
      </c>
      <c r="N41" s="16"/>
      <c r="O41" s="2"/>
      <c r="P41" s="54" t="str">
        <f>VLOOKUP(C41,'Train Runs'!$A$13:$V$218,22,0)</f>
        <v>https://search-rtdc-monitor-bjffxe2xuh6vdkpspy63sjmuny.us-east-1.es.amazonaws.com/_plugin/kibana/#/discover/Steve-Slow-Train-Analysis-(2080s-and-2083s)?_g=(refreshInterval:(display:Off,section:0,value:0),time:(from:'2016-06-25 11:48:35-0600',mode:absolute,to:'2016-06-25 12:36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41" s="14" t="str">
        <f t="shared" si="2"/>
        <v>4026</v>
      </c>
    </row>
    <row r="42" spans="1:17" x14ac:dyDescent="0.25">
      <c r="A42" s="18">
        <v>42546.55741898148</v>
      </c>
      <c r="B42" s="17" t="s">
        <v>484</v>
      </c>
      <c r="C42" s="17" t="s">
        <v>343</v>
      </c>
      <c r="D42" s="17" t="s">
        <v>50</v>
      </c>
      <c r="E42" s="17" t="s">
        <v>51</v>
      </c>
      <c r="F42" s="17">
        <v>0</v>
      </c>
      <c r="G42" s="17">
        <v>7</v>
      </c>
      <c r="H42" s="17">
        <v>233342</v>
      </c>
      <c r="I42" s="17" t="s">
        <v>52</v>
      </c>
      <c r="J42" s="17">
        <v>233491</v>
      </c>
      <c r="K42" s="16" t="s">
        <v>53</v>
      </c>
      <c r="L42" s="16" t="str">
        <f>VLOOKUP(C42,'Trips&amp;Operators'!$C$2:$E$10000,3,FALSE)</f>
        <v>WEBSTER</v>
      </c>
      <c r="M42" s="15" t="s">
        <v>150</v>
      </c>
      <c r="N42" s="16"/>
      <c r="O42" s="2"/>
      <c r="P42" s="54" t="str">
        <f>VLOOKUP(C42,'Train Runs'!$A$13:$V$218,22,0)</f>
        <v>https://search-rtdc-monitor-bjffxe2xuh6vdkpspy63sjmuny.us-east-1.es.amazonaws.com/_plugin/kibana/#/discover/Steve-Slow-Train-Analysis-(2080s-and-2083s)?_g=(refreshInterval:(display:Off,section:0,value:0),time:(from:'2016-06-25 12:37:58-0600',mode:absolute,to:'2016-06-25 13:23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42" s="14" t="str">
        <f t="shared" si="2"/>
        <v>4025</v>
      </c>
    </row>
    <row r="43" spans="1:17" x14ac:dyDescent="0.25">
      <c r="A43" s="18">
        <v>42546.608206018522</v>
      </c>
      <c r="B43" s="17" t="s">
        <v>485</v>
      </c>
      <c r="C43" s="17" t="s">
        <v>346</v>
      </c>
      <c r="D43" s="17" t="s">
        <v>50</v>
      </c>
      <c r="E43" s="17" t="s">
        <v>51</v>
      </c>
      <c r="F43" s="17">
        <v>0</v>
      </c>
      <c r="G43" s="17">
        <v>9</v>
      </c>
      <c r="H43" s="17">
        <v>134</v>
      </c>
      <c r="I43" s="17" t="s">
        <v>52</v>
      </c>
      <c r="J43" s="17">
        <v>1</v>
      </c>
      <c r="K43" s="16" t="s">
        <v>54</v>
      </c>
      <c r="L43" s="16" t="str">
        <f>VLOOKUP(C43,'Trips&amp;Operators'!$C$2:$E$10000,3,FALSE)</f>
        <v>RIVERA</v>
      </c>
      <c r="M43" s="15" t="s">
        <v>150</v>
      </c>
      <c r="N43" s="16"/>
      <c r="O43" s="2"/>
      <c r="P43" s="54" t="str">
        <f>VLOOKUP(C43,'Train Runs'!$A$13:$V$218,22,0)</f>
        <v>https://search-rtdc-monitor-bjffxe2xuh6vdkpspy63sjmuny.us-east-1.es.amazonaws.com/_plugin/kibana/#/discover/Steve-Slow-Train-Analysis-(2080s-and-2083s)?_g=(refreshInterval:(display:Off,section:0,value:0),time:(from:'2016-06-25 13:46:17-0600',mode:absolute,to:'2016-06-25 14:36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43" s="14" t="str">
        <f t="shared" si="2"/>
        <v>4043</v>
      </c>
    </row>
    <row r="44" spans="1:17" x14ac:dyDescent="0.25">
      <c r="A44" s="18">
        <v>42546.616944444446</v>
      </c>
      <c r="B44" s="17" t="s">
        <v>89</v>
      </c>
      <c r="C44" s="17" t="s">
        <v>350</v>
      </c>
      <c r="D44" s="17" t="s">
        <v>50</v>
      </c>
      <c r="E44" s="17" t="s">
        <v>51</v>
      </c>
      <c r="F44" s="17">
        <v>0</v>
      </c>
      <c r="G44" s="17">
        <v>5</v>
      </c>
      <c r="H44" s="17">
        <v>138</v>
      </c>
      <c r="I44" s="17" t="s">
        <v>52</v>
      </c>
      <c r="J44" s="17">
        <v>1</v>
      </c>
      <c r="K44" s="16" t="s">
        <v>54</v>
      </c>
      <c r="L44" s="16" t="str">
        <f>VLOOKUP(C44,'Trips&amp;Operators'!$C$2:$E$10000,3,FALSE)</f>
        <v>YANAI</v>
      </c>
      <c r="M44" s="15" t="s">
        <v>150</v>
      </c>
      <c r="N44" s="16"/>
      <c r="O44" s="2"/>
      <c r="P44" s="54" t="str">
        <f>VLOOKUP(C44,'Train Runs'!$A$13:$V$218,22,0)</f>
        <v>https://search-rtdc-monitor-bjffxe2xuh6vdkpspy63sjmuny.us-east-1.es.amazonaws.com/_plugin/kibana/#/discover/Steve-Slow-Train-Analysis-(2080s-and-2083s)?_g=(refreshInterval:(display:Off,section:0,value:0),time:(from:'2016-06-25 14:05:20-0600',mode:absolute,to:'2016-06-25 14:49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44" s="14" t="str">
        <f t="shared" si="2"/>
        <v>4008</v>
      </c>
    </row>
    <row r="45" spans="1:17" x14ac:dyDescent="0.25">
      <c r="A45" s="18">
        <v>42546.610358796293</v>
      </c>
      <c r="B45" s="17" t="s">
        <v>84</v>
      </c>
      <c r="C45" s="17" t="s">
        <v>387</v>
      </c>
      <c r="D45" s="17" t="s">
        <v>50</v>
      </c>
      <c r="E45" s="17" t="s">
        <v>51</v>
      </c>
      <c r="F45" s="17">
        <v>0</v>
      </c>
      <c r="G45" s="17">
        <v>9</v>
      </c>
      <c r="H45" s="17">
        <v>233322</v>
      </c>
      <c r="I45" s="17" t="s">
        <v>52</v>
      </c>
      <c r="J45" s="17">
        <v>233491</v>
      </c>
      <c r="K45" s="16" t="s">
        <v>53</v>
      </c>
      <c r="L45" s="16" t="str">
        <f>VLOOKUP(C45,'Trips&amp;Operators'!$C$2:$E$10000,3,FALSE)</f>
        <v>STEWART</v>
      </c>
      <c r="M45" s="15" t="s">
        <v>150</v>
      </c>
      <c r="N45" s="16"/>
      <c r="O45" s="2"/>
      <c r="P45" s="54" t="str">
        <f>VLOOKUP(C45,'Train Runs'!$A$13:$V$218,22,0)</f>
        <v>https://search-rtdc-monitor-bjffxe2xuh6vdkpspy63sjmuny.us-east-1.es.amazonaws.com/_plugin/kibana/#/discover/Steve-Slow-Train-Analysis-(2080s-and-2083s)?_g=(refreshInterval:(display:Off,section:0,value:0),time:(from:'2016-06-25 13:51:55-0600',mode:absolute,to:'2016-06-25 14:40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45" s="14" t="str">
        <f t="shared" si="2"/>
        <v>4018</v>
      </c>
    </row>
    <row r="46" spans="1:17" x14ac:dyDescent="0.25">
      <c r="A46" s="18">
        <v>42546.620729166665</v>
      </c>
      <c r="B46" s="17" t="s">
        <v>106</v>
      </c>
      <c r="C46" s="17" t="s">
        <v>393</v>
      </c>
      <c r="D46" s="17" t="s">
        <v>50</v>
      </c>
      <c r="E46" s="17" t="s">
        <v>51</v>
      </c>
      <c r="F46" s="17">
        <v>0</v>
      </c>
      <c r="G46" s="17">
        <v>50</v>
      </c>
      <c r="H46" s="17">
        <v>233302</v>
      </c>
      <c r="I46" s="17" t="s">
        <v>52</v>
      </c>
      <c r="J46" s="17">
        <v>233491</v>
      </c>
      <c r="K46" s="16" t="s">
        <v>53</v>
      </c>
      <c r="L46" s="16" t="str">
        <f>VLOOKUP(C46,'Trips&amp;Operators'!$C$2:$E$10000,3,FALSE)</f>
        <v>MAYBERRY</v>
      </c>
      <c r="M46" s="15" t="s">
        <v>150</v>
      </c>
      <c r="N46" s="16"/>
      <c r="O46" s="2"/>
      <c r="P46" s="54" t="str">
        <f>VLOOKUP(C46,'Train Runs'!$A$13:$V$218,22,0)</f>
        <v>https://search-rtdc-monitor-bjffxe2xuh6vdkpspy63sjmuny.us-east-1.es.amazonaws.com/_plugin/kibana/#/discover/Steve-Slow-Train-Analysis-(2080s-and-2083s)?_g=(refreshInterval:(display:Off,section:0,value:0),time:(from:'2016-06-25 14:06:27-0600',mode:absolute,to:'2016-06-25 14:55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46" s="14" t="str">
        <f t="shared" si="2"/>
        <v>4042</v>
      </c>
    </row>
    <row r="47" spans="1:17" x14ac:dyDescent="0.25">
      <c r="A47" s="78">
        <v>42546.67083333333</v>
      </c>
      <c r="B47" s="66" t="s">
        <v>480</v>
      </c>
      <c r="C47" s="66" t="s">
        <v>396</v>
      </c>
      <c r="D47" s="66" t="s">
        <v>50</v>
      </c>
      <c r="E47" s="66" t="s">
        <v>51</v>
      </c>
      <c r="F47" s="66">
        <v>0</v>
      </c>
      <c r="G47" s="66">
        <v>5</v>
      </c>
      <c r="H47" s="66">
        <v>118</v>
      </c>
      <c r="I47" s="66" t="s">
        <v>52</v>
      </c>
      <c r="J47" s="66">
        <v>1</v>
      </c>
      <c r="K47" s="66" t="s">
        <v>54</v>
      </c>
      <c r="L47" s="16" t="str">
        <f>VLOOKUP(C47,'Trips&amp;Operators'!$C$2:$E$10000,3,FALSE)</f>
        <v>WEBSTER</v>
      </c>
      <c r="M47" s="15" t="s">
        <v>150</v>
      </c>
      <c r="N47" s="16"/>
      <c r="O47" s="2"/>
      <c r="P47" s="54" t="str">
        <f>VLOOKUP(C47,'Train Runs'!$A$13:$V$218,22,0)</f>
        <v>https://search-rtdc-monitor-bjffxe2xuh6vdkpspy63sjmuny.us-east-1.es.amazonaws.com/_plugin/kibana/#/discover/Steve-Slow-Train-Analysis-(2080s-and-2083s)?_g=(refreshInterval:(display:Off,section:0,value:0),time:(from:'2016-06-25 15:23:13-0600',mode:absolute,to:'2016-06-25 16:07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47" s="14" t="str">
        <f t="shared" si="2"/>
        <v>4026</v>
      </c>
    </row>
    <row r="48" spans="1:17" x14ac:dyDescent="0.25">
      <c r="A48" s="78">
        <v>42546.705474537041</v>
      </c>
      <c r="B48" s="66" t="s">
        <v>484</v>
      </c>
      <c r="C48" s="66" t="s">
        <v>414</v>
      </c>
      <c r="D48" s="66" t="s">
        <v>50</v>
      </c>
      <c r="E48" s="66" t="s">
        <v>51</v>
      </c>
      <c r="F48" s="66">
        <v>0</v>
      </c>
      <c r="G48" s="66">
        <v>6</v>
      </c>
      <c r="H48" s="66">
        <v>233344</v>
      </c>
      <c r="I48" s="66" t="s">
        <v>52</v>
      </c>
      <c r="J48" s="66">
        <v>233491</v>
      </c>
      <c r="K48" s="66" t="s">
        <v>53</v>
      </c>
      <c r="L48" s="16" t="str">
        <f>VLOOKUP(C48,'Trips&amp;Operators'!$C$2:$E$10000,3,FALSE)</f>
        <v>WEBSTER</v>
      </c>
      <c r="M48" s="15" t="s">
        <v>150</v>
      </c>
      <c r="N48" s="16"/>
      <c r="O48" s="2"/>
      <c r="P48" s="54" t="str">
        <f>VLOOKUP(C48,'Train Runs'!$A$13:$V$218,22,0)</f>
        <v>https://search-rtdc-monitor-bjffxe2xuh6vdkpspy63sjmuny.us-east-1.es.amazonaws.com/_plugin/kibana/#/discover/Steve-Slow-Train-Analysis-(2080s-and-2083s)?_g=(refreshInterval:(display:Off,section:0,value:0),time:(from:'2016-06-25 16:09:49-0600',mode:absolute,to:'2016-06-25 16:56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48" s="14" t="str">
        <f t="shared" si="2"/>
        <v>4025</v>
      </c>
    </row>
    <row r="49" spans="1:17" x14ac:dyDescent="0.25">
      <c r="A49" s="18">
        <v>42546.763854166667</v>
      </c>
      <c r="B49" s="17" t="s">
        <v>89</v>
      </c>
      <c r="C49" s="17" t="s">
        <v>421</v>
      </c>
      <c r="D49" s="17" t="s">
        <v>50</v>
      </c>
      <c r="E49" s="17" t="s">
        <v>51</v>
      </c>
      <c r="F49" s="17">
        <v>0</v>
      </c>
      <c r="G49" s="17">
        <v>8</v>
      </c>
      <c r="H49" s="17">
        <v>1158</v>
      </c>
      <c r="I49" s="17" t="s">
        <v>52</v>
      </c>
      <c r="J49" s="17">
        <v>839</v>
      </c>
      <c r="K49" s="16" t="s">
        <v>54</v>
      </c>
      <c r="L49" s="16" t="str">
        <f>VLOOKUP(C49,'Trips&amp;Operators'!$C$2:$E$10000,3,FALSE)</f>
        <v>YANAI</v>
      </c>
      <c r="M49" s="15" t="s">
        <v>150</v>
      </c>
      <c r="N49" s="16"/>
      <c r="O49" s="2"/>
      <c r="P49" s="54" t="str">
        <f>VLOOKUP(C49,'Train Runs'!$A$13:$V$218,22,0)</f>
        <v>https://search-rtdc-monitor-bjffxe2xuh6vdkpspy63sjmuny.us-east-1.es.amazonaws.com/_plugin/kibana/#/discover/Steve-Slow-Train-Analysis-(2080s-and-2083s)?_g=(refreshInterval:(display:Off,section:0,value:0),time:(from:'2016-06-25 17:37:03-0600',mode:absolute,to:'2016-06-25 18:21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49" s="14" t="str">
        <f t="shared" si="2"/>
        <v>4008</v>
      </c>
    </row>
    <row r="50" spans="1:17" x14ac:dyDescent="0.25">
      <c r="A50" s="18">
        <v>42546.756041666667</v>
      </c>
      <c r="B50" s="17" t="s">
        <v>84</v>
      </c>
      <c r="C50" s="17" t="s">
        <v>430</v>
      </c>
      <c r="D50" s="17" t="s">
        <v>50</v>
      </c>
      <c r="E50" s="17" t="s">
        <v>51</v>
      </c>
      <c r="F50" s="17">
        <v>0</v>
      </c>
      <c r="G50" s="17">
        <v>91</v>
      </c>
      <c r="H50" s="17">
        <v>233167</v>
      </c>
      <c r="I50" s="17" t="s">
        <v>52</v>
      </c>
      <c r="J50" s="17">
        <v>233491</v>
      </c>
      <c r="K50" s="16" t="s">
        <v>53</v>
      </c>
      <c r="L50" s="16" t="str">
        <f>VLOOKUP(C50,'Trips&amp;Operators'!$C$2:$E$10000,3,FALSE)</f>
        <v>STEWART</v>
      </c>
      <c r="M50" s="15" t="s">
        <v>150</v>
      </c>
      <c r="N50" s="16"/>
      <c r="O50" s="2"/>
      <c r="P50" s="54" t="str">
        <f>VLOOKUP(C50,'Train Runs'!$A$13:$V$218,22,0)</f>
        <v>https://search-rtdc-monitor-bjffxe2xuh6vdkpspy63sjmuny.us-east-1.es.amazonaws.com/_plugin/kibana/#/discover/Steve-Slow-Train-Analysis-(2080s-and-2083s)?_g=(refreshInterval:(display:Off,section:0,value:0),time:(from:'2016-06-25 17:27:00-0600',mode:absolute,to:'2016-06-25 18:09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50" s="14" t="str">
        <f t="shared" si="2"/>
        <v>4018</v>
      </c>
    </row>
    <row r="51" spans="1:17" x14ac:dyDescent="0.25">
      <c r="A51" s="18">
        <v>42546.776446759257</v>
      </c>
      <c r="B51" s="17" t="s">
        <v>484</v>
      </c>
      <c r="C51" s="17" t="s">
        <v>439</v>
      </c>
      <c r="D51" s="17" t="s">
        <v>50</v>
      </c>
      <c r="E51" s="17" t="s">
        <v>51</v>
      </c>
      <c r="F51" s="17">
        <v>0</v>
      </c>
      <c r="G51" s="17">
        <v>7</v>
      </c>
      <c r="H51" s="17">
        <v>233339</v>
      </c>
      <c r="I51" s="17" t="s">
        <v>52</v>
      </c>
      <c r="J51" s="17">
        <v>233491</v>
      </c>
      <c r="K51" s="16" t="s">
        <v>53</v>
      </c>
      <c r="L51" s="16" t="str">
        <f>VLOOKUP(C51,'Trips&amp;Operators'!$C$2:$E$10000,3,FALSE)</f>
        <v>WEBSTER</v>
      </c>
      <c r="M51" s="15" t="s">
        <v>150</v>
      </c>
      <c r="N51" s="16"/>
      <c r="O51" s="2"/>
      <c r="P51" s="54" t="str">
        <f>VLOOKUP(C51,'Train Runs'!$A$13:$V$218,22,0)</f>
        <v>https://search-rtdc-monitor-bjffxe2xuh6vdkpspy63sjmuny.us-east-1.es.amazonaws.com/_plugin/kibana/#/discover/Steve-Slow-Train-Analysis-(2080s-and-2083s)?_g=(refreshInterval:(display:Off,section:0,value:0),time:(from:'2016-06-25 17:53:14-0600',mode:absolute,to:'2016-06-25 18:39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51" s="14" t="str">
        <f t="shared" si="2"/>
        <v>4025</v>
      </c>
    </row>
    <row r="52" spans="1:17" x14ac:dyDescent="0.25">
      <c r="A52" s="18">
        <v>42546.786111111112</v>
      </c>
      <c r="B52" s="17" t="s">
        <v>488</v>
      </c>
      <c r="C52" s="17" t="s">
        <v>442</v>
      </c>
      <c r="D52" s="17" t="s">
        <v>50</v>
      </c>
      <c r="E52" s="17" t="s">
        <v>51</v>
      </c>
      <c r="F52" s="17">
        <v>0</v>
      </c>
      <c r="G52" s="17">
        <v>4</v>
      </c>
      <c r="H52" s="17">
        <v>233323</v>
      </c>
      <c r="I52" s="17" t="s">
        <v>52</v>
      </c>
      <c r="J52" s="17">
        <v>233491</v>
      </c>
      <c r="K52" s="16" t="s">
        <v>53</v>
      </c>
      <c r="L52" s="16" t="str">
        <f>VLOOKUP(C52,'Trips&amp;Operators'!$C$2:$E$10000,3,FALSE)</f>
        <v>BRUDER</v>
      </c>
      <c r="M52" s="15" t="s">
        <v>150</v>
      </c>
      <c r="N52" s="16"/>
      <c r="O52" s="2"/>
      <c r="P52" s="54" t="str">
        <f>VLOOKUP(C52,'Train Runs'!$A$13:$V$218,22,0)</f>
        <v>https://search-rtdc-monitor-bjffxe2xuh6vdkpspy63sjmuny.us-east-1.es.amazonaws.com/_plugin/kibana/#/discover/Steve-Slow-Train-Analysis-(2080s-and-2083s)?_g=(refreshInterval:(display:Off,section:0,value:0),time:(from:'2016-06-25 18:09:17-0600',mode:absolute,to:'2016-06-25 18:53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52" s="14" t="str">
        <f t="shared" si="2"/>
        <v>4044</v>
      </c>
    </row>
    <row r="53" spans="1:17" x14ac:dyDescent="0.25">
      <c r="A53" s="18">
        <v>42546.856585648151</v>
      </c>
      <c r="B53" s="17" t="s">
        <v>483</v>
      </c>
      <c r="C53" s="17" t="s">
        <v>447</v>
      </c>
      <c r="D53" s="17" t="s">
        <v>50</v>
      </c>
      <c r="E53" s="17" t="s">
        <v>51</v>
      </c>
      <c r="F53" s="17">
        <v>0</v>
      </c>
      <c r="G53" s="17">
        <v>7</v>
      </c>
      <c r="H53" s="17">
        <v>105</v>
      </c>
      <c r="I53" s="17" t="s">
        <v>52</v>
      </c>
      <c r="J53" s="17">
        <v>1</v>
      </c>
      <c r="K53" s="16" t="s">
        <v>54</v>
      </c>
      <c r="L53" s="16" t="str">
        <f>VLOOKUP(C53,'Trips&amp;Operators'!$C$2:$E$10000,3,FALSE)</f>
        <v>ADANE</v>
      </c>
      <c r="M53" s="15" t="s">
        <v>150</v>
      </c>
      <c r="N53" s="16"/>
      <c r="O53" s="2"/>
      <c r="P53" s="54" t="str">
        <f>VLOOKUP(C53,'Train Runs'!$A$13:$V$218,22,0)</f>
        <v>https://search-rtdc-monitor-bjffxe2xuh6vdkpspy63sjmuny.us-east-1.es.amazonaws.com/_plugin/kibana/#/discover/Steve-Slow-Train-Analysis-(2080s-and-2083s)?_g=(refreshInterval:(display:Off,section:0,value:0),time:(from:'2016-06-25 19:52:36-0600',mode:absolute,to:'2016-06-25 20:34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53" s="14" t="str">
        <f t="shared" si="2"/>
        <v>4013</v>
      </c>
    </row>
    <row r="54" spans="1:17" x14ac:dyDescent="0.25">
      <c r="A54" s="78">
        <v>42546.879027777781</v>
      </c>
      <c r="B54" s="66" t="s">
        <v>105</v>
      </c>
      <c r="C54" s="66" t="s">
        <v>449</v>
      </c>
      <c r="D54" s="66" t="s">
        <v>50</v>
      </c>
      <c r="E54" s="66" t="s">
        <v>51</v>
      </c>
      <c r="F54" s="66">
        <v>0</v>
      </c>
      <c r="G54" s="66">
        <v>6</v>
      </c>
      <c r="H54" s="66">
        <v>129</v>
      </c>
      <c r="I54" s="66" t="s">
        <v>52</v>
      </c>
      <c r="J54" s="66">
        <v>1</v>
      </c>
      <c r="K54" s="66" t="s">
        <v>54</v>
      </c>
      <c r="L54" s="16" t="str">
        <f>VLOOKUP(C54,'Trips&amp;Operators'!$C$2:$E$10000,3,FALSE)</f>
        <v>LEVERE</v>
      </c>
      <c r="M54" s="15" t="s">
        <v>150</v>
      </c>
      <c r="N54" s="16"/>
      <c r="O54" s="2"/>
      <c r="P54" s="54" t="str">
        <f>VLOOKUP(C54,'Train Runs'!$A$13:$V$218,22,0)</f>
        <v>https://search-rtdc-monitor-bjffxe2xuh6vdkpspy63sjmuny.us-east-1.es.amazonaws.com/_plugin/kibana/#/discover/Steve-Slow-Train-Analysis-(2080s-and-2083s)?_g=(refreshInterval:(display:Off,section:0,value:0),time:(from:'2016-06-25 20:12:42-0600',mode:absolute,to:'2016-06-25 21:06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54" s="14" t="str">
        <f t="shared" si="2"/>
        <v>4041</v>
      </c>
    </row>
    <row r="55" spans="1:17" x14ac:dyDescent="0.25">
      <c r="A55" s="78">
        <v>42546.964097222219</v>
      </c>
      <c r="B55" s="66" t="s">
        <v>105</v>
      </c>
      <c r="C55" s="66" t="s">
        <v>457</v>
      </c>
      <c r="D55" s="66" t="s">
        <v>50</v>
      </c>
      <c r="E55" s="66" t="s">
        <v>51</v>
      </c>
      <c r="F55" s="66">
        <v>0</v>
      </c>
      <c r="G55" s="66">
        <v>54</v>
      </c>
      <c r="H55" s="66">
        <v>185</v>
      </c>
      <c r="I55" s="66" t="s">
        <v>52</v>
      </c>
      <c r="J55" s="66">
        <v>1</v>
      </c>
      <c r="K55" s="66" t="s">
        <v>54</v>
      </c>
      <c r="L55" s="16" t="str">
        <f>VLOOKUP(C55,'Trips&amp;Operators'!$C$2:$E$10000,3,FALSE)</f>
        <v>LEVERE</v>
      </c>
      <c r="M55" s="15" t="s">
        <v>150</v>
      </c>
      <c r="N55" s="16"/>
      <c r="O55" s="2"/>
      <c r="P55" s="54" t="str">
        <f>VLOOKUP(C55,'Train Runs'!$A$13:$V$218,22,0)</f>
        <v>https://search-rtdc-monitor-bjffxe2xuh6vdkpspy63sjmuny.us-east-1.es.amazonaws.com/_plugin/kibana/#/discover/Steve-Slow-Train-Analysis-(2080s-and-2083s)?_g=(refreshInterval:(display:Off,section:0,value:0),time:(from:'2016-06-25 22:16:50-0600',mode:absolute,to:'2016-06-25 23:09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55" s="14" t="str">
        <f t="shared" si="2"/>
        <v>4041</v>
      </c>
    </row>
    <row r="56" spans="1:17" x14ac:dyDescent="0.25">
      <c r="A56" s="78">
        <v>42546.98232638889</v>
      </c>
      <c r="B56" s="66" t="s">
        <v>485</v>
      </c>
      <c r="C56" s="66" t="s">
        <v>462</v>
      </c>
      <c r="D56" s="66" t="s">
        <v>50</v>
      </c>
      <c r="E56" s="66" t="s">
        <v>51</v>
      </c>
      <c r="F56" s="66">
        <v>0</v>
      </c>
      <c r="G56" s="66">
        <v>8</v>
      </c>
      <c r="H56" s="66">
        <v>187</v>
      </c>
      <c r="I56" s="66" t="s">
        <v>52</v>
      </c>
      <c r="J56" s="66">
        <v>1</v>
      </c>
      <c r="K56" s="66" t="s">
        <v>54</v>
      </c>
      <c r="L56" s="16" t="str">
        <f>VLOOKUP(C56,'Trips&amp;Operators'!$C$2:$E$10000,3,FALSE)</f>
        <v>BRUDER</v>
      </c>
      <c r="M56" s="15" t="s">
        <v>150</v>
      </c>
      <c r="N56" s="16"/>
      <c r="O56" s="2"/>
      <c r="P56" s="54" t="str">
        <f>VLOOKUP(C56,'Train Runs'!$A$13:$V$218,22,0)</f>
        <v>https://search-rtdc-monitor-bjffxe2xuh6vdkpspy63sjmuny.us-east-1.es.amazonaws.com/_plugin/kibana/#/discover/Steve-Slow-Train-Analysis-(2080s-and-2083s)?_g=(refreshInterval:(display:Off,section:0,value:0),time:(from:'2016-06-25 22:48:21-0600',mode:absolute,to:'2016-06-25 23:35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56" s="14" t="str">
        <f t="shared" si="2"/>
        <v>4043</v>
      </c>
    </row>
    <row r="57" spans="1:17" x14ac:dyDescent="0.25">
      <c r="A57" s="78">
        <v>42547.023611111108</v>
      </c>
      <c r="B57" s="66" t="s">
        <v>483</v>
      </c>
      <c r="C57" s="66" t="s">
        <v>467</v>
      </c>
      <c r="D57" s="66" t="s">
        <v>50</v>
      </c>
      <c r="E57" s="66" t="s">
        <v>51</v>
      </c>
      <c r="F57" s="66">
        <v>0</v>
      </c>
      <c r="G57" s="66">
        <v>52</v>
      </c>
      <c r="H57" s="66">
        <v>161</v>
      </c>
      <c r="I57" s="66" t="s">
        <v>52</v>
      </c>
      <c r="J57" s="66">
        <v>1</v>
      </c>
      <c r="K57" s="66" t="s">
        <v>54</v>
      </c>
      <c r="L57" s="16" t="str">
        <f>VLOOKUP(C57,'Trips&amp;Operators'!$C$2:$E$10000,3,FALSE)</f>
        <v>ADANE</v>
      </c>
      <c r="M57" s="15" t="s">
        <v>150</v>
      </c>
      <c r="N57" s="16"/>
      <c r="O57" s="2"/>
      <c r="P57" s="54" t="str">
        <f>VLOOKUP(C57,'Train Runs'!$A$13:$V$218,22,0)</f>
        <v>https://search-rtdc-monitor-bjffxe2xuh6vdkpspy63sjmuny.us-east-1.es.amazonaws.com/_plugin/kibana/#/discover/Steve-Slow-Train-Analysis-(2080s-and-2083s)?_g=(refreshInterval:(display:Off,section:0,value:0),time:(from:'2016-06-25 23:50:17-0600',mode:absolute,to:'2016-06-26 00:35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57" s="14" t="str">
        <f t="shared" si="2"/>
        <v>4013</v>
      </c>
    </row>
    <row r="58" spans="1:17" x14ac:dyDescent="0.25">
      <c r="A58" s="78">
        <v>42547.04488425926</v>
      </c>
      <c r="B58" s="66" t="s">
        <v>105</v>
      </c>
      <c r="C58" s="66" t="s">
        <v>470</v>
      </c>
      <c r="D58" s="66" t="s">
        <v>50</v>
      </c>
      <c r="E58" s="66" t="s">
        <v>51</v>
      </c>
      <c r="F58" s="66">
        <v>0</v>
      </c>
      <c r="G58" s="66">
        <v>9</v>
      </c>
      <c r="H58" s="66">
        <v>125</v>
      </c>
      <c r="I58" s="66" t="s">
        <v>52</v>
      </c>
      <c r="J58" s="66">
        <v>1</v>
      </c>
      <c r="K58" s="66" t="s">
        <v>54</v>
      </c>
      <c r="L58" s="16" t="str">
        <f>VLOOKUP(C58,'Trips&amp;Operators'!$C$2:$E$10000,3,FALSE)</f>
        <v>LEVERE</v>
      </c>
      <c r="M58" s="15" t="s">
        <v>150</v>
      </c>
      <c r="N58" s="16"/>
      <c r="O58" s="2"/>
      <c r="P58" s="54" t="str">
        <f>VLOOKUP(C58,'Train Runs'!$A$13:$V$218,22,0)</f>
        <v>https://search-rtdc-monitor-bjffxe2xuh6vdkpspy63sjmuny.us-east-1.es.amazonaws.com/_plugin/kibana/#/discover/Steve-Slow-Train-Analysis-(2080s-and-2083s)?_g=(refreshInterval:(display:Off,section:0,value:0),time:(from:'2016-06-26 00:17:07-0600',mode:absolute,to:'2016-06-26 01:05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58" s="14" t="str">
        <f t="shared" si="2"/>
        <v>4041</v>
      </c>
    </row>
    <row r="59" spans="1:17" x14ac:dyDescent="0.25">
      <c r="A59" s="18">
        <v>42546.758125</v>
      </c>
      <c r="B59" s="17" t="s">
        <v>484</v>
      </c>
      <c r="C59" s="17" t="s">
        <v>439</v>
      </c>
      <c r="D59" s="17" t="s">
        <v>50</v>
      </c>
      <c r="E59" s="17" t="s">
        <v>486</v>
      </c>
      <c r="F59" s="17">
        <v>690</v>
      </c>
      <c r="G59" s="17">
        <v>732</v>
      </c>
      <c r="H59" s="17">
        <v>47432</v>
      </c>
      <c r="I59" s="17" t="s">
        <v>487</v>
      </c>
      <c r="J59" s="17">
        <v>47866</v>
      </c>
      <c r="K59" s="16" t="s">
        <v>53</v>
      </c>
      <c r="L59" s="16" t="str">
        <f>VLOOKUP(C59,'Trips&amp;Operators'!$C$2:$E$10000,3,FALSE)</f>
        <v>WEBSTER</v>
      </c>
      <c r="M59" s="15" t="s">
        <v>149</v>
      </c>
      <c r="N59" s="16"/>
      <c r="O59" s="2"/>
      <c r="P59" s="54" t="str">
        <f>VLOOKUP(C59,'Train Runs'!$A$13:$V$218,22,0)</f>
        <v>https://search-rtdc-monitor-bjffxe2xuh6vdkpspy63sjmuny.us-east-1.es.amazonaws.com/_plugin/kibana/#/discover/Steve-Slow-Train-Analysis-(2080s-and-2083s)?_g=(refreshInterval:(display:Off,section:0,value:0),time:(from:'2016-06-25 17:53:14-0600',mode:absolute,to:'2016-06-25 18:39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59" s="14" t="str">
        <f t="shared" si="2"/>
        <v>4025</v>
      </c>
    </row>
    <row r="60" spans="1:17" x14ac:dyDescent="0.25">
      <c r="A60" s="78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16"/>
      <c r="M60" s="15"/>
      <c r="N60" s="16"/>
      <c r="O60" s="2"/>
      <c r="P60" s="54" t="e">
        <f>VLOOKUP(C60,'Train Runs'!$A$13:$V$218,22,0)</f>
        <v>#N/A</v>
      </c>
      <c r="Q60" s="14" t="str">
        <f t="shared" si="2"/>
        <v/>
      </c>
    </row>
    <row r="61" spans="1:17" x14ac:dyDescent="0.25">
      <c r="A61" s="78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16"/>
      <c r="M61" s="15"/>
      <c r="N61" s="16"/>
      <c r="O61" s="2"/>
      <c r="P61" s="54" t="e">
        <f>VLOOKUP(C61,'Train Runs'!$A$13:$V$218,22,0)</f>
        <v>#N/A</v>
      </c>
      <c r="Q61" s="14" t="str">
        <f t="shared" si="2"/>
        <v/>
      </c>
    </row>
    <row r="62" spans="1:17" x14ac:dyDescent="0.25">
      <c r="A62" s="78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16"/>
      <c r="M62" s="15"/>
      <c r="N62" s="16"/>
      <c r="O62" s="2"/>
      <c r="P62" s="54" t="e">
        <f>VLOOKUP(C62,'Train Runs'!$A$13:$V$218,22,0)</f>
        <v>#N/A</v>
      </c>
      <c r="Q62" s="14" t="str">
        <f t="shared" si="2"/>
        <v/>
      </c>
    </row>
    <row r="63" spans="1:17" x14ac:dyDescent="0.25">
      <c r="A63" s="78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16"/>
      <c r="M63" s="15"/>
      <c r="N63" s="16"/>
      <c r="O63" s="2"/>
      <c r="P63" s="54" t="e">
        <f>VLOOKUP(C63,'Train Runs'!$A$13:$V$218,22,0)</f>
        <v>#N/A</v>
      </c>
      <c r="Q63" s="14" t="str">
        <f t="shared" si="2"/>
        <v/>
      </c>
    </row>
    <row r="64" spans="1:17" x14ac:dyDescent="0.25">
      <c r="A64" s="78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16"/>
      <c r="M64" s="15"/>
      <c r="N64" s="16"/>
      <c r="O64" s="2"/>
      <c r="P64" s="54" t="e">
        <f>VLOOKUP(C64,'Train Runs'!$A$13:$V$218,22,0)</f>
        <v>#N/A</v>
      </c>
      <c r="Q64" s="14" t="str">
        <f t="shared" si="2"/>
        <v/>
      </c>
    </row>
    <row r="65" spans="1:17" x14ac:dyDescent="0.25">
      <c r="A65" s="78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16"/>
      <c r="M65" s="15"/>
      <c r="N65" s="16"/>
      <c r="O65" s="2"/>
      <c r="P65" s="54" t="e">
        <f>VLOOKUP(C65,'Train Runs'!$A$13:$V$218,22,0)</f>
        <v>#N/A</v>
      </c>
      <c r="Q65" s="14" t="str">
        <f t="shared" si="2"/>
        <v/>
      </c>
    </row>
    <row r="66" spans="1:17" x14ac:dyDescent="0.25">
      <c r="A66" s="78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16"/>
      <c r="M66" s="15"/>
      <c r="N66" s="16"/>
      <c r="O66" s="2"/>
      <c r="P66" s="54" t="e">
        <f>VLOOKUP(C66,'Train Runs'!$A$13:$V$218,22,0)</f>
        <v>#N/A</v>
      </c>
      <c r="Q66" s="14" t="str">
        <f t="shared" si="2"/>
        <v/>
      </c>
    </row>
    <row r="67" spans="1:17" x14ac:dyDescent="0.25">
      <c r="A67" s="78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16"/>
      <c r="M67" s="15"/>
      <c r="N67" s="16"/>
      <c r="O67" s="2"/>
      <c r="P67" s="54" t="e">
        <f>VLOOKUP(C67,'Train Runs'!$A$13:$V$218,22,0)</f>
        <v>#N/A</v>
      </c>
      <c r="Q67" s="14" t="str">
        <f t="shared" si="2"/>
        <v/>
      </c>
    </row>
    <row r="68" spans="1:17" x14ac:dyDescent="0.25">
      <c r="A68" s="78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16"/>
      <c r="M68" s="15"/>
      <c r="N68" s="16"/>
      <c r="O68" s="2"/>
      <c r="P68" s="54" t="e">
        <f>VLOOKUP(C68,'Train Runs'!$A$13:$V$218,22,0)</f>
        <v>#N/A</v>
      </c>
      <c r="Q68" s="14" t="str">
        <f t="shared" si="2"/>
        <v/>
      </c>
    </row>
    <row r="69" spans="1:17" x14ac:dyDescent="0.25">
      <c r="A69" s="78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16"/>
      <c r="M69" s="15"/>
      <c r="N69" s="16"/>
      <c r="O69" s="2"/>
      <c r="P69" s="54" t="e">
        <f>VLOOKUP(C69,'Train Runs'!$A$13:$V$218,22,0)</f>
        <v>#N/A</v>
      </c>
      <c r="Q69" s="14" t="str">
        <f t="shared" si="2"/>
        <v/>
      </c>
    </row>
    <row r="70" spans="1:17" x14ac:dyDescent="0.25">
      <c r="A70" s="78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16"/>
      <c r="M70" s="15"/>
      <c r="N70" s="16"/>
      <c r="O70" s="2"/>
      <c r="P70" s="54" t="e">
        <f>VLOOKUP(C70,'Train Runs'!$A$13:$V$218,22,0)</f>
        <v>#N/A</v>
      </c>
      <c r="Q70" s="14" t="str">
        <f t="shared" si="2"/>
        <v/>
      </c>
    </row>
    <row r="71" spans="1:17" x14ac:dyDescent="0.25">
      <c r="A71" s="78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16"/>
      <c r="M71" s="15"/>
      <c r="N71" s="16"/>
      <c r="O71" s="2"/>
      <c r="P71" s="54" t="e">
        <f>VLOOKUP(C71,'Train Runs'!$A$13:$V$218,22,0)</f>
        <v>#N/A</v>
      </c>
      <c r="Q71" s="14" t="str">
        <f t="shared" si="2"/>
        <v/>
      </c>
    </row>
    <row r="72" spans="1:17" x14ac:dyDescent="0.25">
      <c r="A72" s="78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16"/>
      <c r="M72" s="15"/>
      <c r="N72" s="16"/>
      <c r="O72" s="2"/>
      <c r="P72" s="54" t="e">
        <f>VLOOKUP(C72,'Train Runs'!$A$13:$V$218,22,0)</f>
        <v>#N/A</v>
      </c>
      <c r="Q72" s="14" t="str">
        <f t="shared" si="2"/>
        <v/>
      </c>
    </row>
    <row r="73" spans="1:17" x14ac:dyDescent="0.25">
      <c r="A73" s="78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16"/>
      <c r="M73" s="15"/>
      <c r="N73" s="16"/>
      <c r="O73" s="2"/>
      <c r="P73" s="54" t="e">
        <f>VLOOKUP(C73,'Train Runs'!$A$13:$V$218,22,0)</f>
        <v>#N/A</v>
      </c>
      <c r="Q73" s="14" t="str">
        <f t="shared" si="2"/>
        <v/>
      </c>
    </row>
    <row r="74" spans="1:17" x14ac:dyDescent="0.25">
      <c r="A74" s="78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16"/>
      <c r="M74" s="15"/>
      <c r="N74" s="16"/>
      <c r="O74" s="2"/>
      <c r="P74" s="54" t="e">
        <f>VLOOKUP(C74,'Train Runs'!$A$13:$V$218,22,0)</f>
        <v>#N/A</v>
      </c>
      <c r="Q74" s="14" t="str">
        <f t="shared" si="2"/>
        <v/>
      </c>
    </row>
    <row r="75" spans="1:17" x14ac:dyDescent="0.25">
      <c r="A75" s="78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16"/>
      <c r="M75" s="15"/>
      <c r="N75" s="16"/>
      <c r="O75" s="2"/>
      <c r="P75" s="54" t="e">
        <f>VLOOKUP(C75,'Train Runs'!$A$13:$V$218,22,0)</f>
        <v>#N/A</v>
      </c>
      <c r="Q75" s="14" t="str">
        <f t="shared" si="2"/>
        <v/>
      </c>
    </row>
    <row r="76" spans="1:17" x14ac:dyDescent="0.25">
      <c r="A76" s="78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16"/>
      <c r="M76" s="15"/>
      <c r="N76" s="16"/>
      <c r="O76" s="2"/>
      <c r="P76" s="54" t="e">
        <f>VLOOKUP(C76,'Train Runs'!$A$13:$V$218,22,0)</f>
        <v>#N/A</v>
      </c>
      <c r="Q76" s="14" t="str">
        <f t="shared" si="2"/>
        <v/>
      </c>
    </row>
    <row r="77" spans="1:17" x14ac:dyDescent="0.25">
      <c r="A77" s="78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16"/>
      <c r="M77" s="15"/>
      <c r="N77" s="16"/>
      <c r="O77" s="2"/>
      <c r="P77" s="54" t="e">
        <f>VLOOKUP(C77,'Train Runs'!$A$13:$V$218,22,0)</f>
        <v>#N/A</v>
      </c>
      <c r="Q77" s="14" t="str">
        <f t="shared" si="2"/>
        <v/>
      </c>
    </row>
    <row r="78" spans="1:17" x14ac:dyDescent="0.25">
      <c r="A78" s="78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16"/>
      <c r="M78" s="15"/>
      <c r="N78" s="16"/>
      <c r="O78" s="2"/>
      <c r="P78" s="54" t="e">
        <f>VLOOKUP(C78,'Train Runs'!$A$13:$V$218,22,0)</f>
        <v>#N/A</v>
      </c>
      <c r="Q78" s="14" t="str">
        <f t="shared" si="2"/>
        <v/>
      </c>
    </row>
    <row r="79" spans="1:17" x14ac:dyDescent="0.25">
      <c r="A79" s="78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16"/>
      <c r="M79" s="15"/>
      <c r="N79" s="16"/>
      <c r="O79" s="2"/>
      <c r="P79" s="54" t="e">
        <f>VLOOKUP(C79,'Train Runs'!$A$13:$V$218,22,0)</f>
        <v>#N/A</v>
      </c>
      <c r="Q79" s="14" t="str">
        <f t="shared" si="2"/>
        <v/>
      </c>
    </row>
    <row r="80" spans="1:17" x14ac:dyDescent="0.25">
      <c r="A80" s="78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16"/>
      <c r="M80" s="15"/>
      <c r="N80" s="16"/>
      <c r="O80" s="2"/>
      <c r="P80" s="54" t="e">
        <f>VLOOKUP(C80,'Train Runs'!$A$13:$V$218,22,0)</f>
        <v>#N/A</v>
      </c>
      <c r="Q80" s="14" t="str">
        <f t="shared" si="2"/>
        <v/>
      </c>
    </row>
    <row r="81" spans="1:17" x14ac:dyDescent="0.25">
      <c r="A81" s="78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16"/>
      <c r="M81" s="15"/>
      <c r="N81" s="16"/>
      <c r="O81" s="2"/>
      <c r="P81" s="54" t="e">
        <f>VLOOKUP(C81,'Train Runs'!$A$13:$V$218,22,0)</f>
        <v>#N/A</v>
      </c>
      <c r="Q81" s="14" t="str">
        <f t="shared" si="2"/>
        <v/>
      </c>
    </row>
  </sheetData>
  <autoFilter ref="A6:N32">
    <sortState ref="A7:N59">
      <sortCondition ref="E6:E32"/>
    </sortState>
  </autoFilter>
  <sortState ref="A7:N12">
    <sortCondition ref="F7:F12"/>
  </sortState>
  <mergeCells count="1">
    <mergeCell ref="A5:M5"/>
  </mergeCells>
  <conditionalFormatting sqref="P6 M6:N6 M7:M1048576">
    <cfRule type="cellIs" dxfId="11" priority="10" operator="equal">
      <formula>"Y"</formula>
    </cfRule>
  </conditionalFormatting>
  <conditionalFormatting sqref="A7:N81">
    <cfRule type="expression" dxfId="10" priority="3">
      <formula>$M7="Y"</formula>
    </cfRule>
  </conditionalFormatting>
  <conditionalFormatting sqref="M2:M3">
    <cfRule type="cellIs" dxfId="9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workbookViewId="0">
      <selection activeCell="D13" sqref="D13"/>
    </sheetView>
  </sheetViews>
  <sheetFormatPr defaultRowHeight="15" x14ac:dyDescent="0.25"/>
  <cols>
    <col min="1" max="1" width="9.140625" customWidth="1"/>
    <col min="2" max="2" width="8" style="60" bestFit="1" customWidth="1"/>
    <col min="3" max="3" width="7.85546875" style="62" bestFit="1" customWidth="1"/>
    <col min="4" max="4" width="34.7109375" bestFit="1" customWidth="1"/>
    <col min="5" max="5" width="18.140625" bestFit="1" customWidth="1"/>
    <col min="6" max="6" width="17" bestFit="1" customWidth="1"/>
    <col min="7" max="7" width="14.140625" bestFit="1" customWidth="1"/>
  </cols>
  <sheetData>
    <row r="1" spans="1:10" s="42" customFormat="1" x14ac:dyDescent="0.25">
      <c r="A1" s="89" t="str">
        <f>"Trips that did not appear in PTC Data "&amp;TEXT(Variables!$A$2,"YYYY-mm-dd")</f>
        <v>Trips that did not appear in PTC Data 2016-06-24</v>
      </c>
      <c r="B1" s="89"/>
      <c r="C1" s="89"/>
      <c r="D1" s="89"/>
      <c r="E1" s="89"/>
    </row>
    <row r="2" spans="1:10" s="52" customFormat="1" ht="45" x14ac:dyDescent="0.25">
      <c r="A2" s="51" t="s">
        <v>98</v>
      </c>
      <c r="B2" s="63" t="s">
        <v>99</v>
      </c>
      <c r="C2" s="61" t="s">
        <v>100</v>
      </c>
      <c r="D2" s="52" t="s">
        <v>96</v>
      </c>
      <c r="E2" s="52" t="s">
        <v>97</v>
      </c>
      <c r="F2" s="52" t="s">
        <v>115</v>
      </c>
      <c r="G2" s="64" t="s">
        <v>116</v>
      </c>
    </row>
    <row r="3" spans="1:10" x14ac:dyDescent="0.25">
      <c r="A3" s="66"/>
      <c r="B3" s="66"/>
      <c r="C3" s="66"/>
      <c r="D3" s="66"/>
      <c r="E3" s="43" t="e">
        <f>VLOOKUP(A3,'Trips&amp;Operators'!$C$2:$E$10000,3,FALSE)</f>
        <v>#N/A</v>
      </c>
      <c r="F3" s="43" t="e">
        <f>VLOOKUP(A3,'Trips&amp;Operators'!$C$1:$F$10000,4,FALSE)</f>
        <v>#N/A</v>
      </c>
      <c r="G3" s="65" t="e">
        <f>VLOOKUP(A3,'Trips&amp;Operators'!$C$1:$H$10000,5,FALSE)</f>
        <v>#N/A</v>
      </c>
      <c r="H3" s="42"/>
      <c r="I3" s="42"/>
      <c r="J3" s="42"/>
    </row>
    <row r="4" spans="1:10" x14ac:dyDescent="0.25">
      <c r="A4" s="66"/>
      <c r="B4" s="66"/>
      <c r="C4" s="66"/>
      <c r="D4" s="66"/>
      <c r="E4" s="43" t="e">
        <f>VLOOKUP(A4,'Trips&amp;Operators'!$C$2:$E$10000,3,FALSE)</f>
        <v>#N/A</v>
      </c>
      <c r="F4" s="43" t="e">
        <f>VLOOKUP(A4,'Trips&amp;Operators'!$C$1:$F$10000,4,FALSE)</f>
        <v>#N/A</v>
      </c>
      <c r="G4" s="65" t="e">
        <f>VLOOKUP(A4,'Trips&amp;Operators'!$C$1:$H$10000,5,FALSE)</f>
        <v>#N/A</v>
      </c>
      <c r="H4" s="42"/>
      <c r="I4" s="42"/>
      <c r="J4" s="42"/>
    </row>
    <row r="5" spans="1:10" x14ac:dyDescent="0.25">
      <c r="A5" s="66"/>
      <c r="B5" s="66"/>
      <c r="C5" s="66"/>
      <c r="D5" s="66"/>
      <c r="E5" s="43" t="e">
        <f>VLOOKUP(A5,'Trips&amp;Operators'!$C$2:$E$10000,3,FALSE)</f>
        <v>#N/A</v>
      </c>
      <c r="F5" s="43" t="e">
        <f>VLOOKUP(A5,'Trips&amp;Operators'!$C$1:$F$10000,4,FALSE)</f>
        <v>#N/A</v>
      </c>
      <c r="G5" s="65" t="e">
        <f>VLOOKUP(A5,'Trips&amp;Operators'!$C$1:$H$10000,5,FALSE)</f>
        <v>#N/A</v>
      </c>
      <c r="H5" s="42"/>
      <c r="I5" s="42"/>
      <c r="J5" s="42"/>
    </row>
    <row r="6" spans="1:10" x14ac:dyDescent="0.25">
      <c r="A6" s="66"/>
      <c r="B6" s="66"/>
      <c r="C6" s="66"/>
      <c r="D6" s="66"/>
      <c r="E6" s="43" t="e">
        <f>VLOOKUP(A6,'Trips&amp;Operators'!$C$2:$E$10000,3,FALSE)</f>
        <v>#N/A</v>
      </c>
      <c r="F6" s="43" t="e">
        <f>VLOOKUP(A6,'Trips&amp;Operators'!$C$1:$F$10000,4,FALSE)</f>
        <v>#N/A</v>
      </c>
      <c r="G6" s="65" t="e">
        <f>VLOOKUP(A6,'Trips&amp;Operators'!$C$1:$H$10000,5,FALSE)</f>
        <v>#N/A</v>
      </c>
      <c r="H6" s="42"/>
      <c r="I6" s="42"/>
      <c r="J6" s="42"/>
    </row>
    <row r="7" spans="1:10" x14ac:dyDescent="0.25">
      <c r="B7"/>
      <c r="C7"/>
      <c r="H7" s="42"/>
      <c r="I7" s="42"/>
      <c r="J7" s="42"/>
    </row>
    <row r="8" spans="1:10" x14ac:dyDescent="0.25">
      <c r="B8"/>
      <c r="C8"/>
      <c r="H8" s="42"/>
      <c r="I8" s="42"/>
      <c r="J8" s="42"/>
    </row>
    <row r="9" spans="1:10" x14ac:dyDescent="0.25">
      <c r="B9"/>
      <c r="C9"/>
      <c r="H9" s="42"/>
      <c r="I9" s="42"/>
      <c r="J9" s="42"/>
    </row>
    <row r="10" spans="1:10" x14ac:dyDescent="0.25">
      <c r="B10"/>
      <c r="C10"/>
      <c r="H10" s="42"/>
      <c r="I10" s="42"/>
      <c r="J10" s="42"/>
    </row>
    <row r="11" spans="1:10" x14ac:dyDescent="0.25">
      <c r="B11"/>
      <c r="C11"/>
      <c r="H11" s="42"/>
      <c r="I11" s="42"/>
      <c r="J11" s="42"/>
    </row>
    <row r="12" spans="1:10" x14ac:dyDescent="0.25">
      <c r="B12"/>
      <c r="C12"/>
      <c r="H12" s="42"/>
      <c r="I12" s="42"/>
      <c r="J12" s="42"/>
    </row>
    <row r="13" spans="1:10" x14ac:dyDescent="0.25">
      <c r="B13"/>
      <c r="C13"/>
      <c r="H13" s="42"/>
      <c r="I13" s="42"/>
      <c r="J13" s="42"/>
    </row>
    <row r="14" spans="1:10" x14ac:dyDescent="0.25">
      <c r="B14"/>
      <c r="C14"/>
      <c r="H14" s="42"/>
      <c r="I14" s="42"/>
      <c r="J14" s="42"/>
    </row>
    <row r="15" spans="1:10" x14ac:dyDescent="0.25">
      <c r="B15"/>
      <c r="C15"/>
      <c r="H15" s="42"/>
      <c r="I15" s="42"/>
      <c r="J15" s="42"/>
    </row>
    <row r="16" spans="1:10" x14ac:dyDescent="0.25">
      <c r="B16"/>
      <c r="C16"/>
      <c r="H16" s="42"/>
      <c r="I16" s="42"/>
      <c r="J16" s="42"/>
    </row>
    <row r="17" spans="2:10" x14ac:dyDescent="0.25">
      <c r="B17"/>
      <c r="C17"/>
      <c r="H17" s="42"/>
      <c r="I17" s="42"/>
      <c r="J17" s="42"/>
    </row>
    <row r="18" spans="2:10" x14ac:dyDescent="0.25">
      <c r="B18"/>
      <c r="C18"/>
      <c r="H18" s="42"/>
      <c r="I18" s="42"/>
      <c r="J18" s="42"/>
    </row>
    <row r="19" spans="2:10" x14ac:dyDescent="0.25">
      <c r="B19"/>
      <c r="C19"/>
      <c r="H19" s="42"/>
      <c r="I19" s="42"/>
      <c r="J19" s="42"/>
    </row>
    <row r="20" spans="2:10" x14ac:dyDescent="0.25">
      <c r="B20"/>
      <c r="C20"/>
      <c r="H20" s="42"/>
      <c r="I20" s="42"/>
      <c r="J20" s="42"/>
    </row>
    <row r="21" spans="2:10" x14ac:dyDescent="0.25">
      <c r="B21"/>
      <c r="C21"/>
      <c r="H21" s="42"/>
      <c r="I21" s="42"/>
      <c r="J21" s="42"/>
    </row>
    <row r="22" spans="2:10" x14ac:dyDescent="0.25">
      <c r="B22"/>
      <c r="C22"/>
      <c r="H22" s="42"/>
      <c r="I22" s="42"/>
      <c r="J22" s="42"/>
    </row>
    <row r="23" spans="2:10" x14ac:dyDescent="0.25">
      <c r="B23"/>
      <c r="C23"/>
      <c r="H23" s="42"/>
      <c r="I23" s="42"/>
      <c r="J23" s="42"/>
    </row>
    <row r="24" spans="2:10" x14ac:dyDescent="0.25">
      <c r="B24"/>
      <c r="C24"/>
      <c r="H24" s="42"/>
      <c r="I24" s="42"/>
      <c r="J24" s="42"/>
    </row>
    <row r="25" spans="2:10" x14ac:dyDescent="0.25">
      <c r="B25"/>
      <c r="C25"/>
      <c r="H25" s="42"/>
      <c r="I25" s="42"/>
      <c r="J25" s="42"/>
    </row>
    <row r="26" spans="2:10" x14ac:dyDescent="0.25">
      <c r="B26"/>
      <c r="C26"/>
      <c r="H26" s="42"/>
      <c r="I26" s="42"/>
      <c r="J26" s="42"/>
    </row>
    <row r="27" spans="2:10" x14ac:dyDescent="0.25">
      <c r="B27"/>
      <c r="C27"/>
      <c r="H27" s="42"/>
      <c r="I27" s="42"/>
      <c r="J27" s="42"/>
    </row>
    <row r="28" spans="2:10" x14ac:dyDescent="0.25">
      <c r="B28"/>
      <c r="C28"/>
      <c r="H28" s="42"/>
      <c r="I28" s="42"/>
      <c r="J28" s="42"/>
    </row>
    <row r="29" spans="2:10" x14ac:dyDescent="0.25">
      <c r="B29"/>
      <c r="C29"/>
      <c r="H29" s="42"/>
      <c r="I29" s="42"/>
      <c r="J29" s="42"/>
    </row>
    <row r="30" spans="2:10" x14ac:dyDescent="0.25">
      <c r="B30"/>
      <c r="C30"/>
      <c r="H30" s="42"/>
      <c r="I30" s="42"/>
      <c r="J30" s="42"/>
    </row>
    <row r="31" spans="2:10" x14ac:dyDescent="0.25">
      <c r="B31"/>
      <c r="C31"/>
      <c r="H31" s="42"/>
      <c r="I31" s="42"/>
      <c r="J31" s="42"/>
    </row>
    <row r="32" spans="2:10" x14ac:dyDescent="0.25">
      <c r="B32"/>
      <c r="C32"/>
      <c r="H32" s="42"/>
      <c r="I32" s="42"/>
      <c r="J32" s="42"/>
    </row>
    <row r="33" spans="2:10" x14ac:dyDescent="0.25">
      <c r="B33"/>
      <c r="C33"/>
      <c r="H33" s="42"/>
      <c r="I33" s="42"/>
      <c r="J33" s="42"/>
    </row>
    <row r="34" spans="2:10" x14ac:dyDescent="0.25">
      <c r="B34"/>
      <c r="C34"/>
      <c r="H34" s="42"/>
      <c r="I34" s="42"/>
      <c r="J34" s="42"/>
    </row>
    <row r="35" spans="2:10" x14ac:dyDescent="0.25">
      <c r="B35"/>
      <c r="C35"/>
      <c r="H35" s="42"/>
      <c r="I35" s="42"/>
      <c r="J35" s="42"/>
    </row>
    <row r="36" spans="2:10" x14ac:dyDescent="0.25">
      <c r="B36"/>
      <c r="C36"/>
      <c r="H36" s="42"/>
      <c r="I36" s="42"/>
      <c r="J36" s="42"/>
    </row>
    <row r="37" spans="2:10" x14ac:dyDescent="0.25">
      <c r="B37"/>
      <c r="C37"/>
      <c r="H37" s="42"/>
      <c r="I37" s="42"/>
      <c r="J37" s="42"/>
    </row>
    <row r="38" spans="2:10" x14ac:dyDescent="0.25">
      <c r="B38"/>
      <c r="C38"/>
      <c r="H38" s="42"/>
      <c r="I38" s="42"/>
      <c r="J38" s="42"/>
    </row>
    <row r="39" spans="2:10" x14ac:dyDescent="0.25">
      <c r="B39"/>
      <c r="C39"/>
      <c r="H39" s="42"/>
      <c r="I39" s="42"/>
      <c r="J39" s="42"/>
    </row>
    <row r="40" spans="2:10" x14ac:dyDescent="0.25">
      <c r="B40"/>
      <c r="C40"/>
      <c r="H40" s="42"/>
      <c r="I40" s="42"/>
      <c r="J40" s="42"/>
    </row>
    <row r="41" spans="2:10" x14ac:dyDescent="0.25">
      <c r="B41"/>
      <c r="C41"/>
      <c r="H41" s="42"/>
      <c r="I41" s="42"/>
      <c r="J41" s="42"/>
    </row>
    <row r="42" spans="2:10" x14ac:dyDescent="0.25">
      <c r="B42"/>
      <c r="C42"/>
      <c r="H42" s="42"/>
      <c r="I42" s="42"/>
      <c r="J42" s="42"/>
    </row>
    <row r="43" spans="2:10" x14ac:dyDescent="0.25">
      <c r="B43"/>
      <c r="C43"/>
      <c r="H43" s="42"/>
      <c r="I43" s="42"/>
      <c r="J43" s="42"/>
    </row>
    <row r="44" spans="2:10" x14ac:dyDescent="0.25">
      <c r="B44"/>
      <c r="C44"/>
      <c r="H44" s="42"/>
      <c r="I44" s="42"/>
      <c r="J44" s="42"/>
    </row>
    <row r="45" spans="2:10" x14ac:dyDescent="0.25">
      <c r="B45"/>
      <c r="C45"/>
      <c r="H45" s="42"/>
      <c r="I45" s="42"/>
      <c r="J45" s="42"/>
    </row>
    <row r="46" spans="2:10" x14ac:dyDescent="0.25">
      <c r="B46"/>
      <c r="C46"/>
      <c r="H46" s="42"/>
      <c r="I46" s="42"/>
      <c r="J46" s="42"/>
    </row>
    <row r="47" spans="2:10" x14ac:dyDescent="0.25">
      <c r="B47"/>
      <c r="C47"/>
      <c r="H47" s="42"/>
      <c r="I47" s="42"/>
      <c r="J47" s="42"/>
    </row>
    <row r="48" spans="2:10" x14ac:dyDescent="0.25">
      <c r="B48"/>
      <c r="C48"/>
      <c r="H48" s="42"/>
      <c r="I48" s="42"/>
      <c r="J48" s="42"/>
    </row>
    <row r="49" spans="2:10" x14ac:dyDescent="0.25">
      <c r="B49"/>
      <c r="C49"/>
      <c r="H49" s="42"/>
      <c r="I49" s="42"/>
      <c r="J49" s="42"/>
    </row>
    <row r="50" spans="2:10" x14ac:dyDescent="0.25">
      <c r="B50"/>
      <c r="C50"/>
      <c r="H50" s="42"/>
      <c r="I50" s="42"/>
      <c r="J50" s="42"/>
    </row>
    <row r="51" spans="2:10" x14ac:dyDescent="0.25">
      <c r="B51"/>
      <c r="C51"/>
      <c r="H51" s="42"/>
      <c r="I51" s="42"/>
      <c r="J51" s="42"/>
    </row>
    <row r="52" spans="2:10" x14ac:dyDescent="0.25">
      <c r="B52"/>
      <c r="C52"/>
      <c r="H52" s="42"/>
      <c r="I52" s="42"/>
      <c r="J52" s="42"/>
    </row>
    <row r="53" spans="2:10" x14ac:dyDescent="0.25">
      <c r="B53"/>
      <c r="C53"/>
      <c r="H53" s="42"/>
      <c r="I53" s="42"/>
      <c r="J53" s="42"/>
    </row>
    <row r="54" spans="2:10" x14ac:dyDescent="0.25">
      <c r="B54"/>
      <c r="C54"/>
      <c r="H54" s="42"/>
      <c r="I54" s="42"/>
      <c r="J54" s="42"/>
    </row>
    <row r="55" spans="2:10" x14ac:dyDescent="0.25">
      <c r="B55"/>
      <c r="C55"/>
      <c r="H55" s="42"/>
      <c r="I55" s="42"/>
      <c r="J55" s="42"/>
    </row>
    <row r="56" spans="2:10" x14ac:dyDescent="0.25">
      <c r="B56"/>
      <c r="C56"/>
      <c r="H56" s="42"/>
      <c r="I56" s="42"/>
      <c r="J56" s="42"/>
    </row>
    <row r="57" spans="2:10" x14ac:dyDescent="0.25">
      <c r="B57"/>
      <c r="C57"/>
      <c r="H57" s="42"/>
      <c r="I57" s="42"/>
      <c r="J57" s="42"/>
    </row>
    <row r="58" spans="2:10" x14ac:dyDescent="0.25">
      <c r="B58"/>
      <c r="C58"/>
      <c r="H58" s="42"/>
      <c r="I58" s="42"/>
      <c r="J58" s="42"/>
    </row>
    <row r="59" spans="2:10" x14ac:dyDescent="0.25">
      <c r="B59"/>
      <c r="C59"/>
      <c r="H59" s="42"/>
      <c r="I59" s="42"/>
      <c r="J59" s="42"/>
    </row>
    <row r="60" spans="2:10" x14ac:dyDescent="0.25">
      <c r="B60"/>
      <c r="C60"/>
      <c r="H60" s="42"/>
      <c r="I60" s="42"/>
      <c r="J60" s="42"/>
    </row>
    <row r="61" spans="2:10" x14ac:dyDescent="0.25">
      <c r="B61"/>
      <c r="C61"/>
      <c r="H61" s="42"/>
      <c r="I61" s="42"/>
      <c r="J61" s="42"/>
    </row>
    <row r="62" spans="2:10" x14ac:dyDescent="0.25">
      <c r="B62"/>
      <c r="C62"/>
      <c r="H62" s="42"/>
      <c r="I62" s="42"/>
      <c r="J62" s="42"/>
    </row>
    <row r="63" spans="2:10" x14ac:dyDescent="0.25">
      <c r="B63"/>
      <c r="C63"/>
      <c r="H63" s="42"/>
      <c r="I63" s="42"/>
      <c r="J63" s="42"/>
    </row>
    <row r="64" spans="2:10" x14ac:dyDescent="0.25">
      <c r="B64"/>
      <c r="C64"/>
      <c r="H64" s="42"/>
      <c r="I64" s="42"/>
      <c r="J64" s="42"/>
    </row>
    <row r="65" spans="2:10" x14ac:dyDescent="0.25">
      <c r="B65"/>
      <c r="C65"/>
      <c r="H65" s="42"/>
      <c r="I65" s="42"/>
      <c r="J65" s="42"/>
    </row>
    <row r="66" spans="2:10" x14ac:dyDescent="0.25">
      <c r="B66"/>
      <c r="C66"/>
      <c r="H66" s="42"/>
      <c r="I66" s="42"/>
      <c r="J66" s="42"/>
    </row>
    <row r="67" spans="2:10" x14ac:dyDescent="0.25">
      <c r="B67"/>
      <c r="C67"/>
      <c r="H67" s="42"/>
      <c r="I67" s="42"/>
      <c r="J67" s="42"/>
    </row>
    <row r="68" spans="2:10" x14ac:dyDescent="0.25">
      <c r="B68"/>
      <c r="C68"/>
      <c r="H68" s="42"/>
      <c r="I68" s="42"/>
      <c r="J68" s="42"/>
    </row>
    <row r="69" spans="2:10" x14ac:dyDescent="0.25">
      <c r="B69"/>
      <c r="C69"/>
      <c r="H69" s="42"/>
      <c r="I69" s="42"/>
      <c r="J69" s="42"/>
    </row>
    <row r="70" spans="2:10" x14ac:dyDescent="0.25">
      <c r="B70"/>
      <c r="C70"/>
      <c r="H70" s="42"/>
      <c r="I70" s="42"/>
      <c r="J70" s="42"/>
    </row>
    <row r="71" spans="2:10" x14ac:dyDescent="0.25">
      <c r="B71"/>
      <c r="C71"/>
      <c r="H71" s="42"/>
      <c r="I71" s="42"/>
      <c r="J71" s="42"/>
    </row>
    <row r="72" spans="2:10" x14ac:dyDescent="0.25">
      <c r="B72"/>
      <c r="C72"/>
      <c r="H72" s="42"/>
      <c r="I72" s="42"/>
      <c r="J72" s="42"/>
    </row>
    <row r="73" spans="2:10" x14ac:dyDescent="0.25">
      <c r="B73"/>
      <c r="C73"/>
      <c r="H73" s="42"/>
      <c r="I73" s="42"/>
      <c r="J73" s="42"/>
    </row>
    <row r="74" spans="2:10" x14ac:dyDescent="0.25">
      <c r="B74"/>
      <c r="C74"/>
      <c r="H74" s="42"/>
      <c r="I74" s="42"/>
      <c r="J74" s="42"/>
    </row>
    <row r="75" spans="2:10" x14ac:dyDescent="0.25">
      <c r="B75"/>
      <c r="C75"/>
      <c r="H75" s="42"/>
      <c r="I75" s="42"/>
      <c r="J75" s="42"/>
    </row>
    <row r="76" spans="2:10" x14ac:dyDescent="0.25">
      <c r="B76"/>
      <c r="C76"/>
      <c r="H76" s="42"/>
      <c r="I76" s="42"/>
      <c r="J76" s="42"/>
    </row>
    <row r="77" spans="2:10" x14ac:dyDescent="0.25">
      <c r="B77"/>
      <c r="C77"/>
      <c r="H77" s="42"/>
      <c r="I77" s="42"/>
      <c r="J77" s="42"/>
    </row>
    <row r="78" spans="2:10" x14ac:dyDescent="0.25">
      <c r="B78"/>
      <c r="C78"/>
      <c r="H78" s="42"/>
      <c r="I78" s="42"/>
      <c r="J78" s="42"/>
    </row>
    <row r="79" spans="2:10" x14ac:dyDescent="0.25">
      <c r="B79"/>
      <c r="C79"/>
      <c r="H79" s="42"/>
      <c r="I79" s="42"/>
      <c r="J79" s="42"/>
    </row>
    <row r="80" spans="2:10" x14ac:dyDescent="0.25">
      <c r="B80"/>
      <c r="C80"/>
      <c r="H80" s="42"/>
      <c r="I80" s="42"/>
      <c r="J80" s="42"/>
    </row>
    <row r="81" spans="2:10" x14ac:dyDescent="0.25">
      <c r="B81"/>
      <c r="C81"/>
      <c r="H81" s="42"/>
      <c r="I81" s="42"/>
      <c r="J81" s="42"/>
    </row>
    <row r="82" spans="2:10" x14ac:dyDescent="0.25">
      <c r="B82"/>
      <c r="C82"/>
      <c r="H82" s="42"/>
      <c r="I82" s="42"/>
      <c r="J82" s="42"/>
    </row>
    <row r="83" spans="2:10" x14ac:dyDescent="0.25">
      <c r="B83"/>
      <c r="C83"/>
      <c r="H83" s="42"/>
      <c r="I83" s="42"/>
      <c r="J83" s="42"/>
    </row>
    <row r="84" spans="2:10" x14ac:dyDescent="0.25">
      <c r="B84"/>
      <c r="C84"/>
      <c r="H84" s="42"/>
      <c r="I84" s="42"/>
      <c r="J84" s="42"/>
    </row>
    <row r="85" spans="2:10" x14ac:dyDescent="0.25">
      <c r="B85"/>
      <c r="C85"/>
      <c r="H85" s="42"/>
      <c r="I85" s="42"/>
      <c r="J85" s="42"/>
    </row>
    <row r="86" spans="2:10" x14ac:dyDescent="0.25">
      <c r="B86"/>
      <c r="C86"/>
      <c r="H86" s="42"/>
      <c r="I86" s="42"/>
      <c r="J86" s="42"/>
    </row>
    <row r="87" spans="2:10" x14ac:dyDescent="0.25">
      <c r="B87"/>
      <c r="C87"/>
      <c r="H87" s="42"/>
      <c r="I87" s="42"/>
      <c r="J87" s="42"/>
    </row>
    <row r="88" spans="2:10" x14ac:dyDescent="0.25">
      <c r="B88"/>
      <c r="C88"/>
      <c r="H88" s="42"/>
      <c r="I88" s="42"/>
      <c r="J88" s="42"/>
    </row>
    <row r="89" spans="2:10" x14ac:dyDescent="0.25">
      <c r="B89"/>
      <c r="C89"/>
      <c r="H89" s="42"/>
      <c r="I89" s="42"/>
      <c r="J89" s="42"/>
    </row>
    <row r="90" spans="2:10" x14ac:dyDescent="0.25">
      <c r="B90"/>
      <c r="C90"/>
      <c r="H90" s="42"/>
      <c r="I90" s="42"/>
      <c r="J90" s="42"/>
    </row>
    <row r="91" spans="2:10" x14ac:dyDescent="0.25">
      <c r="B91"/>
      <c r="C91"/>
      <c r="H91" s="42"/>
      <c r="I91" s="42"/>
      <c r="J91" s="42"/>
    </row>
    <row r="92" spans="2:10" x14ac:dyDescent="0.25">
      <c r="B92"/>
      <c r="C92"/>
      <c r="H92" s="42"/>
      <c r="I92" s="42"/>
      <c r="J92" s="42"/>
    </row>
    <row r="93" spans="2:10" x14ac:dyDescent="0.25">
      <c r="B93"/>
      <c r="C93"/>
      <c r="H93" s="42"/>
      <c r="I93" s="42"/>
      <c r="J93" s="42"/>
    </row>
    <row r="94" spans="2:10" x14ac:dyDescent="0.25">
      <c r="B94"/>
      <c r="C94"/>
      <c r="H94" s="42"/>
      <c r="I94" s="42"/>
      <c r="J94" s="42"/>
    </row>
    <row r="95" spans="2:10" x14ac:dyDescent="0.25">
      <c r="B95"/>
      <c r="C95"/>
      <c r="H95" s="42"/>
      <c r="I95" s="42"/>
      <c r="J95" s="42"/>
    </row>
    <row r="96" spans="2:10" x14ac:dyDescent="0.25">
      <c r="B96"/>
      <c r="C96"/>
      <c r="H96" s="42"/>
      <c r="I96" s="42"/>
      <c r="J96" s="42"/>
    </row>
    <row r="97" spans="2:10" x14ac:dyDescent="0.25">
      <c r="B97"/>
      <c r="C97"/>
      <c r="H97" s="42"/>
      <c r="I97" s="42"/>
      <c r="J97" s="42"/>
    </row>
    <row r="98" spans="2:10" x14ac:dyDescent="0.25">
      <c r="B98"/>
      <c r="C98"/>
      <c r="H98" s="42"/>
      <c r="I98" s="42"/>
      <c r="J98" s="42"/>
    </row>
    <row r="99" spans="2:10" x14ac:dyDescent="0.25">
      <c r="B99"/>
      <c r="C99"/>
      <c r="H99" s="42"/>
      <c r="I99" s="42"/>
      <c r="J99" s="42"/>
    </row>
    <row r="100" spans="2:10" x14ac:dyDescent="0.25">
      <c r="B100"/>
      <c r="C100"/>
      <c r="H100" s="42"/>
      <c r="I100" s="42"/>
      <c r="J100" s="42"/>
    </row>
    <row r="101" spans="2:10" x14ac:dyDescent="0.25">
      <c r="B101"/>
      <c r="C101"/>
      <c r="H101" s="42"/>
      <c r="I101" s="42"/>
      <c r="J101" s="42"/>
    </row>
    <row r="102" spans="2:10" x14ac:dyDescent="0.25">
      <c r="B102"/>
      <c r="C102"/>
      <c r="H102" s="42"/>
      <c r="I102" s="42"/>
      <c r="J102" s="42"/>
    </row>
    <row r="103" spans="2:10" x14ac:dyDescent="0.25">
      <c r="B103"/>
      <c r="C103"/>
      <c r="H103" s="42"/>
      <c r="I103" s="42"/>
      <c r="J103" s="42"/>
    </row>
    <row r="104" spans="2:10" x14ac:dyDescent="0.25">
      <c r="B104"/>
      <c r="C104"/>
      <c r="H104" s="42"/>
      <c r="I104" s="42"/>
      <c r="J104" s="42"/>
    </row>
    <row r="105" spans="2:10" x14ac:dyDescent="0.25">
      <c r="B105"/>
      <c r="C105"/>
      <c r="H105" s="42"/>
      <c r="I105" s="42"/>
      <c r="J105" s="42"/>
    </row>
    <row r="106" spans="2:10" x14ac:dyDescent="0.25">
      <c r="B106"/>
      <c r="C106"/>
      <c r="H106" s="42"/>
      <c r="I106" s="42"/>
      <c r="J106" s="42"/>
    </row>
    <row r="107" spans="2:10" x14ac:dyDescent="0.25">
      <c r="B107"/>
      <c r="C107"/>
      <c r="H107" s="42"/>
      <c r="I107" s="42"/>
      <c r="J107" s="42"/>
    </row>
    <row r="108" spans="2:10" x14ac:dyDescent="0.25">
      <c r="B108"/>
      <c r="C108"/>
      <c r="H108" s="42"/>
      <c r="I108" s="42"/>
      <c r="J108" s="42"/>
    </row>
    <row r="109" spans="2:10" x14ac:dyDescent="0.25">
      <c r="B109"/>
      <c r="C109"/>
      <c r="H109" s="42"/>
      <c r="I109" s="42"/>
      <c r="J109" s="42"/>
    </row>
    <row r="110" spans="2:10" x14ac:dyDescent="0.25">
      <c r="B110"/>
      <c r="C110"/>
      <c r="H110" s="42"/>
      <c r="I110" s="42"/>
      <c r="J110" s="42"/>
    </row>
    <row r="111" spans="2:10" x14ac:dyDescent="0.25">
      <c r="B111"/>
      <c r="C111"/>
      <c r="H111" s="42"/>
      <c r="I111" s="42"/>
      <c r="J111" s="42"/>
    </row>
    <row r="112" spans="2:10" x14ac:dyDescent="0.25">
      <c r="B112"/>
      <c r="C112"/>
      <c r="H112" s="42"/>
      <c r="I112" s="42"/>
      <c r="J112" s="42"/>
    </row>
    <row r="113" spans="2:10" x14ac:dyDescent="0.25">
      <c r="B113"/>
      <c r="C113"/>
      <c r="H113" s="42"/>
      <c r="I113" s="42"/>
      <c r="J113" s="42"/>
    </row>
    <row r="114" spans="2:10" x14ac:dyDescent="0.25">
      <c r="B114"/>
      <c r="C114"/>
      <c r="H114" s="42"/>
      <c r="I114" s="42"/>
      <c r="J114" s="42"/>
    </row>
    <row r="115" spans="2:10" x14ac:dyDescent="0.25">
      <c r="B115"/>
      <c r="C115"/>
      <c r="H115" s="42"/>
      <c r="I115" s="42"/>
      <c r="J115" s="42"/>
    </row>
    <row r="116" spans="2:10" x14ac:dyDescent="0.25">
      <c r="B116"/>
      <c r="C116"/>
      <c r="H116" s="42"/>
      <c r="I116" s="42"/>
      <c r="J116" s="42"/>
    </row>
    <row r="117" spans="2:10" x14ac:dyDescent="0.25">
      <c r="B117"/>
      <c r="C117"/>
      <c r="H117" s="42"/>
      <c r="I117" s="42"/>
      <c r="J117" s="42"/>
    </row>
    <row r="118" spans="2:10" x14ac:dyDescent="0.25">
      <c r="B118"/>
      <c r="C118"/>
      <c r="H118" s="42"/>
      <c r="I118" s="42"/>
      <c r="J118" s="42"/>
    </row>
    <row r="119" spans="2:10" x14ac:dyDescent="0.25">
      <c r="B119"/>
      <c r="C119"/>
      <c r="H119" s="42"/>
      <c r="I119" s="42"/>
      <c r="J119" s="42"/>
    </row>
    <row r="120" spans="2:10" x14ac:dyDescent="0.25">
      <c r="B120"/>
      <c r="C120"/>
      <c r="H120" s="42"/>
      <c r="I120" s="42"/>
      <c r="J120" s="42"/>
    </row>
    <row r="121" spans="2:10" x14ac:dyDescent="0.25">
      <c r="B121"/>
      <c r="C121"/>
      <c r="H121" s="42"/>
      <c r="I121" s="42"/>
      <c r="J121" s="42"/>
    </row>
    <row r="122" spans="2:10" x14ac:dyDescent="0.25">
      <c r="B122"/>
      <c r="C122"/>
      <c r="H122" s="42"/>
      <c r="I122" s="42"/>
      <c r="J122" s="42"/>
    </row>
    <row r="123" spans="2:10" x14ac:dyDescent="0.25">
      <c r="B123"/>
      <c r="C123"/>
      <c r="H123" s="42"/>
      <c r="I123" s="42"/>
      <c r="J123" s="42"/>
    </row>
    <row r="124" spans="2:10" x14ac:dyDescent="0.25">
      <c r="B124"/>
      <c r="C124"/>
      <c r="H124" s="42"/>
      <c r="I124" s="42"/>
      <c r="J124" s="42"/>
    </row>
    <row r="125" spans="2:10" x14ac:dyDescent="0.25">
      <c r="B125"/>
      <c r="C125"/>
      <c r="H125" s="42"/>
      <c r="I125" s="42"/>
      <c r="J125" s="42"/>
    </row>
    <row r="126" spans="2:10" x14ac:dyDescent="0.25">
      <c r="B126"/>
      <c r="C126"/>
      <c r="H126" s="42"/>
      <c r="I126" s="42"/>
      <c r="J126" s="42"/>
    </row>
    <row r="127" spans="2:10" x14ac:dyDescent="0.25">
      <c r="B127"/>
      <c r="C127"/>
      <c r="H127" s="42"/>
      <c r="I127" s="42"/>
      <c r="J127" s="42"/>
    </row>
    <row r="128" spans="2:10" x14ac:dyDescent="0.25">
      <c r="B128"/>
      <c r="C128"/>
      <c r="H128" s="42"/>
      <c r="I128" s="42"/>
      <c r="J128" s="42"/>
    </row>
    <row r="129" spans="2:10" x14ac:dyDescent="0.25">
      <c r="B129"/>
      <c r="C129"/>
      <c r="H129" s="42"/>
      <c r="I129" s="42"/>
      <c r="J129" s="42"/>
    </row>
    <row r="130" spans="2:10" x14ac:dyDescent="0.25">
      <c r="B130"/>
      <c r="C130"/>
      <c r="H130" s="42"/>
      <c r="I130" s="42"/>
      <c r="J130" s="42"/>
    </row>
    <row r="131" spans="2:10" x14ac:dyDescent="0.25">
      <c r="B131"/>
      <c r="C131"/>
      <c r="H131" s="42"/>
      <c r="I131" s="42"/>
      <c r="J131" s="42"/>
    </row>
    <row r="132" spans="2:10" x14ac:dyDescent="0.25">
      <c r="H132" s="42"/>
      <c r="I132" s="42"/>
      <c r="J132" s="42"/>
    </row>
  </sheetData>
  <autoFilter ref="A2:G2">
    <sortState ref="A3:G6">
      <sortCondition ref="A2"/>
    </sortState>
  </autoFilter>
  <mergeCells count="1">
    <mergeCell ref="A1:E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227"/>
  <sheetViews>
    <sheetView workbookViewId="0">
      <selection activeCell="E34" sqref="A1:G227"/>
    </sheetView>
  </sheetViews>
  <sheetFormatPr defaultRowHeight="15" x14ac:dyDescent="0.25"/>
  <cols>
    <col min="1" max="1" width="18.28515625" style="13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  <col min="6" max="6" width="17" style="42" bestFit="1" customWidth="1"/>
    <col min="7" max="7" width="18.28515625" style="13" bestFit="1" customWidth="1"/>
  </cols>
  <sheetData>
    <row r="1" spans="1:7" s="42" customFormat="1" x14ac:dyDescent="0.25">
      <c r="A1" s="13">
        <v>42546.130682870367</v>
      </c>
      <c r="B1" s="42" t="s">
        <v>82</v>
      </c>
      <c r="C1" s="42" t="s">
        <v>233</v>
      </c>
      <c r="D1" s="42">
        <v>1840000</v>
      </c>
      <c r="E1" s="42" t="s">
        <v>168</v>
      </c>
      <c r="F1" s="42" t="s">
        <v>82</v>
      </c>
      <c r="G1" s="13">
        <v>42546.130682870367</v>
      </c>
    </row>
    <row r="2" spans="1:7" x14ac:dyDescent="0.25">
      <c r="A2" s="13">
        <v>42546.570081018515</v>
      </c>
      <c r="B2" s="42" t="s">
        <v>482</v>
      </c>
      <c r="C2" s="42" t="s">
        <v>364</v>
      </c>
      <c r="D2" s="42">
        <v>1260000</v>
      </c>
      <c r="E2" s="42" t="s">
        <v>490</v>
      </c>
      <c r="F2" s="42" t="s">
        <v>482</v>
      </c>
      <c r="G2" s="13">
        <v>42546.570081018515</v>
      </c>
    </row>
    <row r="3" spans="1:7" x14ac:dyDescent="0.25">
      <c r="A3" s="13">
        <v>42546.349456018521</v>
      </c>
      <c r="B3" s="42" t="s">
        <v>82</v>
      </c>
      <c r="C3" s="42" t="s">
        <v>290</v>
      </c>
      <c r="D3" s="42">
        <v>540000</v>
      </c>
      <c r="E3" s="42" t="s">
        <v>225</v>
      </c>
      <c r="F3" s="42" t="s">
        <v>82</v>
      </c>
      <c r="G3" s="13">
        <v>42546.349456018521</v>
      </c>
    </row>
    <row r="4" spans="1:7" x14ac:dyDescent="0.25">
      <c r="A4" s="13">
        <v>42546.414942129632</v>
      </c>
      <c r="B4" s="42" t="s">
        <v>220</v>
      </c>
      <c r="C4" s="42" t="s">
        <v>309</v>
      </c>
      <c r="D4" s="42">
        <v>1310000</v>
      </c>
      <c r="E4" s="42" t="s">
        <v>170</v>
      </c>
      <c r="F4" s="42" t="s">
        <v>220</v>
      </c>
      <c r="G4" s="13">
        <v>42546.414942129632</v>
      </c>
    </row>
    <row r="5" spans="1:7" x14ac:dyDescent="0.25">
      <c r="A5" s="13">
        <v>42546.547106481485</v>
      </c>
      <c r="B5" s="42" t="s">
        <v>85</v>
      </c>
      <c r="C5" s="42" t="s">
        <v>339</v>
      </c>
      <c r="D5" s="42">
        <v>1540000</v>
      </c>
      <c r="E5" s="42" t="s">
        <v>491</v>
      </c>
      <c r="F5" s="42" t="s">
        <v>85</v>
      </c>
      <c r="G5" s="13">
        <v>42546.547106481485</v>
      </c>
    </row>
    <row r="6" spans="1:7" x14ac:dyDescent="0.25">
      <c r="A6" s="13">
        <v>42546.518055555556</v>
      </c>
      <c r="B6" s="42" t="s">
        <v>106</v>
      </c>
      <c r="C6" s="42" t="s">
        <v>341</v>
      </c>
      <c r="D6" s="42">
        <v>1520000</v>
      </c>
      <c r="E6" s="42" t="s">
        <v>164</v>
      </c>
      <c r="F6" s="42" t="s">
        <v>106</v>
      </c>
      <c r="G6" s="13">
        <v>42546.518055555556</v>
      </c>
    </row>
    <row r="7" spans="1:7" x14ac:dyDescent="0.25">
      <c r="A7" s="13">
        <v>42546.207511574074</v>
      </c>
      <c r="B7" s="42" t="s">
        <v>481</v>
      </c>
      <c r="C7" s="42" t="s">
        <v>253</v>
      </c>
      <c r="D7" s="42">
        <v>1840000</v>
      </c>
      <c r="E7" s="42" t="s">
        <v>168</v>
      </c>
      <c r="F7" s="42" t="s">
        <v>481</v>
      </c>
      <c r="G7" s="13">
        <v>42546.207511574074</v>
      </c>
    </row>
    <row r="8" spans="1:7" x14ac:dyDescent="0.25">
      <c r="A8" s="13">
        <v>42546.431585648148</v>
      </c>
      <c r="B8" s="42" t="s">
        <v>482</v>
      </c>
      <c r="C8" s="42" t="s">
        <v>312</v>
      </c>
      <c r="D8" s="42">
        <v>1260000</v>
      </c>
      <c r="E8" s="42" t="s">
        <v>490</v>
      </c>
      <c r="F8" s="42" t="s">
        <v>482</v>
      </c>
      <c r="G8" s="13">
        <v>42546.431585648148</v>
      </c>
    </row>
    <row r="9" spans="1:7" ht="15.75" thickBot="1" x14ac:dyDescent="0.3">
      <c r="A9" s="57">
        <v>42546.495648148149</v>
      </c>
      <c r="B9" s="42" t="s">
        <v>482</v>
      </c>
      <c r="C9" s="42" t="s">
        <v>334</v>
      </c>
      <c r="D9" s="42">
        <v>1260000</v>
      </c>
      <c r="E9" s="42" t="s">
        <v>490</v>
      </c>
      <c r="F9" s="42" t="s">
        <v>482</v>
      </c>
      <c r="G9" s="57">
        <v>42546.495648148149</v>
      </c>
    </row>
    <row r="10" spans="1:7" x14ac:dyDescent="0.25">
      <c r="A10" s="13">
        <v>42546.545937499999</v>
      </c>
      <c r="B10" s="42" t="s">
        <v>85</v>
      </c>
      <c r="C10" s="42" t="s">
        <v>339</v>
      </c>
      <c r="D10" s="42">
        <v>1540000</v>
      </c>
      <c r="E10" s="42" t="s">
        <v>491</v>
      </c>
      <c r="F10" s="42" t="s">
        <v>85</v>
      </c>
      <c r="G10" s="13">
        <v>42546.545937499999</v>
      </c>
    </row>
    <row r="11" spans="1:7" x14ac:dyDescent="0.25">
      <c r="A11" s="13">
        <v>42546.425636574073</v>
      </c>
      <c r="B11" s="42" t="s">
        <v>482</v>
      </c>
      <c r="C11" s="42" t="s">
        <v>312</v>
      </c>
      <c r="D11" s="42">
        <v>1260000</v>
      </c>
      <c r="E11" s="42" t="s">
        <v>490</v>
      </c>
      <c r="F11" s="42" t="s">
        <v>482</v>
      </c>
      <c r="G11" s="13">
        <v>42546.425636574073</v>
      </c>
    </row>
    <row r="12" spans="1:7" x14ac:dyDescent="0.25">
      <c r="A12" s="13">
        <v>42546.318715277775</v>
      </c>
      <c r="B12" s="42" t="s">
        <v>81</v>
      </c>
      <c r="C12" s="42" t="s">
        <v>270</v>
      </c>
      <c r="D12" s="42">
        <v>540000</v>
      </c>
      <c r="E12" s="42" t="s">
        <v>225</v>
      </c>
      <c r="F12" s="42" t="s">
        <v>81</v>
      </c>
      <c r="G12" s="13">
        <v>42546.318715277775</v>
      </c>
    </row>
    <row r="13" spans="1:7" x14ac:dyDescent="0.25">
      <c r="A13" s="13">
        <v>42546.574895833335</v>
      </c>
      <c r="B13" s="42" t="s">
        <v>485</v>
      </c>
      <c r="C13" s="42" t="s">
        <v>346</v>
      </c>
      <c r="D13" s="42">
        <v>1470000</v>
      </c>
      <c r="E13" s="42" t="s">
        <v>229</v>
      </c>
      <c r="F13" s="42" t="s">
        <v>485</v>
      </c>
      <c r="G13" s="13">
        <v>42546.574895833335</v>
      </c>
    </row>
    <row r="14" spans="1:7" x14ac:dyDescent="0.25">
      <c r="A14" s="13">
        <v>42546.381504629629</v>
      </c>
      <c r="B14" s="42" t="s">
        <v>221</v>
      </c>
      <c r="C14" s="42" t="s">
        <v>288</v>
      </c>
      <c r="D14" s="42">
        <v>1310000</v>
      </c>
      <c r="E14" s="42" t="s">
        <v>170</v>
      </c>
      <c r="F14" s="42" t="s">
        <v>221</v>
      </c>
      <c r="G14" s="13">
        <v>42546.381504629629</v>
      </c>
    </row>
    <row r="15" spans="1:7" x14ac:dyDescent="0.25">
      <c r="A15" s="13">
        <v>42546.651747685188</v>
      </c>
      <c r="B15" s="42" t="s">
        <v>70</v>
      </c>
      <c r="C15" s="42" t="s">
        <v>377</v>
      </c>
      <c r="D15" s="42">
        <v>1740000</v>
      </c>
      <c r="E15" s="42" t="s">
        <v>88</v>
      </c>
      <c r="F15" s="42" t="s">
        <v>70</v>
      </c>
      <c r="G15" s="13">
        <v>42546.651747685188</v>
      </c>
    </row>
    <row r="16" spans="1:7" x14ac:dyDescent="0.25">
      <c r="A16" s="13">
        <v>42546.433657407404</v>
      </c>
      <c r="B16" s="42" t="s">
        <v>84</v>
      </c>
      <c r="C16" s="42" t="s">
        <v>317</v>
      </c>
      <c r="D16" s="42">
        <v>1100000</v>
      </c>
      <c r="E16" s="42" t="s">
        <v>492</v>
      </c>
      <c r="F16" s="42" t="s">
        <v>84</v>
      </c>
      <c r="G16" s="13">
        <v>42546.433657407404</v>
      </c>
    </row>
    <row r="17" spans="1:7" x14ac:dyDescent="0.25">
      <c r="A17" s="13">
        <v>42546.348749999997</v>
      </c>
      <c r="B17" s="42" t="s">
        <v>485</v>
      </c>
      <c r="C17" s="42" t="s">
        <v>281</v>
      </c>
      <c r="D17" s="42">
        <v>1830000</v>
      </c>
      <c r="E17" s="42" t="s">
        <v>166</v>
      </c>
      <c r="F17" s="42" t="s">
        <v>485</v>
      </c>
      <c r="G17" s="13">
        <v>42546.348749999997</v>
      </c>
    </row>
    <row r="18" spans="1:7" x14ac:dyDescent="0.25">
      <c r="A18" s="13">
        <v>42546.4450462963</v>
      </c>
      <c r="B18" s="42" t="s">
        <v>106</v>
      </c>
      <c r="C18" s="42" t="s">
        <v>320</v>
      </c>
      <c r="D18" s="42">
        <v>1520000</v>
      </c>
      <c r="E18" s="42" t="s">
        <v>164</v>
      </c>
      <c r="F18" s="42" t="s">
        <v>106</v>
      </c>
      <c r="G18" s="13">
        <v>42546.4450462963</v>
      </c>
    </row>
    <row r="19" spans="1:7" x14ac:dyDescent="0.25">
      <c r="A19" s="13">
        <v>42546.26394675926</v>
      </c>
      <c r="B19" s="42" t="s">
        <v>105</v>
      </c>
      <c r="C19" s="42" t="s">
        <v>257</v>
      </c>
      <c r="D19" s="42">
        <v>1460000</v>
      </c>
      <c r="E19" s="42" t="s">
        <v>169</v>
      </c>
      <c r="F19" s="42" t="s">
        <v>105</v>
      </c>
      <c r="G19" s="13">
        <v>42546.26394675926</v>
      </c>
    </row>
    <row r="20" spans="1:7" x14ac:dyDescent="0.25">
      <c r="A20" s="13">
        <v>42546.486967592595</v>
      </c>
      <c r="B20" s="42" t="s">
        <v>220</v>
      </c>
      <c r="C20" s="42" t="s">
        <v>331</v>
      </c>
      <c r="D20" s="42">
        <v>1120000</v>
      </c>
      <c r="E20" s="42" t="s">
        <v>230</v>
      </c>
      <c r="F20" s="42" t="s">
        <v>220</v>
      </c>
      <c r="G20" s="13">
        <v>42546.486967592595</v>
      </c>
    </row>
    <row r="21" spans="1:7" x14ac:dyDescent="0.25">
      <c r="A21" s="13">
        <v>42546.25341435185</v>
      </c>
      <c r="B21" s="42" t="s">
        <v>489</v>
      </c>
      <c r="C21" s="42" t="s">
        <v>254</v>
      </c>
      <c r="D21" s="42">
        <v>1840000</v>
      </c>
      <c r="E21" s="42" t="s">
        <v>168</v>
      </c>
      <c r="F21" s="42" t="s">
        <v>489</v>
      </c>
      <c r="G21" s="13">
        <v>42546.25341435185</v>
      </c>
    </row>
    <row r="22" spans="1:7" x14ac:dyDescent="0.25">
      <c r="A22" s="59">
        <v>42546.588113425925</v>
      </c>
      <c r="B22" s="42" t="s">
        <v>89</v>
      </c>
      <c r="C22" s="42" t="s">
        <v>350</v>
      </c>
      <c r="D22" s="42">
        <v>1230000</v>
      </c>
      <c r="E22" s="42" t="s">
        <v>493</v>
      </c>
      <c r="F22" s="42" t="s">
        <v>89</v>
      </c>
      <c r="G22" s="59">
        <v>42546.588113425925</v>
      </c>
    </row>
    <row r="23" spans="1:7" x14ac:dyDescent="0.25">
      <c r="A23" s="13">
        <v>42546.25203703704</v>
      </c>
      <c r="B23" s="42" t="s">
        <v>489</v>
      </c>
      <c r="C23" s="42" t="s">
        <v>254</v>
      </c>
      <c r="D23" s="42">
        <v>1840000</v>
      </c>
      <c r="E23" s="42" t="s">
        <v>168</v>
      </c>
      <c r="F23" s="42" t="s">
        <v>489</v>
      </c>
      <c r="G23" s="13">
        <v>42546.25203703704</v>
      </c>
    </row>
    <row r="24" spans="1:7" x14ac:dyDescent="0.25">
      <c r="A24" s="13">
        <v>42546.598576388889</v>
      </c>
      <c r="B24" s="42" t="s">
        <v>484</v>
      </c>
      <c r="C24" s="42" t="s">
        <v>395</v>
      </c>
      <c r="D24" s="42">
        <v>950000</v>
      </c>
      <c r="E24" s="42" t="s">
        <v>228</v>
      </c>
      <c r="F24" s="42" t="s">
        <v>484</v>
      </c>
      <c r="G24" s="13">
        <v>42546.598576388889</v>
      </c>
    </row>
    <row r="25" spans="1:7" x14ac:dyDescent="0.25">
      <c r="A25" s="13">
        <v>42546.247546296298</v>
      </c>
      <c r="B25" s="42" t="s">
        <v>488</v>
      </c>
      <c r="C25" s="42" t="s">
        <v>261</v>
      </c>
      <c r="D25" s="42">
        <v>1830000</v>
      </c>
      <c r="E25" s="42" t="s">
        <v>166</v>
      </c>
      <c r="F25" s="42" t="s">
        <v>488</v>
      </c>
      <c r="G25" s="13">
        <v>42546.247546296298</v>
      </c>
    </row>
    <row r="26" spans="1:7" x14ac:dyDescent="0.25">
      <c r="A26" s="13">
        <v>42546.735162037039</v>
      </c>
      <c r="B26" s="42" t="s">
        <v>89</v>
      </c>
      <c r="C26" s="42" t="s">
        <v>421</v>
      </c>
      <c r="D26" s="42">
        <v>1230000</v>
      </c>
      <c r="E26" s="42" t="s">
        <v>493</v>
      </c>
      <c r="F26" s="42" t="s">
        <v>89</v>
      </c>
      <c r="G26" s="13">
        <v>42546.735162037039</v>
      </c>
    </row>
    <row r="27" spans="1:7" x14ac:dyDescent="0.25">
      <c r="A27" s="13">
        <v>42546.209317129629</v>
      </c>
      <c r="B27" s="42" t="s">
        <v>481</v>
      </c>
      <c r="C27" s="42" t="s">
        <v>253</v>
      </c>
      <c r="D27" s="42">
        <v>1840000</v>
      </c>
      <c r="E27" s="42" t="s">
        <v>168</v>
      </c>
      <c r="F27" s="42" t="s">
        <v>481</v>
      </c>
      <c r="G27" s="13">
        <v>42546.209317129629</v>
      </c>
    </row>
    <row r="28" spans="1:7" x14ac:dyDescent="0.25">
      <c r="A28" s="13">
        <v>42546.84574074074</v>
      </c>
      <c r="B28" s="42" t="s">
        <v>92</v>
      </c>
      <c r="C28" s="42" t="s">
        <v>386</v>
      </c>
      <c r="D28" s="42">
        <v>1740000</v>
      </c>
      <c r="E28" s="42" t="s">
        <v>88</v>
      </c>
      <c r="F28" s="42" t="s">
        <v>92</v>
      </c>
      <c r="G28" s="13">
        <v>42546.84574074074</v>
      </c>
    </row>
    <row r="29" spans="1:7" x14ac:dyDescent="0.25">
      <c r="A29" s="13">
        <v>42546.166909722226</v>
      </c>
      <c r="B29" s="42" t="s">
        <v>488</v>
      </c>
      <c r="C29" s="42" t="s">
        <v>240</v>
      </c>
      <c r="D29" s="42">
        <v>1830000</v>
      </c>
      <c r="E29" s="42" t="s">
        <v>166</v>
      </c>
      <c r="F29" s="42" t="s">
        <v>488</v>
      </c>
      <c r="G29" s="13">
        <v>42546.166909722226</v>
      </c>
    </row>
    <row r="30" spans="1:7" x14ac:dyDescent="0.25">
      <c r="A30" s="13">
        <v>42546.886192129627</v>
      </c>
      <c r="B30" s="42" t="s">
        <v>92</v>
      </c>
      <c r="C30" s="42" t="s">
        <v>389</v>
      </c>
      <c r="D30" s="42">
        <v>1740000</v>
      </c>
      <c r="E30" s="42" t="s">
        <v>88</v>
      </c>
      <c r="F30" s="42" t="s">
        <v>92</v>
      </c>
      <c r="G30" s="13">
        <v>42546.886192129627</v>
      </c>
    </row>
    <row r="31" spans="1:7" x14ac:dyDescent="0.25">
      <c r="A31" s="13">
        <v>42546.551307870373</v>
      </c>
      <c r="B31" s="42" t="s">
        <v>105</v>
      </c>
      <c r="C31" s="42" t="s">
        <v>342</v>
      </c>
      <c r="D31" s="42">
        <v>1520000</v>
      </c>
      <c r="E31" s="42" t="s">
        <v>164</v>
      </c>
      <c r="F31" s="42" t="s">
        <v>105</v>
      </c>
      <c r="G31" s="13">
        <v>42546.551307870373</v>
      </c>
    </row>
    <row r="32" spans="1:7" x14ac:dyDescent="0.25">
      <c r="A32" s="13">
        <v>42546.689953703702</v>
      </c>
      <c r="B32" s="42" t="s">
        <v>85</v>
      </c>
      <c r="C32" s="42" t="s">
        <v>411</v>
      </c>
      <c r="D32" s="42">
        <v>880000</v>
      </c>
      <c r="E32" s="42" t="s">
        <v>165</v>
      </c>
      <c r="F32" s="42" t="s">
        <v>85</v>
      </c>
      <c r="G32" s="13">
        <v>42546.689953703702</v>
      </c>
    </row>
    <row r="33" spans="1:7" x14ac:dyDescent="0.25">
      <c r="A33" s="13">
        <v>42546.409166666665</v>
      </c>
      <c r="B33" s="42" t="s">
        <v>105</v>
      </c>
      <c r="C33" s="42" t="s">
        <v>298</v>
      </c>
      <c r="D33" s="42">
        <v>1460000</v>
      </c>
      <c r="E33" s="42" t="s">
        <v>169</v>
      </c>
      <c r="F33" s="42" t="s">
        <v>105</v>
      </c>
      <c r="G33" s="13">
        <v>42546.409166666665</v>
      </c>
    </row>
    <row r="34" spans="1:7" x14ac:dyDescent="0.25">
      <c r="A34" s="13">
        <v>42546.762199074074</v>
      </c>
      <c r="B34" s="42" t="s">
        <v>92</v>
      </c>
      <c r="C34" s="42" t="s">
        <v>382</v>
      </c>
      <c r="D34" s="42">
        <v>1740000</v>
      </c>
      <c r="E34" s="42" t="s">
        <v>88</v>
      </c>
      <c r="F34" s="42" t="s">
        <v>92</v>
      </c>
      <c r="G34" s="13">
        <v>42546.762199074074</v>
      </c>
    </row>
    <row r="35" spans="1:7" x14ac:dyDescent="0.25">
      <c r="A35" s="13">
        <v>42546.337476851855</v>
      </c>
      <c r="B35" s="42" t="s">
        <v>105</v>
      </c>
      <c r="C35" s="42" t="s">
        <v>275</v>
      </c>
      <c r="D35" s="42">
        <v>1460000</v>
      </c>
      <c r="E35" s="42" t="s">
        <v>169</v>
      </c>
      <c r="F35" s="42" t="s">
        <v>105</v>
      </c>
      <c r="G35" s="13">
        <v>42546.337476851855</v>
      </c>
    </row>
    <row r="36" spans="1:7" x14ac:dyDescent="0.25">
      <c r="A36" s="13">
        <v>42546.819641203707</v>
      </c>
      <c r="B36" s="42" t="s">
        <v>70</v>
      </c>
      <c r="C36" s="42" t="s">
        <v>385</v>
      </c>
      <c r="D36" s="42">
        <v>1740000</v>
      </c>
      <c r="E36" s="42" t="s">
        <v>88</v>
      </c>
      <c r="F36" s="42" t="s">
        <v>70</v>
      </c>
      <c r="G36" s="13">
        <v>42546.819641203707</v>
      </c>
    </row>
    <row r="37" spans="1:7" x14ac:dyDescent="0.25">
      <c r="A37" s="13">
        <v>42546.32540509259</v>
      </c>
      <c r="B37" s="42" t="s">
        <v>489</v>
      </c>
      <c r="C37" s="42" t="s">
        <v>272</v>
      </c>
      <c r="D37" s="42">
        <v>1840000</v>
      </c>
      <c r="E37" s="42" t="s">
        <v>168</v>
      </c>
      <c r="F37" s="42" t="s">
        <v>489</v>
      </c>
      <c r="G37" s="13">
        <v>42546.32540509259</v>
      </c>
    </row>
    <row r="38" spans="1:7" x14ac:dyDescent="0.25">
      <c r="A38" s="13">
        <v>42546.678946759261</v>
      </c>
      <c r="B38" s="42" t="s">
        <v>92</v>
      </c>
      <c r="C38" s="42" t="s">
        <v>378</v>
      </c>
      <c r="D38" s="42">
        <v>1740000</v>
      </c>
      <c r="E38" s="42" t="s">
        <v>88</v>
      </c>
      <c r="F38" s="42" t="s">
        <v>92</v>
      </c>
      <c r="G38" s="13">
        <v>42546.678946759261</v>
      </c>
    </row>
    <row r="39" spans="1:7" x14ac:dyDescent="0.25">
      <c r="A39" s="13">
        <v>42546.867210648146</v>
      </c>
      <c r="B39" s="42" t="s">
        <v>485</v>
      </c>
      <c r="C39" s="42" t="s">
        <v>452</v>
      </c>
      <c r="D39" s="42">
        <v>1770000</v>
      </c>
      <c r="E39" s="42" t="s">
        <v>171</v>
      </c>
      <c r="F39" s="42" t="s">
        <v>485</v>
      </c>
      <c r="G39" s="13">
        <v>42546.867210648146</v>
      </c>
    </row>
    <row r="40" spans="1:7" x14ac:dyDescent="0.25">
      <c r="A40" s="13">
        <v>42546.798935185187</v>
      </c>
      <c r="B40" s="58" t="s">
        <v>92</v>
      </c>
      <c r="C40" s="42" t="s">
        <v>384</v>
      </c>
      <c r="D40" s="42">
        <v>1740000</v>
      </c>
      <c r="E40" s="42" t="s">
        <v>88</v>
      </c>
      <c r="F40" s="58" t="s">
        <v>92</v>
      </c>
      <c r="G40" s="13">
        <v>42546.798935185187</v>
      </c>
    </row>
    <row r="41" spans="1:7" x14ac:dyDescent="0.25">
      <c r="A41" s="13">
        <v>42546.738321759258</v>
      </c>
      <c r="B41" s="42" t="s">
        <v>106</v>
      </c>
      <c r="C41" s="42" t="s">
        <v>435</v>
      </c>
      <c r="D41" s="42">
        <v>1180000</v>
      </c>
      <c r="E41" s="42" t="s">
        <v>494</v>
      </c>
      <c r="F41" s="42" t="s">
        <v>106</v>
      </c>
      <c r="G41" s="13">
        <v>42546.738321759258</v>
      </c>
    </row>
    <row r="42" spans="1:7" x14ac:dyDescent="0.25">
      <c r="A42" s="13">
        <v>42546.785312499997</v>
      </c>
      <c r="B42" s="42" t="s">
        <v>480</v>
      </c>
      <c r="C42" s="42" t="s">
        <v>441</v>
      </c>
      <c r="D42" s="42">
        <v>950000</v>
      </c>
      <c r="E42" s="42" t="s">
        <v>228</v>
      </c>
      <c r="F42" s="42" t="s">
        <v>480</v>
      </c>
      <c r="G42" s="13">
        <v>42546.785312499997</v>
      </c>
    </row>
    <row r="43" spans="1:7" x14ac:dyDescent="0.25">
      <c r="A43" s="13">
        <v>42546.642326388886</v>
      </c>
      <c r="B43" s="42" t="s">
        <v>480</v>
      </c>
      <c r="C43" s="42" t="s">
        <v>396</v>
      </c>
      <c r="D43" s="42">
        <v>950000</v>
      </c>
      <c r="E43" s="42" t="s">
        <v>228</v>
      </c>
      <c r="F43" s="42" t="s">
        <v>480</v>
      </c>
      <c r="G43" s="13">
        <v>42546.642326388886</v>
      </c>
    </row>
    <row r="44" spans="1:7" x14ac:dyDescent="0.25">
      <c r="A44" s="13">
        <v>42546.24664351852</v>
      </c>
      <c r="B44" s="42" t="s">
        <v>488</v>
      </c>
      <c r="C44" s="42" t="s">
        <v>261</v>
      </c>
      <c r="D44" s="42">
        <v>1830000</v>
      </c>
      <c r="E44" s="42" t="s">
        <v>166</v>
      </c>
      <c r="F44" s="42" t="s">
        <v>488</v>
      </c>
      <c r="G44" s="13">
        <v>42546.24664351852</v>
      </c>
    </row>
    <row r="45" spans="1:7" x14ac:dyDescent="0.25">
      <c r="A45" s="13">
        <v>42546.579027777778</v>
      </c>
      <c r="B45" s="42" t="s">
        <v>84</v>
      </c>
      <c r="C45" s="42" t="s">
        <v>387</v>
      </c>
      <c r="D45" s="42">
        <v>880000</v>
      </c>
      <c r="E45" s="42" t="s">
        <v>165</v>
      </c>
      <c r="F45" s="42" t="s">
        <v>84</v>
      </c>
      <c r="G45" s="13">
        <v>42546.579027777778</v>
      </c>
    </row>
    <row r="46" spans="1:7" x14ac:dyDescent="0.25">
      <c r="A46" s="13">
        <v>42546.277743055558</v>
      </c>
      <c r="B46" s="42" t="s">
        <v>82</v>
      </c>
      <c r="C46" s="42" t="s">
        <v>268</v>
      </c>
      <c r="D46" s="42">
        <v>1100000</v>
      </c>
      <c r="E46" s="42" t="s">
        <v>492</v>
      </c>
      <c r="F46" s="42" t="s">
        <v>82</v>
      </c>
      <c r="G46" s="13">
        <v>42546.277743055558</v>
      </c>
    </row>
    <row r="47" spans="1:7" x14ac:dyDescent="0.25">
      <c r="A47" s="13">
        <v>42546.390393518515</v>
      </c>
      <c r="B47" s="42" t="s">
        <v>488</v>
      </c>
      <c r="C47" s="42" t="s">
        <v>302</v>
      </c>
      <c r="D47" s="42">
        <v>1830000</v>
      </c>
      <c r="E47" s="42" t="s">
        <v>166</v>
      </c>
      <c r="F47" s="42" t="s">
        <v>488</v>
      </c>
      <c r="G47" s="13">
        <v>42546.390393518515</v>
      </c>
    </row>
    <row r="48" spans="1:7" x14ac:dyDescent="0.25">
      <c r="A48" s="13">
        <v>42546.317453703705</v>
      </c>
      <c r="B48" s="42" t="s">
        <v>488</v>
      </c>
      <c r="C48" s="42" t="s">
        <v>279</v>
      </c>
      <c r="D48" s="42">
        <v>1830000</v>
      </c>
      <c r="E48" s="42" t="s">
        <v>166</v>
      </c>
      <c r="F48" s="42" t="s">
        <v>488</v>
      </c>
      <c r="G48" s="13">
        <v>42546.317453703705</v>
      </c>
    </row>
    <row r="49" spans="1:7" x14ac:dyDescent="0.25">
      <c r="A49" s="13">
        <v>42546.277858796297</v>
      </c>
      <c r="B49" s="42" t="s">
        <v>483</v>
      </c>
      <c r="C49" s="42" t="s">
        <v>260</v>
      </c>
      <c r="D49" s="42">
        <v>1480000</v>
      </c>
      <c r="E49" s="42" t="s">
        <v>227</v>
      </c>
      <c r="F49" s="42" t="s">
        <v>483</v>
      </c>
      <c r="G49" s="13">
        <v>42546.277858796297</v>
      </c>
    </row>
    <row r="50" spans="1:7" x14ac:dyDescent="0.25">
      <c r="A50" s="13">
        <v>42546.336331018516</v>
      </c>
      <c r="B50" s="42" t="s">
        <v>105</v>
      </c>
      <c r="C50" s="42" t="s">
        <v>275</v>
      </c>
      <c r="D50" s="42">
        <v>1460000</v>
      </c>
      <c r="E50" s="42" t="s">
        <v>169</v>
      </c>
      <c r="F50" s="42" t="s">
        <v>105</v>
      </c>
      <c r="G50" s="13">
        <v>42546.336331018516</v>
      </c>
    </row>
    <row r="51" spans="1:7" x14ac:dyDescent="0.25">
      <c r="A51" s="13">
        <v>42546.234803240739</v>
      </c>
      <c r="B51" s="42" t="s">
        <v>70</v>
      </c>
      <c r="C51" s="42" t="s">
        <v>354</v>
      </c>
      <c r="D51" s="42">
        <v>1500000</v>
      </c>
      <c r="E51" s="42" t="s">
        <v>93</v>
      </c>
      <c r="F51" s="42" t="s">
        <v>70</v>
      </c>
      <c r="G51" s="13">
        <v>42546.234803240739</v>
      </c>
    </row>
    <row r="52" spans="1:7" x14ac:dyDescent="0.25">
      <c r="A52" s="13">
        <v>42546.393541666665</v>
      </c>
      <c r="B52" s="42" t="s">
        <v>489</v>
      </c>
      <c r="C52" s="42" t="s">
        <v>295</v>
      </c>
      <c r="D52" s="42">
        <v>1840000</v>
      </c>
      <c r="E52" s="42" t="s">
        <v>168</v>
      </c>
      <c r="F52" s="42" t="s">
        <v>489</v>
      </c>
      <c r="G52" s="13">
        <v>42546.393541666665</v>
      </c>
    </row>
    <row r="53" spans="1:7" x14ac:dyDescent="0.25">
      <c r="A53" s="13">
        <v>42546.694930555554</v>
      </c>
      <c r="B53" s="42" t="s">
        <v>91</v>
      </c>
      <c r="C53" s="42" t="s">
        <v>420</v>
      </c>
      <c r="D53" s="42">
        <v>1230000</v>
      </c>
      <c r="E53" s="42" t="s">
        <v>493</v>
      </c>
      <c r="F53" s="42" t="s">
        <v>91</v>
      </c>
      <c r="G53" s="13">
        <v>42546.694930555554</v>
      </c>
    </row>
    <row r="54" spans="1:7" x14ac:dyDescent="0.25">
      <c r="A54" s="13">
        <v>42546.632152777776</v>
      </c>
      <c r="B54" s="42" t="s">
        <v>220</v>
      </c>
      <c r="C54" s="42" t="s">
        <v>402</v>
      </c>
      <c r="D54" s="42">
        <v>1120000</v>
      </c>
      <c r="E54" s="42" t="s">
        <v>230</v>
      </c>
      <c r="F54" s="42" t="s">
        <v>220</v>
      </c>
      <c r="G54" s="13">
        <v>42546.632152777776</v>
      </c>
    </row>
    <row r="55" spans="1:7" x14ac:dyDescent="0.25">
      <c r="A55" s="13">
        <v>42546.659780092596</v>
      </c>
      <c r="B55" s="42" t="s">
        <v>89</v>
      </c>
      <c r="C55" s="42" t="s">
        <v>401</v>
      </c>
      <c r="D55" s="42">
        <v>1230000</v>
      </c>
      <c r="E55" s="42" t="s">
        <v>493</v>
      </c>
      <c r="F55" s="42" t="s">
        <v>89</v>
      </c>
      <c r="G55" s="13">
        <v>42546.659780092596</v>
      </c>
    </row>
    <row r="56" spans="1:7" x14ac:dyDescent="0.25">
      <c r="A56" s="13">
        <v>42546.256435185183</v>
      </c>
      <c r="B56" s="42" t="s">
        <v>91</v>
      </c>
      <c r="C56" s="42" t="s">
        <v>264</v>
      </c>
      <c r="D56" s="42">
        <v>1360000</v>
      </c>
      <c r="E56" s="42" t="s">
        <v>495</v>
      </c>
      <c r="F56" s="42" t="s">
        <v>91</v>
      </c>
      <c r="G56" s="13">
        <v>42546.256435185183</v>
      </c>
    </row>
    <row r="57" spans="1:7" x14ac:dyDescent="0.25">
      <c r="A57" s="13">
        <v>42546.454467592594</v>
      </c>
      <c r="B57" s="42" t="s">
        <v>221</v>
      </c>
      <c r="C57" s="42" t="s">
        <v>310</v>
      </c>
      <c r="D57" s="42">
        <v>1310000</v>
      </c>
      <c r="E57" s="42" t="s">
        <v>170</v>
      </c>
      <c r="F57" s="42" t="s">
        <v>221</v>
      </c>
      <c r="G57" s="13">
        <v>42546.454467592594</v>
      </c>
    </row>
    <row r="58" spans="1:7" x14ac:dyDescent="0.25">
      <c r="A58" s="13">
        <v>42546.360763888886</v>
      </c>
      <c r="B58" s="42" t="s">
        <v>89</v>
      </c>
      <c r="C58" s="42" t="s">
        <v>285</v>
      </c>
      <c r="D58" s="42">
        <v>1360000</v>
      </c>
      <c r="E58" s="42" t="s">
        <v>495</v>
      </c>
      <c r="F58" s="42" t="s">
        <v>89</v>
      </c>
      <c r="G58" s="13">
        <v>42546.360763888886</v>
      </c>
    </row>
    <row r="59" spans="1:7" x14ac:dyDescent="0.25">
      <c r="A59" s="13">
        <v>42546.285752314812</v>
      </c>
      <c r="B59" s="42" t="s">
        <v>481</v>
      </c>
      <c r="C59" s="42" t="s">
        <v>271</v>
      </c>
      <c r="D59" s="42">
        <v>1840000</v>
      </c>
      <c r="E59" s="42" t="s">
        <v>168</v>
      </c>
      <c r="F59" s="42" t="s">
        <v>481</v>
      </c>
      <c r="G59" s="13">
        <v>42546.285752314812</v>
      </c>
    </row>
    <row r="60" spans="1:7" x14ac:dyDescent="0.25">
      <c r="A60" s="13">
        <v>42546.453009259261</v>
      </c>
      <c r="B60" s="42" t="s">
        <v>484</v>
      </c>
      <c r="C60" s="42" t="s">
        <v>323</v>
      </c>
      <c r="D60" s="42">
        <v>1460000</v>
      </c>
      <c r="E60" s="42" t="s">
        <v>169</v>
      </c>
      <c r="F60" s="42" t="s">
        <v>484</v>
      </c>
      <c r="G60" s="13">
        <v>42546.453009259261</v>
      </c>
    </row>
    <row r="61" spans="1:7" x14ac:dyDescent="0.25">
      <c r="A61" s="13">
        <v>42547.015787037039</v>
      </c>
      <c r="B61" s="42" t="s">
        <v>481</v>
      </c>
      <c r="C61" s="42" t="s">
        <v>475</v>
      </c>
      <c r="D61" s="42">
        <v>1800000</v>
      </c>
      <c r="E61" s="42" t="s">
        <v>231</v>
      </c>
      <c r="F61" s="42" t="s">
        <v>481</v>
      </c>
      <c r="G61" s="13">
        <v>42547.015787037039</v>
      </c>
    </row>
    <row r="62" spans="1:7" x14ac:dyDescent="0.25">
      <c r="A62" s="13">
        <v>42546.474687499998</v>
      </c>
      <c r="B62" s="42" t="s">
        <v>85</v>
      </c>
      <c r="C62" s="42" t="s">
        <v>319</v>
      </c>
      <c r="D62" s="42">
        <v>1100000</v>
      </c>
      <c r="E62" s="42" t="s">
        <v>492</v>
      </c>
      <c r="F62" s="42" t="s">
        <v>85</v>
      </c>
      <c r="G62" s="13">
        <v>42546.474687499998</v>
      </c>
    </row>
    <row r="63" spans="1:7" x14ac:dyDescent="0.25">
      <c r="A63" s="13">
        <v>42546.970011574071</v>
      </c>
      <c r="B63" s="42" t="s">
        <v>106</v>
      </c>
      <c r="C63" s="42" t="s">
        <v>468</v>
      </c>
      <c r="D63" s="42">
        <v>1180000</v>
      </c>
      <c r="E63" s="42" t="s">
        <v>494</v>
      </c>
      <c r="F63" s="42" t="s">
        <v>106</v>
      </c>
      <c r="G63" s="13">
        <v>42546.970011574071</v>
      </c>
    </row>
    <row r="64" spans="1:7" x14ac:dyDescent="0.25">
      <c r="A64" s="59">
        <v>42546.481493055559</v>
      </c>
      <c r="B64" s="42" t="s">
        <v>105</v>
      </c>
      <c r="C64" s="42" t="s">
        <v>322</v>
      </c>
      <c r="D64" s="42">
        <v>1520000</v>
      </c>
      <c r="E64" s="42" t="s">
        <v>164</v>
      </c>
      <c r="F64" s="42" t="s">
        <v>105</v>
      </c>
      <c r="G64" s="59">
        <v>42546.481493055559</v>
      </c>
    </row>
    <row r="65" spans="1:7" x14ac:dyDescent="0.25">
      <c r="A65" s="13">
        <v>42546.860555555555</v>
      </c>
      <c r="B65" s="42" t="s">
        <v>70</v>
      </c>
      <c r="C65" s="42" t="s">
        <v>388</v>
      </c>
      <c r="D65" s="42">
        <v>1740000</v>
      </c>
      <c r="E65" s="42" t="s">
        <v>88</v>
      </c>
      <c r="F65" s="42" t="s">
        <v>70</v>
      </c>
      <c r="G65" s="13">
        <v>42546.860555555555</v>
      </c>
    </row>
    <row r="66" spans="1:7" x14ac:dyDescent="0.25">
      <c r="A66" s="13">
        <v>42546.518877314818</v>
      </c>
      <c r="B66" s="42" t="s">
        <v>84</v>
      </c>
      <c r="C66" s="42" t="s">
        <v>337</v>
      </c>
      <c r="D66" s="42">
        <v>1540000</v>
      </c>
      <c r="E66" s="42" t="s">
        <v>491</v>
      </c>
      <c r="F66" s="42" t="s">
        <v>84</v>
      </c>
      <c r="G66" s="13">
        <v>42546.518877314818</v>
      </c>
    </row>
    <row r="67" spans="1:7" x14ac:dyDescent="0.25">
      <c r="A67" s="13">
        <v>42546.477094907408</v>
      </c>
      <c r="B67" s="42" t="s">
        <v>85</v>
      </c>
      <c r="C67" s="42" t="s">
        <v>319</v>
      </c>
      <c r="D67" s="42">
        <v>1100000</v>
      </c>
      <c r="E67" s="42" t="s">
        <v>492</v>
      </c>
      <c r="F67" s="42" t="s">
        <v>85</v>
      </c>
      <c r="G67" s="13">
        <v>42546.477094907408</v>
      </c>
    </row>
    <row r="68" spans="1:7" x14ac:dyDescent="0.25">
      <c r="A68" s="13">
        <v>42546.550196759257</v>
      </c>
      <c r="B68" s="42" t="s">
        <v>105</v>
      </c>
      <c r="C68" s="42" t="s">
        <v>342</v>
      </c>
      <c r="D68" s="42">
        <v>1520000</v>
      </c>
      <c r="E68" s="42" t="s">
        <v>164</v>
      </c>
      <c r="F68" s="42" t="s">
        <v>105</v>
      </c>
      <c r="G68" s="13">
        <v>42546.550196759257</v>
      </c>
    </row>
    <row r="69" spans="1:7" x14ac:dyDescent="0.25">
      <c r="A69" s="13">
        <v>42546.347280092596</v>
      </c>
      <c r="B69" s="42" t="s">
        <v>480</v>
      </c>
      <c r="C69" s="42" t="s">
        <v>278</v>
      </c>
      <c r="D69" s="42">
        <v>1480000</v>
      </c>
      <c r="E69" s="42" t="s">
        <v>227</v>
      </c>
      <c r="F69" s="42" t="s">
        <v>480</v>
      </c>
      <c r="G69" s="13">
        <v>42546.347280092596</v>
      </c>
    </row>
    <row r="70" spans="1:7" x14ac:dyDescent="0.25">
      <c r="A70" s="13">
        <v>42546.610254629632</v>
      </c>
      <c r="B70" s="42" t="s">
        <v>70</v>
      </c>
      <c r="C70" s="42" t="s">
        <v>374</v>
      </c>
      <c r="D70" s="42">
        <v>1740000</v>
      </c>
      <c r="E70" s="42" t="s">
        <v>88</v>
      </c>
      <c r="F70" s="42" t="s">
        <v>70</v>
      </c>
      <c r="G70" s="13">
        <v>42546.610254629632</v>
      </c>
    </row>
    <row r="71" spans="1:7" x14ac:dyDescent="0.25">
      <c r="A71" s="13">
        <v>42546.22552083333</v>
      </c>
      <c r="B71" s="42" t="s">
        <v>106</v>
      </c>
      <c r="C71" s="42" t="s">
        <v>255</v>
      </c>
      <c r="D71" s="42">
        <v>1460000</v>
      </c>
      <c r="E71" s="42" t="s">
        <v>169</v>
      </c>
      <c r="F71" s="42" t="s">
        <v>106</v>
      </c>
      <c r="G71" s="13">
        <v>42546.22552083333</v>
      </c>
    </row>
    <row r="72" spans="1:7" x14ac:dyDescent="0.25">
      <c r="A72" s="13">
        <v>42546.298738425925</v>
      </c>
      <c r="B72" s="42" t="s">
        <v>106</v>
      </c>
      <c r="C72" s="42" t="s">
        <v>273</v>
      </c>
      <c r="D72" s="42">
        <v>1460000</v>
      </c>
      <c r="E72" s="42" t="s">
        <v>169</v>
      </c>
      <c r="F72" s="42" t="s">
        <v>106</v>
      </c>
      <c r="G72" s="13">
        <v>42546.298738425925</v>
      </c>
    </row>
    <row r="73" spans="1:7" x14ac:dyDescent="0.25">
      <c r="A73" s="13">
        <v>42546.169421296298</v>
      </c>
      <c r="B73" s="42" t="s">
        <v>489</v>
      </c>
      <c r="C73" s="42" t="s">
        <v>236</v>
      </c>
      <c r="D73" s="42">
        <v>1840000</v>
      </c>
      <c r="E73" s="42" t="s">
        <v>168</v>
      </c>
      <c r="F73" s="42" t="s">
        <v>489</v>
      </c>
      <c r="G73" s="13">
        <v>42546.169421296298</v>
      </c>
    </row>
    <row r="74" spans="1:7" x14ac:dyDescent="0.25">
      <c r="A74" s="13">
        <v>42546.359386574077</v>
      </c>
      <c r="B74" s="42" t="s">
        <v>481</v>
      </c>
      <c r="C74" s="42" t="s">
        <v>294</v>
      </c>
      <c r="D74" s="42">
        <v>1840000</v>
      </c>
      <c r="E74" s="42" t="s">
        <v>168</v>
      </c>
      <c r="F74" s="42" t="s">
        <v>481</v>
      </c>
      <c r="G74" s="13">
        <v>42546.359386574077</v>
      </c>
    </row>
    <row r="75" spans="1:7" x14ac:dyDescent="0.25">
      <c r="A75" s="13">
        <v>42546.744247685187</v>
      </c>
      <c r="B75" s="42" t="s">
        <v>221</v>
      </c>
      <c r="C75" s="42" t="s">
        <v>425</v>
      </c>
      <c r="D75" s="42">
        <v>1120000</v>
      </c>
      <c r="E75" s="42" t="s">
        <v>230</v>
      </c>
      <c r="F75" s="42" t="s">
        <v>221</v>
      </c>
      <c r="G75" s="13">
        <v>42546.744247685187</v>
      </c>
    </row>
    <row r="76" spans="1:7" x14ac:dyDescent="0.25">
      <c r="A76" s="13">
        <v>42546.382557870369</v>
      </c>
      <c r="B76" s="42" t="s">
        <v>484</v>
      </c>
      <c r="C76" s="42" t="s">
        <v>300</v>
      </c>
      <c r="D76" s="42">
        <v>1480000</v>
      </c>
      <c r="E76" s="42" t="s">
        <v>227</v>
      </c>
      <c r="F76" s="42" t="s">
        <v>484</v>
      </c>
      <c r="G76" s="13">
        <v>42546.382557870369</v>
      </c>
    </row>
    <row r="77" spans="1:7" x14ac:dyDescent="0.25">
      <c r="A77" s="13">
        <v>42546.623738425929</v>
      </c>
      <c r="B77" s="42" t="s">
        <v>105</v>
      </c>
      <c r="C77" s="42" t="s">
        <v>394</v>
      </c>
      <c r="D77" s="42">
        <v>1520000</v>
      </c>
      <c r="E77" s="42" t="s">
        <v>164</v>
      </c>
      <c r="F77" s="42" t="s">
        <v>105</v>
      </c>
      <c r="G77" s="13">
        <v>42546.623738425929</v>
      </c>
    </row>
    <row r="78" spans="1:7" x14ac:dyDescent="0.25">
      <c r="A78" s="13">
        <v>42546.400729166664</v>
      </c>
      <c r="B78" s="42" t="s">
        <v>70</v>
      </c>
      <c r="C78" s="42" t="s">
        <v>362</v>
      </c>
      <c r="D78" s="42">
        <v>1500000</v>
      </c>
      <c r="E78" s="42" t="s">
        <v>93</v>
      </c>
      <c r="F78" s="42" t="s">
        <v>70</v>
      </c>
      <c r="G78" s="13">
        <v>42546.400729166664</v>
      </c>
    </row>
    <row r="79" spans="1:7" x14ac:dyDescent="0.25">
      <c r="A79" s="13">
        <v>42546.423263888886</v>
      </c>
      <c r="B79" s="42" t="s">
        <v>485</v>
      </c>
      <c r="C79" s="42" t="s">
        <v>304</v>
      </c>
      <c r="D79" s="42">
        <v>1830000</v>
      </c>
      <c r="E79" s="42" t="s">
        <v>166</v>
      </c>
      <c r="F79" s="42" t="s">
        <v>485</v>
      </c>
      <c r="G79" s="13">
        <v>42546.423263888886</v>
      </c>
    </row>
    <row r="80" spans="1:7" x14ac:dyDescent="0.25">
      <c r="A80" s="13">
        <v>42546.482430555552</v>
      </c>
      <c r="B80" s="42" t="s">
        <v>105</v>
      </c>
      <c r="C80" s="42" t="s">
        <v>322</v>
      </c>
      <c r="D80" s="42">
        <v>1520000</v>
      </c>
      <c r="E80" s="42" t="s">
        <v>164</v>
      </c>
      <c r="F80" s="42" t="s">
        <v>105</v>
      </c>
      <c r="G80" s="13">
        <v>42546.482430555552</v>
      </c>
    </row>
    <row r="81" spans="1:7" x14ac:dyDescent="0.25">
      <c r="A81" s="13">
        <v>42546.277604166666</v>
      </c>
      <c r="B81" s="42" t="s">
        <v>70</v>
      </c>
      <c r="C81" s="42" t="s">
        <v>356</v>
      </c>
      <c r="D81" s="42">
        <v>1500000</v>
      </c>
      <c r="E81" s="42" t="s">
        <v>93</v>
      </c>
      <c r="F81" s="42" t="s">
        <v>70</v>
      </c>
      <c r="G81" s="13">
        <v>42546.277604166666</v>
      </c>
    </row>
    <row r="82" spans="1:7" x14ac:dyDescent="0.25">
      <c r="A82" s="13">
        <v>42546.491932870369</v>
      </c>
      <c r="B82" s="42" t="s">
        <v>480</v>
      </c>
      <c r="C82" s="42" t="s">
        <v>324</v>
      </c>
      <c r="D82" s="42">
        <v>1460000</v>
      </c>
      <c r="E82" s="42" t="s">
        <v>169</v>
      </c>
      <c r="F82" s="42" t="s">
        <v>480</v>
      </c>
      <c r="G82" s="13">
        <v>42546.491932870369</v>
      </c>
    </row>
    <row r="83" spans="1:7" x14ac:dyDescent="0.25">
      <c r="A83" s="13">
        <v>42546.269907407404</v>
      </c>
      <c r="B83" s="42" t="s">
        <v>220</v>
      </c>
      <c r="C83" s="42" t="s">
        <v>266</v>
      </c>
      <c r="D83" s="42">
        <v>1310000</v>
      </c>
      <c r="E83" s="42" t="s">
        <v>170</v>
      </c>
      <c r="F83" s="42" t="s">
        <v>220</v>
      </c>
      <c r="G83" s="13">
        <v>42546.269907407404</v>
      </c>
    </row>
    <row r="84" spans="1:7" x14ac:dyDescent="0.25">
      <c r="A84" s="13">
        <v>42546.540243055555</v>
      </c>
      <c r="B84" s="42" t="s">
        <v>92</v>
      </c>
      <c r="C84" s="42" t="s">
        <v>371</v>
      </c>
      <c r="D84" s="42">
        <v>1500000</v>
      </c>
      <c r="E84" s="42" t="s">
        <v>93</v>
      </c>
      <c r="F84" s="42" t="s">
        <v>92</v>
      </c>
      <c r="G84" s="13">
        <v>42546.540243055555</v>
      </c>
    </row>
    <row r="85" spans="1:7" x14ac:dyDescent="0.25">
      <c r="A85" s="13">
        <v>42546.871377314812</v>
      </c>
      <c r="B85" s="42" t="s">
        <v>482</v>
      </c>
      <c r="C85" s="42" t="s">
        <v>454</v>
      </c>
      <c r="D85" s="42">
        <v>1820000</v>
      </c>
      <c r="E85" s="42" t="s">
        <v>146</v>
      </c>
      <c r="F85" s="42" t="s">
        <v>482</v>
      </c>
      <c r="G85" s="13">
        <v>42546.871377314812</v>
      </c>
    </row>
    <row r="86" spans="1:7" x14ac:dyDescent="0.25">
      <c r="A86" s="13">
        <v>42546.605555555558</v>
      </c>
      <c r="B86" s="42" t="s">
        <v>483</v>
      </c>
      <c r="C86" s="42" t="s">
        <v>376</v>
      </c>
      <c r="D86" s="42">
        <v>1260000</v>
      </c>
      <c r="E86" s="42" t="s">
        <v>490</v>
      </c>
      <c r="F86" s="42" t="s">
        <v>483</v>
      </c>
      <c r="G86" s="13">
        <v>42546.605555555558</v>
      </c>
    </row>
    <row r="87" spans="1:7" x14ac:dyDescent="0.25">
      <c r="A87" s="13">
        <v>42546.766111111108</v>
      </c>
      <c r="B87" s="42" t="s">
        <v>85</v>
      </c>
      <c r="C87" s="42" t="s">
        <v>432</v>
      </c>
      <c r="D87" s="42">
        <v>880000</v>
      </c>
      <c r="E87" s="42" t="s">
        <v>165</v>
      </c>
      <c r="F87" s="42" t="s">
        <v>85</v>
      </c>
      <c r="G87" s="13">
        <v>42546.766111111108</v>
      </c>
    </row>
    <row r="88" spans="1:7" x14ac:dyDescent="0.25">
      <c r="A88" s="13">
        <v>42546.619976851849</v>
      </c>
      <c r="B88" s="42" t="s">
        <v>85</v>
      </c>
      <c r="C88" s="42" t="s">
        <v>392</v>
      </c>
      <c r="D88" s="42">
        <v>880000</v>
      </c>
      <c r="E88" s="42" t="s">
        <v>165</v>
      </c>
      <c r="F88" s="42" t="s">
        <v>85</v>
      </c>
      <c r="G88" s="13">
        <v>42546.619976851849</v>
      </c>
    </row>
    <row r="89" spans="1:7" x14ac:dyDescent="0.25">
      <c r="A89" s="13">
        <v>42546.735474537039</v>
      </c>
      <c r="B89" s="42" t="s">
        <v>70</v>
      </c>
      <c r="C89" s="42" t="s">
        <v>381</v>
      </c>
      <c r="D89" s="42">
        <v>1740000</v>
      </c>
      <c r="E89" s="42" t="s">
        <v>88</v>
      </c>
      <c r="F89" s="42" t="s">
        <v>70</v>
      </c>
      <c r="G89" s="13">
        <v>42546.735474537039</v>
      </c>
    </row>
    <row r="90" spans="1:7" x14ac:dyDescent="0.25">
      <c r="A90" s="13">
        <v>42546.64329861111</v>
      </c>
      <c r="B90" s="42" t="s">
        <v>482</v>
      </c>
      <c r="C90" s="42" t="s">
        <v>406</v>
      </c>
      <c r="D90" s="42">
        <v>1260000</v>
      </c>
      <c r="E90" s="42" t="s">
        <v>490</v>
      </c>
      <c r="F90" s="42" t="s">
        <v>482</v>
      </c>
      <c r="G90" s="13">
        <v>42546.64329861111</v>
      </c>
    </row>
    <row r="91" spans="1:7" x14ac:dyDescent="0.25">
      <c r="A91" s="13">
        <v>42546.704571759263</v>
      </c>
      <c r="B91" s="42" t="s">
        <v>220</v>
      </c>
      <c r="C91" s="42" t="s">
        <v>423</v>
      </c>
      <c r="D91" s="42">
        <v>1120000</v>
      </c>
      <c r="E91" s="42" t="s">
        <v>230</v>
      </c>
      <c r="F91" s="42" t="s">
        <v>220</v>
      </c>
      <c r="G91" s="13">
        <v>42546.704571759263</v>
      </c>
    </row>
    <row r="92" spans="1:7" x14ac:dyDescent="0.25">
      <c r="A92" s="13">
        <v>42546.653333333335</v>
      </c>
      <c r="B92" s="42" t="s">
        <v>84</v>
      </c>
      <c r="C92" s="42" t="s">
        <v>410</v>
      </c>
      <c r="D92" s="42">
        <v>880000</v>
      </c>
      <c r="E92" s="42" t="s">
        <v>165</v>
      </c>
      <c r="F92" s="42" t="s">
        <v>84</v>
      </c>
      <c r="G92" s="13">
        <v>42546.653333333335</v>
      </c>
    </row>
    <row r="93" spans="1:7" x14ac:dyDescent="0.25">
      <c r="A93" s="13">
        <v>42546.62263888889</v>
      </c>
      <c r="B93" s="42" t="s">
        <v>105</v>
      </c>
      <c r="C93" s="42" t="s">
        <v>394</v>
      </c>
      <c r="D93" s="42">
        <v>1520000</v>
      </c>
      <c r="E93" s="42" t="s">
        <v>164</v>
      </c>
      <c r="F93" s="42" t="s">
        <v>105</v>
      </c>
      <c r="G93" s="13">
        <v>42546.62263888889</v>
      </c>
    </row>
    <row r="94" spans="1:7" x14ac:dyDescent="0.25">
      <c r="A94" s="13">
        <v>42546.671585648146</v>
      </c>
      <c r="B94" s="42" t="s">
        <v>221</v>
      </c>
      <c r="C94" s="42" t="s">
        <v>404</v>
      </c>
      <c r="D94" s="42">
        <v>1120000</v>
      </c>
      <c r="E94" s="42" t="s">
        <v>230</v>
      </c>
      <c r="F94" s="42" t="s">
        <v>221</v>
      </c>
      <c r="G94" s="13">
        <v>42546.671585648146</v>
      </c>
    </row>
    <row r="95" spans="1:7" x14ac:dyDescent="0.25">
      <c r="A95" s="13">
        <v>42546.588958333334</v>
      </c>
      <c r="B95" s="42" t="s">
        <v>106</v>
      </c>
      <c r="C95" s="42" t="s">
        <v>393</v>
      </c>
      <c r="D95" s="42">
        <v>1520000</v>
      </c>
      <c r="E95" s="42" t="s">
        <v>164</v>
      </c>
      <c r="F95" s="42" t="s">
        <v>106</v>
      </c>
      <c r="G95" s="13">
        <v>42546.588958333334</v>
      </c>
    </row>
    <row r="96" spans="1:7" x14ac:dyDescent="0.25">
      <c r="A96" s="13">
        <v>42546.746435185189</v>
      </c>
      <c r="B96" s="42" t="s">
        <v>484</v>
      </c>
      <c r="C96" s="42" t="s">
        <v>439</v>
      </c>
      <c r="D96" s="42">
        <v>950000</v>
      </c>
      <c r="E96" s="42" t="s">
        <v>228</v>
      </c>
      <c r="F96" s="42" t="s">
        <v>484</v>
      </c>
      <c r="G96" s="13">
        <v>42546.746435185189</v>
      </c>
    </row>
    <row r="97" spans="1:7" x14ac:dyDescent="0.25">
      <c r="A97" s="13">
        <v>42546.563842592594</v>
      </c>
      <c r="B97" s="42" t="s">
        <v>480</v>
      </c>
      <c r="C97" s="42" t="s">
        <v>344</v>
      </c>
      <c r="D97" s="42">
        <v>950000</v>
      </c>
      <c r="E97" s="42" t="s">
        <v>228</v>
      </c>
      <c r="F97" s="42" t="s">
        <v>480</v>
      </c>
      <c r="G97" s="13">
        <v>42546.563842592594</v>
      </c>
    </row>
    <row r="98" spans="1:7" x14ac:dyDescent="0.25">
      <c r="A98" s="13">
        <v>42546.770312499997</v>
      </c>
      <c r="B98" s="42" t="s">
        <v>481</v>
      </c>
      <c r="C98" s="42" t="s">
        <v>444</v>
      </c>
      <c r="D98" s="42">
        <v>1800000</v>
      </c>
      <c r="E98" s="42" t="s">
        <v>231</v>
      </c>
      <c r="F98" s="42" t="s">
        <v>481</v>
      </c>
      <c r="G98" s="13">
        <v>42546.770312499997</v>
      </c>
    </row>
    <row r="99" spans="1:7" x14ac:dyDescent="0.25">
      <c r="A99" s="13">
        <v>42546.326620370368</v>
      </c>
      <c r="B99" s="42" t="s">
        <v>489</v>
      </c>
      <c r="C99" s="42" t="s">
        <v>272</v>
      </c>
      <c r="D99" s="42">
        <v>1840000</v>
      </c>
      <c r="E99" s="42" t="s">
        <v>168</v>
      </c>
      <c r="F99" s="42" t="s">
        <v>489</v>
      </c>
      <c r="G99" s="13">
        <v>42546.326620370368</v>
      </c>
    </row>
    <row r="100" spans="1:7" x14ac:dyDescent="0.25">
      <c r="A100" s="13">
        <v>42546.807835648149</v>
      </c>
      <c r="B100" s="42" t="s">
        <v>106</v>
      </c>
      <c r="C100" s="42" t="s">
        <v>448</v>
      </c>
      <c r="D100" s="42">
        <v>1180000</v>
      </c>
      <c r="E100" s="42" t="s">
        <v>494</v>
      </c>
      <c r="F100" s="42" t="s">
        <v>106</v>
      </c>
      <c r="G100" s="13">
        <v>42546.807835648149</v>
      </c>
    </row>
    <row r="101" spans="1:7" x14ac:dyDescent="0.25">
      <c r="A101" s="13">
        <v>42546.301979166667</v>
      </c>
      <c r="B101" s="42" t="s">
        <v>92</v>
      </c>
      <c r="C101" s="42" t="s">
        <v>357</v>
      </c>
      <c r="D101" s="42">
        <v>1500000</v>
      </c>
      <c r="E101" s="42" t="s">
        <v>93</v>
      </c>
      <c r="F101" s="42" t="s">
        <v>92</v>
      </c>
      <c r="G101" s="13">
        <v>42546.301979166667</v>
      </c>
    </row>
    <row r="102" spans="1:7" x14ac:dyDescent="0.25">
      <c r="A102" s="13">
        <v>42546.828113425923</v>
      </c>
      <c r="B102" s="42" t="s">
        <v>488</v>
      </c>
      <c r="C102" s="42" t="s">
        <v>451</v>
      </c>
      <c r="D102" s="42">
        <v>1770000</v>
      </c>
      <c r="E102" s="42" t="s">
        <v>171</v>
      </c>
      <c r="F102" s="42" t="s">
        <v>488</v>
      </c>
      <c r="G102" s="13">
        <v>42546.828113425923</v>
      </c>
    </row>
    <row r="103" spans="1:7" x14ac:dyDescent="0.25">
      <c r="A103" s="13">
        <v>42546.793680555558</v>
      </c>
      <c r="B103" s="42" t="s">
        <v>485</v>
      </c>
      <c r="C103" s="42" t="s">
        <v>443</v>
      </c>
      <c r="D103" s="42">
        <v>1770000</v>
      </c>
      <c r="E103" s="42" t="s">
        <v>171</v>
      </c>
      <c r="F103" s="42" t="s">
        <v>485</v>
      </c>
      <c r="G103" s="13">
        <v>42546.793680555558</v>
      </c>
    </row>
    <row r="104" spans="1:7" x14ac:dyDescent="0.25">
      <c r="A104" s="13">
        <v>42546.851435185185</v>
      </c>
      <c r="B104" s="42" t="s">
        <v>481</v>
      </c>
      <c r="C104" s="42" t="s">
        <v>453</v>
      </c>
      <c r="D104" s="42">
        <v>1800000</v>
      </c>
      <c r="E104" s="42" t="s">
        <v>231</v>
      </c>
      <c r="F104" s="42" t="s">
        <v>481</v>
      </c>
      <c r="G104" s="13">
        <v>42546.851435185185</v>
      </c>
    </row>
    <row r="105" spans="1:7" x14ac:dyDescent="0.25">
      <c r="A105" s="13">
        <v>42546.662777777776</v>
      </c>
      <c r="B105" s="42" t="s">
        <v>106</v>
      </c>
      <c r="C105" s="42" t="s">
        <v>412</v>
      </c>
      <c r="D105" s="42">
        <v>1520000</v>
      </c>
      <c r="E105" s="42" t="s">
        <v>164</v>
      </c>
      <c r="F105" s="42" t="s">
        <v>106</v>
      </c>
      <c r="G105" s="13">
        <v>42546.662777777776</v>
      </c>
    </row>
    <row r="106" spans="1:7" x14ac:dyDescent="0.25">
      <c r="A106" s="13">
        <v>42546.93509259259</v>
      </c>
      <c r="B106" s="42" t="s">
        <v>481</v>
      </c>
      <c r="C106" s="42" t="s">
        <v>464</v>
      </c>
      <c r="D106" s="42">
        <v>1800000</v>
      </c>
      <c r="E106" s="42" t="s">
        <v>231</v>
      </c>
      <c r="F106" s="42" t="s">
        <v>481</v>
      </c>
      <c r="G106" s="13">
        <v>42546.93509259259</v>
      </c>
    </row>
    <row r="107" spans="1:7" x14ac:dyDescent="0.25">
      <c r="A107" s="13">
        <v>42546.423784722225</v>
      </c>
      <c r="B107" s="42" t="s">
        <v>482</v>
      </c>
      <c r="C107" s="42" t="s">
        <v>312</v>
      </c>
      <c r="D107" s="42">
        <v>1260000</v>
      </c>
      <c r="E107" s="42" t="s">
        <v>490</v>
      </c>
      <c r="F107" s="42" t="s">
        <v>482</v>
      </c>
      <c r="G107" s="13">
        <v>42546.423784722225</v>
      </c>
    </row>
    <row r="108" spans="1:7" x14ac:dyDescent="0.25">
      <c r="A108" s="13">
        <v>42546.991226851853</v>
      </c>
      <c r="B108" s="42" t="s">
        <v>488</v>
      </c>
      <c r="C108" s="42" t="s">
        <v>471</v>
      </c>
      <c r="D108" s="42">
        <v>1770000</v>
      </c>
      <c r="E108" s="42" t="s">
        <v>171</v>
      </c>
      <c r="F108" s="42" t="s">
        <v>488</v>
      </c>
      <c r="G108" s="13">
        <v>42546.991226851853</v>
      </c>
    </row>
    <row r="109" spans="1:7" x14ac:dyDescent="0.25">
      <c r="A109" s="13">
        <v>42546.289201388892</v>
      </c>
      <c r="B109" s="42" t="s">
        <v>89</v>
      </c>
      <c r="C109" s="42" t="s">
        <v>265</v>
      </c>
      <c r="D109" s="42">
        <v>1360000</v>
      </c>
      <c r="E109" s="42" t="s">
        <v>495</v>
      </c>
      <c r="F109" s="42" t="s">
        <v>89</v>
      </c>
      <c r="G109" s="13">
        <v>42546.289201388892</v>
      </c>
    </row>
    <row r="110" spans="1:7" x14ac:dyDescent="0.25">
      <c r="A110" s="13">
        <v>42546.714884259258</v>
      </c>
      <c r="B110" s="42" t="s">
        <v>480</v>
      </c>
      <c r="C110" s="42" t="s">
        <v>415</v>
      </c>
      <c r="D110" s="42">
        <v>950000</v>
      </c>
      <c r="E110" s="42" t="s">
        <v>228</v>
      </c>
      <c r="F110" s="42" t="s">
        <v>480</v>
      </c>
      <c r="G110" s="13">
        <v>42546.714884259258</v>
      </c>
    </row>
    <row r="111" spans="1:7" x14ac:dyDescent="0.25">
      <c r="A111" s="13">
        <v>42546.233935185184</v>
      </c>
      <c r="B111" s="42" t="s">
        <v>221</v>
      </c>
      <c r="C111" s="42" t="s">
        <v>249</v>
      </c>
      <c r="D111" s="42">
        <v>1310000</v>
      </c>
      <c r="E111" s="42" t="s">
        <v>170</v>
      </c>
      <c r="F111" s="42" t="s">
        <v>221</v>
      </c>
      <c r="G111" s="13">
        <v>42546.233935185184</v>
      </c>
    </row>
    <row r="112" spans="1:7" x14ac:dyDescent="0.25">
      <c r="A112" s="13">
        <v>42546.721145833333</v>
      </c>
      <c r="B112" s="42" t="s">
        <v>92</v>
      </c>
      <c r="C112" s="42" t="s">
        <v>380</v>
      </c>
      <c r="D112" s="42">
        <v>1740000</v>
      </c>
      <c r="E112" s="42" t="s">
        <v>88</v>
      </c>
      <c r="F112" s="42" t="s">
        <v>92</v>
      </c>
      <c r="G112" s="13">
        <v>42546.721145833333</v>
      </c>
    </row>
    <row r="113" spans="1:7" x14ac:dyDescent="0.25">
      <c r="A113" s="13">
        <v>42546.179699074077</v>
      </c>
      <c r="B113" s="42" t="s">
        <v>91</v>
      </c>
      <c r="C113" s="42" t="s">
        <v>244</v>
      </c>
      <c r="D113" s="42">
        <v>1360000</v>
      </c>
      <c r="E113" s="42" t="s">
        <v>495</v>
      </c>
      <c r="F113" s="42" t="s">
        <v>91</v>
      </c>
      <c r="G113" s="13">
        <v>42546.179699074077</v>
      </c>
    </row>
    <row r="114" spans="1:7" x14ac:dyDescent="0.25">
      <c r="A114" s="13">
        <v>42546.777025462965</v>
      </c>
      <c r="B114" s="42" t="s">
        <v>70</v>
      </c>
      <c r="C114" s="42" t="s">
        <v>383</v>
      </c>
      <c r="D114" s="42">
        <v>1740000</v>
      </c>
      <c r="E114" s="42" t="s">
        <v>88</v>
      </c>
      <c r="F114" s="42" t="s">
        <v>70</v>
      </c>
      <c r="G114" s="13">
        <v>42546.777025462965</v>
      </c>
    </row>
    <row r="115" spans="1:7" x14ac:dyDescent="0.25">
      <c r="A115" s="13">
        <v>42546.928055555552</v>
      </c>
      <c r="B115" s="42" t="s">
        <v>92</v>
      </c>
      <c r="C115" s="42" t="s">
        <v>391</v>
      </c>
      <c r="D115" s="42">
        <v>1740000</v>
      </c>
      <c r="E115" s="42" t="s">
        <v>88</v>
      </c>
      <c r="F115" s="42" t="s">
        <v>92</v>
      </c>
      <c r="G115" s="13">
        <v>42546.928055555552</v>
      </c>
    </row>
    <row r="116" spans="1:7" x14ac:dyDescent="0.25">
      <c r="A116" s="13">
        <v>42546.843321759261</v>
      </c>
      <c r="B116" s="42" t="s">
        <v>105</v>
      </c>
      <c r="C116" s="42" t="s">
        <v>449</v>
      </c>
      <c r="D116" s="42">
        <v>1180000</v>
      </c>
      <c r="E116" s="42" t="s">
        <v>494</v>
      </c>
      <c r="F116" s="42" t="s">
        <v>105</v>
      </c>
      <c r="G116" s="13">
        <v>42546.843321759261</v>
      </c>
    </row>
    <row r="117" spans="1:7" x14ac:dyDescent="0.25">
      <c r="A117" s="13">
        <v>42546.461296296293</v>
      </c>
      <c r="B117" s="42" t="s">
        <v>483</v>
      </c>
      <c r="C117" s="42" t="s">
        <v>316</v>
      </c>
      <c r="D117" s="42">
        <v>1260000</v>
      </c>
      <c r="E117" s="42" t="s">
        <v>490</v>
      </c>
      <c r="F117" s="42" t="s">
        <v>483</v>
      </c>
      <c r="G117" s="13">
        <v>42546.461296296293</v>
      </c>
    </row>
    <row r="118" spans="1:7" x14ac:dyDescent="0.25">
      <c r="A118" s="13">
        <v>42546.909016203703</v>
      </c>
      <c r="B118" s="42" t="s">
        <v>488</v>
      </c>
      <c r="C118" s="42" t="s">
        <v>460</v>
      </c>
      <c r="D118" s="42">
        <v>1770000</v>
      </c>
      <c r="E118" s="42" t="s">
        <v>171</v>
      </c>
      <c r="F118" s="42" t="s">
        <v>488</v>
      </c>
      <c r="G118" s="13">
        <v>42546.909016203703</v>
      </c>
    </row>
    <row r="119" spans="1:7" x14ac:dyDescent="0.25">
      <c r="A119" s="13">
        <v>42546.431458333333</v>
      </c>
      <c r="B119" s="42" t="s">
        <v>84</v>
      </c>
      <c r="C119" s="42" t="s">
        <v>317</v>
      </c>
      <c r="D119" s="42">
        <v>1100000</v>
      </c>
      <c r="E119" s="42" t="s">
        <v>492</v>
      </c>
      <c r="F119" s="42" t="s">
        <v>84</v>
      </c>
      <c r="G119" s="13">
        <v>42546.431458333333</v>
      </c>
    </row>
    <row r="120" spans="1:7" x14ac:dyDescent="0.25">
      <c r="A120" s="13">
        <v>42546.91741898148</v>
      </c>
      <c r="B120" s="42" t="s">
        <v>488</v>
      </c>
      <c r="C120" s="42" t="s">
        <v>460</v>
      </c>
      <c r="D120" s="42">
        <v>1770000</v>
      </c>
      <c r="E120" s="42" t="s">
        <v>171</v>
      </c>
      <c r="F120" s="42" t="s">
        <v>488</v>
      </c>
      <c r="G120" s="13">
        <v>42546.91741898148</v>
      </c>
    </row>
    <row r="121" spans="1:7" x14ac:dyDescent="0.25">
      <c r="A121" s="13">
        <v>42546.38140046296</v>
      </c>
      <c r="B121" s="42" t="s">
        <v>484</v>
      </c>
      <c r="C121" s="42" t="s">
        <v>300</v>
      </c>
      <c r="D121" s="42">
        <v>1480000</v>
      </c>
      <c r="E121" s="42" t="s">
        <v>227</v>
      </c>
      <c r="F121" s="42" t="s">
        <v>484</v>
      </c>
      <c r="G121" s="13">
        <v>42546.38140046296</v>
      </c>
    </row>
    <row r="122" spans="1:7" x14ac:dyDescent="0.25">
      <c r="A122" s="13">
        <v>42546.951354166667</v>
      </c>
      <c r="B122" s="58" t="s">
        <v>485</v>
      </c>
      <c r="C122" s="42" t="s">
        <v>462</v>
      </c>
      <c r="D122" s="42">
        <v>1770000</v>
      </c>
      <c r="E122" s="42" t="s">
        <v>171</v>
      </c>
      <c r="F122" s="58" t="s">
        <v>485</v>
      </c>
      <c r="G122" s="13">
        <v>42546.951354166667</v>
      </c>
    </row>
    <row r="123" spans="1:7" x14ac:dyDescent="0.25">
      <c r="A123" s="13">
        <v>42546.279224537036</v>
      </c>
      <c r="B123" s="42" t="s">
        <v>485</v>
      </c>
      <c r="C123" s="42" t="s">
        <v>263</v>
      </c>
      <c r="D123" s="42">
        <v>1830000</v>
      </c>
      <c r="E123" s="42" t="s">
        <v>166</v>
      </c>
      <c r="F123" s="42" t="s">
        <v>485</v>
      </c>
      <c r="G123" s="13">
        <v>42546.279224537036</v>
      </c>
    </row>
    <row r="124" spans="1:7" x14ac:dyDescent="0.25">
      <c r="A124" s="13">
        <v>42547.013043981482</v>
      </c>
      <c r="B124" s="42" t="s">
        <v>105</v>
      </c>
      <c r="C124" s="42" t="s">
        <v>470</v>
      </c>
      <c r="D124" s="42">
        <v>1180000</v>
      </c>
      <c r="E124" s="42" t="s">
        <v>494</v>
      </c>
      <c r="F124" s="42" t="s">
        <v>105</v>
      </c>
      <c r="G124" s="13">
        <v>42547.013043981482</v>
      </c>
    </row>
    <row r="125" spans="1:7" x14ac:dyDescent="0.25">
      <c r="A125" s="13">
        <v>42546.455520833333</v>
      </c>
      <c r="B125" s="42" t="s">
        <v>92</v>
      </c>
      <c r="C125" s="42" t="s">
        <v>367</v>
      </c>
      <c r="D125" s="42">
        <v>1500000</v>
      </c>
      <c r="E125" s="42" t="s">
        <v>93</v>
      </c>
      <c r="F125" s="42" t="s">
        <v>92</v>
      </c>
      <c r="G125" s="13">
        <v>42546.455520833333</v>
      </c>
    </row>
    <row r="126" spans="1:7" x14ac:dyDescent="0.25">
      <c r="A126" s="13">
        <v>42547.033090277779</v>
      </c>
      <c r="B126" s="42" t="s">
        <v>485</v>
      </c>
      <c r="C126" s="42" t="s">
        <v>474</v>
      </c>
      <c r="D126" s="42">
        <v>1770000</v>
      </c>
      <c r="E126" s="42" t="s">
        <v>171</v>
      </c>
      <c r="F126" s="42" t="s">
        <v>485</v>
      </c>
      <c r="G126" s="13">
        <v>42547.033090277779</v>
      </c>
    </row>
    <row r="127" spans="1:7" x14ac:dyDescent="0.25">
      <c r="A127" s="13">
        <v>42546.433703703704</v>
      </c>
      <c r="B127" s="42" t="s">
        <v>89</v>
      </c>
      <c r="C127" s="42" t="s">
        <v>307</v>
      </c>
      <c r="D127" s="42">
        <v>1360000</v>
      </c>
      <c r="E127" s="42" t="s">
        <v>495</v>
      </c>
      <c r="F127" s="42" t="s">
        <v>89</v>
      </c>
      <c r="G127" s="13">
        <v>42546.433703703704</v>
      </c>
    </row>
    <row r="128" spans="1:7" x14ac:dyDescent="0.25">
      <c r="A128" s="13">
        <v>42547.058113425926</v>
      </c>
      <c r="B128" s="42" t="s">
        <v>489</v>
      </c>
      <c r="C128" s="42" t="s">
        <v>476</v>
      </c>
      <c r="D128" s="42">
        <v>1800000</v>
      </c>
      <c r="E128" s="42" t="s">
        <v>231</v>
      </c>
      <c r="F128" s="42" t="s">
        <v>489</v>
      </c>
      <c r="G128" s="13">
        <v>42547.058113425926</v>
      </c>
    </row>
    <row r="129" spans="1:7" x14ac:dyDescent="0.25">
      <c r="A129" s="13">
        <v>42546.389560185184</v>
      </c>
      <c r="B129" s="42" t="s">
        <v>488</v>
      </c>
      <c r="C129" s="42" t="s">
        <v>302</v>
      </c>
      <c r="D129" s="42">
        <v>1830000</v>
      </c>
      <c r="E129" s="42" t="s">
        <v>166</v>
      </c>
      <c r="F129" s="42" t="s">
        <v>488</v>
      </c>
      <c r="G129" s="13">
        <v>42546.389560185184</v>
      </c>
    </row>
    <row r="130" spans="1:7" x14ac:dyDescent="0.25">
      <c r="A130" s="13">
        <v>42546.204745370371</v>
      </c>
      <c r="B130" s="42" t="s">
        <v>480</v>
      </c>
      <c r="C130" s="42" t="s">
        <v>242</v>
      </c>
      <c r="D130" s="42">
        <v>1830000</v>
      </c>
      <c r="E130" s="42" t="s">
        <v>166</v>
      </c>
      <c r="F130" s="42" t="s">
        <v>480</v>
      </c>
      <c r="G130" s="13">
        <v>42546.204745370371</v>
      </c>
    </row>
    <row r="131" spans="1:7" x14ac:dyDescent="0.25">
      <c r="A131" s="13">
        <v>42546.341736111113</v>
      </c>
      <c r="B131" s="42" t="s">
        <v>220</v>
      </c>
      <c r="C131" s="42" t="s">
        <v>287</v>
      </c>
      <c r="D131" s="42">
        <v>1310000</v>
      </c>
      <c r="E131" s="42" t="s">
        <v>170</v>
      </c>
      <c r="F131" s="42" t="s">
        <v>220</v>
      </c>
      <c r="G131" s="13">
        <v>42546.341736111113</v>
      </c>
    </row>
    <row r="132" spans="1:7" x14ac:dyDescent="0.25">
      <c r="A132" s="13">
        <v>42546.205555555556</v>
      </c>
      <c r="B132" s="42" t="s">
        <v>82</v>
      </c>
      <c r="C132" s="42" t="s">
        <v>250</v>
      </c>
      <c r="D132" s="42">
        <v>1100000</v>
      </c>
      <c r="E132" s="42" t="s">
        <v>492</v>
      </c>
      <c r="F132" s="42" t="s">
        <v>82</v>
      </c>
      <c r="G132" s="13">
        <v>42546.205555555556</v>
      </c>
    </row>
    <row r="133" spans="1:7" x14ac:dyDescent="0.25">
      <c r="A133" s="13">
        <v>42547.036203703705</v>
      </c>
      <c r="B133" s="42" t="s">
        <v>482</v>
      </c>
      <c r="C133" s="42" t="s">
        <v>477</v>
      </c>
      <c r="D133" s="42">
        <v>1820000</v>
      </c>
      <c r="E133" s="42" t="s">
        <v>146</v>
      </c>
      <c r="F133" s="42" t="s">
        <v>482</v>
      </c>
      <c r="G133" s="13">
        <v>42547.036203703705</v>
      </c>
    </row>
    <row r="134" spans="1:7" x14ac:dyDescent="0.25">
      <c r="A134" s="13">
        <v>42546.234050925923</v>
      </c>
      <c r="B134" s="42" t="s">
        <v>482</v>
      </c>
      <c r="C134" s="42" t="s">
        <v>258</v>
      </c>
      <c r="D134" s="42">
        <v>1480000</v>
      </c>
      <c r="E134" s="42" t="s">
        <v>227</v>
      </c>
      <c r="F134" s="42" t="s">
        <v>482</v>
      </c>
      <c r="G134" s="13">
        <v>42546.234050925923</v>
      </c>
    </row>
    <row r="135" spans="1:7" x14ac:dyDescent="0.25">
      <c r="A135" s="13">
        <v>42546.994456018518</v>
      </c>
      <c r="B135" s="42" t="s">
        <v>483</v>
      </c>
      <c r="C135" s="42" t="s">
        <v>467</v>
      </c>
      <c r="D135" s="42">
        <v>1820000</v>
      </c>
      <c r="E135" s="42" t="s">
        <v>146</v>
      </c>
      <c r="F135" s="42" t="s">
        <v>483</v>
      </c>
      <c r="G135" s="13">
        <v>42546.994456018518</v>
      </c>
    </row>
    <row r="136" spans="1:7" x14ac:dyDescent="0.25">
      <c r="A136" s="13">
        <v>42546.243784722225</v>
      </c>
      <c r="B136" s="42" t="s">
        <v>81</v>
      </c>
      <c r="C136" s="42" t="s">
        <v>252</v>
      </c>
      <c r="D136" s="42">
        <v>1100000</v>
      </c>
      <c r="E136" s="42" t="s">
        <v>492</v>
      </c>
      <c r="F136" s="42" t="s">
        <v>81</v>
      </c>
      <c r="G136" s="13">
        <v>42546.243784722225</v>
      </c>
    </row>
    <row r="137" spans="1:7" x14ac:dyDescent="0.25">
      <c r="A137" s="13">
        <v>42546.974386574075</v>
      </c>
      <c r="B137" s="42" t="s">
        <v>489</v>
      </c>
      <c r="C137" s="42" t="s">
        <v>465</v>
      </c>
      <c r="D137" s="42">
        <v>1800000</v>
      </c>
      <c r="E137" s="42" t="s">
        <v>231</v>
      </c>
      <c r="F137" s="42" t="s">
        <v>489</v>
      </c>
      <c r="G137" s="13">
        <v>42546.974386574075</v>
      </c>
    </row>
    <row r="138" spans="1:7" x14ac:dyDescent="0.25">
      <c r="A138" s="13">
        <v>42546.247418981482</v>
      </c>
      <c r="B138" s="42" t="s">
        <v>92</v>
      </c>
      <c r="C138" s="42" t="s">
        <v>355</v>
      </c>
      <c r="D138" s="42">
        <v>1500000</v>
      </c>
      <c r="E138" s="42" t="s">
        <v>93</v>
      </c>
      <c r="F138" s="42" t="s">
        <v>92</v>
      </c>
      <c r="G138" s="13">
        <v>42546.247418981482</v>
      </c>
    </row>
    <row r="139" spans="1:7" x14ac:dyDescent="0.25">
      <c r="A139" s="13">
        <v>42546.956331018519</v>
      </c>
      <c r="B139" s="42" t="s">
        <v>482</v>
      </c>
      <c r="C139" s="42" t="s">
        <v>466</v>
      </c>
      <c r="D139" s="42">
        <v>1820000</v>
      </c>
      <c r="E139" s="42" t="s">
        <v>146</v>
      </c>
      <c r="F139" s="42" t="s">
        <v>482</v>
      </c>
      <c r="G139" s="13">
        <v>42546.956331018519</v>
      </c>
    </row>
    <row r="140" spans="1:7" x14ac:dyDescent="0.25">
      <c r="A140" s="13">
        <v>42546.265081018515</v>
      </c>
      <c r="B140" s="42" t="s">
        <v>105</v>
      </c>
      <c r="C140" s="42" t="s">
        <v>257</v>
      </c>
      <c r="D140" s="42">
        <v>1460000</v>
      </c>
      <c r="E140" s="42" t="s">
        <v>169</v>
      </c>
      <c r="F140" s="42" t="s">
        <v>105</v>
      </c>
      <c r="G140" s="13">
        <v>42546.265081018515</v>
      </c>
    </row>
    <row r="141" spans="1:7" x14ac:dyDescent="0.25">
      <c r="A141" s="13">
        <v>42546.911539351851</v>
      </c>
      <c r="B141" s="42" t="s">
        <v>483</v>
      </c>
      <c r="C141" s="42" t="s">
        <v>455</v>
      </c>
      <c r="D141" s="42">
        <v>1820000</v>
      </c>
      <c r="E141" s="42" t="s">
        <v>146</v>
      </c>
      <c r="F141" s="42" t="s">
        <v>483</v>
      </c>
      <c r="G141" s="13">
        <v>42546.911539351851</v>
      </c>
    </row>
    <row r="142" spans="1:7" x14ac:dyDescent="0.25">
      <c r="A142" s="13">
        <v>42546.314398148148</v>
      </c>
      <c r="B142" s="42" t="s">
        <v>484</v>
      </c>
      <c r="C142" s="42" t="s">
        <v>276</v>
      </c>
      <c r="D142" s="42">
        <v>1480000</v>
      </c>
      <c r="E142" s="42" t="s">
        <v>227</v>
      </c>
      <c r="F142" s="42" t="s">
        <v>484</v>
      </c>
      <c r="G142" s="13">
        <v>42546.314398148148</v>
      </c>
    </row>
    <row r="143" spans="1:7" x14ac:dyDescent="0.25">
      <c r="A143" s="13">
        <v>42546.889467592591</v>
      </c>
      <c r="B143" s="42" t="s">
        <v>106</v>
      </c>
      <c r="C143" s="42" t="s">
        <v>456</v>
      </c>
      <c r="D143" s="42">
        <v>1180000</v>
      </c>
      <c r="E143" s="42" t="s">
        <v>494</v>
      </c>
      <c r="F143" s="42" t="s">
        <v>106</v>
      </c>
      <c r="G143" s="13">
        <v>42546.889467592591</v>
      </c>
    </row>
    <row r="144" spans="1:7" x14ac:dyDescent="0.25">
      <c r="A144" s="13">
        <v>42546.316689814812</v>
      </c>
      <c r="B144" s="42" t="s">
        <v>70</v>
      </c>
      <c r="C144" s="42" t="s">
        <v>358</v>
      </c>
      <c r="D144" s="42">
        <v>1500000</v>
      </c>
      <c r="E144" s="42" t="s">
        <v>93</v>
      </c>
      <c r="F144" s="42" t="s">
        <v>70</v>
      </c>
      <c r="G144" s="13">
        <v>42546.316689814812</v>
      </c>
    </row>
    <row r="145" spans="1:7" x14ac:dyDescent="0.25">
      <c r="A145" s="13">
        <v>42546.829456018517</v>
      </c>
      <c r="B145" s="42" t="s">
        <v>483</v>
      </c>
      <c r="C145" s="42" t="s">
        <v>447</v>
      </c>
      <c r="D145" s="42">
        <v>1820000</v>
      </c>
      <c r="E145" s="42" t="s">
        <v>146</v>
      </c>
      <c r="F145" s="42" t="s">
        <v>483</v>
      </c>
      <c r="G145" s="13">
        <v>42546.829456018517</v>
      </c>
    </row>
    <row r="146" spans="1:7" x14ac:dyDescent="0.25">
      <c r="A146" s="13">
        <v>42546.323020833333</v>
      </c>
      <c r="B146" s="42" t="s">
        <v>484</v>
      </c>
      <c r="C146" s="42" t="s">
        <v>276</v>
      </c>
      <c r="D146" s="42">
        <v>1480000</v>
      </c>
      <c r="E146" s="42" t="s">
        <v>227</v>
      </c>
      <c r="F146" s="42" t="s">
        <v>484</v>
      </c>
      <c r="G146" s="13">
        <v>42546.323020833333</v>
      </c>
    </row>
    <row r="147" spans="1:7" x14ac:dyDescent="0.25">
      <c r="A147" s="13">
        <v>42546.807326388887</v>
      </c>
      <c r="B147" s="42" t="s">
        <v>489</v>
      </c>
      <c r="C147" s="42" t="s">
        <v>445</v>
      </c>
      <c r="D147" s="42">
        <v>1800000</v>
      </c>
      <c r="E147" s="42" t="s">
        <v>231</v>
      </c>
      <c r="F147" s="42" t="s">
        <v>489</v>
      </c>
      <c r="G147" s="13">
        <v>42546.807326388887</v>
      </c>
    </row>
    <row r="148" spans="1:7" x14ac:dyDescent="0.25">
      <c r="A148" s="13">
        <v>42546.331550925926</v>
      </c>
      <c r="B148" s="42" t="s">
        <v>91</v>
      </c>
      <c r="C148" s="42" t="s">
        <v>283</v>
      </c>
      <c r="D148" s="42">
        <v>1360000</v>
      </c>
      <c r="E148" s="42" t="s">
        <v>495</v>
      </c>
      <c r="F148" s="42" t="s">
        <v>91</v>
      </c>
      <c r="G148" s="13">
        <v>42546.331550925926</v>
      </c>
    </row>
    <row r="149" spans="1:7" x14ac:dyDescent="0.25">
      <c r="A149" s="13">
        <v>42546.717499999999</v>
      </c>
      <c r="B149" s="42" t="s">
        <v>482</v>
      </c>
      <c r="C149" s="42" t="s">
        <v>427</v>
      </c>
      <c r="D149" s="42">
        <v>1260000</v>
      </c>
      <c r="E149" s="42" t="s">
        <v>490</v>
      </c>
      <c r="F149" s="42" t="s">
        <v>482</v>
      </c>
      <c r="G149" s="13">
        <v>42546.717499999999</v>
      </c>
    </row>
    <row r="150" spans="1:7" x14ac:dyDescent="0.25">
      <c r="A150" s="13">
        <v>42546.358611111114</v>
      </c>
      <c r="B150" s="42" t="s">
        <v>70</v>
      </c>
      <c r="C150" s="42" t="s">
        <v>360</v>
      </c>
      <c r="D150" s="42">
        <v>1500000</v>
      </c>
      <c r="E150" s="42" t="s">
        <v>93</v>
      </c>
      <c r="F150" s="42" t="s">
        <v>70</v>
      </c>
      <c r="G150" s="13">
        <v>42546.358611111114</v>
      </c>
    </row>
    <row r="151" spans="1:7" x14ac:dyDescent="0.25">
      <c r="A151" s="13">
        <v>42546.698009259257</v>
      </c>
      <c r="B151" s="42" t="s">
        <v>105</v>
      </c>
      <c r="C151" s="42" t="s">
        <v>413</v>
      </c>
      <c r="D151" s="42">
        <v>1520000</v>
      </c>
      <c r="E151" s="42" t="s">
        <v>164</v>
      </c>
      <c r="F151" s="42" t="s">
        <v>105</v>
      </c>
      <c r="G151" s="13">
        <v>42546.698009259257</v>
      </c>
    </row>
    <row r="152" spans="1:7" x14ac:dyDescent="0.25">
      <c r="A152" s="13">
        <v>42546.371134259258</v>
      </c>
      <c r="B152" s="42" t="s">
        <v>106</v>
      </c>
      <c r="C152" s="42" t="s">
        <v>297</v>
      </c>
      <c r="D152" s="42">
        <v>1460000</v>
      </c>
      <c r="E152" s="42" t="s">
        <v>169</v>
      </c>
      <c r="F152" s="42" t="s">
        <v>106</v>
      </c>
      <c r="G152" s="13">
        <v>42546.371134259258</v>
      </c>
    </row>
    <row r="153" spans="1:7" x14ac:dyDescent="0.25">
      <c r="A153" s="13">
        <v>42546.674560185187</v>
      </c>
      <c r="B153" s="42" t="s">
        <v>484</v>
      </c>
      <c r="C153" s="42" t="s">
        <v>414</v>
      </c>
      <c r="D153" s="42">
        <v>950000</v>
      </c>
      <c r="E153" s="42" t="s">
        <v>228</v>
      </c>
      <c r="F153" s="42" t="s">
        <v>484</v>
      </c>
      <c r="G153" s="13">
        <v>42546.674560185187</v>
      </c>
    </row>
    <row r="154" spans="1:7" x14ac:dyDescent="0.25">
      <c r="A154" s="13">
        <v>42546.410081018519</v>
      </c>
      <c r="B154" s="42" t="s">
        <v>105</v>
      </c>
      <c r="C154" s="42" t="s">
        <v>298</v>
      </c>
      <c r="D154" s="42">
        <v>1460000</v>
      </c>
      <c r="E154" s="42" t="s">
        <v>169</v>
      </c>
      <c r="F154" s="42" t="s">
        <v>105</v>
      </c>
      <c r="G154" s="13">
        <v>42546.410081018519</v>
      </c>
    </row>
    <row r="155" spans="1:7" x14ac:dyDescent="0.25">
      <c r="A155" s="13">
        <v>42546.649537037039</v>
      </c>
      <c r="B155" s="42" t="s">
        <v>485</v>
      </c>
      <c r="C155" s="42" t="s">
        <v>398</v>
      </c>
      <c r="D155" s="42">
        <v>1470000</v>
      </c>
      <c r="E155" s="42" t="s">
        <v>229</v>
      </c>
      <c r="F155" s="42" t="s">
        <v>485</v>
      </c>
      <c r="G155" s="13">
        <v>42546.649537037039</v>
      </c>
    </row>
    <row r="156" spans="1:7" x14ac:dyDescent="0.25">
      <c r="A156" s="13">
        <v>42546.441493055558</v>
      </c>
      <c r="B156" s="42" t="s">
        <v>70</v>
      </c>
      <c r="C156" s="42" t="s">
        <v>366</v>
      </c>
      <c r="D156" s="42">
        <v>1500000</v>
      </c>
      <c r="E156" s="42" t="s">
        <v>93</v>
      </c>
      <c r="F156" s="42" t="s">
        <v>70</v>
      </c>
      <c r="G156" s="13">
        <v>42546.441493055558</v>
      </c>
    </row>
    <row r="157" spans="1:7" x14ac:dyDescent="0.25">
      <c r="A157" s="13">
        <v>42546.636319444442</v>
      </c>
      <c r="B157" s="42" t="s">
        <v>92</v>
      </c>
      <c r="C157" s="42" t="s">
        <v>375</v>
      </c>
      <c r="D157" s="42">
        <v>1740000</v>
      </c>
      <c r="E157" s="42" t="s">
        <v>88</v>
      </c>
      <c r="F157" s="42" t="s">
        <v>92</v>
      </c>
      <c r="G157" s="13">
        <v>42546.636319444442</v>
      </c>
    </row>
    <row r="158" spans="1:7" x14ac:dyDescent="0.25">
      <c r="A158" s="13">
        <v>42546.476539351854</v>
      </c>
      <c r="B158" s="42" t="s">
        <v>91</v>
      </c>
      <c r="C158" s="42" t="s">
        <v>327</v>
      </c>
      <c r="D158" s="42">
        <v>1230000</v>
      </c>
      <c r="E158" s="42" t="s">
        <v>493</v>
      </c>
      <c r="F158" s="42" t="s">
        <v>91</v>
      </c>
      <c r="G158" s="13">
        <v>42546.476539351854</v>
      </c>
    </row>
    <row r="159" spans="1:7" x14ac:dyDescent="0.25">
      <c r="A159" s="13">
        <v>42546.621562499997</v>
      </c>
      <c r="B159" s="42" t="s">
        <v>91</v>
      </c>
      <c r="C159" s="42" t="s">
        <v>400</v>
      </c>
      <c r="D159" s="42">
        <v>1230000</v>
      </c>
      <c r="E159" s="42" t="s">
        <v>493</v>
      </c>
      <c r="F159" s="42" t="s">
        <v>91</v>
      </c>
      <c r="G159" s="13">
        <v>42546.621562499997</v>
      </c>
    </row>
    <row r="160" spans="1:7" x14ac:dyDescent="0.25">
      <c r="A160" s="13">
        <v>42546.484803240739</v>
      </c>
      <c r="B160" s="42" t="s">
        <v>70</v>
      </c>
      <c r="C160" s="42" t="s">
        <v>368</v>
      </c>
      <c r="D160" s="42">
        <v>1500000</v>
      </c>
      <c r="E160" s="42" t="s">
        <v>93</v>
      </c>
      <c r="F160" s="42" t="s">
        <v>70</v>
      </c>
      <c r="G160" s="13">
        <v>42546.484803240739</v>
      </c>
    </row>
    <row r="161" spans="1:7" x14ac:dyDescent="0.25">
      <c r="A161" s="13">
        <v>42546.611805555556</v>
      </c>
      <c r="B161" s="42" t="s">
        <v>488</v>
      </c>
      <c r="C161" s="42" t="s">
        <v>397</v>
      </c>
      <c r="D161" s="42">
        <v>1470000</v>
      </c>
      <c r="E161" s="42" t="s">
        <v>229</v>
      </c>
      <c r="F161" s="42" t="s">
        <v>488</v>
      </c>
      <c r="G161" s="13">
        <v>42546.611805555556</v>
      </c>
    </row>
    <row r="162" spans="1:7" x14ac:dyDescent="0.25">
      <c r="A162" s="13">
        <v>42546.493310185186</v>
      </c>
      <c r="B162" s="42" t="s">
        <v>480</v>
      </c>
      <c r="C162" s="42" t="s">
        <v>324</v>
      </c>
      <c r="D162" s="42">
        <v>1460000</v>
      </c>
      <c r="E162" s="42" t="s">
        <v>169</v>
      </c>
      <c r="F162" s="42" t="s">
        <v>480</v>
      </c>
      <c r="G162" s="13">
        <v>42546.493310185186</v>
      </c>
    </row>
    <row r="163" spans="1:7" x14ac:dyDescent="0.25">
      <c r="A163" s="13">
        <v>42546.610729166663</v>
      </c>
      <c r="B163" s="42" t="s">
        <v>488</v>
      </c>
      <c r="C163" s="42" t="s">
        <v>397</v>
      </c>
      <c r="D163" s="42">
        <v>1470000</v>
      </c>
      <c r="E163" s="42" t="s">
        <v>229</v>
      </c>
      <c r="F163" s="42" t="s">
        <v>488</v>
      </c>
      <c r="G163" s="13">
        <v>42546.610729166663</v>
      </c>
    </row>
    <row r="164" spans="1:7" x14ac:dyDescent="0.25">
      <c r="A164" s="13">
        <v>42546.496898148151</v>
      </c>
      <c r="B164" s="42" t="s">
        <v>482</v>
      </c>
      <c r="C164" s="42" t="s">
        <v>334</v>
      </c>
      <c r="D164" s="42">
        <v>1260000</v>
      </c>
      <c r="E164" s="42" t="s">
        <v>490</v>
      </c>
      <c r="F164" s="42" t="s">
        <v>482</v>
      </c>
      <c r="G164" s="13">
        <v>42546.496898148151</v>
      </c>
    </row>
    <row r="165" spans="1:7" x14ac:dyDescent="0.25">
      <c r="A165" s="13">
        <v>42546.566863425927</v>
      </c>
      <c r="B165" s="42" t="s">
        <v>70</v>
      </c>
      <c r="C165" s="42" t="s">
        <v>372</v>
      </c>
      <c r="D165" s="42">
        <v>1500000</v>
      </c>
      <c r="E165" s="42" t="s">
        <v>93</v>
      </c>
      <c r="F165" s="42" t="s">
        <v>70</v>
      </c>
      <c r="G165" s="13">
        <v>42546.566863425927</v>
      </c>
    </row>
    <row r="166" spans="1:7" x14ac:dyDescent="0.25">
      <c r="A166" s="13">
        <v>42546.49790509259</v>
      </c>
      <c r="B166" s="42" t="s">
        <v>92</v>
      </c>
      <c r="C166" s="42" t="s">
        <v>369</v>
      </c>
      <c r="D166" s="42">
        <v>1500000</v>
      </c>
      <c r="E166" s="42" t="s">
        <v>93</v>
      </c>
      <c r="F166" s="42" t="s">
        <v>92</v>
      </c>
      <c r="G166" s="13">
        <v>42546.49790509259</v>
      </c>
    </row>
    <row r="167" spans="1:7" x14ac:dyDescent="0.25">
      <c r="A167" s="13">
        <v>42546.560856481483</v>
      </c>
      <c r="B167" s="42" t="s">
        <v>220</v>
      </c>
      <c r="C167" s="42" t="s">
        <v>351</v>
      </c>
      <c r="D167" s="42">
        <v>1120000</v>
      </c>
      <c r="E167" s="42" t="s">
        <v>230</v>
      </c>
      <c r="F167" s="42" t="s">
        <v>220</v>
      </c>
      <c r="G167" s="13">
        <v>42546.560856481483</v>
      </c>
    </row>
    <row r="168" spans="1:7" x14ac:dyDescent="0.25">
      <c r="A168" s="13">
        <v>42546.549305555556</v>
      </c>
      <c r="B168" s="42" t="s">
        <v>91</v>
      </c>
      <c r="C168" s="42" t="s">
        <v>347</v>
      </c>
      <c r="D168" s="42">
        <v>1230000</v>
      </c>
      <c r="E168" s="42" t="s">
        <v>493</v>
      </c>
      <c r="F168" s="42" t="s">
        <v>91</v>
      </c>
      <c r="G168" s="13">
        <v>42546.549305555556</v>
      </c>
    </row>
    <row r="169" spans="1:7" x14ac:dyDescent="0.25">
      <c r="A169" s="13">
        <v>42546.539502314816</v>
      </c>
      <c r="B169" s="42" t="s">
        <v>488</v>
      </c>
      <c r="C169" s="42" t="s">
        <v>345</v>
      </c>
      <c r="D169" s="42">
        <v>1470000</v>
      </c>
      <c r="E169" s="42" t="s">
        <v>229</v>
      </c>
      <c r="F169" s="42" t="s">
        <v>488</v>
      </c>
      <c r="G169" s="13">
        <v>42546.539502314816</v>
      </c>
    </row>
    <row r="170" spans="1:7" x14ac:dyDescent="0.25">
      <c r="A170" s="13">
        <v>42546.770324074074</v>
      </c>
      <c r="B170" s="42" t="s">
        <v>105</v>
      </c>
      <c r="C170" s="42" t="s">
        <v>436</v>
      </c>
      <c r="D170" s="42">
        <v>1180000</v>
      </c>
      <c r="E170" s="42" t="s">
        <v>494</v>
      </c>
      <c r="F170" s="42" t="s">
        <v>105</v>
      </c>
      <c r="G170" s="13">
        <v>42546.770324074074</v>
      </c>
    </row>
    <row r="171" spans="1:7" x14ac:dyDescent="0.25">
      <c r="A171" s="13">
        <v>42546.535150462965</v>
      </c>
      <c r="B171" s="42" t="s">
        <v>483</v>
      </c>
      <c r="C171" s="42" t="s">
        <v>335</v>
      </c>
      <c r="D171" s="42">
        <v>1260000</v>
      </c>
      <c r="E171" s="42" t="s">
        <v>490</v>
      </c>
      <c r="F171" s="42" t="s">
        <v>483</v>
      </c>
      <c r="G171" s="13">
        <v>42546.535150462965</v>
      </c>
    </row>
    <row r="172" spans="1:7" x14ac:dyDescent="0.25">
      <c r="A172" s="13">
        <v>42546.528298611112</v>
      </c>
      <c r="B172" s="42" t="s">
        <v>484</v>
      </c>
      <c r="C172" s="42" t="s">
        <v>343</v>
      </c>
      <c r="D172" s="42">
        <v>950000</v>
      </c>
      <c r="E172" s="42" t="s">
        <v>228</v>
      </c>
      <c r="F172" s="42" t="s">
        <v>484</v>
      </c>
      <c r="G172" s="13">
        <v>42546.528298611112</v>
      </c>
    </row>
    <row r="173" spans="1:7" x14ac:dyDescent="0.25">
      <c r="A173" s="13">
        <v>42546.526967592596</v>
      </c>
      <c r="B173" s="42" t="s">
        <v>221</v>
      </c>
      <c r="C173" s="42" t="s">
        <v>332</v>
      </c>
      <c r="D173" s="42">
        <v>1120000</v>
      </c>
      <c r="E173" s="42" t="s">
        <v>230</v>
      </c>
      <c r="F173" s="42" t="s">
        <v>221</v>
      </c>
      <c r="G173" s="13">
        <v>42546.526967592596</v>
      </c>
    </row>
    <row r="174" spans="1:7" x14ac:dyDescent="0.25">
      <c r="A174" s="13">
        <v>42546.56287037037</v>
      </c>
      <c r="B174" s="42" t="s">
        <v>480</v>
      </c>
      <c r="C174" s="42" t="s">
        <v>344</v>
      </c>
      <c r="D174" s="42">
        <v>950000</v>
      </c>
      <c r="E174" s="42" t="s">
        <v>228</v>
      </c>
      <c r="F174" s="42" t="s">
        <v>480</v>
      </c>
      <c r="G174" s="13">
        <v>42546.56287037037</v>
      </c>
    </row>
    <row r="175" spans="1:7" x14ac:dyDescent="0.25">
      <c r="A175" s="13">
        <v>42546.513726851852</v>
      </c>
      <c r="B175" s="42" t="s">
        <v>89</v>
      </c>
      <c r="C175" s="42" t="s">
        <v>329</v>
      </c>
      <c r="D175" s="42">
        <v>1230000</v>
      </c>
      <c r="E175" s="42" t="s">
        <v>493</v>
      </c>
      <c r="F175" s="42" t="s">
        <v>89</v>
      </c>
      <c r="G175" s="13">
        <v>42546.513726851852</v>
      </c>
    </row>
    <row r="176" spans="1:7" x14ac:dyDescent="0.25">
      <c r="A176" s="13">
        <v>42546.591296296298</v>
      </c>
      <c r="B176" s="42" t="s">
        <v>92</v>
      </c>
      <c r="C176" s="42" t="s">
        <v>373</v>
      </c>
      <c r="D176" s="42">
        <v>1740000</v>
      </c>
      <c r="E176" s="42" t="s">
        <v>88</v>
      </c>
      <c r="F176" s="42" t="s">
        <v>92</v>
      </c>
      <c r="G176" s="13">
        <v>42546.591296296298</v>
      </c>
    </row>
    <row r="177" spans="1:7" x14ac:dyDescent="0.25">
      <c r="A177" s="13">
        <v>42546.50309027778</v>
      </c>
      <c r="B177" s="42" t="s">
        <v>485</v>
      </c>
      <c r="C177" s="42" t="s">
        <v>326</v>
      </c>
      <c r="D177" s="42">
        <v>1470000</v>
      </c>
      <c r="E177" s="42" t="s">
        <v>229</v>
      </c>
      <c r="F177" s="42" t="s">
        <v>485</v>
      </c>
      <c r="G177" s="13">
        <v>42546.50309027778</v>
      </c>
    </row>
    <row r="178" spans="1:7" x14ac:dyDescent="0.25">
      <c r="A178" s="13">
        <v>42546.641250000001</v>
      </c>
      <c r="B178" s="42" t="s">
        <v>480</v>
      </c>
      <c r="C178" s="42" t="s">
        <v>396</v>
      </c>
      <c r="D178" s="42">
        <v>950000</v>
      </c>
      <c r="E178" s="42" t="s">
        <v>228</v>
      </c>
      <c r="F178" s="42" t="s">
        <v>480</v>
      </c>
      <c r="G178" s="13">
        <v>42546.641250000001</v>
      </c>
    </row>
    <row r="179" spans="1:7" x14ac:dyDescent="0.25">
      <c r="A179" s="13">
        <v>42546.476527777777</v>
      </c>
      <c r="B179" s="42" t="s">
        <v>85</v>
      </c>
      <c r="C179" s="42" t="s">
        <v>319</v>
      </c>
      <c r="D179" s="42">
        <v>1100000</v>
      </c>
      <c r="E179" s="42" t="s">
        <v>492</v>
      </c>
      <c r="F179" s="42" t="s">
        <v>85</v>
      </c>
      <c r="G179" s="13">
        <v>42546.476527777777</v>
      </c>
    </row>
    <row r="180" spans="1:7" x14ac:dyDescent="0.25">
      <c r="A180" s="13">
        <v>42546.942256944443</v>
      </c>
      <c r="B180" s="42" t="s">
        <v>70</v>
      </c>
      <c r="C180" s="42" t="s">
        <v>399</v>
      </c>
      <c r="D180" s="42">
        <v>1740000</v>
      </c>
      <c r="E180" s="42" t="s">
        <v>88</v>
      </c>
      <c r="F180" s="42" t="s">
        <v>70</v>
      </c>
      <c r="G180" s="13">
        <v>42546.942256944443</v>
      </c>
    </row>
    <row r="181" spans="1:7" x14ac:dyDescent="0.25">
      <c r="A181" s="13">
        <v>42546.464571759258</v>
      </c>
      <c r="B181" s="42" t="s">
        <v>488</v>
      </c>
      <c r="C181" s="42" t="s">
        <v>325</v>
      </c>
      <c r="D181" s="42">
        <v>1470000</v>
      </c>
      <c r="E181" s="42" t="s">
        <v>229</v>
      </c>
      <c r="F181" s="42" t="s">
        <v>488</v>
      </c>
      <c r="G181" s="13">
        <v>42546.464571759258</v>
      </c>
    </row>
    <row r="182" spans="1:7" x14ac:dyDescent="0.25">
      <c r="A182" s="13">
        <v>42546.526076388887</v>
      </c>
      <c r="B182" s="42" t="s">
        <v>70</v>
      </c>
      <c r="C182" s="42" t="s">
        <v>370</v>
      </c>
      <c r="D182" s="42">
        <v>1500000</v>
      </c>
      <c r="E182" s="42" t="s">
        <v>93</v>
      </c>
      <c r="F182" s="42" t="s">
        <v>70</v>
      </c>
      <c r="G182" s="13">
        <v>42546.526076388887</v>
      </c>
    </row>
    <row r="183" spans="1:7" x14ac:dyDescent="0.25">
      <c r="A183" s="13">
        <v>42546.465798611112</v>
      </c>
      <c r="B183" s="42" t="s">
        <v>488</v>
      </c>
      <c r="C183" s="42" t="s">
        <v>325</v>
      </c>
      <c r="D183" s="42">
        <v>1470000</v>
      </c>
      <c r="E183" s="42" t="s">
        <v>229</v>
      </c>
      <c r="F183" s="42" t="s">
        <v>488</v>
      </c>
      <c r="G183" s="13">
        <v>42546.465798611112</v>
      </c>
    </row>
    <row r="184" spans="1:7" x14ac:dyDescent="0.25">
      <c r="A184" s="13">
        <v>42546.600219907406</v>
      </c>
      <c r="B184" s="42" t="s">
        <v>221</v>
      </c>
      <c r="C184" s="42" t="s">
        <v>352</v>
      </c>
      <c r="D184" s="42">
        <v>1120000</v>
      </c>
      <c r="E184" s="42" t="s">
        <v>230</v>
      </c>
      <c r="F184" s="42" t="s">
        <v>221</v>
      </c>
      <c r="G184" s="13">
        <v>42546.600219907406</v>
      </c>
    </row>
    <row r="185" spans="1:7" x14ac:dyDescent="0.25">
      <c r="A185" s="13">
        <v>42546.41810185185</v>
      </c>
      <c r="B185" s="42" t="s">
        <v>480</v>
      </c>
      <c r="C185" s="42" t="s">
        <v>301</v>
      </c>
      <c r="D185" s="42">
        <v>1480000</v>
      </c>
      <c r="E185" s="42" t="s">
        <v>227</v>
      </c>
      <c r="F185" s="42" t="s">
        <v>480</v>
      </c>
      <c r="G185" s="13">
        <v>42546.41810185185</v>
      </c>
    </row>
    <row r="186" spans="1:7" x14ac:dyDescent="0.25">
      <c r="A186" s="13">
        <v>42546.680266203701</v>
      </c>
      <c r="B186" s="42" t="s">
        <v>483</v>
      </c>
      <c r="C186" s="42" t="s">
        <v>408</v>
      </c>
      <c r="D186" s="42">
        <v>1260000</v>
      </c>
      <c r="E186" s="42" t="s">
        <v>490</v>
      </c>
      <c r="F186" s="42" t="s">
        <v>483</v>
      </c>
      <c r="G186" s="13">
        <v>42546.680266203701</v>
      </c>
    </row>
    <row r="187" spans="1:7" x14ac:dyDescent="0.25">
      <c r="A187" s="13">
        <v>42546.416678240741</v>
      </c>
      <c r="B187" s="42" t="s">
        <v>480</v>
      </c>
      <c r="C187" s="42" t="s">
        <v>301</v>
      </c>
      <c r="D187" s="42">
        <v>1480000</v>
      </c>
      <c r="E187" s="42" t="s">
        <v>227</v>
      </c>
      <c r="F187" s="42" t="s">
        <v>480</v>
      </c>
      <c r="G187" s="13">
        <v>42546.416678240741</v>
      </c>
    </row>
    <row r="188" spans="1:7" x14ac:dyDescent="0.25">
      <c r="A188" s="13">
        <v>42546.682534722226</v>
      </c>
      <c r="B188" s="42" t="s">
        <v>488</v>
      </c>
      <c r="C188" s="42" t="s">
        <v>417</v>
      </c>
      <c r="D188" s="42">
        <v>1470000</v>
      </c>
      <c r="E188" s="42" t="s">
        <v>229</v>
      </c>
      <c r="F188" s="42" t="s">
        <v>488</v>
      </c>
      <c r="G188" s="13">
        <v>42546.682534722226</v>
      </c>
    </row>
    <row r="189" spans="1:7" x14ac:dyDescent="0.25">
      <c r="A189" s="13">
        <v>42546.403634259259</v>
      </c>
      <c r="B189" s="42" t="s">
        <v>91</v>
      </c>
      <c r="C189" s="42" t="s">
        <v>305</v>
      </c>
      <c r="D189" s="42">
        <v>1360000</v>
      </c>
      <c r="E189" s="42" t="s">
        <v>495</v>
      </c>
      <c r="F189" s="42" t="s">
        <v>91</v>
      </c>
      <c r="G189" s="13">
        <v>42546.403634259259</v>
      </c>
    </row>
    <row r="190" spans="1:7" x14ac:dyDescent="0.25">
      <c r="A190" s="13">
        <v>42546.777997685182</v>
      </c>
      <c r="B190" s="42" t="s">
        <v>105</v>
      </c>
      <c r="C190" s="42" t="s">
        <v>436</v>
      </c>
      <c r="D190" s="42">
        <v>1180000</v>
      </c>
      <c r="E190" s="42" t="s">
        <v>494</v>
      </c>
      <c r="F190" s="42" t="s">
        <v>105</v>
      </c>
      <c r="G190" s="13">
        <v>42546.777997685182</v>
      </c>
    </row>
    <row r="191" spans="1:7" x14ac:dyDescent="0.25">
      <c r="A191" s="13">
        <v>42546.388680555552</v>
      </c>
      <c r="B191" s="42" t="s">
        <v>81</v>
      </c>
      <c r="C191" s="42" t="s">
        <v>292</v>
      </c>
      <c r="D191" s="42">
        <v>1100000</v>
      </c>
      <c r="E191" s="42" t="s">
        <v>492</v>
      </c>
      <c r="F191" s="42" t="s">
        <v>81</v>
      </c>
      <c r="G191" s="13">
        <v>42546.388680555552</v>
      </c>
    </row>
    <row r="192" spans="1:7" x14ac:dyDescent="0.25">
      <c r="A192" s="13">
        <v>42546.929560185185</v>
      </c>
      <c r="B192" s="42" t="s">
        <v>105</v>
      </c>
      <c r="C192" s="42" t="s">
        <v>457</v>
      </c>
      <c r="D192" s="42">
        <v>1180000</v>
      </c>
      <c r="E192" s="42" t="s">
        <v>494</v>
      </c>
      <c r="F192" s="42" t="s">
        <v>105</v>
      </c>
      <c r="G192" s="13">
        <v>42546.929560185185</v>
      </c>
    </row>
    <row r="193" spans="1:7" x14ac:dyDescent="0.25">
      <c r="A193" s="13">
        <v>42546.373668981483</v>
      </c>
      <c r="B193" s="42" t="s">
        <v>92</v>
      </c>
      <c r="C193" s="42" t="s">
        <v>361</v>
      </c>
      <c r="D193" s="42">
        <v>1500000</v>
      </c>
      <c r="E193" s="42" t="s">
        <v>93</v>
      </c>
      <c r="F193" s="42" t="s">
        <v>92</v>
      </c>
      <c r="G193" s="13">
        <v>42546.373668981483</v>
      </c>
    </row>
    <row r="194" spans="1:7" x14ac:dyDescent="0.25">
      <c r="A194" s="13">
        <v>42546.538564814815</v>
      </c>
      <c r="B194" s="42" t="s">
        <v>488</v>
      </c>
      <c r="C194" s="42" t="s">
        <v>345</v>
      </c>
      <c r="D194" s="42">
        <v>1470000</v>
      </c>
      <c r="E194" s="42" t="s">
        <v>229</v>
      </c>
      <c r="F194" s="42" t="s">
        <v>488</v>
      </c>
      <c r="G194" s="13">
        <v>42546.538564814815</v>
      </c>
    </row>
    <row r="195" spans="1:7" x14ac:dyDescent="0.25">
      <c r="A195" s="13">
        <v>42546.31659722222</v>
      </c>
      <c r="B195" s="42" t="s">
        <v>488</v>
      </c>
      <c r="C195" s="42" t="s">
        <v>279</v>
      </c>
      <c r="D195" s="42">
        <v>1830000</v>
      </c>
      <c r="E195" s="42" t="s">
        <v>166</v>
      </c>
      <c r="F195" s="42" t="s">
        <v>488</v>
      </c>
      <c r="G195" s="13">
        <v>42546.31659722222</v>
      </c>
    </row>
    <row r="196" spans="1:7" x14ac:dyDescent="0.25">
      <c r="A196" s="13">
        <v>42546.571111111109</v>
      </c>
      <c r="B196" s="42" t="s">
        <v>482</v>
      </c>
      <c r="C196" s="42" t="s">
        <v>364</v>
      </c>
      <c r="D196" s="42">
        <v>1260000</v>
      </c>
      <c r="E196" s="42" t="s">
        <v>490</v>
      </c>
      <c r="F196" s="42" t="s">
        <v>482</v>
      </c>
      <c r="G196" s="13">
        <v>42546.571111111109</v>
      </c>
    </row>
    <row r="197" spans="1:7" x14ac:dyDescent="0.25">
      <c r="A197" s="13">
        <v>42546.307847222219</v>
      </c>
      <c r="B197" s="42" t="s">
        <v>221</v>
      </c>
      <c r="C197" s="42" t="s">
        <v>267</v>
      </c>
      <c r="D197" s="42">
        <v>1310000</v>
      </c>
      <c r="E197" s="42" t="s">
        <v>170</v>
      </c>
      <c r="F197" s="42" t="s">
        <v>221</v>
      </c>
      <c r="G197" s="13">
        <v>42546.307847222219</v>
      </c>
    </row>
    <row r="198" spans="1:7" x14ac:dyDescent="0.25">
      <c r="A198" s="13">
        <v>42546.621041666665</v>
      </c>
      <c r="B198" s="42" t="s">
        <v>85</v>
      </c>
      <c r="C198" s="42" t="s">
        <v>392</v>
      </c>
      <c r="D198" s="42">
        <v>880000</v>
      </c>
      <c r="E198" s="42" t="s">
        <v>165</v>
      </c>
      <c r="F198" s="42" t="s">
        <v>85</v>
      </c>
      <c r="G198" s="13">
        <v>42546.621041666665</v>
      </c>
    </row>
    <row r="199" spans="1:7" x14ac:dyDescent="0.25">
      <c r="A199" s="13">
        <v>42546.216145833336</v>
      </c>
      <c r="B199" s="42" t="s">
        <v>89</v>
      </c>
      <c r="C199" s="42" t="s">
        <v>246</v>
      </c>
      <c r="D199" s="42">
        <v>1360000</v>
      </c>
      <c r="E199" s="42" t="s">
        <v>495</v>
      </c>
      <c r="F199" s="42" t="s">
        <v>89</v>
      </c>
      <c r="G199" s="13">
        <v>42546.216145833336</v>
      </c>
    </row>
    <row r="200" spans="1:7" x14ac:dyDescent="0.25">
      <c r="A200" s="13">
        <v>42546.692997685182</v>
      </c>
      <c r="B200" s="42" t="s">
        <v>70</v>
      </c>
      <c r="C200" s="42" t="s">
        <v>379</v>
      </c>
      <c r="D200" s="42">
        <v>1740000</v>
      </c>
      <c r="E200" s="42" t="s">
        <v>88</v>
      </c>
      <c r="F200" s="42" t="s">
        <v>70</v>
      </c>
      <c r="G200" s="13">
        <v>42546.692997685182</v>
      </c>
    </row>
    <row r="201" spans="1:7" x14ac:dyDescent="0.25">
      <c r="A201" s="13">
        <v>42546.191666666666</v>
      </c>
      <c r="B201" s="42" t="s">
        <v>483</v>
      </c>
      <c r="C201" s="42" t="s">
        <v>239</v>
      </c>
      <c r="D201" s="42">
        <v>1480000</v>
      </c>
      <c r="E201" s="42" t="s">
        <v>227</v>
      </c>
      <c r="F201" s="42" t="s">
        <v>483</v>
      </c>
      <c r="G201" s="13">
        <v>42546.191666666666</v>
      </c>
    </row>
    <row r="202" spans="1:7" x14ac:dyDescent="0.25">
      <c r="A202" s="59">
        <v>42546.721319444441</v>
      </c>
      <c r="B202" s="42" t="s">
        <v>485</v>
      </c>
      <c r="C202" s="42" t="s">
        <v>419</v>
      </c>
      <c r="D202" s="42">
        <v>1470000</v>
      </c>
      <c r="E202" s="42" t="s">
        <v>229</v>
      </c>
      <c r="F202" s="42" t="s">
        <v>485</v>
      </c>
      <c r="G202" s="59">
        <v>42546.721319444441</v>
      </c>
    </row>
    <row r="203" spans="1:7" x14ac:dyDescent="0.25">
      <c r="A203" s="13">
        <v>42546.360879629632</v>
      </c>
      <c r="B203" s="42" t="s">
        <v>481</v>
      </c>
      <c r="C203" s="42" t="s">
        <v>294</v>
      </c>
      <c r="D203" s="42">
        <v>1840000</v>
      </c>
      <c r="E203" s="42" t="s">
        <v>168</v>
      </c>
      <c r="F203" s="42" t="s">
        <v>481</v>
      </c>
      <c r="G203" s="13">
        <v>42546.360879629632</v>
      </c>
    </row>
    <row r="204" spans="1:7" x14ac:dyDescent="0.25">
      <c r="A204" s="13">
        <v>42546.751030092593</v>
      </c>
      <c r="B204" s="42" t="s">
        <v>483</v>
      </c>
      <c r="C204" s="42" t="s">
        <v>429</v>
      </c>
      <c r="D204" s="42">
        <v>1260000</v>
      </c>
      <c r="E204" s="42" t="s">
        <v>490</v>
      </c>
      <c r="F204" s="42" t="s">
        <v>483</v>
      </c>
      <c r="G204" s="13">
        <v>42546.751030092593</v>
      </c>
    </row>
    <row r="205" spans="1:7" x14ac:dyDescent="0.25">
      <c r="A205" s="13">
        <v>42546.350370370368</v>
      </c>
      <c r="B205" s="42" t="s">
        <v>82</v>
      </c>
      <c r="C205" s="42" t="s">
        <v>290</v>
      </c>
      <c r="D205" s="42">
        <v>540000</v>
      </c>
      <c r="E205" s="42" t="s">
        <v>225</v>
      </c>
      <c r="F205" s="42" t="s">
        <v>82</v>
      </c>
      <c r="G205" s="13">
        <v>42546.350370370368</v>
      </c>
    </row>
    <row r="206" spans="1:7" x14ac:dyDescent="0.25">
      <c r="A206" s="13">
        <v>42546.728391203702</v>
      </c>
      <c r="B206" s="42" t="s">
        <v>84</v>
      </c>
      <c r="C206" s="42" t="s">
        <v>430</v>
      </c>
      <c r="D206" s="42">
        <v>880000</v>
      </c>
      <c r="E206" s="42" t="s">
        <v>165</v>
      </c>
      <c r="F206" s="42" t="s">
        <v>84</v>
      </c>
      <c r="G206" s="13">
        <v>42546.728391203702</v>
      </c>
    </row>
    <row r="207" spans="1:7" x14ac:dyDescent="0.25">
      <c r="A207" s="13">
        <v>42546.331967592596</v>
      </c>
      <c r="B207" s="42" t="s">
        <v>92</v>
      </c>
      <c r="C207" s="42" t="s">
        <v>359</v>
      </c>
      <c r="D207" s="42">
        <v>1500000</v>
      </c>
      <c r="E207" s="42" t="s">
        <v>93</v>
      </c>
      <c r="F207" s="42" t="s">
        <v>92</v>
      </c>
      <c r="G207" s="13">
        <v>42546.331967592596</v>
      </c>
    </row>
    <row r="208" spans="1:7" x14ac:dyDescent="0.25">
      <c r="A208" s="13">
        <v>42546.758229166669</v>
      </c>
      <c r="B208" s="42" t="s">
        <v>488</v>
      </c>
      <c r="C208" s="42" t="s">
        <v>442</v>
      </c>
      <c r="D208" s="42">
        <v>1770000</v>
      </c>
      <c r="E208" s="42" t="s">
        <v>171</v>
      </c>
      <c r="F208" s="42" t="s">
        <v>488</v>
      </c>
      <c r="G208" s="13">
        <v>42546.758229166669</v>
      </c>
    </row>
    <row r="209" spans="1:7" x14ac:dyDescent="0.25">
      <c r="A209" s="13">
        <v>42546.276516203703</v>
      </c>
      <c r="B209" s="42" t="s">
        <v>82</v>
      </c>
      <c r="C209" s="42" t="s">
        <v>268</v>
      </c>
      <c r="D209" s="42">
        <v>1100000</v>
      </c>
      <c r="E209" s="42" t="s">
        <v>492</v>
      </c>
      <c r="F209" s="42" t="s">
        <v>82</v>
      </c>
      <c r="G209" s="13">
        <v>42546.276516203703</v>
      </c>
    </row>
    <row r="210" spans="1:7" x14ac:dyDescent="0.25">
      <c r="A210" s="13">
        <v>42546.790150462963</v>
      </c>
      <c r="B210" s="42" t="s">
        <v>482</v>
      </c>
      <c r="C210" s="42" t="s">
        <v>446</v>
      </c>
      <c r="D210" s="42">
        <v>1820000</v>
      </c>
      <c r="E210" s="42" t="s">
        <v>146</v>
      </c>
      <c r="F210" s="42" t="s">
        <v>482</v>
      </c>
      <c r="G210" s="13">
        <v>42546.790150462963</v>
      </c>
    </row>
    <row r="211" spans="1:7" x14ac:dyDescent="0.25">
      <c r="A211" s="13">
        <v>42546.196423611109</v>
      </c>
      <c r="B211" s="42" t="s">
        <v>220</v>
      </c>
      <c r="C211" s="42" t="s">
        <v>247</v>
      </c>
      <c r="D211" s="42">
        <v>1310000</v>
      </c>
      <c r="E211" s="42" t="s">
        <v>170</v>
      </c>
      <c r="F211" s="42" t="s">
        <v>220</v>
      </c>
      <c r="G211" s="13">
        <v>42546.196423611109</v>
      </c>
    </row>
    <row r="212" spans="1:7" x14ac:dyDescent="0.25">
      <c r="A212" s="13">
        <v>42546.903194444443</v>
      </c>
      <c r="B212" s="42" t="s">
        <v>70</v>
      </c>
      <c r="C212" s="42" t="s">
        <v>390</v>
      </c>
      <c r="D212" s="42">
        <v>1740000</v>
      </c>
      <c r="E212" s="42" t="s">
        <v>88</v>
      </c>
      <c r="F212" s="42" t="s">
        <v>70</v>
      </c>
      <c r="G212" s="13">
        <v>42546.903194444443</v>
      </c>
    </row>
    <row r="213" spans="1:7" x14ac:dyDescent="0.25">
      <c r="A213" s="13">
        <v>42546.151875000003</v>
      </c>
      <c r="B213" s="42" t="s">
        <v>106</v>
      </c>
      <c r="C213" s="42" t="s">
        <v>238</v>
      </c>
      <c r="D213" s="42">
        <v>1480000</v>
      </c>
      <c r="E213" s="42" t="s">
        <v>227</v>
      </c>
      <c r="F213" s="42" t="s">
        <v>106</v>
      </c>
      <c r="G213" s="13">
        <v>42546.151875000003</v>
      </c>
    </row>
    <row r="214" spans="1:7" x14ac:dyDescent="0.25">
      <c r="A214" s="13">
        <v>42546.642060185186</v>
      </c>
      <c r="B214" s="42" t="s">
        <v>482</v>
      </c>
      <c r="C214" s="42" t="s">
        <v>406</v>
      </c>
      <c r="D214" s="42">
        <v>1260000</v>
      </c>
      <c r="E214" s="42" t="s">
        <v>490</v>
      </c>
      <c r="F214" s="42" t="s">
        <v>482</v>
      </c>
      <c r="G214" s="13">
        <v>42546.642060185186</v>
      </c>
    </row>
    <row r="215" spans="1:7" x14ac:dyDescent="0.25">
      <c r="A215" s="13">
        <v>42546.428032407406</v>
      </c>
      <c r="B215" s="42" t="s">
        <v>92</v>
      </c>
      <c r="C215" s="42" t="s">
        <v>363</v>
      </c>
      <c r="D215" s="42">
        <v>1500000</v>
      </c>
      <c r="E215" s="42" t="s">
        <v>93</v>
      </c>
      <c r="F215" s="42" t="s">
        <v>92</v>
      </c>
      <c r="G215" s="13">
        <v>42546.428032407406</v>
      </c>
    </row>
    <row r="216" spans="1:7" x14ac:dyDescent="0.25">
      <c r="A216" s="13">
        <v>42545.239502314813</v>
      </c>
      <c r="B216" s="42" t="s">
        <v>163</v>
      </c>
      <c r="C216" s="42" t="s">
        <v>218</v>
      </c>
      <c r="D216" s="42">
        <v>1460000</v>
      </c>
      <c r="E216" s="42" t="s">
        <v>169</v>
      </c>
      <c r="F216" s="42" t="s">
        <v>163</v>
      </c>
      <c r="G216" s="13">
        <v>42545.239502314813</v>
      </c>
    </row>
    <row r="217" spans="1:7" x14ac:dyDescent="0.25">
      <c r="A217" s="13">
        <v>42545.300937499997</v>
      </c>
      <c r="B217" s="42" t="s">
        <v>94</v>
      </c>
      <c r="C217" s="42" t="s">
        <v>194</v>
      </c>
      <c r="D217" s="42">
        <v>2020000</v>
      </c>
      <c r="E217" s="42" t="s">
        <v>226</v>
      </c>
      <c r="F217" s="42" t="s">
        <v>94</v>
      </c>
      <c r="G217" s="13">
        <v>42545.300937499997</v>
      </c>
    </row>
    <row r="218" spans="1:7" x14ac:dyDescent="0.25">
      <c r="A218" s="13">
        <v>42545.279583333337</v>
      </c>
      <c r="B218" s="42" t="s">
        <v>167</v>
      </c>
      <c r="C218" s="42" t="s">
        <v>191</v>
      </c>
      <c r="D218" s="42">
        <v>2000000</v>
      </c>
      <c r="E218" s="42" t="s">
        <v>123</v>
      </c>
      <c r="F218" s="42" t="s">
        <v>167</v>
      </c>
      <c r="G218" s="13">
        <v>42545.279583333337</v>
      </c>
    </row>
    <row r="219" spans="1:7" x14ac:dyDescent="0.25">
      <c r="A219" s="13">
        <v>42545.22755787037</v>
      </c>
      <c r="B219" s="42" t="s">
        <v>94</v>
      </c>
      <c r="C219" s="42" t="s">
        <v>188</v>
      </c>
      <c r="D219" s="42">
        <v>2020000</v>
      </c>
      <c r="E219" s="42" t="s">
        <v>226</v>
      </c>
      <c r="F219" s="42" t="s">
        <v>94</v>
      </c>
      <c r="G219" s="13">
        <v>42545.22755787037</v>
      </c>
    </row>
    <row r="220" spans="1:7" x14ac:dyDescent="0.25">
      <c r="A220" s="13">
        <v>42545.303541666668</v>
      </c>
      <c r="B220" s="42" t="s">
        <v>105</v>
      </c>
      <c r="C220" s="42" t="s">
        <v>190</v>
      </c>
      <c r="D220" s="42">
        <v>1310000</v>
      </c>
      <c r="E220" s="42" t="s">
        <v>170</v>
      </c>
      <c r="F220" s="42" t="s">
        <v>105</v>
      </c>
      <c r="G220" s="13">
        <v>42545.303541666668</v>
      </c>
    </row>
    <row r="221" spans="1:7" x14ac:dyDescent="0.25">
      <c r="A221" s="13">
        <v>42545.204965277779</v>
      </c>
      <c r="B221" s="42" t="s">
        <v>167</v>
      </c>
      <c r="C221" s="42" t="s">
        <v>232</v>
      </c>
      <c r="D221" s="42">
        <v>2000000</v>
      </c>
      <c r="E221" s="42" t="s">
        <v>123</v>
      </c>
      <c r="F221" s="42" t="s">
        <v>167</v>
      </c>
      <c r="G221" s="13">
        <v>42545.204965277779</v>
      </c>
    </row>
    <row r="222" spans="1:7" x14ac:dyDescent="0.25">
      <c r="A222" s="13">
        <v>42545.315972222219</v>
      </c>
      <c r="B222" s="42" t="s">
        <v>221</v>
      </c>
      <c r="C222" s="42" t="s">
        <v>219</v>
      </c>
      <c r="D222" s="42">
        <v>1500000</v>
      </c>
      <c r="E222" s="42" t="s">
        <v>93</v>
      </c>
      <c r="F222" s="42" t="s">
        <v>221</v>
      </c>
      <c r="G222" s="13">
        <v>42545.315972222219</v>
      </c>
    </row>
    <row r="223" spans="1:7" x14ac:dyDescent="0.25">
      <c r="A223" s="13">
        <v>42545.162465277775</v>
      </c>
      <c r="B223" s="42" t="s">
        <v>223</v>
      </c>
      <c r="C223" s="42" t="s">
        <v>184</v>
      </c>
      <c r="D223" s="42">
        <v>1830000</v>
      </c>
      <c r="E223" s="42" t="s">
        <v>166</v>
      </c>
      <c r="F223" s="42" t="s">
        <v>223</v>
      </c>
      <c r="G223" s="13">
        <v>42545.162465277775</v>
      </c>
    </row>
    <row r="224" spans="1:7" x14ac:dyDescent="0.25">
      <c r="A224" s="13">
        <v>42545.285381944443</v>
      </c>
      <c r="B224" t="s">
        <v>222</v>
      </c>
      <c r="C224" t="s">
        <v>192</v>
      </c>
      <c r="D224">
        <v>1830000</v>
      </c>
      <c r="E224" t="s">
        <v>166</v>
      </c>
      <c r="F224" s="42" t="s">
        <v>222</v>
      </c>
      <c r="G224" s="13">
        <v>42545.285381944443</v>
      </c>
    </row>
    <row r="225" spans="1:7" x14ac:dyDescent="0.25">
      <c r="A225" s="13">
        <v>42545.351111111115</v>
      </c>
      <c r="B225" t="s">
        <v>90</v>
      </c>
      <c r="C225" t="s">
        <v>195</v>
      </c>
      <c r="D225">
        <v>2020000</v>
      </c>
      <c r="E225" t="s">
        <v>226</v>
      </c>
      <c r="F225" s="42" t="s">
        <v>90</v>
      </c>
      <c r="G225" s="13">
        <v>42545.351111111115</v>
      </c>
    </row>
    <row r="226" spans="1:7" x14ac:dyDescent="0.25">
      <c r="A226" s="13">
        <v>42545.318425925929</v>
      </c>
      <c r="B226" t="s">
        <v>223</v>
      </c>
      <c r="C226" t="s">
        <v>193</v>
      </c>
      <c r="D226">
        <v>1830000</v>
      </c>
      <c r="E226" t="s">
        <v>166</v>
      </c>
      <c r="F226" s="42" t="s">
        <v>223</v>
      </c>
      <c r="G226" s="13">
        <v>42545.318425925929</v>
      </c>
    </row>
    <row r="227" spans="1:7" x14ac:dyDescent="0.25">
      <c r="A227" s="13">
        <v>42545.663124999999</v>
      </c>
      <c r="B227" t="s">
        <v>223</v>
      </c>
      <c r="C227" t="s">
        <v>210</v>
      </c>
      <c r="D227">
        <v>1990000</v>
      </c>
      <c r="E227" t="s">
        <v>145</v>
      </c>
      <c r="F227" s="42" t="s">
        <v>223</v>
      </c>
      <c r="G227" s="13">
        <v>42545.663124999999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19"/>
  <sheetViews>
    <sheetView workbookViewId="0">
      <selection activeCell="D23" sqref="D23"/>
    </sheetView>
  </sheetViews>
  <sheetFormatPr defaultRowHeight="15" x14ac:dyDescent="0.25"/>
  <cols>
    <col min="1" max="1" width="32.140625" customWidth="1"/>
    <col min="3" max="3" width="24" customWidth="1"/>
    <col min="10" max="10" width="24.28515625" bestFit="1" customWidth="1"/>
    <col min="11" max="11" width="15.28515625" hidden="1" customWidth="1"/>
    <col min="12" max="12" width="13.5703125" hidden="1" customWidth="1"/>
    <col min="13" max="13" width="9" bestFit="1" customWidth="1"/>
  </cols>
  <sheetData>
    <row r="1" spans="1:13" ht="45.75" x14ac:dyDescent="0.3">
      <c r="A1" s="23" t="s">
        <v>25</v>
      </c>
      <c r="C1" s="29" t="s">
        <v>46</v>
      </c>
      <c r="J1" s="67" t="s">
        <v>126</v>
      </c>
      <c r="K1" s="67" t="s">
        <v>127</v>
      </c>
      <c r="L1" s="67" t="s">
        <v>128</v>
      </c>
      <c r="M1" s="42"/>
    </row>
    <row r="2" spans="1:13" ht="15.75" thickBot="1" x14ac:dyDescent="0.3">
      <c r="A2" s="24">
        <v>42545</v>
      </c>
      <c r="B2" s="9"/>
      <c r="C2" s="30">
        <v>50</v>
      </c>
      <c r="F2" t="s">
        <v>63</v>
      </c>
      <c r="J2" s="67" t="s">
        <v>126</v>
      </c>
      <c r="K2" s="67" t="s">
        <v>127</v>
      </c>
      <c r="L2" s="67" t="s">
        <v>128</v>
      </c>
      <c r="M2" s="42"/>
    </row>
    <row r="3" spans="1:13" x14ac:dyDescent="0.25">
      <c r="F3" t="s">
        <v>64</v>
      </c>
      <c r="J3" s="68" t="s">
        <v>129</v>
      </c>
      <c r="K3" s="69">
        <v>2.7052</v>
      </c>
      <c r="L3" s="69">
        <v>2.7349999999999999</v>
      </c>
      <c r="M3" s="42">
        <f t="shared" ref="M3:M14" si="0">AVERAGE(K3:L3)</f>
        <v>2.7201</v>
      </c>
    </row>
    <row r="4" spans="1:13" x14ac:dyDescent="0.25">
      <c r="F4" t="s">
        <v>65</v>
      </c>
      <c r="J4" s="68" t="s">
        <v>130</v>
      </c>
      <c r="K4" s="69">
        <v>3.0830000000000002</v>
      </c>
      <c r="L4" s="69">
        <v>3.097</v>
      </c>
      <c r="M4" s="42">
        <f t="shared" si="0"/>
        <v>3.09</v>
      </c>
    </row>
    <row r="5" spans="1:13" x14ac:dyDescent="0.25">
      <c r="J5" s="68" t="s">
        <v>131</v>
      </c>
      <c r="K5" s="69">
        <v>3.3136000000000001</v>
      </c>
      <c r="L5" s="69">
        <v>3.3256999999999999</v>
      </c>
      <c r="M5" s="42">
        <f t="shared" si="0"/>
        <v>3.3196500000000002</v>
      </c>
    </row>
    <row r="6" spans="1:13" x14ac:dyDescent="0.25">
      <c r="J6" s="68" t="s">
        <v>132</v>
      </c>
      <c r="K6" s="69">
        <v>4.2778999999999998</v>
      </c>
      <c r="L6" s="69">
        <v>4.2961</v>
      </c>
      <c r="M6" s="42">
        <f t="shared" si="0"/>
        <v>4.2869999999999999</v>
      </c>
    </row>
    <row r="7" spans="1:13" x14ac:dyDescent="0.25">
      <c r="J7" s="68" t="s">
        <v>133</v>
      </c>
      <c r="K7" s="69">
        <v>4.7865000000000002</v>
      </c>
      <c r="L7" s="69">
        <v>4.8048000000000002</v>
      </c>
      <c r="M7" s="42">
        <f t="shared" si="0"/>
        <v>4.7956500000000002</v>
      </c>
    </row>
    <row r="8" spans="1:13" x14ac:dyDescent="0.25">
      <c r="J8" s="68" t="s">
        <v>134</v>
      </c>
      <c r="K8" s="69">
        <v>5.3155000000000001</v>
      </c>
      <c r="L8" s="69">
        <v>5.3277000000000001</v>
      </c>
      <c r="M8" s="42">
        <f t="shared" si="0"/>
        <v>5.3216000000000001</v>
      </c>
    </row>
    <row r="9" spans="1:13" x14ac:dyDescent="0.25">
      <c r="J9" s="68" t="s">
        <v>135</v>
      </c>
      <c r="K9" s="69">
        <v>5.8117000000000001</v>
      </c>
      <c r="L9" s="69">
        <v>5.8300999999999998</v>
      </c>
      <c r="M9" s="42">
        <f t="shared" si="0"/>
        <v>5.8209</v>
      </c>
    </row>
    <row r="10" spans="1:13" x14ac:dyDescent="0.25">
      <c r="J10" s="68" t="s">
        <v>136</v>
      </c>
      <c r="K10" s="69">
        <v>5.8783000000000003</v>
      </c>
      <c r="L10" s="69">
        <v>5.8903999999999996</v>
      </c>
      <c r="M10" s="42">
        <f t="shared" si="0"/>
        <v>5.8843499999999995</v>
      </c>
    </row>
    <row r="11" spans="1:13" x14ac:dyDescent="0.25">
      <c r="J11" s="68" t="s">
        <v>137</v>
      </c>
      <c r="K11" s="69">
        <v>6.3068</v>
      </c>
      <c r="L11" s="69">
        <v>6.3308999999999997</v>
      </c>
      <c r="M11" s="42">
        <f t="shared" si="0"/>
        <v>6.3188499999999994</v>
      </c>
    </row>
    <row r="12" spans="1:13" x14ac:dyDescent="0.25">
      <c r="J12" s="68" t="s">
        <v>138</v>
      </c>
      <c r="K12" s="69">
        <v>7.8349000000000002</v>
      </c>
      <c r="L12" s="69">
        <v>7.8468999999999998</v>
      </c>
      <c r="M12" s="42">
        <f t="shared" si="0"/>
        <v>7.8408999999999995</v>
      </c>
    </row>
    <row r="13" spans="1:13" x14ac:dyDescent="0.25">
      <c r="J13" s="68" t="s">
        <v>139</v>
      </c>
      <c r="K13" s="69">
        <v>10.373799999999999</v>
      </c>
      <c r="L13" s="69">
        <v>10.38</v>
      </c>
      <c r="M13" s="42">
        <f t="shared" si="0"/>
        <v>10.376899999999999</v>
      </c>
    </row>
    <row r="14" spans="1:13" x14ac:dyDescent="0.25">
      <c r="J14" s="68" t="s">
        <v>140</v>
      </c>
      <c r="K14" s="69">
        <v>10.8954</v>
      </c>
      <c r="L14" s="69">
        <v>10.913500000000001</v>
      </c>
      <c r="M14" s="42">
        <f t="shared" si="0"/>
        <v>10.904450000000001</v>
      </c>
    </row>
    <row r="15" spans="1:13" x14ac:dyDescent="0.25">
      <c r="J15" s="68"/>
      <c r="K15" s="69"/>
      <c r="L15" s="69"/>
      <c r="M15" s="42"/>
    </row>
    <row r="16" spans="1:13" x14ac:dyDescent="0.25">
      <c r="J16" s="68"/>
      <c r="K16" s="69"/>
      <c r="L16" s="69"/>
      <c r="M16" s="42"/>
    </row>
    <row r="17" spans="10:13" x14ac:dyDescent="0.25">
      <c r="J17" s="68"/>
      <c r="K17" s="69"/>
      <c r="L17" s="69"/>
      <c r="M17" s="42"/>
    </row>
    <row r="18" spans="10:13" x14ac:dyDescent="0.25">
      <c r="J18" s="68"/>
      <c r="K18" s="69"/>
      <c r="L18" s="69"/>
      <c r="M18" s="42"/>
    </row>
    <row r="19" spans="10:13" x14ac:dyDescent="0.25">
      <c r="J19" s="68"/>
      <c r="K19" s="69"/>
      <c r="L19" s="69"/>
      <c r="M19" s="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Wabtec</cp:lastModifiedBy>
  <dcterms:created xsi:type="dcterms:W3CDTF">2016-04-12T13:52:23Z</dcterms:created>
  <dcterms:modified xsi:type="dcterms:W3CDTF">2016-06-27T11:41:09Z</dcterms:modified>
</cp:coreProperties>
</file>