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  <workbookView xWindow="0" yWindow="0" windowWidth="21570" windowHeight="8160" activeTab="2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3" i="3"/>
  <c r="K8" i="1" l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P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P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P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P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P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P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Y51" i="1" s="1"/>
  <c r="U51" i="1" s="1"/>
  <c r="Z51" i="1"/>
  <c r="AA51" i="1"/>
  <c r="K52" i="1"/>
  <c r="L52" i="1"/>
  <c r="M52" i="1"/>
  <c r="N52" i="1"/>
  <c r="T52" i="1"/>
  <c r="V52" i="1"/>
  <c r="W52" i="1"/>
  <c r="X52" i="1"/>
  <c r="Y52" i="1" s="1"/>
  <c r="U52" i="1" s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/>
  <c r="T54" i="1"/>
  <c r="V54" i="1"/>
  <c r="W54" i="1"/>
  <c r="X54" i="1"/>
  <c r="Y54" i="1" s="1"/>
  <c r="U54" i="1" s="1"/>
  <c r="Z54" i="1"/>
  <c r="AA54" i="1"/>
  <c r="K55" i="1"/>
  <c r="L55" i="1"/>
  <c r="M55" i="1"/>
  <c r="N55" i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Y56" i="1" s="1"/>
  <c r="U56" i="1" s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Y59" i="1" s="1"/>
  <c r="U59" i="1" s="1"/>
  <c r="X59" i="1"/>
  <c r="Z59" i="1"/>
  <c r="AA59" i="1"/>
  <c r="K60" i="1"/>
  <c r="L60" i="1"/>
  <c r="M60" i="1"/>
  <c r="N60" i="1"/>
  <c r="T60" i="1"/>
  <c r="V60" i="1"/>
  <c r="W60" i="1"/>
  <c r="X60" i="1"/>
  <c r="Y60" i="1" s="1"/>
  <c r="U60" i="1" s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/>
  <c r="T62" i="1"/>
  <c r="V62" i="1"/>
  <c r="W62" i="1"/>
  <c r="X62" i="1"/>
  <c r="Y62" i="1" s="1"/>
  <c r="U62" i="1" s="1"/>
  <c r="Z62" i="1"/>
  <c r="AA62" i="1"/>
  <c r="K63" i="1"/>
  <c r="L63" i="1"/>
  <c r="M63" i="1"/>
  <c r="N63" i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V64" i="1"/>
  <c r="W64" i="1"/>
  <c r="Y64" i="1" s="1"/>
  <c r="U64" i="1" s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P68" i="1" s="1"/>
  <c r="T68" i="1"/>
  <c r="V68" i="1"/>
  <c r="W68" i="1"/>
  <c r="X68" i="1"/>
  <c r="Z68" i="1"/>
  <c r="AA68" i="1"/>
  <c r="K69" i="1"/>
  <c r="L69" i="1"/>
  <c r="M69" i="1"/>
  <c r="N69" i="1"/>
  <c r="T69" i="1"/>
  <c r="V69" i="1"/>
  <c r="W69" i="1"/>
  <c r="X69" i="1"/>
  <c r="Y69" i="1" s="1"/>
  <c r="U69" i="1" s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/>
  <c r="T71" i="1"/>
  <c r="V71" i="1"/>
  <c r="W71" i="1"/>
  <c r="X71" i="1"/>
  <c r="Y71" i="1" s="1"/>
  <c r="U71" i="1" s="1"/>
  <c r="Z71" i="1"/>
  <c r="AA71" i="1"/>
  <c r="K72" i="1"/>
  <c r="L72" i="1"/>
  <c r="M72" i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Y75" i="1" s="1"/>
  <c r="U75" i="1" s="1"/>
  <c r="Z75" i="1"/>
  <c r="AA75" i="1"/>
  <c r="K76" i="1"/>
  <c r="L76" i="1"/>
  <c r="M76" i="1"/>
  <c r="P76" i="1" s="1"/>
  <c r="T76" i="1"/>
  <c r="V76" i="1"/>
  <c r="W76" i="1"/>
  <c r="X76" i="1"/>
  <c r="Z76" i="1"/>
  <c r="AA76" i="1"/>
  <c r="K77" i="1"/>
  <c r="L77" i="1"/>
  <c r="M77" i="1"/>
  <c r="P77" i="1" s="1"/>
  <c r="T77" i="1"/>
  <c r="V77" i="1"/>
  <c r="W77" i="1"/>
  <c r="X77" i="1"/>
  <c r="Z77" i="1"/>
  <c r="AA77" i="1"/>
  <c r="K78" i="1"/>
  <c r="L78" i="1"/>
  <c r="M78" i="1"/>
  <c r="N78" i="1"/>
  <c r="T78" i="1"/>
  <c r="V78" i="1"/>
  <c r="W78" i="1"/>
  <c r="X78" i="1"/>
  <c r="Y78" i="1" s="1"/>
  <c r="U78" i="1" s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P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/>
  <c r="T86" i="1"/>
  <c r="V86" i="1"/>
  <c r="W86" i="1"/>
  <c r="X86" i="1"/>
  <c r="Y86" i="1" s="1"/>
  <c r="U86" i="1" s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/>
  <c r="T90" i="1"/>
  <c r="V90" i="1"/>
  <c r="W90" i="1"/>
  <c r="X90" i="1"/>
  <c r="Y90" i="1" s="1"/>
  <c r="U90" i="1" s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/>
  <c r="T94" i="1"/>
  <c r="V94" i="1"/>
  <c r="W94" i="1"/>
  <c r="X94" i="1"/>
  <c r="Y94" i="1" s="1"/>
  <c r="U94" i="1" s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/>
  <c r="T97" i="1"/>
  <c r="V97" i="1"/>
  <c r="W97" i="1"/>
  <c r="X97" i="1"/>
  <c r="Y97" i="1" s="1"/>
  <c r="U97" i="1" s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/>
  <c r="T99" i="1"/>
  <c r="V99" i="1"/>
  <c r="W99" i="1"/>
  <c r="X99" i="1"/>
  <c r="Y99" i="1" s="1"/>
  <c r="U99" i="1" s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T101" i="1"/>
  <c r="V101" i="1"/>
  <c r="W101" i="1"/>
  <c r="Y101" i="1" s="1"/>
  <c r="U101" i="1" s="1"/>
  <c r="X101" i="1"/>
  <c r="Z101" i="1"/>
  <c r="AA101" i="1"/>
  <c r="K102" i="1"/>
  <c r="L102" i="1"/>
  <c r="M102" i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Y104" i="1" s="1"/>
  <c r="U104" i="1" s="1"/>
  <c r="X104" i="1"/>
  <c r="Z104" i="1"/>
  <c r="AA104" i="1"/>
  <c r="K105" i="1"/>
  <c r="L105" i="1"/>
  <c r="M105" i="1"/>
  <c r="N105" i="1"/>
  <c r="T105" i="1"/>
  <c r="V105" i="1"/>
  <c r="W105" i="1"/>
  <c r="X105" i="1"/>
  <c r="Y105" i="1" s="1"/>
  <c r="U105" i="1" s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/>
  <c r="T107" i="1"/>
  <c r="V107" i="1"/>
  <c r="W107" i="1"/>
  <c r="X107" i="1"/>
  <c r="Y107" i="1" s="1"/>
  <c r="U107" i="1" s="1"/>
  <c r="Z107" i="1"/>
  <c r="AA107" i="1"/>
  <c r="K108" i="1"/>
  <c r="L108" i="1"/>
  <c r="M108" i="1"/>
  <c r="N108" i="1"/>
  <c r="T108" i="1"/>
  <c r="V108" i="1"/>
  <c r="W108" i="1"/>
  <c r="X108" i="1"/>
  <c r="Y108" i="1" s="1"/>
  <c r="U108" i="1" s="1"/>
  <c r="Z108" i="1"/>
  <c r="AA108" i="1"/>
  <c r="K109" i="1"/>
  <c r="L109" i="1"/>
  <c r="M109" i="1"/>
  <c r="N109" i="1"/>
  <c r="T109" i="1"/>
  <c r="V109" i="1"/>
  <c r="W109" i="1"/>
  <c r="X109" i="1"/>
  <c r="Y109" i="1" s="1"/>
  <c r="U109" i="1" s="1"/>
  <c r="Z109" i="1"/>
  <c r="AA109" i="1"/>
  <c r="K110" i="1"/>
  <c r="L110" i="1"/>
  <c r="M110" i="1"/>
  <c r="N110" i="1" s="1"/>
  <c r="T110" i="1"/>
  <c r="V110" i="1"/>
  <c r="W110" i="1"/>
  <c r="Y110" i="1" s="1"/>
  <c r="U110" i="1" s="1"/>
  <c r="X110" i="1"/>
  <c r="Z110" i="1"/>
  <c r="AA110" i="1"/>
  <c r="K111" i="1"/>
  <c r="L111" i="1"/>
  <c r="M111" i="1"/>
  <c r="N111" i="1"/>
  <c r="T111" i="1"/>
  <c r="V111" i="1"/>
  <c r="W111" i="1"/>
  <c r="X111" i="1"/>
  <c r="Y111" i="1" s="1"/>
  <c r="U111" i="1" s="1"/>
  <c r="Z111" i="1"/>
  <c r="AA111" i="1"/>
  <c r="K112" i="1"/>
  <c r="L112" i="1"/>
  <c r="M112" i="1"/>
  <c r="N112" i="1" s="1"/>
  <c r="T112" i="1"/>
  <c r="V112" i="1"/>
  <c r="W112" i="1"/>
  <c r="Y112" i="1" s="1"/>
  <c r="U112" i="1" s="1"/>
  <c r="X112" i="1"/>
  <c r="Z112" i="1"/>
  <c r="AA112" i="1"/>
  <c r="K113" i="1"/>
  <c r="L113" i="1"/>
  <c r="M113" i="1"/>
  <c r="N113" i="1"/>
  <c r="T113" i="1"/>
  <c r="V113" i="1"/>
  <c r="W113" i="1"/>
  <c r="X113" i="1"/>
  <c r="Y113" i="1" s="1"/>
  <c r="U113" i="1" s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/>
  <c r="T116" i="1"/>
  <c r="V116" i="1"/>
  <c r="W116" i="1"/>
  <c r="X116" i="1"/>
  <c r="Y116" i="1" s="1"/>
  <c r="U116" i="1" s="1"/>
  <c r="Z116" i="1"/>
  <c r="AA116" i="1"/>
  <c r="K117" i="1"/>
  <c r="L117" i="1"/>
  <c r="M117" i="1"/>
  <c r="N117" i="1" s="1"/>
  <c r="T117" i="1"/>
  <c r="V117" i="1"/>
  <c r="W117" i="1"/>
  <c r="Y117" i="1" s="1"/>
  <c r="U117" i="1" s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Y120" i="1"/>
  <c r="U120" i="1" s="1"/>
  <c r="Z120" i="1"/>
  <c r="AA120" i="1"/>
  <c r="K121" i="1"/>
  <c r="L121" i="1"/>
  <c r="M121" i="1"/>
  <c r="N121" i="1" s="1"/>
  <c r="T121" i="1"/>
  <c r="V121" i="1"/>
  <c r="W121" i="1"/>
  <c r="X121" i="1"/>
  <c r="Y121" i="1" s="1"/>
  <c r="U121" i="1" s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/>
  <c r="T124" i="1"/>
  <c r="V124" i="1"/>
  <c r="W124" i="1"/>
  <c r="X124" i="1"/>
  <c r="Y124" i="1" s="1"/>
  <c r="U124" i="1" s="1"/>
  <c r="Z124" i="1"/>
  <c r="AA124" i="1"/>
  <c r="K125" i="1"/>
  <c r="L125" i="1"/>
  <c r="M125" i="1"/>
  <c r="N125" i="1" s="1"/>
  <c r="T125" i="1"/>
  <c r="V125" i="1"/>
  <c r="W125" i="1"/>
  <c r="X125" i="1"/>
  <c r="Y125" i="1" s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/>
  <c r="T129" i="1"/>
  <c r="V129" i="1"/>
  <c r="W129" i="1"/>
  <c r="X129" i="1"/>
  <c r="Y129" i="1" s="1"/>
  <c r="U129" i="1" s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/>
  <c r="T131" i="1"/>
  <c r="V131" i="1"/>
  <c r="W131" i="1"/>
  <c r="X131" i="1"/>
  <c r="Y131" i="1" s="1"/>
  <c r="U131" i="1" s="1"/>
  <c r="Z131" i="1"/>
  <c r="AA131" i="1"/>
  <c r="K132" i="1"/>
  <c r="L132" i="1"/>
  <c r="M132" i="1"/>
  <c r="N132" i="1" s="1"/>
  <c r="T132" i="1"/>
  <c r="V132" i="1"/>
  <c r="W132" i="1"/>
  <c r="Y132" i="1" s="1"/>
  <c r="U132" i="1" s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/>
  <c r="T136" i="1"/>
  <c r="V136" i="1"/>
  <c r="W136" i="1"/>
  <c r="X136" i="1"/>
  <c r="Y136" i="1"/>
  <c r="U136" i="1" s="1"/>
  <c r="Z136" i="1"/>
  <c r="AA136" i="1"/>
  <c r="K137" i="1"/>
  <c r="L137" i="1"/>
  <c r="M137" i="1"/>
  <c r="T137" i="1"/>
  <c r="V137" i="1"/>
  <c r="W137" i="1"/>
  <c r="Y137" i="1" s="1"/>
  <c r="U137" i="1" s="1"/>
  <c r="X137" i="1"/>
  <c r="Z137" i="1"/>
  <c r="AA137" i="1"/>
  <c r="K138" i="1"/>
  <c r="L138" i="1"/>
  <c r="M138" i="1"/>
  <c r="T138" i="1"/>
  <c r="V138" i="1"/>
  <c r="W138" i="1"/>
  <c r="X138" i="1"/>
  <c r="Y138" i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/>
  <c r="T142" i="1"/>
  <c r="V142" i="1"/>
  <c r="W142" i="1"/>
  <c r="X142" i="1"/>
  <c r="Y142" i="1" s="1"/>
  <c r="U142" i="1" s="1"/>
  <c r="Z142" i="1"/>
  <c r="AA142" i="1"/>
  <c r="K143" i="1"/>
  <c r="L143" i="1"/>
  <c r="M143" i="1"/>
  <c r="N143" i="1"/>
  <c r="T143" i="1"/>
  <c r="V143" i="1"/>
  <c r="W143" i="1"/>
  <c r="X143" i="1"/>
  <c r="Y143" i="1"/>
  <c r="U143" i="1" s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/>
  <c r="T145" i="1"/>
  <c r="V145" i="1"/>
  <c r="W145" i="1"/>
  <c r="X145" i="1"/>
  <c r="Y145" i="1" s="1"/>
  <c r="U145" i="1" s="1"/>
  <c r="Z145" i="1"/>
  <c r="AA145" i="1"/>
  <c r="I147" i="1"/>
  <c r="Y139" i="1" l="1"/>
  <c r="U139" i="1" s="1"/>
  <c r="Y128" i="1"/>
  <c r="U128" i="1" s="1"/>
  <c r="Y127" i="1"/>
  <c r="U127" i="1" s="1"/>
  <c r="Y123" i="1"/>
  <c r="U123" i="1" s="1"/>
  <c r="Y82" i="1"/>
  <c r="U82" i="1" s="1"/>
  <c r="Y79" i="1"/>
  <c r="U79" i="1" s="1"/>
  <c r="Y77" i="1"/>
  <c r="U77" i="1" s="1"/>
  <c r="Y73" i="1"/>
  <c r="U73" i="1" s="1"/>
  <c r="Y70" i="1"/>
  <c r="U70" i="1" s="1"/>
  <c r="Y68" i="1"/>
  <c r="U68" i="1" s="1"/>
  <c r="Y65" i="1"/>
  <c r="U65" i="1" s="1"/>
  <c r="N44" i="1"/>
  <c r="Y133" i="1"/>
  <c r="U133" i="1" s="1"/>
  <c r="Y126" i="1"/>
  <c r="U126" i="1" s="1"/>
  <c r="Y115" i="1"/>
  <c r="U115" i="1" s="1"/>
  <c r="Y57" i="1"/>
  <c r="U57" i="1" s="1"/>
  <c r="Y122" i="1"/>
  <c r="U122" i="1" s="1"/>
  <c r="Y106" i="1"/>
  <c r="U106" i="1" s="1"/>
  <c r="Y100" i="1"/>
  <c r="U100" i="1" s="1"/>
  <c r="Y92" i="1"/>
  <c r="U92" i="1" s="1"/>
  <c r="Y84" i="1"/>
  <c r="U84" i="1" s="1"/>
  <c r="Y76" i="1"/>
  <c r="U76" i="1" s="1"/>
  <c r="Y72" i="1"/>
  <c r="U72" i="1" s="1"/>
  <c r="Y67" i="1"/>
  <c r="U67" i="1" s="1"/>
  <c r="Y58" i="1"/>
  <c r="U58" i="1" s="1"/>
  <c r="Y53" i="1"/>
  <c r="U53" i="1" s="1"/>
  <c r="Y23" i="1"/>
  <c r="U23" i="1" s="1"/>
  <c r="Y10" i="1"/>
  <c r="U10" i="1" s="1"/>
  <c r="Y144" i="1"/>
  <c r="U144" i="1" s="1"/>
  <c r="Y102" i="1"/>
  <c r="U102" i="1" s="1"/>
  <c r="Y12" i="1"/>
  <c r="U12" i="1" s="1"/>
  <c r="Y140" i="1"/>
  <c r="U140" i="1" s="1"/>
  <c r="Y134" i="1"/>
  <c r="U134" i="1" s="1"/>
  <c r="Y118" i="1"/>
  <c r="U118" i="1" s="1"/>
  <c r="Y141" i="1"/>
  <c r="U141" i="1" s="1"/>
  <c r="Y135" i="1"/>
  <c r="U135" i="1" s="1"/>
  <c r="Y130" i="1"/>
  <c r="U130" i="1" s="1"/>
  <c r="Y119" i="1"/>
  <c r="U119" i="1" s="1"/>
  <c r="Y114" i="1"/>
  <c r="U114" i="1" s="1"/>
  <c r="Y103" i="1"/>
  <c r="U103" i="1" s="1"/>
  <c r="P101" i="1"/>
  <c r="Y95" i="1"/>
  <c r="U95" i="1" s="1"/>
  <c r="Y88" i="1"/>
  <c r="U88" i="1" s="1"/>
  <c r="Y66" i="1"/>
  <c r="U66" i="1" s="1"/>
  <c r="Y61" i="1"/>
  <c r="U61" i="1" s="1"/>
  <c r="Y50" i="1"/>
  <c r="U50" i="1" s="1"/>
  <c r="Y16" i="1"/>
  <c r="U16" i="1" s="1"/>
  <c r="Y14" i="1"/>
  <c r="U14" i="1" s="1"/>
  <c r="P72" i="1"/>
  <c r="P137" i="1"/>
  <c r="Y98" i="1"/>
  <c r="U98" i="1" s="1"/>
  <c r="Y96" i="1"/>
  <c r="U96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0" i="1"/>
  <c r="U80" i="1" s="1"/>
  <c r="P80" i="1"/>
  <c r="Y74" i="1"/>
  <c r="U74" i="1" s="1"/>
  <c r="Y22" i="1"/>
  <c r="U22" i="1" s="1"/>
  <c r="Y20" i="1"/>
  <c r="U20" i="1" s="1"/>
  <c r="Y18" i="1"/>
  <c r="U18" i="1" s="1"/>
  <c r="Y48" i="1"/>
  <c r="U48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8" i="1"/>
  <c r="U8" i="1" s="1"/>
  <c r="Y49" i="1"/>
  <c r="U49" i="1" s="1"/>
  <c r="Y47" i="1"/>
  <c r="U4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L5" i="3"/>
  <c r="L29" i="3"/>
  <c r="L6" i="3"/>
  <c r="L7" i="3"/>
  <c r="L30" i="3"/>
  <c r="L17" i="3"/>
  <c r="L31" i="3"/>
  <c r="L32" i="3"/>
  <c r="L33" i="3"/>
  <c r="L3" i="3"/>
  <c r="L18" i="3"/>
  <c r="L34" i="3"/>
  <c r="L35" i="3"/>
  <c r="L8" i="3"/>
  <c r="L36" i="3"/>
  <c r="L9" i="3"/>
  <c r="L37" i="3"/>
  <c r="L25" i="3"/>
  <c r="L10" i="3"/>
  <c r="L11" i="3"/>
  <c r="L38" i="3"/>
  <c r="L26" i="3"/>
  <c r="L19" i="3"/>
  <c r="L39" i="3"/>
  <c r="L12" i="3"/>
  <c r="L20" i="3"/>
  <c r="L40" i="3"/>
  <c r="L27" i="3"/>
  <c r="L41" i="3"/>
  <c r="L42" i="3"/>
  <c r="L13" i="3"/>
  <c r="L14" i="3"/>
  <c r="L21" i="3"/>
  <c r="L22" i="3"/>
  <c r="L43" i="3"/>
  <c r="L44" i="3"/>
  <c r="L45" i="3"/>
  <c r="L15" i="3"/>
  <c r="L46" i="3"/>
  <c r="L23" i="3"/>
  <c r="L47" i="3"/>
  <c r="L28" i="3"/>
  <c r="L16" i="3"/>
  <c r="L48" i="3"/>
  <c r="L49" i="3"/>
  <c r="L50" i="3"/>
  <c r="L51" i="3"/>
  <c r="L52" i="3"/>
  <c r="L24" i="3"/>
  <c r="L53" i="3"/>
  <c r="L54" i="3"/>
  <c r="L55" i="3"/>
  <c r="L56" i="3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P36" i="3"/>
  <c r="P38" i="3"/>
  <c r="P6" i="3"/>
  <c r="P39" i="3"/>
  <c r="K3" i="1"/>
  <c r="K4" i="1"/>
  <c r="L3" i="1"/>
  <c r="M3" i="1"/>
  <c r="N3" i="1" s="1"/>
  <c r="L4" i="1"/>
  <c r="M4" i="1"/>
  <c r="N4" i="1" s="1"/>
  <c r="P16" i="3"/>
  <c r="Y7" i="1" l="1"/>
  <c r="U7" i="1" s="1"/>
  <c r="Y5" i="1"/>
  <c r="U5" i="1" s="1"/>
  <c r="Y6" i="1"/>
  <c r="U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J149" i="1" l="1"/>
  <c r="P12" i="3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4" i="3"/>
  <c r="J151" i="1"/>
  <c r="J152" i="1" l="1"/>
  <c r="W4" i="1" l="1"/>
  <c r="X4" i="1"/>
  <c r="V3" i="1"/>
  <c r="Y4" i="1" l="1"/>
  <c r="V4" i="1" l="1"/>
  <c r="T4" i="1"/>
  <c r="Z4" i="1"/>
  <c r="AA4" i="1"/>
  <c r="T3" i="1"/>
  <c r="P4" i="3" s="1"/>
  <c r="W3" i="1"/>
  <c r="X3" i="1"/>
  <c r="Z3" i="1"/>
  <c r="AA3" i="1"/>
  <c r="U4" i="1" l="1"/>
  <c r="Y3" i="1"/>
  <c r="U3" i="1" s="1"/>
  <c r="M58" i="3" l="1"/>
  <c r="M59" i="3" s="1"/>
  <c r="M151" i="1"/>
  <c r="J153" i="1" l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<sst xmlns="http://schemas.openxmlformats.org/spreadsheetml/2006/main" count="2102" uniqueCount="623">
  <si>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</si>
  <si>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</si>
  <si>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</si>
  <si>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</si>
  <si>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</si>
  <si>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</si>
  <si>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</si>
  <si>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</si>
  <si>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</si>
  <si>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</si>
  <si>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</si>
  <si>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</si>
  <si>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</si>
  <si>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</si>
  <si>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</si>
  <si>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</si>
  <si>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</si>
  <si>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</si>
  <si>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</si>
  <si>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</si>
  <si>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</si>
  <si>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</si>
  <si>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</si>
  <si>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</si>
  <si>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</si>
  <si>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</si>
  <si>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</si>
  <si>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</si>
  <si>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</si>
  <si>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</si>
  <si>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</si>
  <si>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</si>
  <si>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</si>
  <si>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</si>
  <si>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</si>
  <si>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</si>
  <si>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</si>
  <si>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</si>
  <si>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</si>
  <si>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</si>
  <si>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</si>
  <si>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</si>
  <si>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</si>
  <si>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</si>
  <si>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</si>
  <si>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</si>
  <si>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</si>
  <si>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</si>
  <si>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</si>
  <si>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</si>
  <si>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</si>
  <si>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</si>
  <si>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</si>
  <si>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</si>
  <si>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</si>
  <si>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</si>
  <si>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</si>
  <si>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</si>
  <si>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</si>
  <si>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</si>
  <si>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</si>
  <si>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</si>
  <si>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</si>
  <si>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</si>
  <si>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</si>
  <si>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</si>
  <si>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</si>
  <si>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</si>
  <si>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</si>
  <si>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</si>
  <si>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</si>
  <si>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</si>
  <si>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</si>
  <si>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</si>
  <si>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</si>
  <si>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</si>
  <si>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</si>
  <si>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</si>
  <si>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</si>
  <si>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</si>
  <si>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</si>
  <si>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</si>
  <si>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</si>
  <si>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</si>
  <si>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</si>
  <si>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</si>
  <si>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</si>
  <si>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</si>
  <si>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</si>
  <si>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</si>
  <si>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</si>
  <si>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</si>
  <si>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</si>
  <si>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</si>
  <si>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</si>
  <si>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</si>
  <si>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</si>
  <si>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</si>
  <si>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</si>
  <si>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</si>
  <si>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</si>
  <si>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</si>
  <si>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</si>
  <si>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</si>
  <si>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</si>
  <si>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</si>
  <si>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</si>
  <si>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</si>
  <si>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</si>
  <si>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</si>
  <si>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</si>
  <si>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</si>
  <si>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</si>
  <si>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</si>
  <si>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</si>
  <si>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</si>
  <si>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</si>
  <si>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</si>
  <si>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</si>
  <si>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</si>
  <si>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</si>
  <si>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</si>
  <si>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</si>
  <si>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</si>
  <si>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</si>
  <si>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</si>
  <si>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</si>
  <si>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</si>
  <si>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</si>
  <si>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</si>
  <si>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</si>
  <si>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</si>
  <si>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</si>
  <si>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</si>
  <si>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</si>
  <si>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</si>
  <si>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</si>
  <si>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</si>
  <si>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</si>
  <si>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</si>
  <si>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</si>
  <si>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</si>
  <si>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</si>
  <si>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</si>
  <si>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</si>
  <si>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204:163</t>
  </si>
  <si>
    <t>204:232979</t>
  </si>
  <si>
    <t>204:232993</t>
  </si>
  <si>
    <t>204:233278</t>
  </si>
  <si>
    <t>204:473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</si>
  <si>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</si>
  <si>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</si>
  <si>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</si>
  <si>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</si>
  <si>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</si>
  <si>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</si>
  <si>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</si>
  <si>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</si>
  <si>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</si>
  <si>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</si>
  <si>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</si>
  <si>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</si>
  <si>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</si>
  <si>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</si>
  <si>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204:233320</t>
  </si>
  <si>
    <t>204:484</t>
  </si>
  <si>
    <t>204:440</t>
  </si>
  <si>
    <t>204:462</t>
  </si>
  <si>
    <t>204:233309</t>
  </si>
  <si>
    <t>204:233323</t>
  </si>
  <si>
    <t>204:233317</t>
  </si>
  <si>
    <t>204:233006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</si>
  <si>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</si>
  <si>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</si>
  <si>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</si>
  <si>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</si>
  <si>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</si>
  <si>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</si>
  <si>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</si>
  <si>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</si>
  <si>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</si>
  <si>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</si>
  <si>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</si>
  <si>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</si>
  <si>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</si>
  <si>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</si>
  <si>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</si>
  <si>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</si>
  <si>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</si>
  <si>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</si>
  <si>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</si>
  <si>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</si>
  <si>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</si>
  <si>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</si>
  <si>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</si>
  <si>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</si>
  <si>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</si>
  <si>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</si>
  <si>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</si>
  <si>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</si>
  <si>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</si>
  <si>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</si>
  <si>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</si>
  <si>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</si>
  <si>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</si>
  <si>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</si>
  <si>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</si>
  <si>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</si>
  <si>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</si>
  <si>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</si>
  <si>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</si>
  <si>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</si>
  <si>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</si>
  <si>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</si>
  <si>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</si>
  <si>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</si>
  <si>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</si>
  <si>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</si>
  <si>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</si>
  <si>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rtdc.l.rtdc.4010:itc</t>
  </si>
  <si>
    <t>103-20</t>
  </si>
  <si>
    <t>242-19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</si>
  <si>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</si>
  <si>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</si>
  <si>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</si>
  <si>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</si>
  <si>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</si>
  <si>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</si>
  <si>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</si>
  <si>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</si>
  <si>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</si>
  <si>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</si>
  <si>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</si>
  <si>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</si>
  <si>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</si>
  <si>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</si>
  <si>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</si>
  <si>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</si>
  <si>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</si>
  <si>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</si>
  <si>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</si>
  <si>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</si>
  <si>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</si>
  <si>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</si>
  <si>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</si>
  <si>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</si>
  <si>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</si>
  <si>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</si>
  <si>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</si>
  <si>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</si>
  <si>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</si>
  <si>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</si>
  <si>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</si>
  <si>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</si>
  <si>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</si>
  <si>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</si>
  <si>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</si>
  <si>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</si>
  <si>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</si>
  <si>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</si>
  <si>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</si>
  <si>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</si>
  <si>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</si>
  <si>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</si>
  <si>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</si>
  <si>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</si>
  <si>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</si>
  <si>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</si>
  <si>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</si>
  <si>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</si>
  <si>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</si>
  <si>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</si>
  <si>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</si>
  <si>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</si>
  <si>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</si>
  <si>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</si>
  <si>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</si>
  <si>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</si>
  <si>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</si>
  <si>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</si>
  <si>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</si>
  <si>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</si>
  <si>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</si>
  <si>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</si>
  <si>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</si>
  <si>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</si>
  <si>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</si>
  <si>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</si>
  <si>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</si>
  <si>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</si>
  <si>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</si>
  <si>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</si>
  <si>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</si>
  <si>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</si>
  <si>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</si>
  <si>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</si>
  <si>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</si>
  <si>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</si>
  <si>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</si>
  <si>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</si>
  <si>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</si>
  <si>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</si>
  <si>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</si>
  <si>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</si>
  <si>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</si>
  <si>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</si>
  <si>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</si>
  <si>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</si>
  <si>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</si>
  <si>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</si>
  <si>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</si>
  <si>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</si>
  <si>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204:752</t>
  </si>
  <si>
    <t>204:232664</t>
  </si>
  <si>
    <t>204:233289</t>
  </si>
  <si>
    <t>204:181</t>
  </si>
  <si>
    <t>204:232894</t>
  </si>
  <si>
    <t>204:167</t>
  </si>
  <si>
    <t>204:486</t>
  </si>
  <si>
    <t>204:232955</t>
  </si>
  <si>
    <t>204:169</t>
  </si>
  <si>
    <t>204:232982</t>
  </si>
  <si>
    <t>204:232967</t>
  </si>
  <si>
    <t>204:165</t>
  </si>
  <si>
    <t>204:442</t>
  </si>
  <si>
    <t>204:233301</t>
  </si>
  <si>
    <t>204:64700</t>
  </si>
  <si>
    <t>204:437</t>
  </si>
  <si>
    <t>204:233297</t>
  </si>
  <si>
    <t>204:482</t>
  </si>
  <si>
    <t>204:232965</t>
  </si>
  <si>
    <t>101-21</t>
  </si>
  <si>
    <t>204:765</t>
  </si>
  <si>
    <t>204:233276</t>
  </si>
  <si>
    <t>102-21</t>
  </si>
  <si>
    <t>204:232628</t>
  </si>
  <si>
    <t>103-21</t>
  </si>
  <si>
    <t>204:755</t>
  </si>
  <si>
    <t>104-21</t>
  </si>
  <si>
    <t>204:232651</t>
  </si>
  <si>
    <t>105-21</t>
  </si>
  <si>
    <t>106-21</t>
  </si>
  <si>
    <t>107-21</t>
  </si>
  <si>
    <t>204:475</t>
  </si>
  <si>
    <t>108-21</t>
  </si>
  <si>
    <t>109-21</t>
  </si>
  <si>
    <t>204:438</t>
  </si>
  <si>
    <t>110-21</t>
  </si>
  <si>
    <t>204:928</t>
  </si>
  <si>
    <t>111-21</t>
  </si>
  <si>
    <t>204:743</t>
  </si>
  <si>
    <t>204:978</t>
  </si>
  <si>
    <t>112-21</t>
  </si>
  <si>
    <t>204:233000</t>
  </si>
  <si>
    <t>204:1878</t>
  </si>
  <si>
    <t>113-21</t>
  </si>
  <si>
    <t>114-21</t>
  </si>
  <si>
    <t>115-21</t>
  </si>
  <si>
    <t>204:19119</t>
  </si>
  <si>
    <t>204:233066</t>
  </si>
  <si>
    <t>116-21</t>
  </si>
  <si>
    <t>204:232902</t>
  </si>
  <si>
    <t>117-21</t>
  </si>
  <si>
    <t>204:233228</t>
  </si>
  <si>
    <t>118-21</t>
  </si>
  <si>
    <t>204:232900</t>
  </si>
  <si>
    <t>119-21</t>
  </si>
  <si>
    <t>204:830</t>
  </si>
  <si>
    <t>120-21</t>
  </si>
  <si>
    <t>204:232998</t>
  </si>
  <si>
    <t>121-21</t>
  </si>
  <si>
    <t>204:233288</t>
  </si>
  <si>
    <t>122-21</t>
  </si>
  <si>
    <t>123-21</t>
  </si>
  <si>
    <t>204:1250</t>
  </si>
  <si>
    <t>124-21</t>
  </si>
  <si>
    <t>204:232976</t>
  </si>
  <si>
    <t>125-21</t>
  </si>
  <si>
    <t>204:497</t>
  </si>
  <si>
    <t>204:233241</t>
  </si>
  <si>
    <t>126-21</t>
  </si>
  <si>
    <t>204:232927</t>
  </si>
  <si>
    <t>204:174</t>
  </si>
  <si>
    <t>127-21</t>
  </si>
  <si>
    <t>128-21</t>
  </si>
  <si>
    <t>204:325</t>
  </si>
  <si>
    <t>129-21</t>
  </si>
  <si>
    <t>130-21</t>
  </si>
  <si>
    <t>131-21</t>
  </si>
  <si>
    <t>204:19137</t>
  </si>
  <si>
    <t>132-21</t>
  </si>
  <si>
    <t>133-21</t>
  </si>
  <si>
    <t>204:1464</t>
  </si>
  <si>
    <t>204:51824</t>
  </si>
  <si>
    <t>134-21</t>
  </si>
  <si>
    <t>204:913</t>
  </si>
  <si>
    <t>135-21</t>
  </si>
  <si>
    <t>136-21</t>
  </si>
  <si>
    <t>137-21</t>
  </si>
  <si>
    <t>138-21</t>
  </si>
  <si>
    <t>204:231042</t>
  </si>
  <si>
    <t>204:230872</t>
  </si>
  <si>
    <t>139-21</t>
  </si>
  <si>
    <t>140-21</t>
  </si>
  <si>
    <t>141-21</t>
  </si>
  <si>
    <t>204:633</t>
  </si>
  <si>
    <t>142-21</t>
  </si>
  <si>
    <t>143-21</t>
  </si>
  <si>
    <t>204:233081</t>
  </si>
  <si>
    <t>144-21</t>
  </si>
  <si>
    <t>204:232923</t>
  </si>
  <si>
    <t>145-21</t>
  </si>
  <si>
    <t>204:314</t>
  </si>
  <si>
    <t>204:233236</t>
  </si>
  <si>
    <t>146-21</t>
  </si>
  <si>
    <t>204:232925</t>
  </si>
  <si>
    <t>147-21</t>
  </si>
  <si>
    <t>204:233300</t>
  </si>
  <si>
    <t>148-21</t>
  </si>
  <si>
    <t>149-21</t>
  </si>
  <si>
    <t>150-21</t>
  </si>
  <si>
    <t>204:178</t>
  </si>
  <si>
    <t>151-21</t>
  </si>
  <si>
    <t>204:1233</t>
  </si>
  <si>
    <t>152-21</t>
  </si>
  <si>
    <t>153-21</t>
  </si>
  <si>
    <t>154-21</t>
  </si>
  <si>
    <t>155-21</t>
  </si>
  <si>
    <t>204:1198</t>
  </si>
  <si>
    <t>156-21</t>
  </si>
  <si>
    <t>204:232985</t>
  </si>
  <si>
    <t>157-21</t>
  </si>
  <si>
    <t>204:495</t>
  </si>
  <si>
    <t>204:233124</t>
  </si>
  <si>
    <t>158-21</t>
  </si>
  <si>
    <t>204:232959</t>
  </si>
  <si>
    <t>159-21</t>
  </si>
  <si>
    <t>160-21</t>
  </si>
  <si>
    <t>204:232972</t>
  </si>
  <si>
    <t>204:207</t>
  </si>
  <si>
    <t>161-21</t>
  </si>
  <si>
    <t>204:429</t>
  </si>
  <si>
    <t>204:233312</t>
  </si>
  <si>
    <t>162-21</t>
  </si>
  <si>
    <t>163-21</t>
  </si>
  <si>
    <t>204:233331</t>
  </si>
  <si>
    <t>164-21</t>
  </si>
  <si>
    <t>204:232267</t>
  </si>
  <si>
    <t>204:232264</t>
  </si>
  <si>
    <t>165-21</t>
  </si>
  <si>
    <t>204:233364</t>
  </si>
  <si>
    <t>166-21</t>
  </si>
  <si>
    <t>204:233044</t>
  </si>
  <si>
    <t>167-21</t>
  </si>
  <si>
    <t>204:233285</t>
  </si>
  <si>
    <t>169-21</t>
  </si>
  <si>
    <t>204:52136</t>
  </si>
  <si>
    <t>171-21</t>
  </si>
  <si>
    <t>204:233046</t>
  </si>
  <si>
    <t>204:19016</t>
  </si>
  <si>
    <t>172-21</t>
  </si>
  <si>
    <t>204:18901</t>
  </si>
  <si>
    <t>173-21</t>
  </si>
  <si>
    <t>204:515</t>
  </si>
  <si>
    <t>204:233321</t>
  </si>
  <si>
    <t>178-21</t>
  </si>
  <si>
    <t>180-21</t>
  </si>
  <si>
    <t>204:232987</t>
  </si>
  <si>
    <t>204:54313</t>
  </si>
  <si>
    <t>204:36794</t>
  </si>
  <si>
    <t>204:227</t>
  </si>
  <si>
    <t>184-21</t>
  </si>
  <si>
    <t>185-21</t>
  </si>
  <si>
    <t>204:233349</t>
  </si>
  <si>
    <t>186-21</t>
  </si>
  <si>
    <t>187-21</t>
  </si>
  <si>
    <t>188-21</t>
  </si>
  <si>
    <t>189-21</t>
  </si>
  <si>
    <t>204:233362</t>
  </si>
  <si>
    <t>190-21</t>
  </si>
  <si>
    <t>191-21</t>
  </si>
  <si>
    <t>204:1160</t>
  </si>
  <si>
    <t>192-21</t>
  </si>
  <si>
    <t>193-21</t>
  </si>
  <si>
    <t>204:233176</t>
  </si>
  <si>
    <t>194-21</t>
  </si>
  <si>
    <t>204:1028</t>
  </si>
  <si>
    <t>195-21</t>
  </si>
  <si>
    <t>204:542</t>
  </si>
  <si>
    <t>196-21</t>
  </si>
  <si>
    <t>204:232913</t>
  </si>
  <si>
    <t>204:180</t>
  </si>
  <si>
    <t>198-21</t>
  </si>
  <si>
    <t>199-21</t>
  </si>
  <si>
    <t>200-21</t>
  </si>
  <si>
    <t>204:233010</t>
  </si>
  <si>
    <t>204:924</t>
  </si>
  <si>
    <t>201-21</t>
  </si>
  <si>
    <t>202-21</t>
  </si>
  <si>
    <t>203-21</t>
  </si>
  <si>
    <t>204-21</t>
  </si>
  <si>
    <t>204:232964</t>
  </si>
  <si>
    <t>204:70533</t>
  </si>
  <si>
    <t>204:64147</t>
  </si>
  <si>
    <t>204:63416</t>
  </si>
  <si>
    <t>205-21</t>
  </si>
  <si>
    <t>206-21</t>
  </si>
  <si>
    <t>207-21</t>
  </si>
  <si>
    <t>208-21</t>
  </si>
  <si>
    <t>204:233004</t>
  </si>
  <si>
    <t>204:127</t>
  </si>
  <si>
    <t>209-21</t>
  </si>
  <si>
    <t>204:1188</t>
  </si>
  <si>
    <t>204:233319</t>
  </si>
  <si>
    <t>210-21</t>
  </si>
  <si>
    <t>204:138</t>
  </si>
  <si>
    <t>211-21</t>
  </si>
  <si>
    <t>212-21</t>
  </si>
  <si>
    <t>213-21</t>
  </si>
  <si>
    <t>204:233326</t>
  </si>
  <si>
    <t>214-21</t>
  </si>
  <si>
    <t>215-21</t>
  </si>
  <si>
    <t>204:435</t>
  </si>
  <si>
    <t>216-21</t>
  </si>
  <si>
    <t>217-21</t>
  </si>
  <si>
    <t>218-21</t>
  </si>
  <si>
    <t>219-21</t>
  </si>
  <si>
    <t>204:233240</t>
  </si>
  <si>
    <t>220-21</t>
  </si>
  <si>
    <t>221-21</t>
  </si>
  <si>
    <t>204:233298</t>
  </si>
  <si>
    <t>222-21</t>
  </si>
  <si>
    <t>223-21</t>
  </si>
  <si>
    <t>204:233281</t>
  </si>
  <si>
    <t>224-21</t>
  </si>
  <si>
    <t>204:191</t>
  </si>
  <si>
    <t>225-21</t>
  </si>
  <si>
    <t>226-21</t>
  </si>
  <si>
    <t>204:233013</t>
  </si>
  <si>
    <t>227-21</t>
  </si>
  <si>
    <t>228-21</t>
  </si>
  <si>
    <t>229-21</t>
  </si>
  <si>
    <t>230-21</t>
  </si>
  <si>
    <t>231-21</t>
  </si>
  <si>
    <t>204:480</t>
  </si>
  <si>
    <t>232-21</t>
  </si>
  <si>
    <t>204:196</t>
  </si>
  <si>
    <t>233-21</t>
  </si>
  <si>
    <t>204:426</t>
  </si>
  <si>
    <t>234-21</t>
  </si>
  <si>
    <t>235-21</t>
  </si>
  <si>
    <t>236-21</t>
  </si>
  <si>
    <t>237-21</t>
  </si>
  <si>
    <t>238-21</t>
  </si>
  <si>
    <t>239-21</t>
  </si>
  <si>
    <t>204:528</t>
  </si>
  <si>
    <t>204:40092</t>
  </si>
  <si>
    <t>204:64702</t>
  </si>
  <si>
    <t>240-21</t>
  </si>
  <si>
    <t>204:232966</t>
  </si>
  <si>
    <t>241-21</t>
  </si>
  <si>
    <t>242-21</t>
  </si>
  <si>
    <t>204:170</t>
  </si>
  <si>
    <t>243-21</t>
  </si>
  <si>
    <t>244-21</t>
  </si>
  <si>
    <t>245-21</t>
  </si>
  <si>
    <t>246-21</t>
  </si>
  <si>
    <t>204:233008</t>
  </si>
  <si>
    <t>rtdc.l.rtdc.4014:itc</t>
  </si>
  <si>
    <t>rtdc.l.rtdc.4013:itc</t>
  </si>
  <si>
    <t>rtdc.l.rtdc.4026:itc</t>
  </si>
  <si>
    <t>rtdc.l.rtdc.4002:itc</t>
  </si>
  <si>
    <t>rtdc.l.rtdc.4025:itc</t>
  </si>
  <si>
    <t>rtdc.l.rtdc.4001:itc</t>
  </si>
  <si>
    <t>ROCHA</t>
  </si>
  <si>
    <t>BRANNON</t>
  </si>
  <si>
    <t>BONDS</t>
  </si>
  <si>
    <t>RIVERA</t>
  </si>
  <si>
    <t>rtdc.l.rtdc.4009:itc</t>
  </si>
  <si>
    <t>182-21</t>
  </si>
  <si>
    <t>WEBSTER</t>
  </si>
  <si>
    <t>BUTLER</t>
  </si>
  <si>
    <t>LOCKLEAR</t>
  </si>
  <si>
    <t>GRASTON</t>
  </si>
  <si>
    <t>LEVERE</t>
  </si>
  <si>
    <t>BEAM</t>
  </si>
  <si>
    <t>109-22</t>
  </si>
  <si>
    <t>COCA</t>
  </si>
  <si>
    <t>101-22</t>
  </si>
  <si>
    <t>YANAI</t>
  </si>
  <si>
    <t>ACKERMAN</t>
  </si>
  <si>
    <t>GOODNIGHT</t>
  </si>
  <si>
    <t>102-22</t>
  </si>
  <si>
    <t>rtdc.l.rtdc.4028:itc</t>
  </si>
  <si>
    <t>104-22</t>
  </si>
  <si>
    <t>103-22</t>
  </si>
  <si>
    <t>107-22</t>
  </si>
  <si>
    <t>Early Arrival</t>
  </si>
  <si>
    <t>Closed</t>
  </si>
  <si>
    <t>Onboard in-route failure</t>
  </si>
  <si>
    <t>Dispatcher hadn't prepared train clearance number, moved to 38th to initialize</t>
  </si>
  <si>
    <t>Poor GPS at signal at DUS</t>
  </si>
  <si>
    <t>Ticket Needed</t>
  </si>
  <si>
    <t>DIA WIU dropped offline</t>
  </si>
  <si>
    <t>Form C</t>
  </si>
  <si>
    <t>Ran in ATC to get past Form C</t>
  </si>
  <si>
    <t>Discuss</t>
  </si>
  <si>
    <t>Went to 38th and came back to DUS. Rescue train?</t>
  </si>
  <si>
    <t>Didn't try initializing at DUS. First init attempt was at 38th</t>
  </si>
  <si>
    <t>Sand Creek 4S was at STOP (routing/dispatch)</t>
  </si>
  <si>
    <t>Messaging failure to 40th</t>
  </si>
  <si>
    <t>Must run in restricted speed for first signal after init</t>
  </si>
  <si>
    <t>Chambers 2N was STOP (routing/dispatch)</t>
  </si>
  <si>
    <t>61st 2N was STOP (routing/dispatch)</t>
  </si>
  <si>
    <t>168-21</t>
  </si>
  <si>
    <t>170-21</t>
  </si>
  <si>
    <t>174-21</t>
  </si>
  <si>
    <t>175-21</t>
  </si>
  <si>
    <t>176-21</t>
  </si>
  <si>
    <t>177-21</t>
  </si>
  <si>
    <t>181-21</t>
  </si>
  <si>
    <t>183-21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</si>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</sst>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abSelected="1" topLeftCell="A115" zoomScale="85" zoomScaleNormal="85" workbookViewId="0">
      <selection activeCell="V72" sqref="V72"/>
    </sheetView>
    <sheetView workbookViewId="1">
      <selection sqref="A1:P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331</v>
      </c>
      <c r="B3" s="61">
        <v>4020</v>
      </c>
      <c r="C3" s="61" t="s">
        <v>66</v>
      </c>
      <c r="D3" s="61" t="s">
        <v>332</v>
      </c>
      <c r="E3" s="30">
        <v>42511.131539351853</v>
      </c>
      <c r="F3" s="30">
        <v>42511.132916666669</v>
      </c>
      <c r="G3" s="38">
        <v>1</v>
      </c>
      <c r="H3" s="30" t="s">
        <v>333</v>
      </c>
      <c r="I3" s="30">
        <v>42511.1641087963</v>
      </c>
      <c r="J3" s="61">
        <v>1</v>
      </c>
      <c r="K3" s="61" t="str">
        <f t="shared" ref="K3:K4" si="0">IF(ISEVEN(B3),(B3-1)&amp;"/"&amp;B3,B3&amp;"/"&amp;(B3+1))</f>
        <v>4019/4020</v>
      </c>
      <c r="L3" s="61" t="str">
        <f>VLOOKUP(A3,'Trips&amp;Operators'!$C$1:$E$9999,3,FALSE)</f>
        <v>LEVIN</v>
      </c>
      <c r="M3" s="12">
        <f t="shared" ref="M3:M4" si="1">I3-F3</f>
        <v>3.1192129630653653E-2</v>
      </c>
      <c r="N3" s="13">
        <f>24*60*SUM($M3:$M3)</f>
        <v>44.916666668141261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7.6499999999999999E-2</v>
      </c>
      <c r="X3" s="74">
        <f>RIGHT(H3,LEN(H3)-4)/10000</f>
        <v>23.3276</v>
      </c>
      <c r="Y3" s="74">
        <f>ABS(X3-W3)</f>
        <v>23.251100000000001</v>
      </c>
      <c r="Z3" s="75">
        <f>VLOOKUP(A3,Enforcements!$C$3:$J$56,8,0)</f>
        <v>53155</v>
      </c>
      <c r="AA3" s="75" t="str">
        <f>VLOOKUP(A3,Enforcements!$C$3:$J$56,3,0)</f>
        <v>GRADE CROSSING</v>
      </c>
    </row>
    <row r="4" spans="1:89" s="2" customFormat="1" x14ac:dyDescent="0.25">
      <c r="A4" s="61" t="s">
        <v>334</v>
      </c>
      <c r="B4" s="61">
        <v>4026</v>
      </c>
      <c r="C4" s="61" t="s">
        <v>66</v>
      </c>
      <c r="D4" s="61" t="s">
        <v>335</v>
      </c>
      <c r="E4" s="30">
        <v>42511.173842592594</v>
      </c>
      <c r="F4" s="30">
        <v>42511.174976851849</v>
      </c>
      <c r="G4" s="38">
        <v>1</v>
      </c>
      <c r="H4" s="30" t="s">
        <v>155</v>
      </c>
      <c r="I4" s="30">
        <v>42511.202511574076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2.7534722226846498E-2</v>
      </c>
      <c r="N4" s="13">
        <f t="shared" ref="N4:P107" si="5">24*60*SUM($M4:$M4)</f>
        <v>39.650000006658956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https://search-rtdc-monitor-bjffxe2xuh6vdkpspy63sjmuny.us-east-1.es.amazonaws.com/_plugin/kibana/#/discover/Steve-Slow-Train-Analysis-(2080s-and-2083s)?_g=(refreshInterval:(display:Off,section:0,value:0),time:(from:'2016-05-21 04:09:20-0600',mode:absolute,to:'2016-05-21 04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23.262799999999999</v>
      </c>
      <c r="X4" s="74">
        <f t="shared" ref="X4" si="7">RIGHT(H4,LEN(H4)-4)/10000</f>
        <v>1.43E-2</v>
      </c>
      <c r="Y4" s="74">
        <f t="shared" ref="Y4" si="8">ABS(X4-W4)</f>
        <v>23.2485</v>
      </c>
      <c r="Z4" s="75" t="e">
        <f>VLOOKUP(A4,Enforcements!$C$3:$J$56,8,0)</f>
        <v>#N/A</v>
      </c>
      <c r="AA4" s="75" t="e">
        <f>VLOOKUP(A4,Enforcements!$C$3:$J$56,3,0)</f>
        <v>#N/A</v>
      </c>
    </row>
    <row r="5" spans="1:89" s="2" customFormat="1" x14ac:dyDescent="0.25">
      <c r="A5" s="61" t="s">
        <v>336</v>
      </c>
      <c r="B5" s="61">
        <v>4002</v>
      </c>
      <c r="C5" s="61" t="s">
        <v>66</v>
      </c>
      <c r="D5" s="61" t="s">
        <v>337</v>
      </c>
      <c r="E5" s="30">
        <v>42511.149884259263</v>
      </c>
      <c r="F5" s="30">
        <v>42511.153437499997</v>
      </c>
      <c r="G5" s="38">
        <v>5</v>
      </c>
      <c r="H5" s="30" t="s">
        <v>148</v>
      </c>
      <c r="I5" s="30">
        <v>42511.189814814818</v>
      </c>
      <c r="J5" s="61">
        <v>0</v>
      </c>
      <c r="K5" s="61" t="str">
        <f t="shared" ref="K5:K7" si="9">IF(ISEVEN(B5),(B5-1)&amp;"/"&amp;B5,B5&amp;"/"&amp;(B5+1))</f>
        <v>4001/4002</v>
      </c>
      <c r="L5" s="61" t="str">
        <f>VLOOKUP(A5,'Trips&amp;Operators'!$C$1:$E$9999,3,FALSE)</f>
        <v>STURGEON</v>
      </c>
      <c r="M5" s="12">
        <f t="shared" ref="M5:M7" si="10">I5-F5</f>
        <v>3.6377314820128959E-2</v>
      </c>
      <c r="N5" s="13">
        <f t="shared" si="5"/>
        <v>52.3833333409857</v>
      </c>
      <c r="O5" s="13"/>
      <c r="P5" s="13"/>
      <c r="Q5" s="62"/>
      <c r="R5" s="62"/>
      <c r="T5" s="74" t="str">
        <f t="shared" ref="T5:T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https://search-rtdc-monitor-bjffxe2xuh6vdkpspy63sjmuny.us-east-1.es.amazonaws.com/_plugin/kibana/#/discover/Steve-Slow-Train-Analysis-(2080s-and-2083s)?_g=(refreshInterval:(display:Off,section:0,value:0),time:(from:'2016-05-21 03:34:50-0600',mode:absolute,to:'2016-05-21 04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" s="74" t="str">
        <f t="shared" ref="U5:U7" si="12">IF(Y5&lt;23,"Y","N")</f>
        <v>N</v>
      </c>
      <c r="V5" s="74">
        <f t="shared" ref="V5:V7" si="13">VALUE(LEFT(A5,3))-VALUE(LEFT(A4,3))</f>
        <v>1</v>
      </c>
      <c r="W5" s="74">
        <f t="shared" ref="W5:W7" si="14">RIGHT(D5,LEN(D5)-4)/10000</f>
        <v>7.5499999999999998E-2</v>
      </c>
      <c r="X5" s="74">
        <f t="shared" ref="X5:X7" si="15">RIGHT(H5,LEN(H5)-4)/10000</f>
        <v>23.3278</v>
      </c>
      <c r="Y5" s="74">
        <f t="shared" ref="Y5:Y7" si="16">ABS(X5-W5)</f>
        <v>23.252299999999998</v>
      </c>
      <c r="Z5" s="75" t="e">
        <f>VLOOKUP(A5,Enforcements!$C$3:$J$56,8,0)</f>
        <v>#N/A</v>
      </c>
      <c r="AA5" s="75" t="e">
        <f>VLOOKUP(A5,Enforcements!$C$3:$J$56,3,0)</f>
        <v>#N/A</v>
      </c>
    </row>
    <row r="6" spans="1:89" s="2" customFormat="1" x14ac:dyDescent="0.25">
      <c r="A6" s="61" t="s">
        <v>338</v>
      </c>
      <c r="B6" s="61">
        <v>4010</v>
      </c>
      <c r="C6" s="61" t="s">
        <v>66</v>
      </c>
      <c r="D6" s="61" t="s">
        <v>339</v>
      </c>
      <c r="E6" s="30">
        <v>42511.193761574075</v>
      </c>
      <c r="F6" s="30">
        <v>42511.194930555554</v>
      </c>
      <c r="G6" s="38">
        <v>1</v>
      </c>
      <c r="H6" s="30" t="s">
        <v>71</v>
      </c>
      <c r="I6" s="30">
        <v>42511.228055555555</v>
      </c>
      <c r="J6" s="61">
        <v>0</v>
      </c>
      <c r="K6" s="61" t="str">
        <f t="shared" si="9"/>
        <v>4009/4010</v>
      </c>
      <c r="L6" s="61" t="str">
        <f>VLOOKUP(A6,'Trips&amp;Operators'!$C$1:$E$9999,3,FALSE)</f>
        <v>STURGEON</v>
      </c>
      <c r="M6" s="12">
        <f t="shared" si="10"/>
        <v>3.312500000174623E-2</v>
      </c>
      <c r="N6" s="13">
        <f t="shared" si="5"/>
        <v>47.700000002514571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04:38:01-0600',mode:absolute,to:'2016-05-21 05:29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23.2651</v>
      </c>
      <c r="X6" s="74">
        <f t="shared" si="15"/>
        <v>1.49E-2</v>
      </c>
      <c r="Y6" s="74">
        <f t="shared" si="16"/>
        <v>23.2502</v>
      </c>
      <c r="Z6" s="75" t="e">
        <f>VLOOKUP(A6,Enforcements!$C$3:$J$56,8,0)</f>
        <v>#N/A</v>
      </c>
      <c r="AA6" s="75" t="e">
        <f>VLOOKUP(A6,Enforcements!$C$3:$J$56,3,0)</f>
        <v>#N/A</v>
      </c>
    </row>
    <row r="7" spans="1:89" s="2" customFormat="1" x14ac:dyDescent="0.25">
      <c r="A7" s="61" t="s">
        <v>340</v>
      </c>
      <c r="B7" s="61">
        <v>4044</v>
      </c>
      <c r="C7" s="61" t="s">
        <v>66</v>
      </c>
      <c r="D7" s="61" t="s">
        <v>312</v>
      </c>
      <c r="E7" s="30">
        <v>42511.172511574077</v>
      </c>
      <c r="F7" s="30">
        <v>42511.174386574072</v>
      </c>
      <c r="G7" s="38">
        <v>2</v>
      </c>
      <c r="H7" s="30" t="s">
        <v>168</v>
      </c>
      <c r="I7" s="30">
        <v>42511.209224537037</v>
      </c>
      <c r="J7" s="61">
        <v>0</v>
      </c>
      <c r="K7" s="61" t="str">
        <f t="shared" si="9"/>
        <v>4043/4044</v>
      </c>
      <c r="L7" s="61" t="str">
        <f>VLOOKUP(A7,'Trips&amp;Operators'!$C$1:$E$9999,3,FALSE)</f>
        <v>LEDERHAUSE</v>
      </c>
      <c r="M7" s="12">
        <f t="shared" si="10"/>
        <v>3.4837962964957114E-2</v>
      </c>
      <c r="N7" s="13">
        <f t="shared" si="5"/>
        <v>50.166666669538245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04:07:25-0600',mode:absolute,to:'2016-05-21 05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7.5200000000000003E-2</v>
      </c>
      <c r="X7" s="74">
        <f t="shared" si="15"/>
        <v>23.3309</v>
      </c>
      <c r="Y7" s="74">
        <f t="shared" si="16"/>
        <v>23.255700000000001</v>
      </c>
      <c r="Z7" s="75" t="e">
        <f>VLOOKUP(A7,Enforcements!$C$3:$J$56,8,0)</f>
        <v>#N/A</v>
      </c>
      <c r="AA7" s="75" t="e">
        <f>VLOOKUP(A7,Enforcements!$C$3:$J$56,3,0)</f>
        <v>#N/A</v>
      </c>
    </row>
    <row r="8" spans="1:89" s="2" customFormat="1" x14ac:dyDescent="0.25">
      <c r="A8" s="61" t="s">
        <v>341</v>
      </c>
      <c r="B8" s="61">
        <v>4032</v>
      </c>
      <c r="C8" s="61" t="s">
        <v>66</v>
      </c>
      <c r="D8" s="61" t="s">
        <v>313</v>
      </c>
      <c r="E8" s="30">
        <v>42511.213935185187</v>
      </c>
      <c r="F8" s="30">
        <v>42511.215358796297</v>
      </c>
      <c r="G8" s="38">
        <v>2</v>
      </c>
      <c r="H8" s="30" t="s">
        <v>74</v>
      </c>
      <c r="I8" s="30">
        <v>42511.246701388889</v>
      </c>
      <c r="J8" s="61">
        <v>1</v>
      </c>
      <c r="K8" s="61" t="str">
        <f t="shared" ref="K8:K71" si="17">IF(ISEVEN(B8),(B8-1)&amp;"/"&amp;B8,B8&amp;"/"&amp;(B8+1))</f>
        <v>4031/4032</v>
      </c>
      <c r="L8" s="61" t="str">
        <f>VLOOKUP(A8,'Trips&amp;Operators'!$C$1:$E$9999,3,FALSE)</f>
        <v>LEDERHAUSE</v>
      </c>
      <c r="M8" s="12">
        <f t="shared" ref="M8:M71" si="18">I8-F8</f>
        <v>3.1342592592409346E-2</v>
      </c>
      <c r="N8" s="13">
        <f t="shared" si="5"/>
        <v>45.133333333069459</v>
      </c>
      <c r="O8" s="13"/>
      <c r="P8" s="13"/>
      <c r="Q8" s="62"/>
      <c r="R8" s="62"/>
      <c r="T8" s="74" t="str">
        <f t="shared" ref="T8:T71" si="19"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4" t="str">
        <f t="shared" ref="U8:U71" si="20">IF(Y8&lt;23,"Y","N")</f>
        <v>N</v>
      </c>
      <c r="V8" s="74">
        <f t="shared" ref="V8:V71" si="21">VALUE(LEFT(A8,3))-VALUE(LEFT(A7,3))</f>
        <v>1</v>
      </c>
      <c r="W8" s="74">
        <f t="shared" ref="W8:W71" si="22">RIGHT(D8,LEN(D8)-4)/10000</f>
        <v>23.266400000000001</v>
      </c>
      <c r="X8" s="74">
        <f t="shared" ref="X8:X71" si="23">RIGHT(H8,LEN(H8)-4)/10000</f>
        <v>1.4500000000000001E-2</v>
      </c>
      <c r="Y8" s="74">
        <f t="shared" ref="Y8:Y71" si="24">ABS(X8-W8)</f>
        <v>23.251899999999999</v>
      </c>
      <c r="Z8" s="75">
        <f>VLOOKUP(A8,Enforcements!$C$3:$J$56,8,0)</f>
        <v>27350</v>
      </c>
      <c r="AA8" s="75" t="str">
        <f>VLOOKUP(A8,Enforcements!$C$3:$J$56,3,0)</f>
        <v>GRADE CROSSING</v>
      </c>
    </row>
    <row r="9" spans="1:89" s="2" customFormat="1" x14ac:dyDescent="0.25">
      <c r="A9" s="61" t="s">
        <v>342</v>
      </c>
      <c r="B9" s="61">
        <v>4024</v>
      </c>
      <c r="C9" s="61" t="s">
        <v>66</v>
      </c>
      <c r="D9" s="61" t="s">
        <v>343</v>
      </c>
      <c r="E9" s="30">
        <v>42511.181157407409</v>
      </c>
      <c r="F9" s="30">
        <v>42511.182916666665</v>
      </c>
      <c r="G9" s="38">
        <v>2</v>
      </c>
      <c r="H9" s="30" t="s">
        <v>325</v>
      </c>
      <c r="I9" s="30">
        <v>42511.221678240741</v>
      </c>
      <c r="J9" s="61">
        <v>0</v>
      </c>
      <c r="K9" s="61" t="str">
        <f t="shared" si="17"/>
        <v>4023/4024</v>
      </c>
      <c r="L9" s="61" t="str">
        <f>VLOOKUP(A9,'Trips&amp;Operators'!$C$1:$E$9999,3,FALSE)</f>
        <v>SANTIZO</v>
      </c>
      <c r="M9" s="12">
        <f t="shared" si="18"/>
        <v>3.8761574076488614E-2</v>
      </c>
      <c r="N9" s="13">
        <f t="shared" si="5"/>
        <v>55.816666670143604</v>
      </c>
      <c r="O9" s="13"/>
      <c r="P9" s="13"/>
      <c r="Q9" s="62"/>
      <c r="R9" s="62"/>
      <c r="T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04:19:52-0600',mode:absolute,to:'2016-05-21 05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20"/>
        <v>N</v>
      </c>
      <c r="V9" s="74">
        <f t="shared" si="21"/>
        <v>1</v>
      </c>
      <c r="W9" s="74">
        <f t="shared" si="22"/>
        <v>4.7500000000000001E-2</v>
      </c>
      <c r="X9" s="74">
        <f t="shared" si="23"/>
        <v>23.330100000000002</v>
      </c>
      <c r="Y9" s="74">
        <f t="shared" si="24"/>
        <v>23.282600000000002</v>
      </c>
      <c r="Z9" s="75" t="e">
        <f>VLOOKUP(A9,Enforcements!$C$3:$J$56,8,0)</f>
        <v>#N/A</v>
      </c>
      <c r="AA9" s="75" t="e">
        <f>VLOOKUP(A9,Enforcements!$C$3:$J$56,3,0)</f>
        <v>#N/A</v>
      </c>
    </row>
    <row r="10" spans="1:89" s="2" customFormat="1" x14ac:dyDescent="0.25">
      <c r="A10" s="61" t="s">
        <v>344</v>
      </c>
      <c r="B10" s="61">
        <v>4023</v>
      </c>
      <c r="C10" s="61" t="s">
        <v>66</v>
      </c>
      <c r="D10" s="61" t="s">
        <v>151</v>
      </c>
      <c r="E10" s="30">
        <v>42511.224560185183</v>
      </c>
      <c r="F10" s="30">
        <v>42511.226064814815</v>
      </c>
      <c r="G10" s="38">
        <v>2</v>
      </c>
      <c r="H10" s="30" t="s">
        <v>317</v>
      </c>
      <c r="I10" s="30">
        <v>42511.257662037038</v>
      </c>
      <c r="J10" s="61">
        <v>0</v>
      </c>
      <c r="K10" s="61" t="str">
        <f t="shared" si="17"/>
        <v>4023/4024</v>
      </c>
      <c r="L10" s="61" t="str">
        <f>VLOOKUP(A10,'Trips&amp;Operators'!$C$1:$E$9999,3,FALSE)</f>
        <v>SANTIZO</v>
      </c>
      <c r="M10" s="12">
        <f t="shared" si="18"/>
        <v>3.1597222223354038E-2</v>
      </c>
      <c r="N10" s="13">
        <f t="shared" si="5"/>
        <v>45.500000001629815</v>
      </c>
      <c r="O10" s="13"/>
      <c r="P10" s="13"/>
      <c r="Q10" s="62"/>
      <c r="R10" s="62"/>
      <c r="T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05:22:22-0600',mode:absolute,to:'2016-05-21 06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20"/>
        <v>N</v>
      </c>
      <c r="V10" s="74">
        <f t="shared" si="21"/>
        <v>1</v>
      </c>
      <c r="W10" s="74">
        <f t="shared" si="22"/>
        <v>23.297699999999999</v>
      </c>
      <c r="X10" s="74">
        <f t="shared" si="23"/>
        <v>1.67E-2</v>
      </c>
      <c r="Y10" s="74">
        <f t="shared" si="24"/>
        <v>23.280999999999999</v>
      </c>
      <c r="Z10" s="75" t="e">
        <f>VLOOKUP(A10,Enforcements!$C$3:$J$56,8,0)</f>
        <v>#N/A</v>
      </c>
      <c r="AA10" s="75" t="e">
        <f>VLOOKUP(A10,Enforcements!$C$3:$J$56,3,0)</f>
        <v>#N/A</v>
      </c>
    </row>
    <row r="11" spans="1:89" s="2" customFormat="1" x14ac:dyDescent="0.25">
      <c r="A11" s="61" t="s">
        <v>345</v>
      </c>
      <c r="B11" s="61">
        <v>4014</v>
      </c>
      <c r="C11" s="61" t="s">
        <v>66</v>
      </c>
      <c r="D11" s="61" t="s">
        <v>346</v>
      </c>
      <c r="E11" s="30">
        <v>42511.192430555559</v>
      </c>
      <c r="F11" s="30">
        <v>42511.19332175926</v>
      </c>
      <c r="G11" s="38">
        <v>1</v>
      </c>
      <c r="H11" s="30" t="s">
        <v>154</v>
      </c>
      <c r="I11" s="30">
        <v>42511.232511574075</v>
      </c>
      <c r="J11" s="61">
        <v>2</v>
      </c>
      <c r="K11" s="61" t="str">
        <f t="shared" si="17"/>
        <v>4013/4014</v>
      </c>
      <c r="L11" s="61" t="str">
        <f>VLOOKUP(A11,'Trips&amp;Operators'!$C$1:$E$9999,3,FALSE)</f>
        <v>ROCHA</v>
      </c>
      <c r="M11" s="12">
        <f t="shared" si="18"/>
        <v>3.9189814815472346E-2</v>
      </c>
      <c r="N11" s="13">
        <f t="shared" si="5"/>
        <v>56.433333334280178</v>
      </c>
      <c r="O11" s="13"/>
      <c r="P11" s="13"/>
      <c r="Q11" s="62"/>
      <c r="R11" s="62"/>
      <c r="T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" s="74" t="str">
        <f t="shared" si="20"/>
        <v>N</v>
      </c>
      <c r="V11" s="74">
        <f t="shared" si="21"/>
        <v>1</v>
      </c>
      <c r="W11" s="74">
        <f t="shared" si="22"/>
        <v>4.3799999999999999E-2</v>
      </c>
      <c r="X11" s="74">
        <f t="shared" si="23"/>
        <v>23.328399999999998</v>
      </c>
      <c r="Y11" s="74">
        <f t="shared" si="24"/>
        <v>23.284599999999998</v>
      </c>
      <c r="Z11" s="75">
        <f>VLOOKUP(A11,Enforcements!$C$3:$J$56,8,0)</f>
        <v>53155</v>
      </c>
      <c r="AA11" s="75" t="str">
        <f>VLOOKUP(A11,Enforcements!$C$3:$J$56,3,0)</f>
        <v>GRADE CROSSING</v>
      </c>
    </row>
    <row r="12" spans="1:89" s="2" customFormat="1" x14ac:dyDescent="0.25">
      <c r="A12" s="61" t="s">
        <v>347</v>
      </c>
      <c r="B12" s="61">
        <v>4013</v>
      </c>
      <c r="C12" s="61" t="s">
        <v>66</v>
      </c>
      <c r="D12" s="61" t="s">
        <v>330</v>
      </c>
      <c r="E12" s="30">
        <v>42511.234664351854</v>
      </c>
      <c r="F12" s="30">
        <v>42511.235717592594</v>
      </c>
      <c r="G12" s="38">
        <v>1</v>
      </c>
      <c r="H12" s="30" t="s">
        <v>348</v>
      </c>
      <c r="I12" s="30">
        <v>42511.264641203707</v>
      </c>
      <c r="J12" s="61">
        <v>1</v>
      </c>
      <c r="K12" s="61" t="str">
        <f t="shared" si="17"/>
        <v>4013/4014</v>
      </c>
      <c r="L12" s="61" t="str">
        <f>VLOOKUP(A12,'Trips&amp;Operators'!$C$1:$E$9999,3,FALSE)</f>
        <v>ROCHA</v>
      </c>
      <c r="M12" s="12">
        <f t="shared" si="18"/>
        <v>2.8923611112986691E-2</v>
      </c>
      <c r="N12" s="13">
        <f t="shared" si="5"/>
        <v>41.650000002700835</v>
      </c>
      <c r="O12" s="13"/>
      <c r="P12" s="13"/>
      <c r="Q12" s="62"/>
      <c r="R12" s="62"/>
      <c r="T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" s="74" t="str">
        <f t="shared" si="20"/>
        <v>N</v>
      </c>
      <c r="V12" s="74">
        <f t="shared" si="21"/>
        <v>1</v>
      </c>
      <c r="W12" s="74">
        <f t="shared" si="22"/>
        <v>23.296500000000002</v>
      </c>
      <c r="X12" s="74">
        <f t="shared" si="23"/>
        <v>9.2799999999999994E-2</v>
      </c>
      <c r="Y12" s="74">
        <f t="shared" si="24"/>
        <v>23.203700000000001</v>
      </c>
      <c r="Z12" s="75">
        <f>VLOOKUP(A12,Enforcements!$C$3:$J$56,8,0)</f>
        <v>839</v>
      </c>
      <c r="AA12" s="75" t="str">
        <f>VLOOKUP(A12,Enforcements!$C$3:$J$56,3,0)</f>
        <v>TRACK WARRANT AUTHORITY</v>
      </c>
    </row>
    <row r="13" spans="1:89" s="2" customFormat="1" x14ac:dyDescent="0.25">
      <c r="A13" s="61" t="s">
        <v>349</v>
      </c>
      <c r="B13" s="61">
        <v>4020</v>
      </c>
      <c r="C13" s="61" t="s">
        <v>66</v>
      </c>
      <c r="D13" s="61" t="s">
        <v>350</v>
      </c>
      <c r="E13" s="30">
        <v>42511.207349537035</v>
      </c>
      <c r="F13" s="30">
        <v>42511.20890046296</v>
      </c>
      <c r="G13" s="38">
        <v>2</v>
      </c>
      <c r="H13" s="30" t="s">
        <v>351</v>
      </c>
      <c r="I13" s="30">
        <v>42511.209976851853</v>
      </c>
      <c r="J13" s="61">
        <v>0</v>
      </c>
      <c r="K13" s="61" t="str">
        <f t="shared" si="17"/>
        <v>4019/4020</v>
      </c>
      <c r="L13" s="61" t="str">
        <f>VLOOKUP(A13,'Trips&amp;Operators'!$C$1:$E$9999,3,FALSE)</f>
        <v>GEBRETEKLE</v>
      </c>
      <c r="M13" s="12">
        <f t="shared" si="18"/>
        <v>1.0763888931251131E-3</v>
      </c>
      <c r="N13" s="13"/>
      <c r="O13" s="13"/>
      <c r="P13" s="13">
        <f t="shared" si="5"/>
        <v>1.5500000061001629</v>
      </c>
      <c r="Q13" s="62" t="s">
        <v>598</v>
      </c>
      <c r="R13" s="62" t="s">
        <v>599</v>
      </c>
      <c r="T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04:57:35-0600',mode:absolute,to:'2016-05-21 05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20"/>
        <v>Y</v>
      </c>
      <c r="V13" s="74">
        <f t="shared" si="21"/>
        <v>1</v>
      </c>
      <c r="W13" s="74">
        <f t="shared" si="22"/>
        <v>7.4300000000000005E-2</v>
      </c>
      <c r="X13" s="74">
        <f t="shared" si="23"/>
        <v>9.7799999999999998E-2</v>
      </c>
      <c r="Y13" s="74">
        <f t="shared" si="24"/>
        <v>2.3499999999999993E-2</v>
      </c>
      <c r="Z13" s="75" t="e">
        <f>VLOOKUP(A13,Enforcements!$C$3:$J$56,8,0)</f>
        <v>#N/A</v>
      </c>
      <c r="AA13" s="75" t="e">
        <f>VLOOKUP(A13,Enforcements!$C$3:$J$56,3,0)</f>
        <v>#N/A</v>
      </c>
    </row>
    <row r="14" spans="1:89" s="2" customFormat="1" x14ac:dyDescent="0.25">
      <c r="A14" s="61" t="s">
        <v>352</v>
      </c>
      <c r="B14" s="61">
        <v>4019</v>
      </c>
      <c r="C14" s="61" t="s">
        <v>66</v>
      </c>
      <c r="D14" s="61" t="s">
        <v>353</v>
      </c>
      <c r="E14" s="30">
        <v>42511.246620370373</v>
      </c>
      <c r="F14" s="30">
        <v>42511.248171296298</v>
      </c>
      <c r="G14" s="38">
        <v>2</v>
      </c>
      <c r="H14" s="30" t="s">
        <v>354</v>
      </c>
      <c r="I14" s="30">
        <v>42511.277395833335</v>
      </c>
      <c r="J14" s="61">
        <v>0</v>
      </c>
      <c r="K14" s="61" t="str">
        <f t="shared" si="17"/>
        <v>4019/4020</v>
      </c>
      <c r="L14" s="61" t="str">
        <f>VLOOKUP(A14,'Trips&amp;Operators'!$C$1:$E$9999,3,FALSE)</f>
        <v>GEBRETEKLE</v>
      </c>
      <c r="M14" s="12">
        <f t="shared" si="18"/>
        <v>2.9224537036498077E-2</v>
      </c>
      <c r="N14" s="13">
        <f t="shared" si="5"/>
        <v>42.083333332557231</v>
      </c>
      <c r="O14" s="13"/>
      <c r="P14" s="13"/>
      <c r="Q14" s="62"/>
      <c r="R14" s="62"/>
      <c r="T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05:54:08-0600',mode:absolute,to:'2016-05-21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20"/>
        <v>N</v>
      </c>
      <c r="V14" s="74">
        <f t="shared" si="21"/>
        <v>1</v>
      </c>
      <c r="W14" s="74">
        <f t="shared" si="22"/>
        <v>23.3</v>
      </c>
      <c r="X14" s="74">
        <f t="shared" si="23"/>
        <v>0.18779999999999999</v>
      </c>
      <c r="Y14" s="74">
        <f t="shared" si="24"/>
        <v>23.112200000000001</v>
      </c>
      <c r="Z14" s="75" t="e">
        <f>VLOOKUP(A14,Enforcements!$C$3:$J$56,8,0)</f>
        <v>#N/A</v>
      </c>
      <c r="AA14" s="75" t="e">
        <f>VLOOKUP(A14,Enforcements!$C$3:$J$56,3,0)</f>
        <v>#N/A</v>
      </c>
    </row>
    <row r="15" spans="1:89" s="2" customFormat="1" x14ac:dyDescent="0.25">
      <c r="A15" s="61" t="s">
        <v>355</v>
      </c>
      <c r="B15" s="61">
        <v>4025</v>
      </c>
      <c r="C15" s="61" t="s">
        <v>66</v>
      </c>
      <c r="D15" s="61" t="s">
        <v>346</v>
      </c>
      <c r="E15" s="30">
        <v>42511.210752314815</v>
      </c>
      <c r="F15" s="30">
        <v>42511.212384259263</v>
      </c>
      <c r="G15" s="38">
        <v>2</v>
      </c>
      <c r="H15" s="30" t="s">
        <v>328</v>
      </c>
      <c r="I15" s="30">
        <v>42511.252858796295</v>
      </c>
      <c r="J15" s="61">
        <v>0</v>
      </c>
      <c r="K15" s="61" t="str">
        <f t="shared" si="17"/>
        <v>4025/4026</v>
      </c>
      <c r="L15" s="61" t="str">
        <f>VLOOKUP(A15,'Trips&amp;Operators'!$C$1:$E$9999,3,FALSE)</f>
        <v>LEVIN</v>
      </c>
      <c r="M15" s="12">
        <f t="shared" si="18"/>
        <v>4.0474537032423541E-2</v>
      </c>
      <c r="N15" s="13">
        <f t="shared" si="5"/>
        <v>58.283333326689899</v>
      </c>
      <c r="O15" s="13"/>
      <c r="P15" s="13"/>
      <c r="Q15" s="62"/>
      <c r="R15" s="62"/>
      <c r="T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05:02:29-0600',mode:absolute,to:'2016-05-21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" s="74" t="str">
        <f t="shared" si="20"/>
        <v>N</v>
      </c>
      <c r="V15" s="74">
        <f t="shared" si="21"/>
        <v>1</v>
      </c>
      <c r="W15" s="74">
        <f t="shared" si="22"/>
        <v>4.3799999999999999E-2</v>
      </c>
      <c r="X15" s="74">
        <f t="shared" si="23"/>
        <v>23.329699999999999</v>
      </c>
      <c r="Y15" s="74">
        <f t="shared" si="24"/>
        <v>23.285899999999998</v>
      </c>
      <c r="Z15" s="75" t="e">
        <f>VLOOKUP(A15,Enforcements!$C$3:$J$56,8,0)</f>
        <v>#N/A</v>
      </c>
      <c r="AA15" s="75" t="e">
        <f>VLOOKUP(A15,Enforcements!$C$3:$J$56,3,0)</f>
        <v>#N/A</v>
      </c>
    </row>
    <row r="16" spans="1:89" s="2" customFormat="1" x14ac:dyDescent="0.25">
      <c r="A16" s="61" t="s">
        <v>356</v>
      </c>
      <c r="B16" s="61">
        <v>4026</v>
      </c>
      <c r="C16" s="61" t="s">
        <v>66</v>
      </c>
      <c r="D16" s="61" t="s">
        <v>321</v>
      </c>
      <c r="E16" s="30">
        <v>42511.255902777775</v>
      </c>
      <c r="F16" s="30">
        <v>42511.256701388891</v>
      </c>
      <c r="G16" s="38">
        <v>1</v>
      </c>
      <c r="H16" s="30" t="s">
        <v>104</v>
      </c>
      <c r="I16" s="30">
        <v>42511.2890625</v>
      </c>
      <c r="J16" s="61">
        <v>0</v>
      </c>
      <c r="K16" s="61" t="str">
        <f t="shared" si="17"/>
        <v>4025/4026</v>
      </c>
      <c r="L16" s="61" t="str">
        <f>VLOOKUP(A16,'Trips&amp;Operators'!$C$1:$E$9999,3,FALSE)</f>
        <v>LEVIN</v>
      </c>
      <c r="M16" s="12">
        <f t="shared" si="18"/>
        <v>3.2361111108912155E-2</v>
      </c>
      <c r="N16" s="13">
        <f t="shared" si="5"/>
        <v>46.599999996833503</v>
      </c>
      <c r="O16" s="13"/>
      <c r="P16" s="13"/>
      <c r="Q16" s="62"/>
      <c r="R16" s="62"/>
      <c r="T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06:07:30-0600',mode:absolute,to:'2016-05-21 06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6" s="74" t="str">
        <f t="shared" si="20"/>
        <v>N</v>
      </c>
      <c r="V16" s="74">
        <f t="shared" si="21"/>
        <v>1</v>
      </c>
      <c r="W16" s="74">
        <f t="shared" si="22"/>
        <v>23.298200000000001</v>
      </c>
      <c r="X16" s="74">
        <f t="shared" si="23"/>
        <v>1.5800000000000002E-2</v>
      </c>
      <c r="Y16" s="74">
        <f t="shared" si="24"/>
        <v>23.282400000000003</v>
      </c>
      <c r="Z16" s="75" t="e">
        <f>VLOOKUP(A16,Enforcements!$C$3:$J$56,8,0)</f>
        <v>#N/A</v>
      </c>
      <c r="AA16" s="75" t="e">
        <f>VLOOKUP(A16,Enforcements!$C$3:$J$56,3,0)</f>
        <v>#N/A</v>
      </c>
    </row>
    <row r="17" spans="1:27" s="2" customFormat="1" x14ac:dyDescent="0.25">
      <c r="A17" s="61" t="s">
        <v>357</v>
      </c>
      <c r="B17" s="61">
        <v>4002</v>
      </c>
      <c r="C17" s="61" t="s">
        <v>66</v>
      </c>
      <c r="D17" s="61" t="s">
        <v>358</v>
      </c>
      <c r="E17" s="30">
        <v>42511.237858796296</v>
      </c>
      <c r="F17" s="30">
        <v>42511.238611111112</v>
      </c>
      <c r="G17" s="38">
        <v>1</v>
      </c>
      <c r="H17" s="30" t="s">
        <v>359</v>
      </c>
      <c r="I17" s="30">
        <v>42511.264085648145</v>
      </c>
      <c r="J17" s="61">
        <v>0</v>
      </c>
      <c r="K17" s="61" t="str">
        <f t="shared" si="17"/>
        <v>4001/4002</v>
      </c>
      <c r="L17" s="61" t="str">
        <f>VLOOKUP(A17,'Trips&amp;Operators'!$C$1:$E$9999,3,FALSE)</f>
        <v>YANAI</v>
      </c>
      <c r="M17" s="12">
        <f t="shared" si="18"/>
        <v>2.5474537033005618E-2</v>
      </c>
      <c r="N17" s="13"/>
      <c r="O17" s="13"/>
      <c r="P17" s="13">
        <f t="shared" si="5"/>
        <v>36.683333327528089</v>
      </c>
      <c r="Q17" s="62" t="s">
        <v>598</v>
      </c>
      <c r="R17" s="62" t="s">
        <v>600</v>
      </c>
      <c r="T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05:41:31-0600',mode:absolute,to:'2016-05-21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7" s="74" t="str">
        <f t="shared" si="20"/>
        <v>Y</v>
      </c>
      <c r="V17" s="74">
        <f t="shared" si="21"/>
        <v>1</v>
      </c>
      <c r="W17" s="74">
        <f t="shared" si="22"/>
        <v>1.9118999999999999</v>
      </c>
      <c r="X17" s="74">
        <f t="shared" si="23"/>
        <v>23.3066</v>
      </c>
      <c r="Y17" s="74">
        <f t="shared" si="24"/>
        <v>21.3947</v>
      </c>
      <c r="Z17" s="75" t="e">
        <f>VLOOKUP(A17,Enforcements!$C$3:$J$56,8,0)</f>
        <v>#N/A</v>
      </c>
      <c r="AA17" s="75" t="e">
        <f>VLOOKUP(A17,Enforcements!$C$3:$J$56,3,0)</f>
        <v>#N/A</v>
      </c>
    </row>
    <row r="18" spans="1:27" s="2" customFormat="1" x14ac:dyDescent="0.25">
      <c r="A18" s="61" t="s">
        <v>360</v>
      </c>
      <c r="B18" s="61">
        <v>4001</v>
      </c>
      <c r="C18" s="61" t="s">
        <v>66</v>
      </c>
      <c r="D18" s="61" t="s">
        <v>361</v>
      </c>
      <c r="E18" s="30">
        <v>42511.266111111108</v>
      </c>
      <c r="F18" s="30">
        <v>42511.267083333332</v>
      </c>
      <c r="G18" s="38">
        <v>1</v>
      </c>
      <c r="H18" s="30" t="s">
        <v>155</v>
      </c>
      <c r="I18" s="30">
        <v>42511.29650462963</v>
      </c>
      <c r="J18" s="61">
        <v>0</v>
      </c>
      <c r="K18" s="61" t="str">
        <f t="shared" si="17"/>
        <v>4001/4002</v>
      </c>
      <c r="L18" s="61" t="str">
        <f>VLOOKUP(A18,'Trips&amp;Operators'!$C$1:$E$9999,3,FALSE)</f>
        <v>YANAI</v>
      </c>
      <c r="M18" s="12">
        <f t="shared" si="18"/>
        <v>2.9421296298096422E-2</v>
      </c>
      <c r="N18" s="13">
        <f t="shared" si="5"/>
        <v>42.366666669258848</v>
      </c>
      <c r="O18" s="13"/>
      <c r="P18" s="13"/>
      <c r="Q18" s="62"/>
      <c r="R18" s="62"/>
      <c r="T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06:22:12-0600',mode:absolute,to:'2016-05-21 07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8" s="74" t="str">
        <f t="shared" si="20"/>
        <v>N</v>
      </c>
      <c r="V18" s="74">
        <f t="shared" si="21"/>
        <v>1</v>
      </c>
      <c r="W18" s="74">
        <f t="shared" si="22"/>
        <v>23.290199999999999</v>
      </c>
      <c r="X18" s="74">
        <f t="shared" si="23"/>
        <v>1.43E-2</v>
      </c>
      <c r="Y18" s="74">
        <f t="shared" si="24"/>
        <v>23.2759</v>
      </c>
      <c r="Z18" s="75" t="e">
        <f>VLOOKUP(A18,Enforcements!$C$3:$J$56,8,0)</f>
        <v>#N/A</v>
      </c>
      <c r="AA18" s="75" t="e">
        <f>VLOOKUP(A18,Enforcements!$C$3:$J$56,3,0)</f>
        <v>#N/A</v>
      </c>
    </row>
    <row r="19" spans="1:27" s="2" customFormat="1" x14ac:dyDescent="0.25">
      <c r="A19" s="61" t="s">
        <v>362</v>
      </c>
      <c r="B19" s="61">
        <v>4009</v>
      </c>
      <c r="C19" s="61" t="s">
        <v>66</v>
      </c>
      <c r="D19" s="61" t="s">
        <v>165</v>
      </c>
      <c r="E19" s="30">
        <v>42511.233854166669</v>
      </c>
      <c r="F19" s="30">
        <v>42511.235127314816</v>
      </c>
      <c r="G19" s="38">
        <v>1</v>
      </c>
      <c r="H19" s="30" t="s">
        <v>363</v>
      </c>
      <c r="I19" s="30">
        <v>42511.267523148148</v>
      </c>
      <c r="J19" s="61">
        <v>0</v>
      </c>
      <c r="K19" s="61" t="str">
        <f t="shared" si="17"/>
        <v>4009/4010</v>
      </c>
      <c r="L19" s="61" t="str">
        <f>VLOOKUP(A19,'Trips&amp;Operators'!$C$1:$E$9999,3,FALSE)</f>
        <v>STURGEON</v>
      </c>
      <c r="M19" s="12">
        <f t="shared" si="18"/>
        <v>3.2395833331975155E-2</v>
      </c>
      <c r="N19" s="13">
        <f t="shared" si="5"/>
        <v>46.649999998044223</v>
      </c>
      <c r="O19" s="13"/>
      <c r="P19" s="13"/>
      <c r="Q19" s="62"/>
      <c r="R19" s="62"/>
      <c r="T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05:35:45-0600',mode:absolute,to:'2016-05-21 06:26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4" t="str">
        <f t="shared" si="20"/>
        <v>N</v>
      </c>
      <c r="V19" s="74">
        <f t="shared" si="21"/>
        <v>1</v>
      </c>
      <c r="W19" s="74">
        <f t="shared" si="22"/>
        <v>4.8399999999999999E-2</v>
      </c>
      <c r="X19" s="74">
        <f t="shared" si="23"/>
        <v>23.322800000000001</v>
      </c>
      <c r="Y19" s="74">
        <f t="shared" si="24"/>
        <v>23.2744</v>
      </c>
      <c r="Z19" s="75" t="e">
        <f>VLOOKUP(A19,Enforcements!$C$3:$J$56,8,0)</f>
        <v>#N/A</v>
      </c>
      <c r="AA19" s="75" t="e">
        <f>VLOOKUP(A19,Enforcements!$C$3:$J$56,3,0)</f>
        <v>#N/A</v>
      </c>
    </row>
    <row r="20" spans="1:27" s="2" customFormat="1" x14ac:dyDescent="0.25">
      <c r="A20" s="61" t="s">
        <v>364</v>
      </c>
      <c r="B20" s="61">
        <v>4010</v>
      </c>
      <c r="C20" s="61" t="s">
        <v>66</v>
      </c>
      <c r="D20" s="61" t="s">
        <v>365</v>
      </c>
      <c r="E20" s="30">
        <v>42511.272094907406</v>
      </c>
      <c r="F20" s="30">
        <v>42511.273252314815</v>
      </c>
      <c r="G20" s="38">
        <v>1</v>
      </c>
      <c r="H20" s="30" t="s">
        <v>315</v>
      </c>
      <c r="I20" s="30">
        <v>42511.316180555557</v>
      </c>
      <c r="J20" s="61">
        <v>0</v>
      </c>
      <c r="K20" s="61" t="str">
        <f t="shared" si="17"/>
        <v>4009/4010</v>
      </c>
      <c r="L20" s="61" t="str">
        <f>VLOOKUP(A20,'Trips&amp;Operators'!$C$1:$E$9999,3,FALSE)</f>
        <v>STURGEON</v>
      </c>
      <c r="M20" s="12">
        <f t="shared" si="18"/>
        <v>4.2928240742185153E-2</v>
      </c>
      <c r="N20" s="13">
        <f t="shared" si="5"/>
        <v>61.81666666874662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06:30:49-0600',mode:absolute,to:'2016-05-21 07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23.29</v>
      </c>
      <c r="X20" s="74">
        <f t="shared" si="23"/>
        <v>1.8100000000000002E-2</v>
      </c>
      <c r="Y20" s="74">
        <f t="shared" si="24"/>
        <v>23.271899999999999</v>
      </c>
      <c r="Z20" s="75" t="e">
        <f>VLOOKUP(A20,Enforcements!$C$3:$J$56,8,0)</f>
        <v>#N/A</v>
      </c>
      <c r="AA20" s="75" t="e">
        <f>VLOOKUP(A20,Enforcements!$C$3:$J$56,3,0)</f>
        <v>#N/A</v>
      </c>
    </row>
    <row r="21" spans="1:27" s="2" customFormat="1" x14ac:dyDescent="0.25">
      <c r="A21" s="61" t="s">
        <v>366</v>
      </c>
      <c r="B21" s="61">
        <v>4044</v>
      </c>
      <c r="C21" s="61" t="s">
        <v>66</v>
      </c>
      <c r="D21" s="61" t="s">
        <v>367</v>
      </c>
      <c r="E21" s="30">
        <v>42511.252789351849</v>
      </c>
      <c r="F21" s="30">
        <v>42511.253564814811</v>
      </c>
      <c r="G21" s="38">
        <v>1</v>
      </c>
      <c r="H21" s="30" t="s">
        <v>98</v>
      </c>
      <c r="I21" s="30">
        <v>42511.282592592594</v>
      </c>
      <c r="J21" s="61">
        <v>1</v>
      </c>
      <c r="K21" s="61" t="str">
        <f t="shared" si="17"/>
        <v>4043/4044</v>
      </c>
      <c r="L21" s="61" t="str">
        <f>VLOOKUP(A21,'Trips&amp;Operators'!$C$1:$E$9999,3,FALSE)</f>
        <v>LEDERHAUSE</v>
      </c>
      <c r="M21" s="12">
        <f t="shared" si="18"/>
        <v>2.902777778217569E-2</v>
      </c>
      <c r="N21" s="13">
        <f t="shared" si="5"/>
        <v>41.800000006332994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8.3000000000000004E-2</v>
      </c>
      <c r="X21" s="74">
        <f t="shared" si="23"/>
        <v>23.331499999999998</v>
      </c>
      <c r="Y21" s="74">
        <f t="shared" si="24"/>
        <v>23.2485</v>
      </c>
      <c r="Z21" s="75">
        <f>VLOOKUP(A21,Enforcements!$C$3:$J$56,8,0)</f>
        <v>27052</v>
      </c>
      <c r="AA21" s="75" t="str">
        <f>VLOOKUP(A21,Enforcements!$C$3:$J$56,3,0)</f>
        <v>GRADE CROSSING</v>
      </c>
    </row>
    <row r="22" spans="1:27" s="2" customFormat="1" x14ac:dyDescent="0.25">
      <c r="A22" s="61" t="s">
        <v>368</v>
      </c>
      <c r="B22" s="61">
        <v>4043</v>
      </c>
      <c r="C22" s="61" t="s">
        <v>66</v>
      </c>
      <c r="D22" s="61" t="s">
        <v>369</v>
      </c>
      <c r="E22" s="30">
        <v>42511.286828703705</v>
      </c>
      <c r="F22" s="30">
        <v>42511.287824074076</v>
      </c>
      <c r="G22" s="38">
        <v>1</v>
      </c>
      <c r="H22" s="30" t="s">
        <v>82</v>
      </c>
      <c r="I22" s="30">
        <v>42511.321516203701</v>
      </c>
      <c r="J22" s="61">
        <v>0</v>
      </c>
      <c r="K22" s="61" t="str">
        <f t="shared" si="17"/>
        <v>4043/4044</v>
      </c>
      <c r="L22" s="61" t="str">
        <f>VLOOKUP(A22,'Trips&amp;Operators'!$C$1:$E$9999,3,FALSE)</f>
        <v>LEDERHAUSE</v>
      </c>
      <c r="M22" s="12">
        <f t="shared" si="18"/>
        <v>3.3692129625706002E-2</v>
      </c>
      <c r="N22" s="13">
        <f t="shared" si="5"/>
        <v>48.516666661016643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06:52:02-0600',mode:absolute,to:'2016-05-21 07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2" s="74" t="str">
        <f t="shared" si="20"/>
        <v>N</v>
      </c>
      <c r="V22" s="74">
        <f t="shared" si="21"/>
        <v>1</v>
      </c>
      <c r="W22" s="74">
        <f t="shared" si="22"/>
        <v>23.299800000000001</v>
      </c>
      <c r="X22" s="74">
        <f t="shared" si="23"/>
        <v>1.52E-2</v>
      </c>
      <c r="Y22" s="74">
        <f t="shared" si="24"/>
        <v>23.284600000000001</v>
      </c>
      <c r="Z22" s="75" t="e">
        <f>VLOOKUP(A22,Enforcements!$C$3:$J$56,8,0)</f>
        <v>#N/A</v>
      </c>
      <c r="AA22" s="75" t="e">
        <f>VLOOKUP(A22,Enforcements!$C$3:$J$56,3,0)</f>
        <v>#N/A</v>
      </c>
    </row>
    <row r="23" spans="1:27" s="2" customFormat="1" x14ac:dyDescent="0.25">
      <c r="A23" s="61" t="s">
        <v>370</v>
      </c>
      <c r="B23" s="61">
        <v>4024</v>
      </c>
      <c r="C23" s="61" t="s">
        <v>66</v>
      </c>
      <c r="D23" s="61" t="s">
        <v>78</v>
      </c>
      <c r="E23" s="30">
        <v>42511.259270833332</v>
      </c>
      <c r="F23" s="30">
        <v>42511.260416666664</v>
      </c>
      <c r="G23" s="38">
        <v>1</v>
      </c>
      <c r="H23" s="30" t="s">
        <v>371</v>
      </c>
      <c r="I23" s="30">
        <v>42511.292812500003</v>
      </c>
      <c r="J23" s="61">
        <v>0</v>
      </c>
      <c r="K23" s="61" t="str">
        <f t="shared" si="17"/>
        <v>4023/4024</v>
      </c>
      <c r="L23" s="61" t="str">
        <f>VLOOKUP(A23,'Trips&amp;Operators'!$C$1:$E$9999,3,FALSE)</f>
        <v>SANTIZO</v>
      </c>
      <c r="M23" s="12">
        <f t="shared" si="18"/>
        <v>3.2395833339251112E-2</v>
      </c>
      <c r="N23" s="13">
        <f t="shared" si="5"/>
        <v>46.650000008521602</v>
      </c>
      <c r="O23" s="13"/>
      <c r="P23" s="13"/>
      <c r="Q23" s="62"/>
      <c r="R23" s="62"/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06:12:21-0600',mode:absolute,to:'2016-05-21 07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3" s="74" t="str">
        <f t="shared" si="20"/>
        <v>N</v>
      </c>
      <c r="V23" s="74">
        <f t="shared" si="21"/>
        <v>1</v>
      </c>
      <c r="W23" s="74">
        <f t="shared" si="22"/>
        <v>4.5499999999999999E-2</v>
      </c>
      <c r="X23" s="74">
        <f t="shared" si="23"/>
        <v>23.328800000000001</v>
      </c>
      <c r="Y23" s="74">
        <f t="shared" si="24"/>
        <v>23.283300000000001</v>
      </c>
      <c r="Z23" s="75" t="e">
        <f>VLOOKUP(A23,Enforcements!$C$3:$J$56,8,0)</f>
        <v>#N/A</v>
      </c>
      <c r="AA23" s="75" t="e">
        <f>VLOOKUP(A23,Enforcements!$C$3:$J$56,3,0)</f>
        <v>#N/A</v>
      </c>
    </row>
    <row r="24" spans="1:27" s="2" customFormat="1" x14ac:dyDescent="0.25">
      <c r="A24" s="61" t="s">
        <v>372</v>
      </c>
      <c r="B24" s="61">
        <v>4023</v>
      </c>
      <c r="C24" s="61" t="s">
        <v>66</v>
      </c>
      <c r="D24" s="61" t="s">
        <v>95</v>
      </c>
      <c r="E24" s="30">
        <v>42511.296863425923</v>
      </c>
      <c r="F24" s="30">
        <v>42511.29787037037</v>
      </c>
      <c r="G24" s="38">
        <v>1</v>
      </c>
      <c r="H24" s="30" t="s">
        <v>94</v>
      </c>
      <c r="I24" s="30">
        <v>42511.329456018517</v>
      </c>
      <c r="J24" s="61">
        <v>0</v>
      </c>
      <c r="K24" s="61" t="str">
        <f t="shared" si="17"/>
        <v>4023/4024</v>
      </c>
      <c r="L24" s="61" t="str">
        <f>VLOOKUP(A24,'Trips&amp;Operators'!$C$1:$E$9999,3,FALSE)</f>
        <v>SANTIZO</v>
      </c>
      <c r="M24" s="12">
        <f t="shared" si="18"/>
        <v>3.1585648146574385E-2</v>
      </c>
      <c r="N24" s="13">
        <f t="shared" si="5"/>
        <v>45.483333331067115</v>
      </c>
      <c r="O24" s="13"/>
      <c r="P24" s="13"/>
      <c r="Q24" s="62"/>
      <c r="R24" s="62"/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07:06:29-0600',mode:absolute,to:'2016-05-21 07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4" s="74" t="str">
        <f t="shared" si="20"/>
        <v>N</v>
      </c>
      <c r="V24" s="74">
        <f t="shared" si="21"/>
        <v>1</v>
      </c>
      <c r="W24" s="74">
        <f t="shared" si="22"/>
        <v>23.297499999999999</v>
      </c>
      <c r="X24" s="74">
        <f t="shared" si="23"/>
        <v>1.4999999999999999E-2</v>
      </c>
      <c r="Y24" s="74">
        <f t="shared" si="24"/>
        <v>23.282499999999999</v>
      </c>
      <c r="Z24" s="75" t="e">
        <f>VLOOKUP(A24,Enforcements!$C$3:$J$56,8,0)</f>
        <v>#N/A</v>
      </c>
      <c r="AA24" s="75" t="e">
        <f>VLOOKUP(A24,Enforcements!$C$3:$J$56,3,0)</f>
        <v>#N/A</v>
      </c>
    </row>
    <row r="25" spans="1:27" s="2" customFormat="1" x14ac:dyDescent="0.25">
      <c r="A25" s="61" t="s">
        <v>373</v>
      </c>
      <c r="B25" s="61">
        <v>4014</v>
      </c>
      <c r="C25" s="61" t="s">
        <v>66</v>
      </c>
      <c r="D25" s="61" t="s">
        <v>374</v>
      </c>
      <c r="E25" s="30">
        <v>42511.268159722225</v>
      </c>
      <c r="F25" s="30">
        <v>42511.26902777778</v>
      </c>
      <c r="G25" s="38">
        <v>1</v>
      </c>
      <c r="H25" s="30" t="s">
        <v>152</v>
      </c>
      <c r="I25" s="30">
        <v>42511.296631944446</v>
      </c>
      <c r="J25" s="61">
        <v>0</v>
      </c>
      <c r="K25" s="61" t="str">
        <f t="shared" si="17"/>
        <v>4013/4014</v>
      </c>
      <c r="L25" s="61" t="str">
        <f>VLOOKUP(A25,'Trips&amp;Operators'!$C$1:$E$9999,3,FALSE)</f>
        <v>ROCHA</v>
      </c>
      <c r="M25" s="12">
        <f t="shared" si="18"/>
        <v>2.7604166665696539E-2</v>
      </c>
      <c r="N25" s="13">
        <f t="shared" si="5"/>
        <v>39.749999998603016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0.125</v>
      </c>
      <c r="X25" s="74">
        <f t="shared" si="23"/>
        <v>23.330400000000001</v>
      </c>
      <c r="Y25" s="74">
        <f t="shared" si="24"/>
        <v>23.205400000000001</v>
      </c>
      <c r="Z25" s="75">
        <f>VLOOKUP(A25,Enforcements!$C$3:$J$56,8,0)</f>
        <v>233491</v>
      </c>
      <c r="AA25" s="75" t="str">
        <f>VLOOKUP(A25,Enforcements!$C$3:$J$56,3,0)</f>
        <v>TRACK WARRANT AUTHORITY</v>
      </c>
    </row>
    <row r="26" spans="1:27" s="2" customFormat="1" x14ac:dyDescent="0.25">
      <c r="A26" s="61" t="s">
        <v>375</v>
      </c>
      <c r="B26" s="61">
        <v>4013</v>
      </c>
      <c r="C26" s="61" t="s">
        <v>66</v>
      </c>
      <c r="D26" s="61" t="s">
        <v>376</v>
      </c>
      <c r="E26" s="30">
        <v>42511.306527777779</v>
      </c>
      <c r="F26" s="30">
        <v>42511.307928240742</v>
      </c>
      <c r="G26" s="38">
        <v>2</v>
      </c>
      <c r="H26" s="30" t="s">
        <v>94</v>
      </c>
      <c r="I26" s="30">
        <v>42511.338587962964</v>
      </c>
      <c r="J26" s="61">
        <v>0</v>
      </c>
      <c r="K26" s="61" t="str">
        <f t="shared" si="17"/>
        <v>4013/4014</v>
      </c>
      <c r="L26" s="61" t="str">
        <f>VLOOKUP(A26,'Trips&amp;Operators'!$C$1:$E$9999,3,FALSE)</f>
        <v>ROCHA</v>
      </c>
      <c r="M26" s="12">
        <f t="shared" si="18"/>
        <v>3.0659722222480923E-2</v>
      </c>
      <c r="N26" s="13">
        <f t="shared" si="5"/>
        <v>44.150000000372529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07:20:24-0600',mode:absolute,to:'2016-05-21 08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23.297599999999999</v>
      </c>
      <c r="X26" s="74">
        <f t="shared" si="23"/>
        <v>1.4999999999999999E-2</v>
      </c>
      <c r="Y26" s="74">
        <f t="shared" si="24"/>
        <v>23.282599999999999</v>
      </c>
      <c r="Z26" s="75" t="e">
        <f>VLOOKUP(A26,Enforcements!$C$3:$J$56,8,0)</f>
        <v>#N/A</v>
      </c>
      <c r="AA26" s="75" t="e">
        <f>VLOOKUP(A26,Enforcements!$C$3:$J$56,3,0)</f>
        <v>#N/A</v>
      </c>
    </row>
    <row r="27" spans="1:27" s="2" customFormat="1" x14ac:dyDescent="0.25">
      <c r="A27" s="61" t="s">
        <v>377</v>
      </c>
      <c r="B27" s="61">
        <v>4031</v>
      </c>
      <c r="C27" s="61" t="s">
        <v>66</v>
      </c>
      <c r="D27" s="61" t="s">
        <v>378</v>
      </c>
      <c r="E27" s="30">
        <v>42511.280821759261</v>
      </c>
      <c r="F27" s="30">
        <v>42511.282280092593</v>
      </c>
      <c r="G27" s="38">
        <v>2</v>
      </c>
      <c r="H27" s="30" t="s">
        <v>379</v>
      </c>
      <c r="I27" s="30">
        <v>42511.313981481479</v>
      </c>
      <c r="J27" s="61">
        <v>1</v>
      </c>
      <c r="K27" s="61" t="str">
        <f t="shared" si="17"/>
        <v>4031/4032</v>
      </c>
      <c r="L27" s="61" t="str">
        <f>VLOOKUP(A27,'Trips&amp;Operators'!$C$1:$E$9999,3,FALSE)</f>
        <v>GEBRETEKLE</v>
      </c>
      <c r="M27" s="12">
        <f t="shared" si="18"/>
        <v>3.1701388885267079E-2</v>
      </c>
      <c r="N27" s="13">
        <f t="shared" si="5"/>
        <v>45.649999994784594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4.9700000000000001E-2</v>
      </c>
      <c r="X27" s="74">
        <f t="shared" si="23"/>
        <v>23.324100000000001</v>
      </c>
      <c r="Y27" s="74">
        <f t="shared" si="24"/>
        <v>23.2744</v>
      </c>
      <c r="Z27" s="75">
        <f>VLOOKUP(A27,Enforcements!$C$3:$J$56,8,0)</f>
        <v>27333</v>
      </c>
      <c r="AA27" s="75" t="str">
        <f>VLOOKUP(A27,Enforcements!$C$3:$J$56,3,0)</f>
        <v>PERMANENT SPEED RESTRICTION</v>
      </c>
    </row>
    <row r="28" spans="1:27" s="2" customFormat="1" x14ac:dyDescent="0.25">
      <c r="A28" s="61" t="s">
        <v>380</v>
      </c>
      <c r="B28" s="61">
        <v>4032</v>
      </c>
      <c r="C28" s="61" t="s">
        <v>66</v>
      </c>
      <c r="D28" s="61" t="s">
        <v>381</v>
      </c>
      <c r="E28" s="30">
        <v>42511.317141203705</v>
      </c>
      <c r="F28" s="30">
        <v>42511.31832175926</v>
      </c>
      <c r="G28" s="38">
        <v>1</v>
      </c>
      <c r="H28" s="30" t="s">
        <v>382</v>
      </c>
      <c r="I28" s="30">
        <v>42511.351354166669</v>
      </c>
      <c r="J28" s="61">
        <v>0</v>
      </c>
      <c r="K28" s="61" t="str">
        <f t="shared" si="17"/>
        <v>4031/4032</v>
      </c>
      <c r="L28" s="61" t="str">
        <f>VLOOKUP(A28,'Trips&amp;Operators'!$C$1:$E$9999,3,FALSE)</f>
        <v>GEBRETEKLE</v>
      </c>
      <c r="M28" s="12">
        <f t="shared" si="18"/>
        <v>3.3032407409336884E-2</v>
      </c>
      <c r="N28" s="13">
        <f t="shared" si="5"/>
        <v>47.566666669445112</v>
      </c>
      <c r="O28" s="13"/>
      <c r="P28" s="13"/>
      <c r="Q28" s="62"/>
      <c r="R28" s="62"/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07:35:41-0600',mode:absolute,to:'2016-05-21 08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8" s="74" t="str">
        <f t="shared" si="20"/>
        <v>N</v>
      </c>
      <c r="V28" s="74">
        <f t="shared" si="21"/>
        <v>1</v>
      </c>
      <c r="W28" s="74">
        <f t="shared" si="22"/>
        <v>23.2927</v>
      </c>
      <c r="X28" s="74">
        <f t="shared" si="23"/>
        <v>1.7399999999999999E-2</v>
      </c>
      <c r="Y28" s="74">
        <f t="shared" si="24"/>
        <v>23.275300000000001</v>
      </c>
      <c r="Z28" s="75" t="e">
        <f>VLOOKUP(A28,Enforcements!$C$3:$J$56,8,0)</f>
        <v>#N/A</v>
      </c>
      <c r="AA28" s="75" t="e">
        <f>VLOOKUP(A28,Enforcements!$C$3:$J$56,3,0)</f>
        <v>#N/A</v>
      </c>
    </row>
    <row r="29" spans="1:27" s="2" customFormat="1" x14ac:dyDescent="0.25">
      <c r="A29" s="61" t="s">
        <v>383</v>
      </c>
      <c r="B29" s="61">
        <v>4025</v>
      </c>
      <c r="C29" s="61" t="s">
        <v>66</v>
      </c>
      <c r="D29" s="61" t="s">
        <v>149</v>
      </c>
      <c r="E29" s="30">
        <v>42511.290462962963</v>
      </c>
      <c r="F29" s="30">
        <v>42511.291400462964</v>
      </c>
      <c r="G29" s="38">
        <v>1</v>
      </c>
      <c r="H29" s="30" t="s">
        <v>98</v>
      </c>
      <c r="I29" s="30">
        <v>42511.319722222222</v>
      </c>
      <c r="J29" s="61">
        <v>0</v>
      </c>
      <c r="K29" s="61" t="str">
        <f t="shared" si="17"/>
        <v>4025/4026</v>
      </c>
      <c r="L29" s="61" t="str">
        <f>VLOOKUP(A29,'Trips&amp;Operators'!$C$1:$E$9999,3,FALSE)</f>
        <v>LEVIN</v>
      </c>
      <c r="M29" s="12">
        <f t="shared" si="18"/>
        <v>2.8321759258687962E-2</v>
      </c>
      <c r="N29" s="13">
        <f t="shared" si="5"/>
        <v>40.783333332510665</v>
      </c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06:57:16-0600',mode:absolute,to:'2016-05-21 07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9" s="74" t="str">
        <f t="shared" si="20"/>
        <v>N</v>
      </c>
      <c r="V29" s="74">
        <f t="shared" si="21"/>
        <v>1</v>
      </c>
      <c r="W29" s="74">
        <f t="shared" si="22"/>
        <v>4.7300000000000002E-2</v>
      </c>
      <c r="X29" s="74">
        <f t="shared" si="23"/>
        <v>23.331499999999998</v>
      </c>
      <c r="Y29" s="74">
        <f t="shared" si="24"/>
        <v>23.284199999999998</v>
      </c>
      <c r="Z29" s="75" t="e">
        <f>VLOOKUP(A29,Enforcements!$C$3:$J$56,8,0)</f>
        <v>#N/A</v>
      </c>
      <c r="AA29" s="75" t="e">
        <f>VLOOKUP(A29,Enforcements!$C$3:$J$56,3,0)</f>
        <v>#N/A</v>
      </c>
    </row>
    <row r="30" spans="1:27" s="2" customFormat="1" x14ac:dyDescent="0.25">
      <c r="A30" s="61" t="s">
        <v>384</v>
      </c>
      <c r="B30" s="61">
        <v>4026</v>
      </c>
      <c r="C30" s="61" t="s">
        <v>66</v>
      </c>
      <c r="D30" s="61" t="s">
        <v>163</v>
      </c>
      <c r="E30" s="30">
        <v>42511.328877314816</v>
      </c>
      <c r="F30" s="30">
        <v>42511.32984953704</v>
      </c>
      <c r="G30" s="38">
        <v>1</v>
      </c>
      <c r="H30" s="30" t="s">
        <v>385</v>
      </c>
      <c r="I30" s="30">
        <v>42511.358067129629</v>
      </c>
      <c r="J30" s="61">
        <v>1</v>
      </c>
      <c r="K30" s="61" t="str">
        <f t="shared" si="17"/>
        <v>4025/4026</v>
      </c>
      <c r="L30" s="61" t="str">
        <f>VLOOKUP(A30,'Trips&amp;Operators'!$C$1:$E$9999,3,FALSE)</f>
        <v>LEVIN</v>
      </c>
      <c r="M30" s="12">
        <f t="shared" si="18"/>
        <v>2.8217592589498963E-2</v>
      </c>
      <c r="N30" s="13">
        <f t="shared" si="5"/>
        <v>40.633333328878507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23.298100000000002</v>
      </c>
      <c r="X30" s="74">
        <f t="shared" si="23"/>
        <v>3.2500000000000001E-2</v>
      </c>
      <c r="Y30" s="74">
        <f t="shared" si="24"/>
        <v>23.265600000000003</v>
      </c>
      <c r="Z30" s="75">
        <f>VLOOKUP(A30,Enforcements!$C$3:$J$56,8,0)</f>
        <v>1</v>
      </c>
      <c r="AA30" s="75" t="str">
        <f>VLOOKUP(A30,Enforcements!$C$3:$J$56,3,0)</f>
        <v>TRACK WARRANT AUTHORITY</v>
      </c>
    </row>
    <row r="31" spans="1:27" s="2" customFormat="1" x14ac:dyDescent="0.25">
      <c r="A31" s="61" t="s">
        <v>386</v>
      </c>
      <c r="B31" s="61">
        <v>4002</v>
      </c>
      <c r="C31" s="61" t="s">
        <v>66</v>
      </c>
      <c r="D31" s="61" t="s">
        <v>105</v>
      </c>
      <c r="E31" s="30">
        <v>42511.300891203704</v>
      </c>
      <c r="F31" s="30">
        <v>42511.303912037038</v>
      </c>
      <c r="G31" s="38">
        <v>4</v>
      </c>
      <c r="H31" s="30" t="s">
        <v>72</v>
      </c>
      <c r="I31" s="30">
        <v>42511.328935185185</v>
      </c>
      <c r="J31" s="61">
        <v>0</v>
      </c>
      <c r="K31" s="61" t="str">
        <f t="shared" si="17"/>
        <v>4001/4002</v>
      </c>
      <c r="L31" s="61" t="str">
        <f>VLOOKUP(A31,'Trips&amp;Operators'!$C$1:$E$9999,3,FALSE)</f>
        <v>YANAI</v>
      </c>
      <c r="M31" s="12">
        <f t="shared" si="18"/>
        <v>2.5023148147738539E-2</v>
      </c>
      <c r="N31" s="13">
        <f t="shared" si="5"/>
        <v>36.033333332743496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07:12:17-0600',mode:absolute,to:'2016-05-21 07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4.6699999999999998E-2</v>
      </c>
      <c r="X31" s="74">
        <f t="shared" si="23"/>
        <v>23.330300000000001</v>
      </c>
      <c r="Y31" s="74">
        <f t="shared" si="24"/>
        <v>23.2836</v>
      </c>
      <c r="Z31" s="75" t="e">
        <f>VLOOKUP(A31,Enforcements!$C$3:$J$56,8,0)</f>
        <v>#N/A</v>
      </c>
      <c r="AA31" s="75" t="e">
        <f>VLOOKUP(A31,Enforcements!$C$3:$J$56,3,0)</f>
        <v>#N/A</v>
      </c>
    </row>
    <row r="32" spans="1:27" s="2" customFormat="1" x14ac:dyDescent="0.25">
      <c r="A32" s="61" t="s">
        <v>387</v>
      </c>
      <c r="B32" s="61">
        <v>4001</v>
      </c>
      <c r="C32" s="61" t="s">
        <v>66</v>
      </c>
      <c r="D32" s="61" t="s">
        <v>321</v>
      </c>
      <c r="E32" s="30">
        <v>42511.338136574072</v>
      </c>
      <c r="F32" s="30">
        <v>42511.339120370372</v>
      </c>
      <c r="G32" s="38">
        <v>1</v>
      </c>
      <c r="H32" s="30" t="s">
        <v>126</v>
      </c>
      <c r="I32" s="30">
        <v>42511.369189814817</v>
      </c>
      <c r="J32" s="61">
        <v>0</v>
      </c>
      <c r="K32" s="61" t="str">
        <f t="shared" si="17"/>
        <v>4001/4002</v>
      </c>
      <c r="L32" s="61" t="str">
        <f>VLOOKUP(A32,'Trips&amp;Operators'!$C$1:$E$9999,3,FALSE)</f>
        <v>YANAI</v>
      </c>
      <c r="M32" s="12">
        <f t="shared" si="18"/>
        <v>3.0069444444961846E-2</v>
      </c>
      <c r="N32" s="13">
        <f t="shared" si="5"/>
        <v>43.300000000745058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08:05:55-0600',mode:absolute,to:'2016-05-21 08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23.298200000000001</v>
      </c>
      <c r="X32" s="74">
        <f t="shared" si="23"/>
        <v>1.6E-2</v>
      </c>
      <c r="Y32" s="74">
        <f t="shared" si="24"/>
        <v>23.282200000000003</v>
      </c>
      <c r="Z32" s="75" t="e">
        <f>VLOOKUP(A32,Enforcements!$C$3:$J$56,8,0)</f>
        <v>#N/A</v>
      </c>
      <c r="AA32" s="75" t="e">
        <f>VLOOKUP(A32,Enforcements!$C$3:$J$56,3,0)</f>
        <v>#N/A</v>
      </c>
    </row>
    <row r="33" spans="1:27" s="2" customFormat="1" x14ac:dyDescent="0.25">
      <c r="A33" s="61" t="s">
        <v>388</v>
      </c>
      <c r="B33" s="61">
        <v>4020</v>
      </c>
      <c r="C33" s="61" t="s">
        <v>66</v>
      </c>
      <c r="D33" s="61" t="s">
        <v>389</v>
      </c>
      <c r="E33" s="30">
        <v>42511.318622685183</v>
      </c>
      <c r="F33" s="30">
        <v>42511.319398148145</v>
      </c>
      <c r="G33" s="38">
        <v>1</v>
      </c>
      <c r="H33" s="30" t="s">
        <v>77</v>
      </c>
      <c r="I33" s="30">
        <v>42511.345543981479</v>
      </c>
      <c r="J33" s="61">
        <v>0</v>
      </c>
      <c r="K33" s="61" t="str">
        <f t="shared" si="17"/>
        <v>4019/4020</v>
      </c>
      <c r="L33" s="61" t="str">
        <f>VLOOKUP(A33,'Trips&amp;Operators'!$C$1:$E$9999,3,FALSE)</f>
        <v>COCA</v>
      </c>
      <c r="M33" s="12">
        <f t="shared" si="18"/>
        <v>2.6145833333430346E-2</v>
      </c>
      <c r="N33" s="13"/>
      <c r="O33" s="13"/>
      <c r="P33" s="13">
        <f t="shared" si="5"/>
        <v>37.650000000139698</v>
      </c>
      <c r="Q33" s="62" t="s">
        <v>598</v>
      </c>
      <c r="R33" s="62" t="s">
        <v>601</v>
      </c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07:37:49-0600',mode:absolute,to:'2016-05-21 08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4" t="str">
        <f t="shared" si="20"/>
        <v>Y</v>
      </c>
      <c r="V33" s="74">
        <f t="shared" si="21"/>
        <v>1</v>
      </c>
      <c r="W33" s="74">
        <f t="shared" si="22"/>
        <v>1.9137</v>
      </c>
      <c r="X33" s="74">
        <f t="shared" si="23"/>
        <v>23.3308</v>
      </c>
      <c r="Y33" s="74">
        <f t="shared" si="24"/>
        <v>21.417100000000001</v>
      </c>
      <c r="Z33" s="75" t="e">
        <f>VLOOKUP(A33,Enforcements!$C$3:$J$56,8,0)</f>
        <v>#N/A</v>
      </c>
      <c r="AA33" s="75" t="e">
        <f>VLOOKUP(A33,Enforcements!$C$3:$J$56,3,0)</f>
        <v>#N/A</v>
      </c>
    </row>
    <row r="34" spans="1:27" s="2" customFormat="1" x14ac:dyDescent="0.25">
      <c r="A34" s="61" t="s">
        <v>390</v>
      </c>
      <c r="B34" s="61">
        <v>4019</v>
      </c>
      <c r="C34" s="61" t="s">
        <v>66</v>
      </c>
      <c r="D34" s="61" t="s">
        <v>147</v>
      </c>
      <c r="E34" s="30">
        <v>42511.347824074073</v>
      </c>
      <c r="F34" s="30">
        <v>42511.349131944444</v>
      </c>
      <c r="G34" s="38">
        <v>1</v>
      </c>
      <c r="H34" s="30" t="s">
        <v>93</v>
      </c>
      <c r="I34" s="30">
        <v>42511.380891203706</v>
      </c>
      <c r="J34" s="61">
        <v>0</v>
      </c>
      <c r="K34" s="61" t="str">
        <f t="shared" si="17"/>
        <v>4019/4020</v>
      </c>
      <c r="L34" s="61" t="str">
        <f>VLOOKUP(A34,'Trips&amp;Operators'!$C$1:$E$9999,3,FALSE)</f>
        <v>COCA</v>
      </c>
      <c r="M34" s="12">
        <f t="shared" si="18"/>
        <v>3.1759259261889383E-2</v>
      </c>
      <c r="N34" s="13">
        <f t="shared" si="5"/>
        <v>45.733333337120712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08:19:52-0600',mode:absolute,to:'2016-05-21 09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23.299299999999999</v>
      </c>
      <c r="X34" s="74">
        <f t="shared" si="23"/>
        <v>1.41E-2</v>
      </c>
      <c r="Y34" s="74">
        <f t="shared" si="24"/>
        <v>23.2852</v>
      </c>
      <c r="Z34" s="75" t="e">
        <f>VLOOKUP(A34,Enforcements!$C$3:$J$56,8,0)</f>
        <v>#N/A</v>
      </c>
      <c r="AA34" s="75" t="e">
        <f>VLOOKUP(A34,Enforcements!$C$3:$J$56,3,0)</f>
        <v>#N/A</v>
      </c>
    </row>
    <row r="35" spans="1:27" s="2" customFormat="1" x14ac:dyDescent="0.25">
      <c r="A35" s="61" t="s">
        <v>391</v>
      </c>
      <c r="B35" s="61">
        <v>4044</v>
      </c>
      <c r="C35" s="61" t="s">
        <v>66</v>
      </c>
      <c r="D35" s="61" t="s">
        <v>392</v>
      </c>
      <c r="E35" s="30">
        <v>42511.322453703702</v>
      </c>
      <c r="F35" s="30">
        <v>42511.324108796296</v>
      </c>
      <c r="G35" s="38">
        <v>2</v>
      </c>
      <c r="H35" s="30" t="s">
        <v>393</v>
      </c>
      <c r="I35" s="30">
        <v>42511.331423611111</v>
      </c>
      <c r="J35" s="61">
        <v>0</v>
      </c>
      <c r="K35" s="61" t="str">
        <f t="shared" si="17"/>
        <v>4043/4044</v>
      </c>
      <c r="L35" s="61" t="str">
        <f>VLOOKUP(A35,'Trips&amp;Operators'!$C$1:$E$9999,3,FALSE)</f>
        <v>LEDERHAUSE</v>
      </c>
      <c r="M35" s="12">
        <f t="shared" si="18"/>
        <v>7.3148148148902692E-3</v>
      </c>
      <c r="N35" s="13"/>
      <c r="O35" s="13"/>
      <c r="P35" s="13">
        <f t="shared" si="5"/>
        <v>10.533333333441988</v>
      </c>
      <c r="Q35" s="62" t="s">
        <v>598</v>
      </c>
      <c r="R35" s="62" t="s">
        <v>599</v>
      </c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07:43:20-0600',mode:absolute,to:'2016-05-21 07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5" s="74" t="str">
        <f t="shared" si="20"/>
        <v>Y</v>
      </c>
      <c r="V35" s="74">
        <f t="shared" si="21"/>
        <v>1</v>
      </c>
      <c r="W35" s="74">
        <f t="shared" si="22"/>
        <v>0.1464</v>
      </c>
      <c r="X35" s="74">
        <f t="shared" si="23"/>
        <v>5.1824000000000003</v>
      </c>
      <c r="Y35" s="74">
        <f t="shared" si="24"/>
        <v>5.0360000000000005</v>
      </c>
      <c r="Z35" s="75" t="e">
        <f>VLOOKUP(A35,Enforcements!$C$3:$J$56,8,0)</f>
        <v>#N/A</v>
      </c>
      <c r="AA35" s="75" t="e">
        <f>VLOOKUP(A35,Enforcements!$C$3:$J$56,3,0)</f>
        <v>#N/A</v>
      </c>
    </row>
    <row r="36" spans="1:27" s="2" customFormat="1" x14ac:dyDescent="0.25">
      <c r="A36" s="61" t="s">
        <v>394</v>
      </c>
      <c r="B36" s="61">
        <v>4043</v>
      </c>
      <c r="C36" s="61" t="s">
        <v>66</v>
      </c>
      <c r="D36" s="61" t="s">
        <v>96</v>
      </c>
      <c r="E36" s="30">
        <v>42511.358935185184</v>
      </c>
      <c r="F36" s="30">
        <v>42511.359930555554</v>
      </c>
      <c r="G36" s="38">
        <v>1</v>
      </c>
      <c r="H36" s="30" t="s">
        <v>395</v>
      </c>
      <c r="I36" s="30">
        <v>42511.388553240744</v>
      </c>
      <c r="J36" s="61">
        <v>0</v>
      </c>
      <c r="K36" s="61" t="str">
        <f t="shared" si="17"/>
        <v>4043/4044</v>
      </c>
      <c r="L36" s="61" t="str">
        <f>VLOOKUP(A36,'Trips&amp;Operators'!$C$1:$E$9999,3,FALSE)</f>
        <v>LEDERHAUSE</v>
      </c>
      <c r="M36" s="12">
        <f t="shared" si="18"/>
        <v>2.8622685189475305E-2</v>
      </c>
      <c r="N36" s="13">
        <f t="shared" si="5"/>
        <v>41.21666667284444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08:35:52-0600',mode:absolute,to:'2016-05-21 09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6" s="74" t="str">
        <f t="shared" si="20"/>
        <v>N</v>
      </c>
      <c r="V36" s="74">
        <f t="shared" si="21"/>
        <v>1</v>
      </c>
      <c r="W36" s="74">
        <f t="shared" si="22"/>
        <v>23.298999999999999</v>
      </c>
      <c r="X36" s="74">
        <f t="shared" si="23"/>
        <v>9.1300000000000006E-2</v>
      </c>
      <c r="Y36" s="74">
        <f t="shared" si="24"/>
        <v>23.207699999999999</v>
      </c>
      <c r="Z36" s="75" t="e">
        <f>VLOOKUP(A36,Enforcements!$C$3:$J$56,8,0)</f>
        <v>#N/A</v>
      </c>
      <c r="AA36" s="75" t="e">
        <f>VLOOKUP(A36,Enforcements!$C$3:$J$56,3,0)</f>
        <v>#N/A</v>
      </c>
    </row>
    <row r="37" spans="1:27" s="2" customFormat="1" x14ac:dyDescent="0.25">
      <c r="A37" s="61" t="s">
        <v>396</v>
      </c>
      <c r="B37" s="61">
        <v>4024</v>
      </c>
      <c r="C37" s="61" t="s">
        <v>66</v>
      </c>
      <c r="D37" s="61" t="s">
        <v>107</v>
      </c>
      <c r="E37" s="30">
        <v>42511.331064814818</v>
      </c>
      <c r="F37" s="30">
        <v>42511.332048611112</v>
      </c>
      <c r="G37" s="38">
        <v>1</v>
      </c>
      <c r="H37" s="30" t="s">
        <v>170</v>
      </c>
      <c r="I37" s="30">
        <v>42511.361400462964</v>
      </c>
      <c r="J37" s="61">
        <v>1</v>
      </c>
      <c r="K37" s="61" t="str">
        <f t="shared" si="17"/>
        <v>4023/4024</v>
      </c>
      <c r="L37" s="61" t="str">
        <f>VLOOKUP(A37,'Trips&amp;Operators'!$C$1:$E$9999,3,FALSE)</f>
        <v>SANTIZO</v>
      </c>
      <c r="M37" s="12">
        <f t="shared" si="18"/>
        <v>2.9351851851970423E-2</v>
      </c>
      <c r="N37" s="13">
        <f t="shared" si="5"/>
        <v>42.266666666837409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4.58E-2</v>
      </c>
      <c r="X37" s="74">
        <f t="shared" si="23"/>
        <v>23.331700000000001</v>
      </c>
      <c r="Y37" s="74">
        <f t="shared" si="24"/>
        <v>23.285900000000002</v>
      </c>
      <c r="Z37" s="75">
        <f>VLOOKUP(A37,Enforcements!$C$3:$J$56,8,0)</f>
        <v>233491</v>
      </c>
      <c r="AA37" s="75" t="str">
        <f>VLOOKUP(A37,Enforcements!$C$3:$J$56,3,0)</f>
        <v>TRACK WARRANT AUTHORITY</v>
      </c>
    </row>
    <row r="38" spans="1:27" s="2" customFormat="1" x14ac:dyDescent="0.25">
      <c r="A38" s="61" t="s">
        <v>397</v>
      </c>
      <c r="B38" s="61">
        <v>4023</v>
      </c>
      <c r="C38" s="61" t="s">
        <v>66</v>
      </c>
      <c r="D38" s="61" t="s">
        <v>150</v>
      </c>
      <c r="E38" s="30">
        <v>42511.367974537039</v>
      </c>
      <c r="F38" s="30">
        <v>42511.368923611109</v>
      </c>
      <c r="G38" s="38">
        <v>1</v>
      </c>
      <c r="H38" s="30" t="s">
        <v>99</v>
      </c>
      <c r="I38" s="30">
        <v>42511.398784722223</v>
      </c>
      <c r="J38" s="61">
        <v>0</v>
      </c>
      <c r="K38" s="61" t="str">
        <f t="shared" si="17"/>
        <v>4023/4024</v>
      </c>
      <c r="L38" s="61" t="str">
        <f>VLOOKUP(A38,'Trips&amp;Operators'!$C$1:$E$9999,3,FALSE)</f>
        <v>SANTIZO</v>
      </c>
      <c r="M38" s="12">
        <f t="shared" si="18"/>
        <v>2.9861111113859806E-2</v>
      </c>
      <c r="N38" s="13">
        <f t="shared" si="5"/>
        <v>43.000000003958121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08:48:53-0600',mode:absolute,to:'2016-05-21 09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23.3002</v>
      </c>
      <c r="X38" s="74">
        <f t="shared" si="23"/>
        <v>1.47E-2</v>
      </c>
      <c r="Y38" s="74">
        <f t="shared" si="24"/>
        <v>23.285499999999999</v>
      </c>
      <c r="Z38" s="75" t="e">
        <f>VLOOKUP(A38,Enforcements!$C$3:$J$56,8,0)</f>
        <v>#N/A</v>
      </c>
      <c r="AA38" s="75" t="e">
        <f>VLOOKUP(A38,Enforcements!$C$3:$J$56,3,0)</f>
        <v>#N/A</v>
      </c>
    </row>
    <row r="39" spans="1:27" s="2" customFormat="1" x14ac:dyDescent="0.25">
      <c r="A39" s="61" t="s">
        <v>398</v>
      </c>
      <c r="B39" s="61">
        <v>4014</v>
      </c>
      <c r="C39" s="61" t="s">
        <v>66</v>
      </c>
      <c r="D39" s="61" t="s">
        <v>124</v>
      </c>
      <c r="E39" s="30">
        <v>42511.34165509259</v>
      </c>
      <c r="F39" s="30">
        <v>42511.342592592591</v>
      </c>
      <c r="G39" s="38">
        <v>1</v>
      </c>
      <c r="H39" s="30" t="s">
        <v>328</v>
      </c>
      <c r="I39" s="30">
        <v>42511.368414351855</v>
      </c>
      <c r="J39" s="61">
        <v>0</v>
      </c>
      <c r="K39" s="61" t="str">
        <f t="shared" si="17"/>
        <v>4013/4014</v>
      </c>
      <c r="L39" s="61" t="str">
        <f>VLOOKUP(A39,'Trips&amp;Operators'!$C$1:$E$9999,3,FALSE)</f>
        <v>ROCHA</v>
      </c>
      <c r="M39" s="12">
        <f t="shared" si="18"/>
        <v>2.5821759263635613E-2</v>
      </c>
      <c r="N39" s="13">
        <f t="shared" si="5"/>
        <v>37.183333339635283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08:10:59-0600',mode:absolute,to:'2016-05-21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4.4900000000000002E-2</v>
      </c>
      <c r="X39" s="74">
        <f t="shared" si="23"/>
        <v>23.329699999999999</v>
      </c>
      <c r="Y39" s="74">
        <f t="shared" si="24"/>
        <v>23.284800000000001</v>
      </c>
      <c r="Z39" s="75" t="e">
        <f>VLOOKUP(A39,Enforcements!$C$3:$J$56,8,0)</f>
        <v>#N/A</v>
      </c>
      <c r="AA39" s="75" t="e">
        <f>VLOOKUP(A39,Enforcements!$C$3:$J$56,3,0)</f>
        <v>#N/A</v>
      </c>
    </row>
    <row r="40" spans="1:27" s="2" customFormat="1" x14ac:dyDescent="0.25">
      <c r="A40" s="61" t="s">
        <v>399</v>
      </c>
      <c r="B40" s="61">
        <v>4013</v>
      </c>
      <c r="C40" s="61" t="s">
        <v>66</v>
      </c>
      <c r="D40" s="61" t="s">
        <v>400</v>
      </c>
      <c r="E40" s="30">
        <v>42511.381886574076</v>
      </c>
      <c r="F40" s="30">
        <v>42511.383726851855</v>
      </c>
      <c r="G40" s="38">
        <v>2</v>
      </c>
      <c r="H40" s="30" t="s">
        <v>401</v>
      </c>
      <c r="I40" s="30">
        <v>42511.383773148147</v>
      </c>
      <c r="J40" s="61">
        <v>0</v>
      </c>
      <c r="K40" s="61" t="str">
        <f t="shared" si="17"/>
        <v>4013/4014</v>
      </c>
      <c r="L40" s="61" t="str">
        <f>VLOOKUP(A40,'Trips&amp;Operators'!$C$1:$E$9999,3,FALSE)</f>
        <v>ROCHA</v>
      </c>
      <c r="M40" s="12">
        <f t="shared" si="18"/>
        <v>4.6296292566694319E-5</v>
      </c>
      <c r="N40" s="13"/>
      <c r="O40" s="13"/>
      <c r="P40" s="13">
        <f t="shared" si="5"/>
        <v>6.666666129603982E-2</v>
      </c>
      <c r="Q40" s="62" t="s">
        <v>598</v>
      </c>
      <c r="R40" s="62" t="s">
        <v>599</v>
      </c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0" s="74" t="str">
        <f t="shared" si="20"/>
        <v>Y</v>
      </c>
      <c r="V40" s="74">
        <f t="shared" si="21"/>
        <v>1</v>
      </c>
      <c r="W40" s="74">
        <f t="shared" si="22"/>
        <v>23.104199999999999</v>
      </c>
      <c r="X40" s="74">
        <f t="shared" si="23"/>
        <v>23.087199999999999</v>
      </c>
      <c r="Y40" s="74">
        <f t="shared" si="24"/>
        <v>1.699999999999946E-2</v>
      </c>
      <c r="Z40" s="75">
        <f>VLOOKUP(A40,Enforcements!$C$3:$J$56,8,0)</f>
        <v>103864</v>
      </c>
      <c r="AA40" s="75" t="str">
        <f>VLOOKUP(A40,Enforcements!$C$3:$J$56,3,0)</f>
        <v>EQUIPMENT RESTRICTION</v>
      </c>
    </row>
    <row r="41" spans="1:27" s="2" customFormat="1" x14ac:dyDescent="0.25">
      <c r="A41" s="61" t="s">
        <v>402</v>
      </c>
      <c r="B41" s="61">
        <v>4031</v>
      </c>
      <c r="C41" s="61" t="s">
        <v>66</v>
      </c>
      <c r="D41" s="61" t="s">
        <v>85</v>
      </c>
      <c r="E41" s="30">
        <v>42511.353981481479</v>
      </c>
      <c r="F41" s="30">
        <v>42511.35491898148</v>
      </c>
      <c r="G41" s="38">
        <v>1</v>
      </c>
      <c r="H41" s="30" t="s">
        <v>115</v>
      </c>
      <c r="I41" s="30">
        <v>42511.38071759259</v>
      </c>
      <c r="J41" s="61">
        <v>0</v>
      </c>
      <c r="K41" s="61" t="str">
        <f t="shared" si="17"/>
        <v>4031/4032</v>
      </c>
      <c r="L41" s="61" t="str">
        <f>VLOOKUP(A41,'Trips&amp;Operators'!$C$1:$E$9999,3,FALSE)</f>
        <v>GEBRETEKLE</v>
      </c>
      <c r="M41" s="12">
        <f t="shared" si="18"/>
        <v>2.5798611110076308E-2</v>
      </c>
      <c r="N41" s="13">
        <f t="shared" si="5"/>
        <v>37.149999998509884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08:28:44-0600',mode:absolute,to:'2016-05-21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4.6399999999999997E-2</v>
      </c>
      <c r="X41" s="74">
        <f t="shared" si="23"/>
        <v>23.3306</v>
      </c>
      <c r="Y41" s="74">
        <f t="shared" si="24"/>
        <v>23.284200000000002</v>
      </c>
      <c r="Z41" s="75" t="e">
        <f>VLOOKUP(A41,Enforcements!$C$3:$J$56,8,0)</f>
        <v>#N/A</v>
      </c>
      <c r="AA41" s="75" t="e">
        <f>VLOOKUP(A41,Enforcements!$C$3:$J$56,3,0)</f>
        <v>#N/A</v>
      </c>
    </row>
    <row r="42" spans="1:27" s="2" customFormat="1" x14ac:dyDescent="0.25">
      <c r="A42" s="61" t="s">
        <v>403</v>
      </c>
      <c r="B42" s="61">
        <v>4032</v>
      </c>
      <c r="C42" s="61" t="s">
        <v>66</v>
      </c>
      <c r="D42" s="61" t="s">
        <v>73</v>
      </c>
      <c r="E42" s="30">
        <v>42511.389513888891</v>
      </c>
      <c r="F42" s="30">
        <v>42511.3903587963</v>
      </c>
      <c r="G42" s="38">
        <v>1</v>
      </c>
      <c r="H42" s="30" t="s">
        <v>104</v>
      </c>
      <c r="I42" s="30">
        <v>42511.420254629629</v>
      </c>
      <c r="J42" s="61">
        <v>0</v>
      </c>
      <c r="K42" s="61" t="str">
        <f t="shared" si="17"/>
        <v>4031/4032</v>
      </c>
      <c r="L42" s="61" t="str">
        <f>VLOOKUP(A42,'Trips&amp;Operators'!$C$1:$E$9999,3,FALSE)</f>
        <v>GEBRETEKLE</v>
      </c>
      <c r="M42" s="12">
        <f t="shared" si="18"/>
        <v>2.9895833329646848E-2</v>
      </c>
      <c r="N42" s="13">
        <f t="shared" si="5"/>
        <v>43.049999994691461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09:19:54-0600',mode:absolute,to:'2016-05-21 10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23.2989</v>
      </c>
      <c r="X42" s="74">
        <f t="shared" si="23"/>
        <v>1.5800000000000002E-2</v>
      </c>
      <c r="Y42" s="74">
        <f t="shared" si="24"/>
        <v>23.283100000000001</v>
      </c>
      <c r="Z42" s="75" t="e">
        <f>VLOOKUP(A42,Enforcements!$C$3:$J$56,8,0)</f>
        <v>#N/A</v>
      </c>
      <c r="AA42" s="75" t="e">
        <f>VLOOKUP(A42,Enforcements!$C$3:$J$56,3,0)</f>
        <v>#N/A</v>
      </c>
    </row>
    <row r="43" spans="1:27" s="2" customFormat="1" x14ac:dyDescent="0.25">
      <c r="A43" s="61" t="s">
        <v>404</v>
      </c>
      <c r="B43" s="61">
        <v>4025</v>
      </c>
      <c r="C43" s="61" t="s">
        <v>66</v>
      </c>
      <c r="D43" s="61" t="s">
        <v>405</v>
      </c>
      <c r="E43" s="30">
        <v>42511.361759259256</v>
      </c>
      <c r="F43" s="30">
        <v>42511.362905092596</v>
      </c>
      <c r="G43" s="38">
        <v>1</v>
      </c>
      <c r="H43" s="30" t="s">
        <v>328</v>
      </c>
      <c r="I43" s="30">
        <v>42511.390474537038</v>
      </c>
      <c r="J43" s="61">
        <v>0</v>
      </c>
      <c r="K43" s="61" t="str">
        <f t="shared" si="17"/>
        <v>4025/4026</v>
      </c>
      <c r="L43" s="61" t="str">
        <f>VLOOKUP(A43,'Trips&amp;Operators'!$C$1:$E$9999,3,FALSE)</f>
        <v>LEVIN</v>
      </c>
      <c r="M43" s="12">
        <f t="shared" si="18"/>
        <v>2.7569444442633539E-2</v>
      </c>
      <c r="N43" s="13">
        <f t="shared" si="5"/>
        <v>39.699999997392297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08:39:56-0600',mode:absolute,to:'2016-05-21 09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6.3299999999999995E-2</v>
      </c>
      <c r="X43" s="74">
        <f t="shared" si="23"/>
        <v>23.329699999999999</v>
      </c>
      <c r="Y43" s="74">
        <f t="shared" si="24"/>
        <v>23.266399999999997</v>
      </c>
      <c r="Z43" s="75" t="e">
        <f>VLOOKUP(A43,Enforcements!$C$3:$J$56,8,0)</f>
        <v>#N/A</v>
      </c>
      <c r="AA43" s="75" t="e">
        <f>VLOOKUP(A43,Enforcements!$C$3:$J$56,3,0)</f>
        <v>#N/A</v>
      </c>
    </row>
    <row r="44" spans="1:27" s="2" customFormat="1" x14ac:dyDescent="0.25">
      <c r="A44" s="61" t="s">
        <v>406</v>
      </c>
      <c r="B44" s="61">
        <v>4026</v>
      </c>
      <c r="C44" s="61" t="s">
        <v>66</v>
      </c>
      <c r="D44" s="61" t="s">
        <v>86</v>
      </c>
      <c r="E44" s="30">
        <v>42511.396516203706</v>
      </c>
      <c r="F44" s="30">
        <v>42511.476585648146</v>
      </c>
      <c r="G44" s="38">
        <v>4</v>
      </c>
      <c r="H44" s="30" t="s">
        <v>99</v>
      </c>
      <c r="I44" s="30">
        <v>42511.511562500003</v>
      </c>
      <c r="J44" s="61">
        <v>0</v>
      </c>
      <c r="K44" s="61" t="str">
        <f t="shared" si="17"/>
        <v>4025/4026</v>
      </c>
      <c r="L44" s="61" t="str">
        <f>VLOOKUP(A44,'Trips&amp;Operators'!$C$1:$E$9999,3,FALSE)</f>
        <v>LEVIN</v>
      </c>
      <c r="M44" s="12">
        <f t="shared" si="18"/>
        <v>3.4976851857209112E-2</v>
      </c>
      <c r="N44" s="13">
        <f>24*60*SUM($M44:$M45)</f>
        <v>51.883333339355886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12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4" s="74" t="str">
        <f t="shared" si="20"/>
        <v>N</v>
      </c>
      <c r="V44" s="74">
        <f t="shared" si="21"/>
        <v>1</v>
      </c>
      <c r="W44" s="74">
        <f t="shared" si="22"/>
        <v>23.297999999999998</v>
      </c>
      <c r="X44" s="74">
        <f t="shared" si="23"/>
        <v>1.47E-2</v>
      </c>
      <c r="Y44" s="74">
        <f t="shared" si="24"/>
        <v>23.283299999999997</v>
      </c>
      <c r="Z44" s="75" t="e">
        <f>VLOOKUP(A44,Enforcements!$C$3:$J$56,8,0)</f>
        <v>#N/A</v>
      </c>
      <c r="AA44" s="75" t="e">
        <f>VLOOKUP(A44,Enforcements!$C$3:$J$56,3,0)</f>
        <v>#N/A</v>
      </c>
    </row>
    <row r="45" spans="1:27" s="2" customFormat="1" x14ac:dyDescent="0.25">
      <c r="A45" s="61" t="s">
        <v>406</v>
      </c>
      <c r="B45" s="61">
        <v>4026</v>
      </c>
      <c r="C45" s="61" t="s">
        <v>66</v>
      </c>
      <c r="D45" s="61" t="s">
        <v>321</v>
      </c>
      <c r="E45" s="30">
        <v>42511.396516203706</v>
      </c>
      <c r="F45" s="30">
        <v>42511.397453703707</v>
      </c>
      <c r="G45" s="38">
        <v>1</v>
      </c>
      <c r="H45" s="30" t="s">
        <v>321</v>
      </c>
      <c r="I45" s="30">
        <v>42511.398506944446</v>
      </c>
      <c r="J45" s="61">
        <v>0</v>
      </c>
      <c r="K45" s="61" t="str">
        <f t="shared" si="17"/>
        <v>4025/4026</v>
      </c>
      <c r="L45" s="61" t="str">
        <f>VLOOKUP(A45,'Trips&amp;Operators'!$C$1:$E$9999,3,FALSE)</f>
        <v>LEVIN</v>
      </c>
      <c r="M45" s="12">
        <f t="shared" si="18"/>
        <v>1.0532407395658083E-3</v>
      </c>
      <c r="N45" s="13"/>
      <c r="O45" s="13"/>
      <c r="P45" s="13">
        <f t="shared" si="5"/>
        <v>1.516666664974764</v>
      </c>
      <c r="Q45" s="62" t="s">
        <v>598</v>
      </c>
      <c r="R45" s="62" t="s">
        <v>599</v>
      </c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09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5" s="74" t="str">
        <f t="shared" si="20"/>
        <v>Y</v>
      </c>
      <c r="V45" s="74">
        <f t="shared" si="21"/>
        <v>0</v>
      </c>
      <c r="W45" s="74">
        <f t="shared" si="22"/>
        <v>23.298200000000001</v>
      </c>
      <c r="X45" s="74">
        <f t="shared" si="23"/>
        <v>23.298200000000001</v>
      </c>
      <c r="Y45" s="74">
        <f t="shared" si="24"/>
        <v>0</v>
      </c>
      <c r="Z45" s="75" t="e">
        <f>VLOOKUP(A45,Enforcements!$C$3:$J$56,8,0)</f>
        <v>#N/A</v>
      </c>
      <c r="AA45" s="75" t="e">
        <f>VLOOKUP(A45,Enforcements!$C$3:$J$56,3,0)</f>
        <v>#N/A</v>
      </c>
    </row>
    <row r="46" spans="1:27" s="2" customFormat="1" x14ac:dyDescent="0.25">
      <c r="A46" s="61" t="s">
        <v>407</v>
      </c>
      <c r="B46" s="61">
        <v>4002</v>
      </c>
      <c r="C46" s="61" t="s">
        <v>66</v>
      </c>
      <c r="D46" s="61" t="s">
        <v>108</v>
      </c>
      <c r="E46" s="30">
        <v>42511.372650462959</v>
      </c>
      <c r="F46" s="30">
        <v>42511.373796296299</v>
      </c>
      <c r="G46" s="38">
        <v>1</v>
      </c>
      <c r="H46" s="30" t="s">
        <v>408</v>
      </c>
      <c r="I46" s="30">
        <v>42511.40121527778</v>
      </c>
      <c r="J46" s="61">
        <v>0</v>
      </c>
      <c r="K46" s="61" t="str">
        <f t="shared" si="17"/>
        <v>4001/4002</v>
      </c>
      <c r="L46" s="61" t="str">
        <f>VLOOKUP(A46,'Trips&amp;Operators'!$C$1:$E$9999,3,FALSE)</f>
        <v>YANAI</v>
      </c>
      <c r="M46" s="12">
        <f t="shared" si="18"/>
        <v>2.7418981480877846E-2</v>
      </c>
      <c r="N46" s="13">
        <f t="shared" si="5"/>
        <v>39.483333332464099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08:55:37-0600',mode:absolute,to:'2016-05-21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46" s="74" t="str">
        <f t="shared" si="20"/>
        <v>N</v>
      </c>
      <c r="V46" s="74">
        <f t="shared" si="21"/>
        <v>1</v>
      </c>
      <c r="W46" s="74">
        <f t="shared" si="22"/>
        <v>4.6899999999999997E-2</v>
      </c>
      <c r="X46" s="74">
        <f t="shared" si="23"/>
        <v>23.3081</v>
      </c>
      <c r="Y46" s="74">
        <f t="shared" si="24"/>
        <v>23.261199999999999</v>
      </c>
      <c r="Z46" s="75" t="e">
        <f>VLOOKUP(A46,Enforcements!$C$3:$J$56,8,0)</f>
        <v>#N/A</v>
      </c>
      <c r="AA46" s="75" t="e">
        <f>VLOOKUP(A46,Enforcements!$C$3:$J$56,3,0)</f>
        <v>#N/A</v>
      </c>
    </row>
    <row r="47" spans="1:27" s="2" customFormat="1" x14ac:dyDescent="0.25">
      <c r="A47" s="61" t="s">
        <v>409</v>
      </c>
      <c r="B47" s="61">
        <v>4001</v>
      </c>
      <c r="C47" s="61" t="s">
        <v>66</v>
      </c>
      <c r="D47" s="61" t="s">
        <v>410</v>
      </c>
      <c r="E47" s="30">
        <v>42511.40996527778</v>
      </c>
      <c r="F47" s="30">
        <v>42511.410983796297</v>
      </c>
      <c r="G47" s="38">
        <v>1</v>
      </c>
      <c r="H47" s="30" t="s">
        <v>323</v>
      </c>
      <c r="I47" s="30">
        <v>42511.440254629626</v>
      </c>
      <c r="J47" s="61">
        <v>0</v>
      </c>
      <c r="K47" s="61" t="str">
        <f t="shared" si="17"/>
        <v>4001/4002</v>
      </c>
      <c r="L47" s="61" t="str">
        <f>VLOOKUP(A47,'Trips&amp;Operators'!$C$1:$E$9999,3,FALSE)</f>
        <v>YANAI</v>
      </c>
      <c r="M47" s="12">
        <f t="shared" si="18"/>
        <v>2.9270833329064772E-2</v>
      </c>
      <c r="N47" s="13">
        <f t="shared" si="5"/>
        <v>42.149999993853271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09:49:21-0600',mode:absolute,to:'2016-05-21 10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47" s="74" t="str">
        <f t="shared" si="20"/>
        <v>N</v>
      </c>
      <c r="V47" s="74">
        <f t="shared" si="21"/>
        <v>1</v>
      </c>
      <c r="W47" s="74">
        <f t="shared" si="22"/>
        <v>23.292300000000001</v>
      </c>
      <c r="X47" s="74">
        <f t="shared" si="23"/>
        <v>1.6500000000000001E-2</v>
      </c>
      <c r="Y47" s="74">
        <f t="shared" si="24"/>
        <v>23.2758</v>
      </c>
      <c r="Z47" s="75" t="e">
        <f>VLOOKUP(A47,Enforcements!$C$3:$J$56,8,0)</f>
        <v>#N/A</v>
      </c>
      <c r="AA47" s="75" t="e">
        <f>VLOOKUP(A47,Enforcements!$C$3:$J$56,3,0)</f>
        <v>#N/A</v>
      </c>
    </row>
    <row r="48" spans="1:27" s="2" customFormat="1" x14ac:dyDescent="0.25">
      <c r="A48" s="61" t="s">
        <v>411</v>
      </c>
      <c r="B48" s="61">
        <v>4009</v>
      </c>
      <c r="C48" s="61" t="s">
        <v>66</v>
      </c>
      <c r="D48" s="61" t="s">
        <v>412</v>
      </c>
      <c r="E48" s="30">
        <v>42511.37090277778</v>
      </c>
      <c r="F48" s="30">
        <v>42511.374409722222</v>
      </c>
      <c r="G48" s="38">
        <v>5</v>
      </c>
      <c r="H48" s="30" t="s">
        <v>413</v>
      </c>
      <c r="I48" s="30">
        <v>42511.411504629628</v>
      </c>
      <c r="J48" s="61">
        <v>0</v>
      </c>
      <c r="K48" s="61" t="str">
        <f t="shared" si="17"/>
        <v>4009/4010</v>
      </c>
      <c r="L48" s="61" t="str">
        <f>VLOOKUP(A48,'Trips&amp;Operators'!$C$1:$E$9999,3,FALSE)</f>
        <v>STURGEON</v>
      </c>
      <c r="M48" s="12">
        <f t="shared" si="18"/>
        <v>3.7094907405844424E-2</v>
      </c>
      <c r="N48" s="13">
        <f t="shared" si="5"/>
        <v>53.41666666441597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08:53:06-0600',mode:absolute,to:'2016-05-21 09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8" s="74" t="str">
        <f t="shared" si="20"/>
        <v>N</v>
      </c>
      <c r="V48" s="74">
        <f t="shared" si="21"/>
        <v>1</v>
      </c>
      <c r="W48" s="74">
        <f t="shared" si="22"/>
        <v>3.1399999999999997E-2</v>
      </c>
      <c r="X48" s="74">
        <f t="shared" si="23"/>
        <v>23.323599999999999</v>
      </c>
      <c r="Y48" s="74">
        <f t="shared" si="24"/>
        <v>23.292199999999998</v>
      </c>
      <c r="Z48" s="75" t="e">
        <f>VLOOKUP(A48,Enforcements!$C$3:$J$56,8,0)</f>
        <v>#N/A</v>
      </c>
      <c r="AA48" s="75" t="e">
        <f>VLOOKUP(A48,Enforcements!$C$3:$J$56,3,0)</f>
        <v>#N/A</v>
      </c>
    </row>
    <row r="49" spans="1:27" s="2" customFormat="1" x14ac:dyDescent="0.25">
      <c r="A49" s="61" t="s">
        <v>414</v>
      </c>
      <c r="B49" s="61">
        <v>4010</v>
      </c>
      <c r="C49" s="61" t="s">
        <v>66</v>
      </c>
      <c r="D49" s="61" t="s">
        <v>415</v>
      </c>
      <c r="E49" s="30">
        <v>42511.421412037038</v>
      </c>
      <c r="F49" s="30">
        <v>42511.422430555554</v>
      </c>
      <c r="G49" s="38">
        <v>1</v>
      </c>
      <c r="H49" s="30" t="s">
        <v>104</v>
      </c>
      <c r="I49" s="30">
        <v>42511.456030092595</v>
      </c>
      <c r="J49" s="61">
        <v>0</v>
      </c>
      <c r="K49" s="61" t="str">
        <f t="shared" si="17"/>
        <v>4009/4010</v>
      </c>
      <c r="L49" s="61" t="str">
        <f>VLOOKUP(A49,'Trips&amp;Operators'!$C$1:$E$9999,3,FALSE)</f>
        <v>STURGEON</v>
      </c>
      <c r="M49" s="12">
        <f t="shared" si="18"/>
        <v>3.3599537040572613E-2</v>
      </c>
      <c r="N49" s="13">
        <f t="shared" si="5"/>
        <v>48.383333338424563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10:05:50-0600',mode:absolute,to:'2016-05-21 10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9" s="74" t="str">
        <f t="shared" si="20"/>
        <v>N</v>
      </c>
      <c r="V49" s="74">
        <f t="shared" si="21"/>
        <v>1</v>
      </c>
      <c r="W49" s="74">
        <f t="shared" si="22"/>
        <v>23.2925</v>
      </c>
      <c r="X49" s="74">
        <f t="shared" si="23"/>
        <v>1.5800000000000002E-2</v>
      </c>
      <c r="Y49" s="74">
        <f t="shared" si="24"/>
        <v>23.276700000000002</v>
      </c>
      <c r="Z49" s="75" t="e">
        <f>VLOOKUP(A49,Enforcements!$C$3:$J$56,8,0)</f>
        <v>#N/A</v>
      </c>
      <c r="AA49" s="75" t="e">
        <f>VLOOKUP(A49,Enforcements!$C$3:$J$56,3,0)</f>
        <v>#N/A</v>
      </c>
    </row>
    <row r="50" spans="1:27" s="2" customFormat="1" x14ac:dyDescent="0.25">
      <c r="A50" s="61" t="s">
        <v>416</v>
      </c>
      <c r="B50" s="61">
        <v>4020</v>
      </c>
      <c r="C50" s="61" t="s">
        <v>66</v>
      </c>
      <c r="D50" s="61" t="s">
        <v>167</v>
      </c>
      <c r="E50" s="30">
        <v>42511.393969907411</v>
      </c>
      <c r="F50" s="30">
        <v>42511.394641203704</v>
      </c>
      <c r="G50" s="38">
        <v>0</v>
      </c>
      <c r="H50" s="30" t="s">
        <v>417</v>
      </c>
      <c r="I50" s="30">
        <v>42511.421805555554</v>
      </c>
      <c r="J50" s="61">
        <v>0</v>
      </c>
      <c r="K50" s="61" t="str">
        <f t="shared" si="17"/>
        <v>4019/4020</v>
      </c>
      <c r="L50" s="61" t="str">
        <f>VLOOKUP(A50,'Trips&amp;Operators'!$C$1:$E$9999,3,FALSE)</f>
        <v>LEDERHAUSE</v>
      </c>
      <c r="M50" s="12">
        <f t="shared" si="18"/>
        <v>2.7164351849933155E-2</v>
      </c>
      <c r="N50" s="13">
        <f t="shared" si="5"/>
        <v>39.116666663903743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09:26:19-0600',mode:absolute,to:'2016-05-21 10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22"/>
        <v>4.6199999999999998E-2</v>
      </c>
      <c r="X50" s="74">
        <f t="shared" si="23"/>
        <v>23.33</v>
      </c>
      <c r="Y50" s="74">
        <f t="shared" si="24"/>
        <v>23.283799999999999</v>
      </c>
      <c r="Z50" s="75" t="e">
        <f>VLOOKUP(A50,Enforcements!$C$3:$J$56,8,0)</f>
        <v>#N/A</v>
      </c>
      <c r="AA50" s="75" t="e">
        <f>VLOOKUP(A50,Enforcements!$C$3:$J$56,3,0)</f>
        <v>#N/A</v>
      </c>
    </row>
    <row r="51" spans="1:27" s="2" customFormat="1" x14ac:dyDescent="0.25">
      <c r="A51" s="61" t="s">
        <v>418</v>
      </c>
      <c r="B51" s="61">
        <v>4019</v>
      </c>
      <c r="C51" s="61" t="s">
        <v>66</v>
      </c>
      <c r="D51" s="61" t="s">
        <v>146</v>
      </c>
      <c r="E51" s="30">
        <v>42511.427164351851</v>
      </c>
      <c r="F51" s="30">
        <v>42511.428333333337</v>
      </c>
      <c r="G51" s="38">
        <v>1</v>
      </c>
      <c r="H51" s="30" t="s">
        <v>74</v>
      </c>
      <c r="I51" s="30">
        <v>42511.463217592594</v>
      </c>
      <c r="J51" s="61">
        <v>0</v>
      </c>
      <c r="K51" s="61" t="str">
        <f t="shared" si="17"/>
        <v>4019/4020</v>
      </c>
      <c r="L51" s="61" t="str">
        <f>VLOOKUP(A51,'Trips&amp;Operators'!$C$1:$E$9999,3,FALSE)</f>
        <v>LEDERHAUSE</v>
      </c>
      <c r="M51" s="12">
        <f t="shared" si="18"/>
        <v>3.4884259257523809E-2</v>
      </c>
      <c r="N51" s="13">
        <f t="shared" si="5"/>
        <v>50.233333330834284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10:14:07-0600',mode:absolute,to:'2016-05-21 11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22"/>
        <v>23.297899999999998</v>
      </c>
      <c r="X51" s="74">
        <f t="shared" si="23"/>
        <v>1.4500000000000001E-2</v>
      </c>
      <c r="Y51" s="74">
        <f t="shared" si="24"/>
        <v>23.283399999999997</v>
      </c>
      <c r="Z51" s="75" t="e">
        <f>VLOOKUP(A51,Enforcements!$C$3:$J$56,8,0)</f>
        <v>#N/A</v>
      </c>
      <c r="AA51" s="75" t="e">
        <f>VLOOKUP(A51,Enforcements!$C$3:$J$56,3,0)</f>
        <v>#N/A</v>
      </c>
    </row>
    <row r="52" spans="1:27" s="2" customFormat="1" x14ac:dyDescent="0.25">
      <c r="A52" s="61" t="s">
        <v>419</v>
      </c>
      <c r="B52" s="61">
        <v>4024</v>
      </c>
      <c r="C52" s="61" t="s">
        <v>66</v>
      </c>
      <c r="D52" s="61" t="s">
        <v>78</v>
      </c>
      <c r="E52" s="30">
        <v>42511.40289351852</v>
      </c>
      <c r="F52" s="30">
        <v>42511.403923611113</v>
      </c>
      <c r="G52" s="38">
        <v>1</v>
      </c>
      <c r="H52" s="30" t="s">
        <v>162</v>
      </c>
      <c r="I52" s="30">
        <v>42511.432025462964</v>
      </c>
      <c r="J52" s="61">
        <v>0</v>
      </c>
      <c r="K52" s="61" t="str">
        <f t="shared" si="17"/>
        <v>4023/4024</v>
      </c>
      <c r="L52" s="61" t="str">
        <f>VLOOKUP(A52,'Trips&amp;Operators'!$C$1:$E$9999,3,FALSE)</f>
        <v>SANTIZO</v>
      </c>
      <c r="M52" s="12">
        <f t="shared" si="18"/>
        <v>2.810185185080627E-2</v>
      </c>
      <c r="N52" s="13">
        <f t="shared" si="5"/>
        <v>40.466666665161029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09:39:10-0600',mode:absolute,to:'2016-05-21 10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4" t="str">
        <f t="shared" si="20"/>
        <v>N</v>
      </c>
      <c r="V52" s="74">
        <f t="shared" si="21"/>
        <v>1</v>
      </c>
      <c r="W52" s="74">
        <f t="shared" si="22"/>
        <v>4.5499999999999999E-2</v>
      </c>
      <c r="X52" s="74">
        <f t="shared" si="23"/>
        <v>23.3291</v>
      </c>
      <c r="Y52" s="74">
        <f t="shared" si="24"/>
        <v>23.2836</v>
      </c>
      <c r="Z52" s="75" t="e">
        <f>VLOOKUP(A52,Enforcements!$C$3:$J$56,8,0)</f>
        <v>#N/A</v>
      </c>
      <c r="AA52" s="75" t="e">
        <f>VLOOKUP(A52,Enforcements!$C$3:$J$56,3,0)</f>
        <v>#N/A</v>
      </c>
    </row>
    <row r="53" spans="1:27" s="2" customFormat="1" x14ac:dyDescent="0.25">
      <c r="A53" s="61" t="s">
        <v>420</v>
      </c>
      <c r="B53" s="61">
        <v>4023</v>
      </c>
      <c r="C53" s="61" t="s">
        <v>66</v>
      </c>
      <c r="D53" s="61" t="s">
        <v>117</v>
      </c>
      <c r="E53" s="30">
        <v>42511.437199074076</v>
      </c>
      <c r="F53" s="30">
        <v>42511.438310185185</v>
      </c>
      <c r="G53" s="38">
        <v>1</v>
      </c>
      <c r="H53" s="30" t="s">
        <v>421</v>
      </c>
      <c r="I53" s="30">
        <v>42511.473912037036</v>
      </c>
      <c r="J53" s="61">
        <v>0</v>
      </c>
      <c r="K53" s="61" t="str">
        <f t="shared" si="17"/>
        <v>4023/4024</v>
      </c>
      <c r="L53" s="61" t="str">
        <f>VLOOKUP(A53,'Trips&amp;Operators'!$C$1:$E$9999,3,FALSE)</f>
        <v>SANTIZO</v>
      </c>
      <c r="M53" s="12">
        <f t="shared" si="18"/>
        <v>3.5601851850515231E-2</v>
      </c>
      <c r="N53" s="13">
        <f t="shared" si="5"/>
        <v>51.266666664741933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10:28:34-0600',mode:absolute,to:'2016-05-21 11:23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4" t="str">
        <f t="shared" si="20"/>
        <v>N</v>
      </c>
      <c r="V53" s="74">
        <f t="shared" si="21"/>
        <v>1</v>
      </c>
      <c r="W53" s="74">
        <f t="shared" si="22"/>
        <v>23.2973</v>
      </c>
      <c r="X53" s="74">
        <f t="shared" si="23"/>
        <v>1.78E-2</v>
      </c>
      <c r="Y53" s="74">
        <f t="shared" si="24"/>
        <v>23.279499999999999</v>
      </c>
      <c r="Z53" s="75" t="e">
        <f>VLOOKUP(A53,Enforcements!$C$3:$J$56,8,0)</f>
        <v>#N/A</v>
      </c>
      <c r="AA53" s="75" t="e">
        <f>VLOOKUP(A53,Enforcements!$C$3:$J$56,3,0)</f>
        <v>#N/A</v>
      </c>
    </row>
    <row r="54" spans="1:27" s="2" customFormat="1" x14ac:dyDescent="0.25">
      <c r="A54" s="61" t="s">
        <v>422</v>
      </c>
      <c r="B54" s="61">
        <v>4044</v>
      </c>
      <c r="C54" s="61" t="s">
        <v>66</v>
      </c>
      <c r="D54" s="61" t="s">
        <v>423</v>
      </c>
      <c r="E54" s="30">
        <v>42511.417280092595</v>
      </c>
      <c r="F54" s="30">
        <v>42511.418495370373</v>
      </c>
      <c r="G54" s="38">
        <v>1</v>
      </c>
      <c r="H54" s="30" t="s">
        <v>328</v>
      </c>
      <c r="I54" s="30">
        <v>42511.444351851853</v>
      </c>
      <c r="J54" s="61">
        <v>2</v>
      </c>
      <c r="K54" s="61" t="str">
        <f t="shared" si="17"/>
        <v>4043/4044</v>
      </c>
      <c r="L54" s="61" t="str">
        <f>VLOOKUP(A54,'Trips&amp;Operators'!$C$1:$E$9999,3,FALSE)</f>
        <v>ROCHA</v>
      </c>
      <c r="M54" s="12">
        <f t="shared" si="18"/>
        <v>2.5856481479422655E-2</v>
      </c>
      <c r="N54" s="13">
        <f t="shared" si="5"/>
        <v>37.233333330368623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22"/>
        <v>0.12330000000000001</v>
      </c>
      <c r="X54" s="74">
        <f t="shared" si="23"/>
        <v>23.329699999999999</v>
      </c>
      <c r="Y54" s="74">
        <f t="shared" si="24"/>
        <v>23.206399999999999</v>
      </c>
      <c r="Z54" s="75">
        <f>VLOOKUP(A54,Enforcements!$C$3:$J$56,8,0)</f>
        <v>20338</v>
      </c>
      <c r="AA54" s="75" t="str">
        <f>VLOOKUP(A54,Enforcements!$C$3:$J$56,3,0)</f>
        <v>PERMANENT SPEED RESTRICTION</v>
      </c>
    </row>
    <row r="55" spans="1:27" s="2" customFormat="1" x14ac:dyDescent="0.25">
      <c r="A55" s="61" t="s">
        <v>424</v>
      </c>
      <c r="B55" s="61">
        <v>4043</v>
      </c>
      <c r="C55" s="61" t="s">
        <v>66</v>
      </c>
      <c r="D55" s="61" t="s">
        <v>151</v>
      </c>
      <c r="E55" s="30">
        <v>42511.447893518518</v>
      </c>
      <c r="F55" s="30">
        <v>42511.44871527778</v>
      </c>
      <c r="G55" s="38">
        <v>1</v>
      </c>
      <c r="H55" s="30" t="s">
        <v>104</v>
      </c>
      <c r="I55" s="30">
        <v>42511.482488425929</v>
      </c>
      <c r="J55" s="61">
        <v>1</v>
      </c>
      <c r="K55" s="61" t="str">
        <f t="shared" si="17"/>
        <v>4043/4044</v>
      </c>
      <c r="L55" s="61" t="str">
        <f>VLOOKUP(A55,'Trips&amp;Operators'!$C$1:$E$9999,3,FALSE)</f>
        <v>ROCHA</v>
      </c>
      <c r="M55" s="12">
        <f t="shared" si="18"/>
        <v>3.3773148148611654E-2</v>
      </c>
      <c r="N55" s="13">
        <f t="shared" si="5"/>
        <v>48.633333334000781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22"/>
        <v>23.297699999999999</v>
      </c>
      <c r="X55" s="74">
        <f t="shared" si="23"/>
        <v>1.5800000000000002E-2</v>
      </c>
      <c r="Y55" s="74">
        <f t="shared" si="24"/>
        <v>23.2819</v>
      </c>
      <c r="Z55" s="75">
        <f>VLOOKUP(A55,Enforcements!$C$3:$J$56,8,0)</f>
        <v>1</v>
      </c>
      <c r="AA55" s="75" t="str">
        <f>VLOOKUP(A55,Enforcements!$C$3:$J$56,3,0)</f>
        <v>TRACK WARRANT AUTHORITY</v>
      </c>
    </row>
    <row r="56" spans="1:27" s="2" customFormat="1" x14ac:dyDescent="0.25">
      <c r="A56" s="61" t="s">
        <v>425</v>
      </c>
      <c r="B56" s="61">
        <v>4031</v>
      </c>
      <c r="C56" s="61" t="s">
        <v>66</v>
      </c>
      <c r="D56" s="61" t="s">
        <v>343</v>
      </c>
      <c r="E56" s="30">
        <v>42511.425578703704</v>
      </c>
      <c r="F56" s="30">
        <v>42511.426481481481</v>
      </c>
      <c r="G56" s="38">
        <v>1</v>
      </c>
      <c r="H56" s="30" t="s">
        <v>162</v>
      </c>
      <c r="I56" s="30">
        <v>42511.454560185186</v>
      </c>
      <c r="J56" s="61">
        <v>0</v>
      </c>
      <c r="K56" s="61" t="str">
        <f t="shared" si="17"/>
        <v>4031/4032</v>
      </c>
      <c r="L56" s="61" t="str">
        <f>VLOOKUP(A56,'Trips&amp;Operators'!$C$1:$E$9999,3,FALSE)</f>
        <v>ACKERMAN</v>
      </c>
      <c r="M56" s="12">
        <f t="shared" si="18"/>
        <v>2.8078703704522923E-2</v>
      </c>
      <c r="N56" s="13">
        <f t="shared" si="5"/>
        <v>40.433333334513009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10:11:50-0600',mode:absolute,to:'2016-05-21 10:55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6" s="74" t="str">
        <f t="shared" si="20"/>
        <v>N</v>
      </c>
      <c r="V56" s="74">
        <f t="shared" si="21"/>
        <v>1</v>
      </c>
      <c r="W56" s="74">
        <f t="shared" si="22"/>
        <v>4.7500000000000001E-2</v>
      </c>
      <c r="X56" s="74">
        <f t="shared" si="23"/>
        <v>23.3291</v>
      </c>
      <c r="Y56" s="74">
        <f t="shared" si="24"/>
        <v>23.281600000000001</v>
      </c>
      <c r="Z56" s="75" t="e">
        <f>VLOOKUP(A56,Enforcements!$C$3:$J$56,8,0)</f>
        <v>#N/A</v>
      </c>
      <c r="AA56" s="75" t="e">
        <f>VLOOKUP(A56,Enforcements!$C$3:$J$56,3,0)</f>
        <v>#N/A</v>
      </c>
    </row>
    <row r="57" spans="1:27" s="2" customFormat="1" x14ac:dyDescent="0.25">
      <c r="A57" s="61" t="s">
        <v>426</v>
      </c>
      <c r="B57" s="61">
        <v>4032</v>
      </c>
      <c r="C57" s="61" t="s">
        <v>66</v>
      </c>
      <c r="D57" s="61" t="s">
        <v>100</v>
      </c>
      <c r="E57" s="30">
        <v>42511.461238425924</v>
      </c>
      <c r="F57" s="30">
        <v>42511.462175925924</v>
      </c>
      <c r="G57" s="38">
        <v>1</v>
      </c>
      <c r="H57" s="30" t="s">
        <v>94</v>
      </c>
      <c r="I57" s="30">
        <v>42511.495034722226</v>
      </c>
      <c r="J57" s="61">
        <v>0</v>
      </c>
      <c r="K57" s="61" t="str">
        <f t="shared" si="17"/>
        <v>4031/4032</v>
      </c>
      <c r="L57" s="61" t="str">
        <f>VLOOKUP(A57,'Trips&amp;Operators'!$C$1:$E$9999,3,FALSE)</f>
        <v>ACKERMAN</v>
      </c>
      <c r="M57" s="12">
        <f t="shared" si="18"/>
        <v>3.2858796301297843E-2</v>
      </c>
      <c r="N57" s="13">
        <f t="shared" si="5"/>
        <v>47.316666673868895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11:03:11-0600',mode:absolute,to:'2016-05-21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7" s="74" t="str">
        <f t="shared" si="20"/>
        <v>N</v>
      </c>
      <c r="V57" s="74">
        <f t="shared" si="21"/>
        <v>1</v>
      </c>
      <c r="W57" s="74">
        <f t="shared" si="22"/>
        <v>23.2986</v>
      </c>
      <c r="X57" s="74">
        <f t="shared" si="23"/>
        <v>1.4999999999999999E-2</v>
      </c>
      <c r="Y57" s="74">
        <f t="shared" si="24"/>
        <v>23.2836</v>
      </c>
      <c r="Z57" s="75" t="e">
        <f>VLOOKUP(A57,Enforcements!$C$3:$J$56,8,0)</f>
        <v>#N/A</v>
      </c>
      <c r="AA57" s="75" t="e">
        <f>VLOOKUP(A57,Enforcements!$C$3:$J$56,3,0)</f>
        <v>#N/A</v>
      </c>
    </row>
    <row r="58" spans="1:27" s="2" customFormat="1" x14ac:dyDescent="0.25">
      <c r="A58" s="61" t="s">
        <v>427</v>
      </c>
      <c r="B58" s="61">
        <v>4025</v>
      </c>
      <c r="C58" s="61" t="s">
        <v>66</v>
      </c>
      <c r="D58" s="61" t="s">
        <v>428</v>
      </c>
      <c r="E58" s="30">
        <v>42511.435057870367</v>
      </c>
      <c r="F58" s="30">
        <v>42511.436226851853</v>
      </c>
      <c r="G58" s="38">
        <v>1</v>
      </c>
      <c r="H58" s="30" t="s">
        <v>98</v>
      </c>
      <c r="I58" s="30">
        <v>42511.463946759257</v>
      </c>
      <c r="J58" s="61">
        <v>0</v>
      </c>
      <c r="K58" s="61" t="str">
        <f t="shared" si="17"/>
        <v>4025/4026</v>
      </c>
      <c r="L58" s="61" t="str">
        <f>VLOOKUP(A58,'Trips&amp;Operators'!$C$1:$E$9999,3,FALSE)</f>
        <v>GEBRETEKLE</v>
      </c>
      <c r="M58" s="12">
        <f t="shared" si="18"/>
        <v>2.7719907404389232E-2</v>
      </c>
      <c r="N58" s="13">
        <f t="shared" si="5"/>
        <v>39.916666662320495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10:25:29-0600',mode:absolute,to:'2016-05-21 11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8" s="74" t="str">
        <f t="shared" si="20"/>
        <v>N</v>
      </c>
      <c r="V58" s="74">
        <f t="shared" si="21"/>
        <v>1</v>
      </c>
      <c r="W58" s="74">
        <f t="shared" si="22"/>
        <v>0.1198</v>
      </c>
      <c r="X58" s="74">
        <f t="shared" si="23"/>
        <v>23.331499999999998</v>
      </c>
      <c r="Y58" s="74">
        <f t="shared" si="24"/>
        <v>23.211699999999997</v>
      </c>
      <c r="Z58" s="75" t="e">
        <f>VLOOKUP(A58,Enforcements!$C$3:$J$56,8,0)</f>
        <v>#N/A</v>
      </c>
      <c r="AA58" s="75" t="e">
        <f>VLOOKUP(A58,Enforcements!$C$3:$J$56,3,0)</f>
        <v>#N/A</v>
      </c>
    </row>
    <row r="59" spans="1:27" s="2" customFormat="1" x14ac:dyDescent="0.25">
      <c r="A59" s="61" t="s">
        <v>429</v>
      </c>
      <c r="B59" s="61">
        <v>4026</v>
      </c>
      <c r="C59" s="61" t="s">
        <v>66</v>
      </c>
      <c r="D59" s="61" t="s">
        <v>430</v>
      </c>
      <c r="E59" s="30">
        <v>42511.469664351855</v>
      </c>
      <c r="F59" s="30">
        <v>42511.471921296295</v>
      </c>
      <c r="G59" s="38">
        <v>3</v>
      </c>
      <c r="H59" s="30" t="s">
        <v>99</v>
      </c>
      <c r="I59" s="30">
        <v>42511.511990740742</v>
      </c>
      <c r="J59" s="61">
        <v>0</v>
      </c>
      <c r="K59" s="61" t="str">
        <f t="shared" si="17"/>
        <v>4025/4026</v>
      </c>
      <c r="L59" s="61" t="str">
        <f>VLOOKUP(A59,'Trips&amp;Operators'!$C$1:$E$9999,3,FALSE)</f>
        <v>GEBRETEKLE</v>
      </c>
      <c r="M59" s="12">
        <f t="shared" si="18"/>
        <v>4.0069444446999114E-2</v>
      </c>
      <c r="N59" s="13">
        <f t="shared" si="5"/>
        <v>57.700000003678724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11:15:19-0600',mode:absolute,to:'2016-05-21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9" s="74" t="str">
        <f t="shared" si="20"/>
        <v>N</v>
      </c>
      <c r="V59" s="74">
        <f t="shared" si="21"/>
        <v>1</v>
      </c>
      <c r="W59" s="74">
        <f t="shared" si="22"/>
        <v>23.298500000000001</v>
      </c>
      <c r="X59" s="74">
        <f t="shared" si="23"/>
        <v>1.47E-2</v>
      </c>
      <c r="Y59" s="74">
        <f t="shared" si="24"/>
        <v>23.283799999999999</v>
      </c>
      <c r="Z59" s="75" t="e">
        <f>VLOOKUP(A59,Enforcements!$C$3:$J$56,8,0)</f>
        <v>#N/A</v>
      </c>
      <c r="AA59" s="75" t="e">
        <f>VLOOKUP(A59,Enforcements!$C$3:$J$56,3,0)</f>
        <v>#N/A</v>
      </c>
    </row>
    <row r="60" spans="1:27" s="2" customFormat="1" x14ac:dyDescent="0.25">
      <c r="A60" s="61" t="s">
        <v>431</v>
      </c>
      <c r="B60" s="61">
        <v>4002</v>
      </c>
      <c r="C60" s="61" t="s">
        <v>66</v>
      </c>
      <c r="D60" s="61" t="s">
        <v>432</v>
      </c>
      <c r="E60" s="30">
        <v>42511.443391203706</v>
      </c>
      <c r="F60" s="30">
        <v>42511.444178240738</v>
      </c>
      <c r="G60" s="38">
        <v>1</v>
      </c>
      <c r="H60" s="30" t="s">
        <v>433</v>
      </c>
      <c r="I60" s="30">
        <v>42511.474745370368</v>
      </c>
      <c r="J60" s="61">
        <v>1</v>
      </c>
      <c r="K60" s="61" t="str">
        <f t="shared" si="17"/>
        <v>4001/4002</v>
      </c>
      <c r="L60" s="61" t="str">
        <f>VLOOKUP(A60,'Trips&amp;Operators'!$C$1:$E$9999,3,FALSE)</f>
        <v>BRANNON</v>
      </c>
      <c r="M60" s="12">
        <f t="shared" si="18"/>
        <v>3.0567129630071577E-2</v>
      </c>
      <c r="N60" s="13">
        <f t="shared" si="5"/>
        <v>44.01666666730307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0" s="74" t="str">
        <f t="shared" si="20"/>
        <v>N</v>
      </c>
      <c r="V60" s="74">
        <f t="shared" si="21"/>
        <v>1</v>
      </c>
      <c r="W60" s="74">
        <f t="shared" si="22"/>
        <v>4.9500000000000002E-2</v>
      </c>
      <c r="X60" s="74">
        <f t="shared" si="23"/>
        <v>23.3124</v>
      </c>
      <c r="Y60" s="74">
        <f t="shared" si="24"/>
        <v>23.262900000000002</v>
      </c>
      <c r="Z60" s="75">
        <f>VLOOKUP(A60,Enforcements!$C$3:$J$56,8,0)</f>
        <v>233491</v>
      </c>
      <c r="AA60" s="75" t="str">
        <f>VLOOKUP(A60,Enforcements!$C$3:$J$56,3,0)</f>
        <v>TRACK WARRANT AUTHORITY</v>
      </c>
    </row>
    <row r="61" spans="1:27" s="2" customFormat="1" x14ac:dyDescent="0.25">
      <c r="A61" s="61" t="s">
        <v>434</v>
      </c>
      <c r="B61" s="61">
        <v>4001</v>
      </c>
      <c r="C61" s="61" t="s">
        <v>66</v>
      </c>
      <c r="D61" s="61" t="s">
        <v>435</v>
      </c>
      <c r="E61" s="30">
        <v>42511.48101851852</v>
      </c>
      <c r="F61" s="30">
        <v>42511.481874999998</v>
      </c>
      <c r="G61" s="38">
        <v>1</v>
      </c>
      <c r="H61" s="30" t="s">
        <v>99</v>
      </c>
      <c r="I61" s="30">
        <v>42511.52134259259</v>
      </c>
      <c r="J61" s="61">
        <v>0</v>
      </c>
      <c r="K61" s="61" t="str">
        <f t="shared" si="17"/>
        <v>4001/4002</v>
      </c>
      <c r="L61" s="61" t="str">
        <f>VLOOKUP(A61,'Trips&amp;Operators'!$C$1:$E$9999,3,FALSE)</f>
        <v>BRANNON</v>
      </c>
      <c r="M61" s="12">
        <f t="shared" si="18"/>
        <v>3.9467592592700385E-2</v>
      </c>
      <c r="N61" s="13">
        <f t="shared" si="5"/>
        <v>56.833333333488554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11:31:40-0600',mode:absolute,to:'2016-05-21 12:31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1" s="74" t="str">
        <f t="shared" si="20"/>
        <v>N</v>
      </c>
      <c r="V61" s="74">
        <f t="shared" si="21"/>
        <v>1</v>
      </c>
      <c r="W61" s="74">
        <f t="shared" si="22"/>
        <v>23.2959</v>
      </c>
      <c r="X61" s="74">
        <f t="shared" si="23"/>
        <v>1.47E-2</v>
      </c>
      <c r="Y61" s="74">
        <f t="shared" si="24"/>
        <v>23.281199999999998</v>
      </c>
      <c r="Z61" s="75" t="e">
        <f>VLOOKUP(A61,Enforcements!$C$3:$J$56,8,0)</f>
        <v>#N/A</v>
      </c>
      <c r="AA61" s="75" t="e">
        <f>VLOOKUP(A61,Enforcements!$C$3:$J$56,3,0)</f>
        <v>#N/A</v>
      </c>
    </row>
    <row r="62" spans="1:27" s="2" customFormat="1" x14ac:dyDescent="0.25">
      <c r="A62" s="61" t="s">
        <v>436</v>
      </c>
      <c r="B62" s="61">
        <v>4009</v>
      </c>
      <c r="C62" s="61" t="s">
        <v>66</v>
      </c>
      <c r="D62" s="61" t="s">
        <v>167</v>
      </c>
      <c r="E62" s="30">
        <v>42511.456817129627</v>
      </c>
      <c r="F62" s="30">
        <v>42511.457708333335</v>
      </c>
      <c r="G62" s="38">
        <v>1</v>
      </c>
      <c r="H62" s="30" t="s">
        <v>123</v>
      </c>
      <c r="I62" s="30">
        <v>42511.4846412037</v>
      </c>
      <c r="J62" s="61">
        <v>0</v>
      </c>
      <c r="K62" s="61" t="str">
        <f t="shared" si="17"/>
        <v>4009/4010</v>
      </c>
      <c r="L62" s="61" t="str">
        <f>VLOOKUP(A62,'Trips&amp;Operators'!$C$1:$E$9999,3,FALSE)</f>
        <v>YANAI</v>
      </c>
      <c r="M62" s="12">
        <f t="shared" si="18"/>
        <v>2.693287036527181E-2</v>
      </c>
      <c r="N62" s="13">
        <f t="shared" si="5"/>
        <v>38.783333325991407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10:56:49-0600',mode:absolute,to:'2016-05-21 11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2" s="74" t="str">
        <f t="shared" si="20"/>
        <v>N</v>
      </c>
      <c r="V62" s="74">
        <f t="shared" si="21"/>
        <v>1</v>
      </c>
      <c r="W62" s="74">
        <f t="shared" si="22"/>
        <v>4.6199999999999998E-2</v>
      </c>
      <c r="X62" s="74">
        <f t="shared" si="23"/>
        <v>23.330200000000001</v>
      </c>
      <c r="Y62" s="74">
        <f t="shared" si="24"/>
        <v>23.284000000000002</v>
      </c>
      <c r="Z62" s="75" t="e">
        <f>VLOOKUP(A62,Enforcements!$C$3:$J$56,8,0)</f>
        <v>#N/A</v>
      </c>
      <c r="AA62" s="75" t="e">
        <f>VLOOKUP(A62,Enforcements!$C$3:$J$56,3,0)</f>
        <v>#N/A</v>
      </c>
    </row>
    <row r="63" spans="1:27" s="2" customFormat="1" x14ac:dyDescent="0.25">
      <c r="A63" s="61" t="s">
        <v>437</v>
      </c>
      <c r="B63" s="61">
        <v>4010</v>
      </c>
      <c r="C63" s="61" t="s">
        <v>66</v>
      </c>
      <c r="D63" s="61" t="s">
        <v>438</v>
      </c>
      <c r="E63" s="30">
        <v>42511.494953703703</v>
      </c>
      <c r="F63" s="30">
        <v>42511.49596064815</v>
      </c>
      <c r="G63" s="38">
        <v>1</v>
      </c>
      <c r="H63" s="30" t="s">
        <v>439</v>
      </c>
      <c r="I63" s="30">
        <v>42511.540972222225</v>
      </c>
      <c r="J63" s="61">
        <v>1</v>
      </c>
      <c r="K63" s="61" t="str">
        <f t="shared" si="17"/>
        <v>4009/4010</v>
      </c>
      <c r="L63" s="61" t="str">
        <f>VLOOKUP(A63,'Trips&amp;Operators'!$C$1:$E$9999,3,FALSE)</f>
        <v>YANAI</v>
      </c>
      <c r="M63" s="12">
        <f t="shared" si="18"/>
        <v>4.5011574075033423E-2</v>
      </c>
      <c r="N63" s="13">
        <f t="shared" si="5"/>
        <v>64.816666668048128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3" s="74" t="str">
        <f t="shared" si="20"/>
        <v>N</v>
      </c>
      <c r="V63" s="74">
        <f t="shared" si="21"/>
        <v>1</v>
      </c>
      <c r="W63" s="74">
        <f t="shared" si="22"/>
        <v>23.2972</v>
      </c>
      <c r="X63" s="74">
        <f t="shared" si="23"/>
        <v>2.07E-2</v>
      </c>
      <c r="Y63" s="74">
        <f t="shared" si="24"/>
        <v>23.276499999999999</v>
      </c>
      <c r="Z63" s="75">
        <f>VLOOKUP(A63,Enforcements!$C$3:$J$56,8,0)</f>
        <v>1</v>
      </c>
      <c r="AA63" s="75" t="str">
        <f>VLOOKUP(A63,Enforcements!$C$3:$J$56,3,0)</f>
        <v>TRACK WARRANT AUTHORITY</v>
      </c>
    </row>
    <row r="64" spans="1:27" s="2" customFormat="1" x14ac:dyDescent="0.25">
      <c r="A64" s="61" t="s">
        <v>440</v>
      </c>
      <c r="B64" s="61">
        <v>4020</v>
      </c>
      <c r="C64" s="61" t="s">
        <v>66</v>
      </c>
      <c r="D64" s="61" t="s">
        <v>441</v>
      </c>
      <c r="E64" s="30">
        <v>42511.467013888891</v>
      </c>
      <c r="F64" s="30">
        <v>42511.467766203707</v>
      </c>
      <c r="G64" s="38">
        <v>1</v>
      </c>
      <c r="H64" s="30" t="s">
        <v>442</v>
      </c>
      <c r="I64" s="30">
        <v>42511.495833333334</v>
      </c>
      <c r="J64" s="61">
        <v>1</v>
      </c>
      <c r="K64" s="61" t="str">
        <f t="shared" si="17"/>
        <v>4019/4020</v>
      </c>
      <c r="L64" s="61" t="str">
        <f>VLOOKUP(A64,'Trips&amp;Operators'!$C$1:$E$9999,3,FALSE)</f>
        <v>RIVERA</v>
      </c>
      <c r="M64" s="12">
        <f t="shared" si="18"/>
        <v>2.806712962774327E-2</v>
      </c>
      <c r="N64" s="13">
        <f t="shared" si="5"/>
        <v>40.416666663950309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22"/>
        <v>4.2900000000000001E-2</v>
      </c>
      <c r="X64" s="74">
        <f t="shared" si="23"/>
        <v>23.331199999999999</v>
      </c>
      <c r="Y64" s="74">
        <f t="shared" si="24"/>
        <v>23.2883</v>
      </c>
      <c r="Z64" s="75">
        <f>VLOOKUP(A64,Enforcements!$C$3:$J$56,8,0)</f>
        <v>53155</v>
      </c>
      <c r="AA64" s="75" t="str">
        <f>VLOOKUP(A64,Enforcements!$C$3:$J$56,3,0)</f>
        <v>GRADE CROSSING</v>
      </c>
    </row>
    <row r="65" spans="1:27" s="2" customFormat="1" x14ac:dyDescent="0.25">
      <c r="A65" s="61" t="s">
        <v>443</v>
      </c>
      <c r="B65" s="61">
        <v>4019</v>
      </c>
      <c r="C65" s="61" t="s">
        <v>66</v>
      </c>
      <c r="D65" s="61" t="s">
        <v>95</v>
      </c>
      <c r="E65" s="30">
        <v>42511.502337962964</v>
      </c>
      <c r="F65" s="30">
        <v>42511.503692129627</v>
      </c>
      <c r="G65" s="38">
        <v>1</v>
      </c>
      <c r="H65" s="30" t="s">
        <v>155</v>
      </c>
      <c r="I65" s="30">
        <v>42511.591435185182</v>
      </c>
      <c r="J65" s="61">
        <v>1</v>
      </c>
      <c r="K65" s="61" t="str">
        <f t="shared" si="17"/>
        <v>4019/4020</v>
      </c>
      <c r="L65" s="61" t="str">
        <f>VLOOKUP(A65,'Trips&amp;Operators'!$C$1:$E$9999,3,FALSE)</f>
        <v>RIVERA</v>
      </c>
      <c r="M65" s="12">
        <f t="shared" si="18"/>
        <v>8.7743055555620231E-2</v>
      </c>
      <c r="N65" s="13">
        <f t="shared" si="5"/>
        <v>126.35000000009313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22"/>
        <v>23.297499999999999</v>
      </c>
      <c r="X65" s="74">
        <f t="shared" si="23"/>
        <v>1.43E-2</v>
      </c>
      <c r="Y65" s="74">
        <f t="shared" si="24"/>
        <v>23.283200000000001</v>
      </c>
      <c r="Z65" s="75">
        <f>VLOOKUP(A65,Enforcements!$C$3:$J$56,8,0)</f>
        <v>1</v>
      </c>
      <c r="AA65" s="75" t="str">
        <f>VLOOKUP(A65,Enforcements!$C$3:$J$56,3,0)</f>
        <v>TRACK WARRANT AUTHORITY</v>
      </c>
    </row>
    <row r="66" spans="1:27" s="2" customFormat="1" x14ac:dyDescent="0.25">
      <c r="A66" s="61" t="s">
        <v>444</v>
      </c>
      <c r="B66" s="61">
        <v>4024</v>
      </c>
      <c r="C66" s="61" t="s">
        <v>66</v>
      </c>
      <c r="D66" s="61" t="s">
        <v>85</v>
      </c>
      <c r="E66" s="30">
        <v>42511.475104166668</v>
      </c>
      <c r="F66" s="30">
        <v>42511.4762962963</v>
      </c>
      <c r="G66" s="38">
        <v>1</v>
      </c>
      <c r="H66" s="30" t="s">
        <v>445</v>
      </c>
      <c r="I66" s="30">
        <v>42511.505069444444</v>
      </c>
      <c r="J66" s="61">
        <v>0</v>
      </c>
      <c r="K66" s="61" t="str">
        <f t="shared" si="17"/>
        <v>4023/4024</v>
      </c>
      <c r="L66" s="61" t="str">
        <f>VLOOKUP(A66,'Trips&amp;Operators'!$C$1:$E$9999,3,FALSE)</f>
        <v>BONDS</v>
      </c>
      <c r="M66" s="12">
        <f t="shared" si="18"/>
        <v>2.8773148143955041E-2</v>
      </c>
      <c r="N66" s="13">
        <f t="shared" si="5"/>
        <v>41.433333327295259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11:23:09-0600',mode:absolute,to:'2016-05-21 12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4" t="str">
        <f t="shared" si="20"/>
        <v>N</v>
      </c>
      <c r="V66" s="74">
        <f t="shared" si="21"/>
        <v>1</v>
      </c>
      <c r="W66" s="74">
        <f t="shared" si="22"/>
        <v>4.6399999999999997E-2</v>
      </c>
      <c r="X66" s="74">
        <f t="shared" si="23"/>
        <v>23.333100000000002</v>
      </c>
      <c r="Y66" s="74">
        <f t="shared" si="24"/>
        <v>23.286700000000003</v>
      </c>
      <c r="Z66" s="75" t="e">
        <f>VLOOKUP(A66,Enforcements!$C$3:$J$56,8,0)</f>
        <v>#N/A</v>
      </c>
      <c r="AA66" s="75" t="e">
        <f>VLOOKUP(A66,Enforcements!$C$3:$J$56,3,0)</f>
        <v>#N/A</v>
      </c>
    </row>
    <row r="67" spans="1:27" s="2" customFormat="1" x14ac:dyDescent="0.25">
      <c r="A67" s="61" t="s">
        <v>446</v>
      </c>
      <c r="B67" s="61">
        <v>4023</v>
      </c>
      <c r="C67" s="61" t="s">
        <v>66</v>
      </c>
      <c r="D67" s="61" t="s">
        <v>447</v>
      </c>
      <c r="E67" s="30">
        <v>42511.562534722223</v>
      </c>
      <c r="F67" s="30">
        <v>42511.563506944447</v>
      </c>
      <c r="G67" s="38">
        <v>1</v>
      </c>
      <c r="H67" s="30" t="s">
        <v>76</v>
      </c>
      <c r="I67" s="30">
        <v>42511.599212962959</v>
      </c>
      <c r="J67" s="61">
        <v>2</v>
      </c>
      <c r="K67" s="61" t="str">
        <f t="shared" si="17"/>
        <v>4023/4024</v>
      </c>
      <c r="L67" s="61" t="str">
        <f>VLOOKUP(A67,'Trips&amp;Operators'!$C$1:$E$9999,3,FALSE)</f>
        <v>BONDS</v>
      </c>
      <c r="M67" s="12">
        <f t="shared" si="18"/>
        <v>3.5706018512428273E-2</v>
      </c>
      <c r="N67" s="13">
        <f t="shared" si="5"/>
        <v>51.416666657896712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4" t="str">
        <f t="shared" si="20"/>
        <v>N</v>
      </c>
      <c r="V67" s="74">
        <f t="shared" si="21"/>
        <v>1</v>
      </c>
      <c r="W67" s="74">
        <f t="shared" si="22"/>
        <v>23.226700000000001</v>
      </c>
      <c r="X67" s="74">
        <f t="shared" si="23"/>
        <v>1.3599999999999999E-2</v>
      </c>
      <c r="Y67" s="74">
        <f t="shared" si="24"/>
        <v>23.213100000000001</v>
      </c>
      <c r="Z67" s="75">
        <f>VLOOKUP(A67,Enforcements!$C$3:$J$56,8,0)</f>
        <v>53277</v>
      </c>
      <c r="AA67" s="75" t="str">
        <f>VLOOKUP(A67,Enforcements!$C$3:$J$56,3,0)</f>
        <v>GRADE CROSSING</v>
      </c>
    </row>
    <row r="68" spans="1:27" s="2" customFormat="1" x14ac:dyDescent="0.25">
      <c r="A68" s="61" t="s">
        <v>446</v>
      </c>
      <c r="B68" s="61">
        <v>4023</v>
      </c>
      <c r="C68" s="61" t="s">
        <v>66</v>
      </c>
      <c r="D68" s="61" t="s">
        <v>353</v>
      </c>
      <c r="E68" s="30">
        <v>42511.508842592593</v>
      </c>
      <c r="F68" s="30">
        <v>42511.510266203702</v>
      </c>
      <c r="G68" s="38">
        <v>2</v>
      </c>
      <c r="H68" s="30" t="s">
        <v>448</v>
      </c>
      <c r="I68" s="30">
        <v>42511.527673611112</v>
      </c>
      <c r="J68" s="61">
        <v>0</v>
      </c>
      <c r="K68" s="61" t="str">
        <f t="shared" si="17"/>
        <v>4023/4024</v>
      </c>
      <c r="L68" s="61" t="str">
        <f>VLOOKUP(A68,'Trips&amp;Operators'!$C$1:$E$9999,3,FALSE)</f>
        <v>BONDS</v>
      </c>
      <c r="M68" s="12">
        <f t="shared" si="18"/>
        <v>1.7407407409336884E-2</v>
      </c>
      <c r="N68" s="13"/>
      <c r="O68" s="13"/>
      <c r="P68" s="13">
        <f>24*60*SUM($M68:$M68)</f>
        <v>25.066666669445112</v>
      </c>
      <c r="Q68" s="62" t="s">
        <v>602</v>
      </c>
      <c r="R68" s="62" t="s">
        <v>603</v>
      </c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12:11:44-0600',mode:absolute,to:'2016-05-21 12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4" t="str">
        <f t="shared" si="20"/>
        <v>Y</v>
      </c>
      <c r="V68" s="74">
        <f t="shared" si="21"/>
        <v>0</v>
      </c>
      <c r="W68" s="74">
        <f t="shared" si="22"/>
        <v>23.3</v>
      </c>
      <c r="X68" s="74">
        <f t="shared" si="23"/>
        <v>23.226400000000002</v>
      </c>
      <c r="Y68" s="74">
        <f t="shared" si="24"/>
        <v>7.3599999999999E-2</v>
      </c>
      <c r="Z68" s="75">
        <f>VLOOKUP(A68,Enforcements!$C$3:$J$56,8,0)</f>
        <v>53277</v>
      </c>
      <c r="AA68" s="75" t="str">
        <f>VLOOKUP(A68,Enforcements!$C$3:$J$56,3,0)</f>
        <v>GRADE CROSSING</v>
      </c>
    </row>
    <row r="69" spans="1:27" s="2" customFormat="1" x14ac:dyDescent="0.25">
      <c r="A69" s="61" t="s">
        <v>449</v>
      </c>
      <c r="B69" s="61">
        <v>4044</v>
      </c>
      <c r="C69" s="61" t="s">
        <v>66</v>
      </c>
      <c r="D69" s="61" t="s">
        <v>324</v>
      </c>
      <c r="E69" s="30">
        <v>42511.486678240741</v>
      </c>
      <c r="F69" s="30">
        <v>42511.487754629627</v>
      </c>
      <c r="G69" s="38">
        <v>1</v>
      </c>
      <c r="H69" s="30" t="s">
        <v>450</v>
      </c>
      <c r="I69" s="30">
        <v>42511.515277777777</v>
      </c>
      <c r="J69" s="61">
        <v>1</v>
      </c>
      <c r="K69" s="61" t="str">
        <f t="shared" si="17"/>
        <v>4043/4044</v>
      </c>
      <c r="L69" s="61" t="str">
        <f>VLOOKUP(A69,'Trips&amp;Operators'!$C$1:$E$9999,3,FALSE)</f>
        <v>LOCKLEAR</v>
      </c>
      <c r="M69" s="12">
        <f t="shared" si="18"/>
        <v>2.7523148150066845E-2</v>
      </c>
      <c r="N69" s="13">
        <f t="shared" si="5"/>
        <v>39.633333336096257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4.4200000000000003E-2</v>
      </c>
      <c r="X69" s="74">
        <f t="shared" si="23"/>
        <v>23.336400000000001</v>
      </c>
      <c r="Y69" s="74">
        <f t="shared" si="24"/>
        <v>23.292200000000001</v>
      </c>
      <c r="Z69" s="75">
        <f>VLOOKUP(A69,Enforcements!$C$3:$J$56,8,0)</f>
        <v>53155</v>
      </c>
      <c r="AA69" s="75" t="str">
        <f>VLOOKUP(A69,Enforcements!$C$3:$J$56,3,0)</f>
        <v>GRADE CROSSING</v>
      </c>
    </row>
    <row r="70" spans="1:27" s="2" customFormat="1" x14ac:dyDescent="0.25">
      <c r="A70" s="61" t="s">
        <v>451</v>
      </c>
      <c r="B70" s="61">
        <v>4043</v>
      </c>
      <c r="C70" s="61" t="s">
        <v>66</v>
      </c>
      <c r="D70" s="61" t="s">
        <v>452</v>
      </c>
      <c r="E70" s="30">
        <v>42511.561469907407</v>
      </c>
      <c r="F70" s="30">
        <v>42511.562708333331</v>
      </c>
      <c r="G70" s="38">
        <v>1</v>
      </c>
      <c r="H70" s="30" t="s">
        <v>82</v>
      </c>
      <c r="I70" s="30">
        <v>42511.612476851849</v>
      </c>
      <c r="J70" s="61">
        <v>0</v>
      </c>
      <c r="K70" s="61" t="str">
        <f t="shared" si="17"/>
        <v>4043/4044</v>
      </c>
      <c r="L70" s="61" t="str">
        <f>VLOOKUP(A70,'Trips&amp;Operators'!$C$1:$E$9999,3,FALSE)</f>
        <v>LOCKLEAR</v>
      </c>
      <c r="M70" s="12">
        <f t="shared" si="18"/>
        <v>4.9768518518249039E-2</v>
      </c>
      <c r="N70" s="13">
        <f t="shared" si="5"/>
        <v>71.666666666278616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13:27:31-0600',mode:absolute,to:'2016-05-21 14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23.304400000000001</v>
      </c>
      <c r="X70" s="74">
        <f t="shared" si="23"/>
        <v>1.52E-2</v>
      </c>
      <c r="Y70" s="74">
        <f t="shared" si="24"/>
        <v>23.289200000000001</v>
      </c>
      <c r="Z70" s="75" t="e">
        <f>VLOOKUP(A70,Enforcements!$C$3:$J$56,8,0)</f>
        <v>#N/A</v>
      </c>
      <c r="AA70" s="75" t="e">
        <f>VLOOKUP(A70,Enforcements!$C$3:$J$56,3,0)</f>
        <v>#N/A</v>
      </c>
    </row>
    <row r="71" spans="1:27" s="2" customFormat="1" x14ac:dyDescent="0.25">
      <c r="A71" s="61" t="s">
        <v>453</v>
      </c>
      <c r="B71" s="61">
        <v>4031</v>
      </c>
      <c r="C71" s="61" t="s">
        <v>66</v>
      </c>
      <c r="D71" s="61" t="s">
        <v>80</v>
      </c>
      <c r="E71" s="30">
        <v>42511.498229166667</v>
      </c>
      <c r="F71" s="30">
        <v>42511.500902777778</v>
      </c>
      <c r="G71" s="38">
        <v>3</v>
      </c>
      <c r="H71" s="30" t="s">
        <v>454</v>
      </c>
      <c r="I71" s="30">
        <v>42511.583518518521</v>
      </c>
      <c r="J71" s="61">
        <v>0</v>
      </c>
      <c r="K71" s="61" t="str">
        <f t="shared" si="17"/>
        <v>4031/4032</v>
      </c>
      <c r="L71" s="61" t="str">
        <f>VLOOKUP(A71,'Trips&amp;Operators'!$C$1:$E$9999,3,FALSE)</f>
        <v>ACKERMAN</v>
      </c>
      <c r="M71" s="12">
        <f t="shared" si="18"/>
        <v>8.261574074276723E-2</v>
      </c>
      <c r="N71" s="13">
        <f t="shared" si="5"/>
        <v>118.96666666958481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11:56:27-0600',mode:absolute,to:'2016-05-21 14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4.53E-2</v>
      </c>
      <c r="X71" s="74">
        <f t="shared" si="23"/>
        <v>23.328499999999998</v>
      </c>
      <c r="Y71" s="74">
        <f t="shared" si="24"/>
        <v>23.283199999999997</v>
      </c>
      <c r="Z71" s="75" t="e">
        <f>VLOOKUP(A71,Enforcements!$C$3:$J$56,8,0)</f>
        <v>#N/A</v>
      </c>
      <c r="AA71" s="75" t="e">
        <f>VLOOKUP(A71,Enforcements!$C$3:$J$56,3,0)</f>
        <v>#N/A</v>
      </c>
    </row>
    <row r="72" spans="1:27" s="2" customFormat="1" x14ac:dyDescent="0.25">
      <c r="A72" s="61" t="s">
        <v>455</v>
      </c>
      <c r="B72" s="61">
        <v>4025</v>
      </c>
      <c r="C72" s="61" t="s">
        <v>66</v>
      </c>
      <c r="D72" s="61" t="s">
        <v>85</v>
      </c>
      <c r="E72" s="30">
        <v>42511.515208333331</v>
      </c>
      <c r="F72" s="30">
        <v>42511.517939814818</v>
      </c>
      <c r="G72" s="38">
        <v>3</v>
      </c>
      <c r="H72" s="30" t="s">
        <v>456</v>
      </c>
      <c r="I72" s="30">
        <v>42511.579456018517</v>
      </c>
      <c r="J72" s="61">
        <v>0</v>
      </c>
      <c r="K72" s="61" t="str">
        <f t="shared" ref="K72:K134" si="25">IF(ISEVEN(B72),(B72-1)&amp;"/"&amp;B72,B72&amp;"/"&amp;(B72+1))</f>
        <v>4025/4026</v>
      </c>
      <c r="L72" s="61" t="str">
        <f>VLOOKUP(A72,'Trips&amp;Operators'!$C$1:$E$9999,3,FALSE)</f>
        <v>STEWART</v>
      </c>
      <c r="M72" s="12">
        <f t="shared" ref="M72:M134" si="26">I72-F72</f>
        <v>6.1516203699284233E-2</v>
      </c>
      <c r="N72" s="13"/>
      <c r="O72" s="13"/>
      <c r="P72" s="13">
        <f>24*60*SUM($M72:$M73)</f>
        <v>113.73333332827315</v>
      </c>
      <c r="Q72" s="62" t="s">
        <v>598</v>
      </c>
      <c r="R72" s="62" t="s">
        <v>605</v>
      </c>
      <c r="T72" s="74" t="str">
        <f t="shared" ref="T72:T134" si="27"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2" s="74" t="str">
        <f t="shared" ref="U72:U134" si="28">IF(Y72&lt;23,"Y","N")</f>
        <v>Y</v>
      </c>
      <c r="V72" s="74">
        <f t="shared" ref="V72:V134" si="29">VALUE(LEFT(A72,3))-VALUE(LEFT(A71,3))</f>
        <v>2</v>
      </c>
      <c r="W72" s="74">
        <f t="shared" ref="W72:W134" si="30">RIGHT(D72,LEN(D72)-4)/10000</f>
        <v>4.6399999999999997E-2</v>
      </c>
      <c r="X72" s="74">
        <f t="shared" ref="X72:X134" si="31">RIGHT(H72,LEN(H72)-4)/10000</f>
        <v>5.2135999999999996</v>
      </c>
      <c r="Y72" s="74">
        <f t="shared" ref="Y72:Y134" si="32">ABS(X72-W72)</f>
        <v>5.1671999999999993</v>
      </c>
      <c r="Z72" s="75">
        <f>VLOOKUP(A72,Enforcements!$C$3:$J$56,8,0)</f>
        <v>127562</v>
      </c>
      <c r="AA72" s="75" t="str">
        <f>VLOOKUP(A72,Enforcements!$C$3:$J$56,3,0)</f>
        <v>GRADE CROSSING</v>
      </c>
    </row>
    <row r="73" spans="1:27" s="2" customFormat="1" x14ac:dyDescent="0.25">
      <c r="A73" s="61" t="s">
        <v>455</v>
      </c>
      <c r="B73" s="61">
        <v>4025</v>
      </c>
      <c r="C73" s="61" t="s">
        <v>66</v>
      </c>
      <c r="D73" s="61" t="s">
        <v>326</v>
      </c>
      <c r="E73" s="30">
        <v>42511.581990740742</v>
      </c>
      <c r="F73" s="30">
        <v>42511.582488425927</v>
      </c>
      <c r="G73" s="38">
        <v>0</v>
      </c>
      <c r="H73" s="30" t="s">
        <v>169</v>
      </c>
      <c r="I73" s="30">
        <v>42511.599953703706</v>
      </c>
      <c r="J73" s="61">
        <v>2</v>
      </c>
      <c r="K73" s="61" t="str">
        <f t="shared" si="25"/>
        <v>4025/4026</v>
      </c>
      <c r="L73" s="61" t="str">
        <f>VLOOKUP(A73,'Trips&amp;Operators'!$C$1:$E$9999,3,FALSE)</f>
        <v>STEWART</v>
      </c>
      <c r="M73" s="12">
        <f t="shared" si="26"/>
        <v>1.746527777868323E-2</v>
      </c>
      <c r="N73" s="13"/>
      <c r="O73" s="13"/>
      <c r="P73" s="13"/>
      <c r="Q73" s="62"/>
      <c r="R73" s="62"/>
      <c r="T7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13:57:04-0600',mode:absolute,to:'2016-05-21 14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3" s="74" t="str">
        <f t="shared" si="28"/>
        <v>Y</v>
      </c>
      <c r="V73" s="74">
        <f t="shared" si="29"/>
        <v>0</v>
      </c>
      <c r="W73" s="74">
        <f t="shared" si="30"/>
        <v>6.47</v>
      </c>
      <c r="X73" s="74">
        <f t="shared" si="31"/>
        <v>23.3323</v>
      </c>
      <c r="Y73" s="74">
        <f t="shared" si="32"/>
        <v>16.862300000000001</v>
      </c>
      <c r="Z73" s="75">
        <f>VLOOKUP(A73,Enforcements!$C$3:$J$56,8,0)</f>
        <v>127562</v>
      </c>
      <c r="AA73" s="75" t="str">
        <f>VLOOKUP(A73,Enforcements!$C$3:$J$56,3,0)</f>
        <v>GRADE CROSSING</v>
      </c>
    </row>
    <row r="74" spans="1:27" s="2" customFormat="1" x14ac:dyDescent="0.25">
      <c r="A74" s="61" t="s">
        <v>457</v>
      </c>
      <c r="B74" s="61">
        <v>4002</v>
      </c>
      <c r="C74" s="61" t="s">
        <v>66</v>
      </c>
      <c r="D74" s="61" t="s">
        <v>327</v>
      </c>
      <c r="E74" s="30">
        <v>42511.561018518521</v>
      </c>
      <c r="F74" s="30">
        <v>42511.563287037039</v>
      </c>
      <c r="G74" s="38">
        <v>3</v>
      </c>
      <c r="H74" s="30" t="s">
        <v>164</v>
      </c>
      <c r="I74" s="30">
        <v>42511.608495370368</v>
      </c>
      <c r="J74" s="61">
        <v>2</v>
      </c>
      <c r="K74" s="61" t="str">
        <f t="shared" si="25"/>
        <v>4001/4002</v>
      </c>
      <c r="L74" s="61" t="str">
        <f>VLOOKUP(A74,'Trips&amp;Operators'!$C$1:$E$9999,3,FALSE)</f>
        <v>BRANNON</v>
      </c>
      <c r="M74" s="12">
        <f t="shared" si="26"/>
        <v>4.520833332935581E-2</v>
      </c>
      <c r="N74" s="13">
        <f>24*60*SUM($M74:$M74)</f>
        <v>65.099999994272366</v>
      </c>
      <c r="O74" s="13"/>
      <c r="P74" s="13"/>
      <c r="Q74" s="62"/>
      <c r="R74" s="62"/>
      <c r="T7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4" s="74" t="str">
        <f t="shared" si="28"/>
        <v>N</v>
      </c>
      <c r="V74" s="74">
        <f t="shared" si="29"/>
        <v>2</v>
      </c>
      <c r="W74" s="74">
        <f t="shared" si="30"/>
        <v>4.3700000000000003E-2</v>
      </c>
      <c r="X74" s="74">
        <f t="shared" si="31"/>
        <v>23.332000000000001</v>
      </c>
      <c r="Y74" s="74">
        <f t="shared" si="32"/>
        <v>23.2883</v>
      </c>
      <c r="Z74" s="75">
        <f>VLOOKUP(A74,Enforcements!$C$3:$J$56,8,0)</f>
        <v>53155</v>
      </c>
      <c r="AA74" s="75" t="str">
        <f>VLOOKUP(A74,Enforcements!$C$3:$J$56,3,0)</f>
        <v>GRADE CROSSING</v>
      </c>
    </row>
    <row r="75" spans="1:27" s="2" customFormat="1" x14ac:dyDescent="0.25">
      <c r="A75" s="61" t="s">
        <v>457</v>
      </c>
      <c r="B75" s="61">
        <v>4002</v>
      </c>
      <c r="C75" s="61" t="s">
        <v>66</v>
      </c>
      <c r="D75" s="61" t="s">
        <v>83</v>
      </c>
      <c r="E75" s="30">
        <v>42511.659467592595</v>
      </c>
      <c r="F75" s="30">
        <v>42511.660393518519</v>
      </c>
      <c r="G75" s="38">
        <v>1</v>
      </c>
      <c r="H75" s="30" t="s">
        <v>458</v>
      </c>
      <c r="I75" s="30">
        <v>42511.692939814813</v>
      </c>
      <c r="J75" s="61">
        <v>2</v>
      </c>
      <c r="K75" s="61" t="str">
        <f t="shared" si="25"/>
        <v>4001/4002</v>
      </c>
      <c r="L75" s="61" t="str">
        <f>VLOOKUP(A75,'Trips&amp;Operators'!$C$1:$E$9999,3,FALSE)</f>
        <v>BRANNON</v>
      </c>
      <c r="M75" s="12">
        <f t="shared" si="26"/>
        <v>3.2546296293730848E-2</v>
      </c>
      <c r="N75" s="13">
        <f>24*60*SUM($M75:$M75)</f>
        <v>46.86666666297242</v>
      </c>
      <c r="O75" s="13"/>
      <c r="P75" s="13"/>
      <c r="Q75" s="62"/>
      <c r="R75" s="62"/>
      <c r="T7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15:48:38-0600',mode:absolute,to:'2016-05-21 16:38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5" s="74" t="str">
        <f t="shared" si="28"/>
        <v>N</v>
      </c>
      <c r="V75" s="74">
        <f t="shared" si="29"/>
        <v>0</v>
      </c>
      <c r="W75" s="74">
        <f t="shared" si="30"/>
        <v>4.4600000000000001E-2</v>
      </c>
      <c r="X75" s="74">
        <f t="shared" si="31"/>
        <v>23.304600000000001</v>
      </c>
      <c r="Y75" s="74">
        <f t="shared" si="32"/>
        <v>23.26</v>
      </c>
      <c r="Z75" s="75">
        <f>VLOOKUP(A75,Enforcements!$C$3:$J$56,8,0)</f>
        <v>53155</v>
      </c>
      <c r="AA75" s="75" t="str">
        <f>VLOOKUP(A75,Enforcements!$C$3:$J$56,3,0)</f>
        <v>GRADE CROSSING</v>
      </c>
    </row>
    <row r="76" spans="1:27" s="2" customFormat="1" x14ac:dyDescent="0.25">
      <c r="A76" s="61" t="s">
        <v>457</v>
      </c>
      <c r="B76" s="61">
        <v>4002</v>
      </c>
      <c r="C76" s="61" t="s">
        <v>66</v>
      </c>
      <c r="D76" s="61" t="s">
        <v>318</v>
      </c>
      <c r="E76" s="30">
        <v>42511.54582175926</v>
      </c>
      <c r="F76" s="30">
        <v>42511.547303240739</v>
      </c>
      <c r="G76" s="38">
        <v>2</v>
      </c>
      <c r="H76" s="30" t="s">
        <v>459</v>
      </c>
      <c r="I76" s="30">
        <v>42511.550451388888</v>
      </c>
      <c r="J76" s="61">
        <v>0</v>
      </c>
      <c r="K76" s="61" t="str">
        <f t="shared" si="25"/>
        <v>4001/4002</v>
      </c>
      <c r="L76" s="61" t="str">
        <f>VLOOKUP(A76,'Trips&amp;Operators'!$C$1:$E$9999,3,FALSE)</f>
        <v>BRANNON</v>
      </c>
      <c r="M76" s="12">
        <f t="shared" si="26"/>
        <v>3.1481481491937302E-3</v>
      </c>
      <c r="N76" s="13"/>
      <c r="O76" s="13"/>
      <c r="P76" s="13">
        <f>24*60*SUM($M76:$M76)</f>
        <v>4.5333333348389715</v>
      </c>
      <c r="Q76" s="62" t="s">
        <v>606</v>
      </c>
      <c r="R76" s="62" t="s">
        <v>607</v>
      </c>
      <c r="T7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13:04:59-0600',mode:absolute,to:'2016-05-21 13:13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6" s="74" t="str">
        <f t="shared" si="28"/>
        <v>Y</v>
      </c>
      <c r="V76" s="74">
        <f t="shared" si="29"/>
        <v>0</v>
      </c>
      <c r="W76" s="74">
        <f t="shared" si="30"/>
        <v>4.8599999999999997E-2</v>
      </c>
      <c r="X76" s="74">
        <f t="shared" si="31"/>
        <v>1.9016</v>
      </c>
      <c r="Y76" s="74">
        <f t="shared" si="32"/>
        <v>1.853</v>
      </c>
      <c r="Z76" s="75">
        <f>VLOOKUP(A76,Enforcements!$C$3:$J$56,8,0)</f>
        <v>53155</v>
      </c>
      <c r="AA76" s="75" t="str">
        <f>VLOOKUP(A76,Enforcements!$C$3:$J$56,3,0)</f>
        <v>GRADE CROSSING</v>
      </c>
    </row>
    <row r="77" spans="1:27" s="2" customFormat="1" x14ac:dyDescent="0.25">
      <c r="A77" s="61" t="s">
        <v>460</v>
      </c>
      <c r="B77" s="61">
        <v>4001</v>
      </c>
      <c r="C77" s="61" t="s">
        <v>66</v>
      </c>
      <c r="D77" s="61" t="s">
        <v>461</v>
      </c>
      <c r="E77" s="30">
        <v>42511.552662037036</v>
      </c>
      <c r="F77" s="30">
        <v>42511.553449074076</v>
      </c>
      <c r="G77" s="38">
        <v>1</v>
      </c>
      <c r="H77" s="30" t="s">
        <v>145</v>
      </c>
      <c r="I77" s="30">
        <v>42511.559421296297</v>
      </c>
      <c r="J77" s="61">
        <v>0</v>
      </c>
      <c r="K77" s="61" t="str">
        <f t="shared" si="25"/>
        <v>4001/4002</v>
      </c>
      <c r="L77" s="61" t="str">
        <f>VLOOKUP(A77,'Trips&amp;Operators'!$C$1:$E$9999,3,FALSE)</f>
        <v>BRANNON</v>
      </c>
      <c r="M77" s="12">
        <f t="shared" si="26"/>
        <v>5.9722222213167697E-3</v>
      </c>
      <c r="N77" s="13"/>
      <c r="O77" s="13"/>
      <c r="P77" s="13">
        <f>24*60*SUM($M77:$M77)</f>
        <v>8.5999999986961484</v>
      </c>
      <c r="Q77" s="62" t="s">
        <v>606</v>
      </c>
      <c r="R77" s="62" t="s">
        <v>607</v>
      </c>
      <c r="T7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13:14:50-0600',mode:absolute,to:'2016-05-21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77" s="74" t="str">
        <f t="shared" si="28"/>
        <v>Y</v>
      </c>
      <c r="V77" s="74">
        <f t="shared" si="29"/>
        <v>1</v>
      </c>
      <c r="W77" s="74">
        <f t="shared" si="30"/>
        <v>1.8900999999999999</v>
      </c>
      <c r="X77" s="74">
        <f t="shared" si="31"/>
        <v>1.6299999999999999E-2</v>
      </c>
      <c r="Y77" s="74">
        <f t="shared" si="32"/>
        <v>1.8737999999999999</v>
      </c>
      <c r="Z77" s="75" t="e">
        <f>VLOOKUP(A77,Enforcements!$C$3:$J$56,8,0)</f>
        <v>#N/A</v>
      </c>
      <c r="AA77" s="75" t="e">
        <f>VLOOKUP(A77,Enforcements!$C$3:$J$56,3,0)</f>
        <v>#N/A</v>
      </c>
    </row>
    <row r="78" spans="1:27" s="2" customFormat="1" x14ac:dyDescent="0.25">
      <c r="A78" s="61" t="s">
        <v>462</v>
      </c>
      <c r="B78" s="61">
        <v>4009</v>
      </c>
      <c r="C78" s="61" t="s">
        <v>66</v>
      </c>
      <c r="D78" s="61" t="s">
        <v>463</v>
      </c>
      <c r="E78" s="30">
        <v>42511.546342592592</v>
      </c>
      <c r="F78" s="30">
        <v>42511.548750000002</v>
      </c>
      <c r="G78" s="38">
        <v>3</v>
      </c>
      <c r="H78" s="30" t="s">
        <v>464</v>
      </c>
      <c r="I78" s="30">
        <v>42511.614374999997</v>
      </c>
      <c r="J78" s="61">
        <v>0</v>
      </c>
      <c r="K78" s="61" t="str">
        <f t="shared" si="25"/>
        <v>4009/4010</v>
      </c>
      <c r="L78" s="61" t="str">
        <f>VLOOKUP(A78,'Trips&amp;Operators'!$C$1:$E$9999,3,FALSE)</f>
        <v>WEBSTER</v>
      </c>
      <c r="M78" s="12">
        <f t="shared" si="26"/>
        <v>6.5624999995634425E-2</v>
      </c>
      <c r="N78" s="13">
        <f t="shared" si="5"/>
        <v>94.499999993713573</v>
      </c>
      <c r="O78" s="13"/>
      <c r="P78" s="13"/>
      <c r="Q78" s="62"/>
      <c r="R78" s="62"/>
      <c r="T7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13:05:44-0600',mode:absolute,to:'2016-05-21 14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8" s="74" t="str">
        <f t="shared" si="28"/>
        <v>N</v>
      </c>
      <c r="V78" s="74">
        <f t="shared" si="29"/>
        <v>1</v>
      </c>
      <c r="W78" s="74">
        <f t="shared" si="30"/>
        <v>5.1499999999999997E-2</v>
      </c>
      <c r="X78" s="74">
        <f t="shared" si="31"/>
        <v>23.332100000000001</v>
      </c>
      <c r="Y78" s="74">
        <f t="shared" si="32"/>
        <v>23.2806</v>
      </c>
      <c r="Z78" s="75" t="e">
        <f>VLOOKUP(A78,Enforcements!$C$3:$J$56,8,0)</f>
        <v>#N/A</v>
      </c>
      <c r="AA78" s="75" t="e">
        <f>VLOOKUP(A78,Enforcements!$C$3:$J$56,3,0)</f>
        <v>#N/A</v>
      </c>
    </row>
    <row r="79" spans="1:27" s="2" customFormat="1" x14ac:dyDescent="0.25">
      <c r="A79" s="61" t="s">
        <v>465</v>
      </c>
      <c r="B79" s="61">
        <v>4032</v>
      </c>
      <c r="C79" s="61" t="s">
        <v>66</v>
      </c>
      <c r="D79" s="61" t="s">
        <v>163</v>
      </c>
      <c r="E79" s="30">
        <v>42511.58871527778</v>
      </c>
      <c r="F79" s="30">
        <v>42511.58965277778</v>
      </c>
      <c r="G79" s="38">
        <v>1</v>
      </c>
      <c r="H79" s="30" t="s">
        <v>74</v>
      </c>
      <c r="I79" s="30">
        <v>42511.626909722225</v>
      </c>
      <c r="J79" s="61">
        <v>0</v>
      </c>
      <c r="K79" s="61" t="str">
        <f t="shared" si="25"/>
        <v>4031/4032</v>
      </c>
      <c r="L79" s="61" t="str">
        <f>VLOOKUP(A79,'Trips&amp;Operators'!$C$1:$E$9999,3,FALSE)</f>
        <v>ACKERMAN</v>
      </c>
      <c r="M79" s="12">
        <f t="shared" si="26"/>
        <v>3.7256944444379769E-2</v>
      </c>
      <c r="N79" s="13">
        <f t="shared" si="5"/>
        <v>53.649999999906868</v>
      </c>
      <c r="O79" s="13"/>
      <c r="P79" s="13"/>
      <c r="Q79" s="62"/>
      <c r="R79" s="62"/>
      <c r="T7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14:06:45-0600',mode:absolute,to:'2016-05-21 15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9" s="74" t="str">
        <f t="shared" si="28"/>
        <v>N</v>
      </c>
      <c r="V79" s="74">
        <f t="shared" si="29"/>
        <v>5</v>
      </c>
      <c r="W79" s="74">
        <f t="shared" si="30"/>
        <v>23.298100000000002</v>
      </c>
      <c r="X79" s="74">
        <f t="shared" si="31"/>
        <v>1.4500000000000001E-2</v>
      </c>
      <c r="Y79" s="74">
        <f t="shared" si="32"/>
        <v>23.2836</v>
      </c>
      <c r="Z79" s="75" t="e">
        <f>VLOOKUP(A79,Enforcements!$C$3:$J$56,8,0)</f>
        <v>#N/A</v>
      </c>
      <c r="AA79" s="75" t="e">
        <f>VLOOKUP(A79,Enforcements!$C$3:$J$56,3,0)</f>
        <v>#N/A</v>
      </c>
    </row>
    <row r="80" spans="1:27" s="2" customFormat="1" x14ac:dyDescent="0.25">
      <c r="A80" s="61" t="s">
        <v>466</v>
      </c>
      <c r="B80" s="61">
        <v>4026</v>
      </c>
      <c r="C80" s="61" t="s">
        <v>66</v>
      </c>
      <c r="D80" s="61" t="s">
        <v>467</v>
      </c>
      <c r="E80" s="30">
        <v>42511.608171296299</v>
      </c>
      <c r="F80" s="30">
        <v>42511.609189814815</v>
      </c>
      <c r="G80" s="38">
        <v>1</v>
      </c>
      <c r="H80" s="30" t="s">
        <v>468</v>
      </c>
      <c r="I80" s="30">
        <v>42511.630115740743</v>
      </c>
      <c r="J80" s="61">
        <v>0</v>
      </c>
      <c r="K80" s="61" t="str">
        <f t="shared" si="25"/>
        <v>4025/4026</v>
      </c>
      <c r="L80" s="61" t="str">
        <f>VLOOKUP(A80,'Trips&amp;Operators'!$C$1:$E$9999,3,FALSE)</f>
        <v>STEWART</v>
      </c>
      <c r="M80" s="12">
        <f t="shared" si="26"/>
        <v>2.0925925928167999E-2</v>
      </c>
      <c r="N80" s="13"/>
      <c r="O80" s="13"/>
      <c r="P80" s="13">
        <f>24*60*SUM($M80:$M81)</f>
        <v>40.516666676849127</v>
      </c>
      <c r="Q80" s="62" t="s">
        <v>598</v>
      </c>
      <c r="R80" s="62" t="s">
        <v>605</v>
      </c>
      <c r="T8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14:34:46-0600',mode:absolute,to:'2016-05-21 15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0" s="74" t="str">
        <f t="shared" si="28"/>
        <v>Y</v>
      </c>
      <c r="V80" s="74">
        <f t="shared" si="29"/>
        <v>2</v>
      </c>
      <c r="W80" s="74">
        <f t="shared" si="30"/>
        <v>23.2987</v>
      </c>
      <c r="X80" s="74">
        <f t="shared" si="31"/>
        <v>5.4313000000000002</v>
      </c>
      <c r="Y80" s="74">
        <f t="shared" si="32"/>
        <v>17.8674</v>
      </c>
      <c r="Z80" s="75" t="e">
        <f>VLOOKUP(A80,Enforcements!$C$3:$J$56,8,0)</f>
        <v>#N/A</v>
      </c>
      <c r="AA80" s="75" t="e">
        <f>VLOOKUP(A80,Enforcements!$C$3:$J$56,3,0)</f>
        <v>#N/A</v>
      </c>
    </row>
    <row r="81" spans="1:27" s="2" customFormat="1" x14ac:dyDescent="0.25">
      <c r="A81" s="61" t="s">
        <v>466</v>
      </c>
      <c r="B81" s="61">
        <v>4026</v>
      </c>
      <c r="C81" s="61" t="s">
        <v>66</v>
      </c>
      <c r="D81" s="61" t="s">
        <v>469</v>
      </c>
      <c r="E81" s="30">
        <v>42511.633715277778</v>
      </c>
      <c r="F81" s="30">
        <v>42511.634513888886</v>
      </c>
      <c r="G81" s="38">
        <v>1</v>
      </c>
      <c r="H81" s="30" t="s">
        <v>470</v>
      </c>
      <c r="I81" s="30">
        <v>42511.641724537039</v>
      </c>
      <c r="J81" s="61">
        <v>0</v>
      </c>
      <c r="K81" s="61" t="str">
        <f t="shared" si="25"/>
        <v>4025/4026</v>
      </c>
      <c r="L81" s="61" t="str">
        <f>VLOOKUP(A81,'Trips&amp;Operators'!$C$1:$E$9999,3,FALSE)</f>
        <v>STEWART</v>
      </c>
      <c r="M81" s="12">
        <f t="shared" si="26"/>
        <v>7.2106481529772282E-3</v>
      </c>
      <c r="N81" s="13"/>
      <c r="O81" s="13"/>
      <c r="P81" s="13"/>
      <c r="Q81" s="62"/>
      <c r="R81" s="62"/>
      <c r="T8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15:11:33-0600',mode:absolute,to:'2016-05-21 15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1" s="74" t="str">
        <f t="shared" si="28"/>
        <v>Y</v>
      </c>
      <c r="V81" s="74">
        <f t="shared" si="29"/>
        <v>0</v>
      </c>
      <c r="W81" s="74">
        <f t="shared" si="30"/>
        <v>3.6793999999999998</v>
      </c>
      <c r="X81" s="74">
        <f t="shared" si="31"/>
        <v>2.2700000000000001E-2</v>
      </c>
      <c r="Y81" s="74">
        <f t="shared" si="32"/>
        <v>3.6566999999999998</v>
      </c>
      <c r="Z81" s="75" t="e">
        <f>VLOOKUP(A81,Enforcements!$C$3:$J$56,8,0)</f>
        <v>#N/A</v>
      </c>
      <c r="AA81" s="75" t="e">
        <f>VLOOKUP(A81,Enforcements!$C$3:$J$56,3,0)</f>
        <v>#N/A</v>
      </c>
    </row>
    <row r="82" spans="1:27" s="2" customFormat="1" x14ac:dyDescent="0.25">
      <c r="A82" s="61" t="s">
        <v>471</v>
      </c>
      <c r="B82" s="61">
        <v>4001</v>
      </c>
      <c r="C82" s="61" t="s">
        <v>66</v>
      </c>
      <c r="D82" s="61" t="s">
        <v>86</v>
      </c>
      <c r="E82" s="30">
        <v>42511.615428240744</v>
      </c>
      <c r="F82" s="30">
        <v>42511.616423611114</v>
      </c>
      <c r="G82" s="38">
        <v>1</v>
      </c>
      <c r="H82" s="30" t="s">
        <v>104</v>
      </c>
      <c r="I82" s="30">
        <v>42511.655729166669</v>
      </c>
      <c r="J82" s="61">
        <v>1</v>
      </c>
      <c r="K82" s="61" t="str">
        <f t="shared" si="25"/>
        <v>4001/4002</v>
      </c>
      <c r="L82" s="61" t="str">
        <f>VLOOKUP(A82,'Trips&amp;Operators'!$C$1:$E$9999,3,FALSE)</f>
        <v>BRANNON</v>
      </c>
      <c r="M82" s="12">
        <f t="shared" si="26"/>
        <v>3.9305555554165039E-2</v>
      </c>
      <c r="N82" s="13">
        <f t="shared" si="5"/>
        <v>56.599999997997656</v>
      </c>
      <c r="O82" s="13"/>
      <c r="P82" s="13"/>
      <c r="Q82" s="62"/>
      <c r="R82" s="62"/>
      <c r="T8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2" s="74" t="str">
        <f t="shared" si="28"/>
        <v>N</v>
      </c>
      <c r="V82" s="74">
        <f t="shared" si="29"/>
        <v>4</v>
      </c>
      <c r="W82" s="74">
        <f t="shared" si="30"/>
        <v>23.297999999999998</v>
      </c>
      <c r="X82" s="74">
        <f t="shared" si="31"/>
        <v>1.5800000000000002E-2</v>
      </c>
      <c r="Y82" s="74">
        <f t="shared" si="32"/>
        <v>23.2822</v>
      </c>
      <c r="Z82" s="75">
        <f>VLOOKUP(A82,Enforcements!$C$3:$J$56,8,0)</f>
        <v>1</v>
      </c>
      <c r="AA82" s="75" t="str">
        <f>VLOOKUP(A82,Enforcements!$C$3:$J$56,3,0)</f>
        <v>TRACK WARRANT AUTHORITY</v>
      </c>
    </row>
    <row r="83" spans="1:27" s="2" customFormat="1" x14ac:dyDescent="0.25">
      <c r="A83" s="61" t="s">
        <v>472</v>
      </c>
      <c r="B83" s="61">
        <v>4020</v>
      </c>
      <c r="C83" s="61" t="s">
        <v>66</v>
      </c>
      <c r="D83" s="61" t="s">
        <v>358</v>
      </c>
      <c r="E83" s="30">
        <v>42511.603310185186</v>
      </c>
      <c r="F83" s="30">
        <v>42511.606377314813</v>
      </c>
      <c r="G83" s="38">
        <v>4</v>
      </c>
      <c r="H83" s="30" t="s">
        <v>473</v>
      </c>
      <c r="I83" s="30">
        <v>42511.635682870372</v>
      </c>
      <c r="J83" s="61">
        <v>1</v>
      </c>
      <c r="K83" s="61" t="str">
        <f t="shared" si="25"/>
        <v>4019/4020</v>
      </c>
      <c r="L83" s="61" t="str">
        <f>VLOOKUP(A83,'Trips&amp;Operators'!$C$1:$E$9999,3,FALSE)</f>
        <v>RIVERA</v>
      </c>
      <c r="M83" s="12">
        <f t="shared" si="26"/>
        <v>2.9305555559403729E-2</v>
      </c>
      <c r="N83" s="13"/>
      <c r="O83" s="13"/>
      <c r="P83" s="13">
        <f>24*60*SUM($M83:$M83)</f>
        <v>42.200000005541369</v>
      </c>
      <c r="Q83" s="62" t="s">
        <v>598</v>
      </c>
      <c r="R83" s="62" t="s">
        <v>608</v>
      </c>
      <c r="T8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3" s="74" t="str">
        <f t="shared" si="28"/>
        <v>Y</v>
      </c>
      <c r="V83" s="74">
        <f t="shared" si="29"/>
        <v>1</v>
      </c>
      <c r="W83" s="74">
        <f t="shared" si="30"/>
        <v>1.9118999999999999</v>
      </c>
      <c r="X83" s="74">
        <f t="shared" si="31"/>
        <v>23.334900000000001</v>
      </c>
      <c r="Y83" s="74">
        <f t="shared" si="32"/>
        <v>21.423000000000002</v>
      </c>
      <c r="Z83" s="75">
        <f>VLOOKUP(A83,Enforcements!$C$3:$J$56,8,0)</f>
        <v>233491</v>
      </c>
      <c r="AA83" s="75" t="str">
        <f>VLOOKUP(A83,Enforcements!$C$3:$J$56,3,0)</f>
        <v>TRACK WARRANT AUTHORITY</v>
      </c>
    </row>
    <row r="84" spans="1:27" s="2" customFormat="1" x14ac:dyDescent="0.25">
      <c r="A84" s="61" t="s">
        <v>474</v>
      </c>
      <c r="B84" s="61">
        <v>4010</v>
      </c>
      <c r="C84" s="61" t="s">
        <v>66</v>
      </c>
      <c r="D84" s="61" t="s">
        <v>369</v>
      </c>
      <c r="E84" s="30">
        <v>42511.622384259259</v>
      </c>
      <c r="F84" s="30">
        <v>42511.624050925922</v>
      </c>
      <c r="G84" s="38">
        <v>2</v>
      </c>
      <c r="H84" s="30" t="s">
        <v>82</v>
      </c>
      <c r="I84" s="30">
        <v>42511.662812499999</v>
      </c>
      <c r="J84" s="61">
        <v>0</v>
      </c>
      <c r="K84" s="61" t="str">
        <f t="shared" si="25"/>
        <v>4009/4010</v>
      </c>
      <c r="L84" s="61" t="str">
        <f>VLOOKUP(A84,'Trips&amp;Operators'!$C$1:$E$9999,3,FALSE)</f>
        <v>WEBSTER</v>
      </c>
      <c r="M84" s="12">
        <f t="shared" si="26"/>
        <v>3.8761574076488614E-2</v>
      </c>
      <c r="N84" s="13">
        <f t="shared" si="5"/>
        <v>55.816666670143604</v>
      </c>
      <c r="O84" s="13"/>
      <c r="P84" s="13"/>
      <c r="Q84" s="62"/>
      <c r="R84" s="62"/>
      <c r="T8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14:55:14-0600',mode:absolute,to:'2016-05-21 15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4" t="str">
        <f t="shared" si="28"/>
        <v>N</v>
      </c>
      <c r="V84" s="74">
        <f t="shared" si="29"/>
        <v>1</v>
      </c>
      <c r="W84" s="74">
        <f t="shared" si="30"/>
        <v>23.299800000000001</v>
      </c>
      <c r="X84" s="74">
        <f t="shared" si="31"/>
        <v>1.52E-2</v>
      </c>
      <c r="Y84" s="74">
        <f t="shared" si="32"/>
        <v>23.284600000000001</v>
      </c>
      <c r="Z84" s="75" t="e">
        <f>VLOOKUP(A84,Enforcements!$C$3:$J$56,8,0)</f>
        <v>#N/A</v>
      </c>
      <c r="AA84" s="75" t="e">
        <f>VLOOKUP(A84,Enforcements!$C$3:$J$56,3,0)</f>
        <v>#N/A</v>
      </c>
    </row>
    <row r="85" spans="1:27" s="2" customFormat="1" x14ac:dyDescent="0.25">
      <c r="A85" s="61" t="s">
        <v>475</v>
      </c>
      <c r="B85" s="61">
        <v>4024</v>
      </c>
      <c r="C85" s="61" t="s">
        <v>66</v>
      </c>
      <c r="D85" s="61" t="s">
        <v>83</v>
      </c>
      <c r="E85" s="30">
        <v>42511.602951388886</v>
      </c>
      <c r="F85" s="30">
        <v>42511.603877314818</v>
      </c>
      <c r="G85" s="38">
        <v>1</v>
      </c>
      <c r="H85" s="30" t="s">
        <v>67</v>
      </c>
      <c r="I85" s="30">
        <v>42511.642314814817</v>
      </c>
      <c r="J85" s="61">
        <v>1</v>
      </c>
      <c r="K85" s="61" t="str">
        <f t="shared" si="25"/>
        <v>4023/4024</v>
      </c>
      <c r="L85" s="61" t="str">
        <f>VLOOKUP(A85,'Trips&amp;Operators'!$C$1:$E$9999,3,FALSE)</f>
        <v>BONDS</v>
      </c>
      <c r="M85" s="12">
        <f t="shared" si="26"/>
        <v>3.8437499999417923E-2</v>
      </c>
      <c r="N85" s="13">
        <f t="shared" si="5"/>
        <v>55.34999999916181</v>
      </c>
      <c r="O85" s="13"/>
      <c r="P85" s="13"/>
      <c r="Q85" s="62"/>
      <c r="R85" s="62"/>
      <c r="T8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5" s="74" t="str">
        <f t="shared" si="28"/>
        <v>N</v>
      </c>
      <c r="V85" s="74">
        <f t="shared" si="29"/>
        <v>1</v>
      </c>
      <c r="W85" s="74">
        <f t="shared" si="30"/>
        <v>4.4600000000000001E-2</v>
      </c>
      <c r="X85" s="74">
        <f t="shared" si="31"/>
        <v>23.331</v>
      </c>
      <c r="Y85" s="74">
        <f t="shared" si="32"/>
        <v>23.2864</v>
      </c>
      <c r="Z85" s="75">
        <f>VLOOKUP(A85,Enforcements!$C$3:$J$56,8,0)</f>
        <v>53155</v>
      </c>
      <c r="AA85" s="75" t="str">
        <f>VLOOKUP(A85,Enforcements!$C$3:$J$56,3,0)</f>
        <v>GRADE CROSSING</v>
      </c>
    </row>
    <row r="86" spans="1:27" s="2" customFormat="1" x14ac:dyDescent="0.25">
      <c r="A86" s="61" t="s">
        <v>476</v>
      </c>
      <c r="B86" s="61">
        <v>4019</v>
      </c>
      <c r="C86" s="61" t="s">
        <v>66</v>
      </c>
      <c r="D86" s="61" t="s">
        <v>321</v>
      </c>
      <c r="E86" s="30">
        <v>42511.63989583333</v>
      </c>
      <c r="F86" s="30">
        <v>42511.640868055554</v>
      </c>
      <c r="G86" s="38">
        <v>1</v>
      </c>
      <c r="H86" s="30" t="s">
        <v>74</v>
      </c>
      <c r="I86" s="30">
        <v>42511.673495370371</v>
      </c>
      <c r="J86" s="61">
        <v>0</v>
      </c>
      <c r="K86" s="61" t="str">
        <f t="shared" si="25"/>
        <v>4019/4020</v>
      </c>
      <c r="L86" s="61" t="str">
        <f>VLOOKUP(A86,'Trips&amp;Operators'!$C$1:$E$9999,3,FALSE)</f>
        <v>RIVERA</v>
      </c>
      <c r="M86" s="12">
        <f t="shared" si="26"/>
        <v>3.2627314816636499E-2</v>
      </c>
      <c r="N86" s="13">
        <f t="shared" si="5"/>
        <v>46.983333335956559</v>
      </c>
      <c r="O86" s="13"/>
      <c r="P86" s="13"/>
      <c r="Q86" s="62"/>
      <c r="R86" s="62"/>
      <c r="T8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15:20:27-0600',mode:absolute,to:'2016-05-21 16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 t="shared" si="28"/>
        <v>N</v>
      </c>
      <c r="V86" s="74">
        <f t="shared" si="29"/>
        <v>1</v>
      </c>
      <c r="W86" s="74">
        <f t="shared" si="30"/>
        <v>23.298200000000001</v>
      </c>
      <c r="X86" s="74">
        <f t="shared" si="31"/>
        <v>1.4500000000000001E-2</v>
      </c>
      <c r="Y86" s="74">
        <f t="shared" si="32"/>
        <v>23.2837</v>
      </c>
      <c r="Z86" s="75" t="e">
        <f>VLOOKUP(A86,Enforcements!$C$3:$J$56,8,0)</f>
        <v>#N/A</v>
      </c>
      <c r="AA86" s="75" t="e">
        <f>VLOOKUP(A86,Enforcements!$C$3:$J$56,3,0)</f>
        <v>#N/A</v>
      </c>
    </row>
    <row r="87" spans="1:27" s="2" customFormat="1" x14ac:dyDescent="0.25">
      <c r="A87" s="61" t="s">
        <v>477</v>
      </c>
      <c r="B87" s="61">
        <v>4044</v>
      </c>
      <c r="C87" s="61" t="s">
        <v>66</v>
      </c>
      <c r="D87" s="61" t="s">
        <v>153</v>
      </c>
      <c r="E87" s="30">
        <v>42511.613506944443</v>
      </c>
      <c r="F87" s="30">
        <v>42511.616724537038</v>
      </c>
      <c r="G87" s="30">
        <v>4</v>
      </c>
      <c r="H87" s="30" t="s">
        <v>478</v>
      </c>
      <c r="I87" s="30">
        <v>42511.649988425925</v>
      </c>
      <c r="J87" s="61">
        <v>2</v>
      </c>
      <c r="K87" s="61" t="str">
        <f t="shared" si="25"/>
        <v>4043/4044</v>
      </c>
      <c r="L87" s="61" t="str">
        <f>VLOOKUP(A87,'Trips&amp;Operators'!$C$1:$E$9999,3,FALSE)</f>
        <v>LOCKLEAR</v>
      </c>
      <c r="M87" s="12">
        <f t="shared" si="26"/>
        <v>3.326388888672227E-2</v>
      </c>
      <c r="N87" s="13">
        <f t="shared" si="5"/>
        <v>47.899999996880069</v>
      </c>
      <c r="O87" s="13"/>
      <c r="P87" s="13"/>
      <c r="Q87" s="62"/>
      <c r="R87" s="62"/>
      <c r="T8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7" s="74" t="str">
        <f t="shared" si="28"/>
        <v>N</v>
      </c>
      <c r="V87" s="74">
        <f t="shared" si="29"/>
        <v>1</v>
      </c>
      <c r="W87" s="74">
        <f t="shared" si="30"/>
        <v>4.6600000000000003E-2</v>
      </c>
      <c r="X87" s="74">
        <f t="shared" si="31"/>
        <v>23.336200000000002</v>
      </c>
      <c r="Y87" s="74">
        <f t="shared" si="32"/>
        <v>23.2896</v>
      </c>
      <c r="Z87" s="75">
        <f>VLOOKUP(A87,Enforcements!$C$3:$J$56,8,0)</f>
        <v>20338</v>
      </c>
      <c r="AA87" s="75" t="str">
        <f>VLOOKUP(A87,Enforcements!$C$3:$J$56,3,0)</f>
        <v>PERMANENT SPEED RESTRICTION</v>
      </c>
    </row>
    <row r="88" spans="1:27" s="2" customFormat="1" x14ac:dyDescent="0.25">
      <c r="A88" s="61" t="s">
        <v>479</v>
      </c>
      <c r="B88" s="61">
        <v>4023</v>
      </c>
      <c r="C88" s="61" t="s">
        <v>66</v>
      </c>
      <c r="D88" s="61" t="s">
        <v>84</v>
      </c>
      <c r="E88" s="30">
        <v>42511.64565972222</v>
      </c>
      <c r="F88" s="30">
        <v>42511.647210648145</v>
      </c>
      <c r="G88" s="38">
        <v>2</v>
      </c>
      <c r="H88" s="30" t="s">
        <v>94</v>
      </c>
      <c r="I88" s="30">
        <v>42511.683912037035</v>
      </c>
      <c r="J88" s="61">
        <v>2</v>
      </c>
      <c r="K88" s="61" t="str">
        <f t="shared" si="25"/>
        <v>4023/4024</v>
      </c>
      <c r="L88" s="61" t="str">
        <f>VLOOKUP(A88,'Trips&amp;Operators'!$C$1:$E$9999,3,FALSE)</f>
        <v>BONDS</v>
      </c>
      <c r="M88" s="12">
        <f t="shared" si="26"/>
        <v>3.6701388889923692E-2</v>
      </c>
      <c r="N88" s="13">
        <f t="shared" si="5"/>
        <v>52.850000001490116</v>
      </c>
      <c r="O88" s="13"/>
      <c r="P88" s="13"/>
      <c r="Q88" s="62"/>
      <c r="R88" s="62"/>
      <c r="T8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8" s="74" t="str">
        <f t="shared" si="28"/>
        <v>N</v>
      </c>
      <c r="V88" s="74">
        <f t="shared" si="29"/>
        <v>1</v>
      </c>
      <c r="W88" s="74">
        <f t="shared" si="30"/>
        <v>23.299399999999999</v>
      </c>
      <c r="X88" s="74">
        <f t="shared" si="31"/>
        <v>1.4999999999999999E-2</v>
      </c>
      <c r="Y88" s="74">
        <f t="shared" si="32"/>
        <v>23.284399999999998</v>
      </c>
      <c r="Z88" s="75">
        <f>VLOOKUP(A88,Enforcements!$C$3:$J$56,8,0)</f>
        <v>53277</v>
      </c>
      <c r="AA88" s="75" t="str">
        <f>VLOOKUP(A88,Enforcements!$C$3:$J$56,3,0)</f>
        <v>GRADE CROSSING</v>
      </c>
    </row>
    <row r="89" spans="1:27" s="2" customFormat="1" x14ac:dyDescent="0.25">
      <c r="A89" s="61" t="s">
        <v>480</v>
      </c>
      <c r="B89" s="61">
        <v>4014</v>
      </c>
      <c r="C89" s="61" t="s">
        <v>66</v>
      </c>
      <c r="D89" s="61" t="s">
        <v>481</v>
      </c>
      <c r="E89" s="30">
        <v>42511.629942129628</v>
      </c>
      <c r="F89" s="30">
        <v>42511.63077546296</v>
      </c>
      <c r="G89" s="38">
        <v>1</v>
      </c>
      <c r="H89" s="30" t="s">
        <v>98</v>
      </c>
      <c r="I89" s="30">
        <v>42511.659259259257</v>
      </c>
      <c r="J89" s="61">
        <v>1</v>
      </c>
      <c r="K89" s="61" t="str">
        <f t="shared" si="25"/>
        <v>4013/4014</v>
      </c>
      <c r="L89" s="61" t="str">
        <f>VLOOKUP(A89,'Trips&amp;Operators'!$C$1:$E$9999,3,FALSE)</f>
        <v>BEAM</v>
      </c>
      <c r="M89" s="12">
        <f t="shared" si="26"/>
        <v>2.8483796297223307E-2</v>
      </c>
      <c r="N89" s="13">
        <f t="shared" si="5"/>
        <v>41.016666668001562</v>
      </c>
      <c r="O89" s="13"/>
      <c r="P89" s="13"/>
      <c r="Q89" s="62"/>
      <c r="R89" s="62"/>
      <c r="T8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9" s="74" t="str">
        <f t="shared" si="28"/>
        <v>N</v>
      </c>
      <c r="V89" s="74">
        <f t="shared" si="29"/>
        <v>1</v>
      </c>
      <c r="W89" s="74">
        <f t="shared" si="30"/>
        <v>0.11600000000000001</v>
      </c>
      <c r="X89" s="74">
        <f t="shared" si="31"/>
        <v>23.331499999999998</v>
      </c>
      <c r="Y89" s="74">
        <f t="shared" si="32"/>
        <v>23.215499999999999</v>
      </c>
      <c r="Z89" s="75">
        <f>VLOOKUP(A89,Enforcements!$C$3:$J$56,8,0)</f>
        <v>233491</v>
      </c>
      <c r="AA89" s="75" t="str">
        <f>VLOOKUP(A89,Enforcements!$C$3:$J$56,3,0)</f>
        <v>TRACK WARRANT AUTHORITY</v>
      </c>
    </row>
    <row r="90" spans="1:27" s="2" customFormat="1" x14ac:dyDescent="0.25">
      <c r="A90" s="61" t="s">
        <v>482</v>
      </c>
      <c r="B90" s="61">
        <v>4043</v>
      </c>
      <c r="C90" s="61" t="s">
        <v>66</v>
      </c>
      <c r="D90" s="61" t="s">
        <v>458</v>
      </c>
      <c r="E90" s="30">
        <v>42511.657696759263</v>
      </c>
      <c r="F90" s="30">
        <v>42511.658483796295</v>
      </c>
      <c r="G90" s="38">
        <v>1</v>
      </c>
      <c r="H90" s="30" t="s">
        <v>94</v>
      </c>
      <c r="I90" s="30">
        <v>42511.694120370368</v>
      </c>
      <c r="J90" s="61">
        <v>0</v>
      </c>
      <c r="K90" s="61" t="str">
        <f t="shared" si="25"/>
        <v>4043/4044</v>
      </c>
      <c r="L90" s="61" t="str">
        <f>VLOOKUP(A90,'Trips&amp;Operators'!$C$1:$E$9999,3,FALSE)</f>
        <v>LOCKLEAR</v>
      </c>
      <c r="M90" s="12">
        <f t="shared" si="26"/>
        <v>3.5636574073578231E-2</v>
      </c>
      <c r="N90" s="13">
        <f t="shared" si="5"/>
        <v>51.316666665952653</v>
      </c>
      <c r="O90" s="13"/>
      <c r="P90" s="13"/>
      <c r="Q90" s="62"/>
      <c r="R90" s="62"/>
      <c r="T9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15:46:05-0600',mode:absolute,to:'2016-05-21 16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4" t="str">
        <f t="shared" si="28"/>
        <v>N</v>
      </c>
      <c r="V90" s="74">
        <f t="shared" si="29"/>
        <v>1</v>
      </c>
      <c r="W90" s="74">
        <f t="shared" si="30"/>
        <v>23.304600000000001</v>
      </c>
      <c r="X90" s="74">
        <f t="shared" si="31"/>
        <v>1.4999999999999999E-2</v>
      </c>
      <c r="Y90" s="74">
        <f t="shared" si="32"/>
        <v>23.2896</v>
      </c>
      <c r="Z90" s="75" t="e">
        <f>VLOOKUP(A90,Enforcements!$C$3:$J$56,8,0)</f>
        <v>#N/A</v>
      </c>
      <c r="AA90" s="75" t="e">
        <f>VLOOKUP(A90,Enforcements!$C$3:$J$56,3,0)</f>
        <v>#N/A</v>
      </c>
    </row>
    <row r="91" spans="1:27" s="2" customFormat="1" x14ac:dyDescent="0.25">
      <c r="A91" s="61" t="s">
        <v>483</v>
      </c>
      <c r="B91" s="61">
        <v>4031</v>
      </c>
      <c r="C91" s="61" t="s">
        <v>66</v>
      </c>
      <c r="D91" s="61" t="s">
        <v>79</v>
      </c>
      <c r="E91" s="30">
        <v>42511.634618055556</v>
      </c>
      <c r="F91" s="30">
        <v>42511.635694444441</v>
      </c>
      <c r="G91" s="38">
        <v>1</v>
      </c>
      <c r="H91" s="30" t="s">
        <v>484</v>
      </c>
      <c r="I91" s="30">
        <v>42511.667905092596</v>
      </c>
      <c r="J91" s="61">
        <v>0</v>
      </c>
      <c r="K91" s="61" t="str">
        <f t="shared" si="25"/>
        <v>4031/4032</v>
      </c>
      <c r="L91" s="61" t="str">
        <f>VLOOKUP(A91,'Trips&amp;Operators'!$C$1:$E$9999,3,FALSE)</f>
        <v>ACKERMAN</v>
      </c>
      <c r="M91" s="12">
        <f t="shared" si="26"/>
        <v>3.221064815443242E-2</v>
      </c>
      <c r="N91" s="13">
        <f t="shared" si="5"/>
        <v>46.383333342382684</v>
      </c>
      <c r="O91" s="13"/>
      <c r="P91" s="13"/>
      <c r="Q91" s="62"/>
      <c r="R91" s="62"/>
      <c r="T9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15:12:51-0600',mode:absolute,to:'2016-05-21 16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1" s="74" t="str">
        <f t="shared" si="28"/>
        <v>N</v>
      </c>
      <c r="V91" s="74">
        <f t="shared" si="29"/>
        <v>1</v>
      </c>
      <c r="W91" s="74">
        <f t="shared" si="30"/>
        <v>4.5100000000000001E-2</v>
      </c>
      <c r="X91" s="74">
        <f t="shared" si="31"/>
        <v>23.317599999999999</v>
      </c>
      <c r="Y91" s="74">
        <f t="shared" si="32"/>
        <v>23.272499999999997</v>
      </c>
      <c r="Z91" s="75" t="e">
        <f>VLOOKUP(A91,Enforcements!$C$3:$J$56,8,0)</f>
        <v>#N/A</v>
      </c>
      <c r="AA91" s="75" t="e">
        <f>VLOOKUP(A91,Enforcements!$C$3:$J$56,3,0)</f>
        <v>#N/A</v>
      </c>
    </row>
    <row r="92" spans="1:27" s="2" customFormat="1" x14ac:dyDescent="0.25">
      <c r="A92" s="61" t="s">
        <v>485</v>
      </c>
      <c r="B92" s="61">
        <v>4013</v>
      </c>
      <c r="C92" s="61" t="s">
        <v>66</v>
      </c>
      <c r="D92" s="61" t="s">
        <v>150</v>
      </c>
      <c r="E92" s="30">
        <v>42511.668611111112</v>
      </c>
      <c r="F92" s="30">
        <v>42511.669537037036</v>
      </c>
      <c r="G92" s="38">
        <v>1</v>
      </c>
      <c r="H92" s="30" t="s">
        <v>486</v>
      </c>
      <c r="I92" s="30">
        <v>42511.700659722221</v>
      </c>
      <c r="J92" s="61">
        <v>0</v>
      </c>
      <c r="K92" s="61" t="str">
        <f t="shared" si="25"/>
        <v>4013/4014</v>
      </c>
      <c r="L92" s="61" t="str">
        <f>VLOOKUP(A92,'Trips&amp;Operators'!$C$1:$E$9999,3,FALSE)</f>
        <v>BEAM</v>
      </c>
      <c r="M92" s="12">
        <f t="shared" si="26"/>
        <v>3.1122685184527654E-2</v>
      </c>
      <c r="N92" s="13">
        <f t="shared" si="5"/>
        <v>44.816666665719822</v>
      </c>
      <c r="O92" s="13"/>
      <c r="P92" s="13"/>
      <c r="Q92" s="62"/>
      <c r="R92" s="62"/>
      <c r="T9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4" t="str">
        <f t="shared" si="28"/>
        <v>N</v>
      </c>
      <c r="V92" s="74">
        <f t="shared" si="29"/>
        <v>1</v>
      </c>
      <c r="W92" s="74">
        <f t="shared" si="30"/>
        <v>23.3002</v>
      </c>
      <c r="X92" s="74">
        <f t="shared" si="31"/>
        <v>0.1028</v>
      </c>
      <c r="Y92" s="74">
        <f t="shared" si="32"/>
        <v>23.197400000000002</v>
      </c>
      <c r="Z92" s="75">
        <f>VLOOKUP(A92,Enforcements!$C$3:$J$56,8,0)</f>
        <v>839</v>
      </c>
      <c r="AA92" s="75" t="str">
        <f>VLOOKUP(A92,Enforcements!$C$3:$J$56,3,0)</f>
        <v>TRACK WARRANT AUTHORITY</v>
      </c>
    </row>
    <row r="93" spans="1:27" s="2" customFormat="1" x14ac:dyDescent="0.25">
      <c r="A93" s="61" t="s">
        <v>487</v>
      </c>
      <c r="B93" s="61">
        <v>4025</v>
      </c>
      <c r="C93" s="61" t="s">
        <v>66</v>
      </c>
      <c r="D93" s="61" t="s">
        <v>488</v>
      </c>
      <c r="E93" s="30">
        <v>42511.646736111114</v>
      </c>
      <c r="F93" s="30">
        <v>42511.648055555554</v>
      </c>
      <c r="G93" s="38">
        <v>1</v>
      </c>
      <c r="H93" s="30" t="s">
        <v>413</v>
      </c>
      <c r="I93" s="30">
        <v>42511.678993055553</v>
      </c>
      <c r="J93" s="61">
        <v>3</v>
      </c>
      <c r="K93" s="61" t="str">
        <f t="shared" si="25"/>
        <v>4025/4026</v>
      </c>
      <c r="L93" s="61" t="str">
        <f>VLOOKUP(A93,'Trips&amp;Operators'!$C$1:$E$9999,3,FALSE)</f>
        <v>STEWART</v>
      </c>
      <c r="M93" s="12">
        <f t="shared" si="26"/>
        <v>3.0937499999708962E-2</v>
      </c>
      <c r="N93" s="13">
        <f t="shared" si="5"/>
        <v>44.549999999580905</v>
      </c>
      <c r="O93" s="13"/>
      <c r="P93" s="13"/>
      <c r="Q93" s="62"/>
      <c r="R93" s="62"/>
      <c r="T9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3" s="74" t="str">
        <f t="shared" si="28"/>
        <v>N</v>
      </c>
      <c r="V93" s="74">
        <f t="shared" si="29"/>
        <v>1</v>
      </c>
      <c r="W93" s="74">
        <f t="shared" si="30"/>
        <v>5.4199999999999998E-2</v>
      </c>
      <c r="X93" s="74">
        <f t="shared" si="31"/>
        <v>23.323599999999999</v>
      </c>
      <c r="Y93" s="74">
        <f t="shared" si="32"/>
        <v>23.269399999999997</v>
      </c>
      <c r="Z93" s="75">
        <f>VLOOKUP(A93,Enforcements!$C$3:$J$56,8,0)</f>
        <v>230436</v>
      </c>
      <c r="AA93" s="75" t="str">
        <f>VLOOKUP(A93,Enforcements!$C$3:$J$56,3,0)</f>
        <v>PERMANENT SPEED RESTRICTION</v>
      </c>
    </row>
    <row r="94" spans="1:27" s="2" customFormat="1" x14ac:dyDescent="0.25">
      <c r="A94" s="61" t="s">
        <v>489</v>
      </c>
      <c r="B94" s="61">
        <v>4026</v>
      </c>
      <c r="C94" s="61" t="s">
        <v>66</v>
      </c>
      <c r="D94" s="61" t="s">
        <v>490</v>
      </c>
      <c r="E94" s="30">
        <v>42511.683692129627</v>
      </c>
      <c r="F94" s="30">
        <v>42511.778784722221</v>
      </c>
      <c r="G94" s="38">
        <v>1</v>
      </c>
      <c r="H94" s="30" t="s">
        <v>491</v>
      </c>
      <c r="I94" s="30">
        <v>42511.805972222224</v>
      </c>
      <c r="J94" s="61">
        <v>0</v>
      </c>
      <c r="K94" s="61" t="str">
        <f t="shared" si="25"/>
        <v>4025/4026</v>
      </c>
      <c r="L94" s="61" t="str">
        <f>VLOOKUP(A94,'Trips&amp;Operators'!$C$1:$E$9999,3,FALSE)</f>
        <v>STEWART</v>
      </c>
      <c r="M94" s="12">
        <f t="shared" si="26"/>
        <v>2.718750000349246E-2</v>
      </c>
      <c r="N94" s="13">
        <f t="shared" si="5"/>
        <v>39.150000005029142</v>
      </c>
      <c r="O94" s="13"/>
      <c r="P94" s="13"/>
      <c r="Q94" s="62"/>
      <c r="R94" s="62"/>
      <c r="T9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16:23:31-0600',mode:absolute,to:'2016-05-21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4" s="74" t="str">
        <f t="shared" si="28"/>
        <v>N</v>
      </c>
      <c r="V94" s="74">
        <f t="shared" si="29"/>
        <v>1</v>
      </c>
      <c r="W94" s="74">
        <f t="shared" si="30"/>
        <v>23.2913</v>
      </c>
      <c r="X94" s="74">
        <f t="shared" si="31"/>
        <v>1.7999999999999999E-2</v>
      </c>
      <c r="Y94" s="74">
        <f t="shared" si="32"/>
        <v>23.273299999999999</v>
      </c>
      <c r="Z94" s="75" t="e">
        <f>VLOOKUP(A94,Enforcements!$C$3:$J$56,8,0)</f>
        <v>#N/A</v>
      </c>
      <c r="AA94" s="75" t="e">
        <f>VLOOKUP(A94,Enforcements!$C$3:$J$56,3,0)</f>
        <v>#N/A</v>
      </c>
    </row>
    <row r="95" spans="1:27" s="2" customFormat="1" x14ac:dyDescent="0.25">
      <c r="A95" s="61" t="s">
        <v>492</v>
      </c>
      <c r="B95" s="61">
        <v>4001</v>
      </c>
      <c r="C95" s="61" t="s">
        <v>66</v>
      </c>
      <c r="D95" s="61" t="s">
        <v>316</v>
      </c>
      <c r="E95" s="30">
        <v>42511.699988425928</v>
      </c>
      <c r="F95" s="30">
        <v>42511.700671296298</v>
      </c>
      <c r="G95" s="38">
        <v>0</v>
      </c>
      <c r="H95" s="30" t="s">
        <v>104</v>
      </c>
      <c r="I95" s="30">
        <v>42511.728020833332</v>
      </c>
      <c r="J95" s="61">
        <v>0</v>
      </c>
      <c r="K95" s="61" t="str">
        <f t="shared" si="25"/>
        <v>4001/4002</v>
      </c>
      <c r="L95" s="61" t="str">
        <f>VLOOKUP(A95,'Trips&amp;Operators'!$C$1:$E$9999,3,FALSE)</f>
        <v>BRANNON</v>
      </c>
      <c r="M95" s="12">
        <f t="shared" si="26"/>
        <v>2.7349537034751847E-2</v>
      </c>
      <c r="N95" s="13">
        <f t="shared" si="5"/>
        <v>39.38333333004266</v>
      </c>
      <c r="O95" s="13"/>
      <c r="P95" s="13"/>
      <c r="Q95" s="62"/>
      <c r="R95" s="62"/>
      <c r="T9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16:46:59-0600',mode:absolute,to:'2016-05-21 17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5" s="74" t="str">
        <f t="shared" si="28"/>
        <v>N</v>
      </c>
      <c r="V95" s="74" t="e">
        <f>VALUE(LEFT(A95,3))-VALUE(LEFT(#REF!,3))</f>
        <v>#REF!</v>
      </c>
      <c r="W95" s="74">
        <f t="shared" si="30"/>
        <v>23.289400000000001</v>
      </c>
      <c r="X95" s="74">
        <f t="shared" si="31"/>
        <v>1.5800000000000002E-2</v>
      </c>
      <c r="Y95" s="74">
        <f t="shared" si="32"/>
        <v>23.273600000000002</v>
      </c>
      <c r="Z95" s="75" t="e">
        <f>VLOOKUP(A95,Enforcements!$C$3:$J$56,8,0)</f>
        <v>#N/A</v>
      </c>
      <c r="AA95" s="75" t="e">
        <f>VLOOKUP(A95,Enforcements!$C$3:$J$56,3,0)</f>
        <v>#N/A</v>
      </c>
    </row>
    <row r="96" spans="1:27" s="2" customFormat="1" x14ac:dyDescent="0.25">
      <c r="A96" s="61" t="s">
        <v>493</v>
      </c>
      <c r="B96" s="61">
        <v>4009</v>
      </c>
      <c r="C96" s="61" t="s">
        <v>66</v>
      </c>
      <c r="D96" s="61" t="s">
        <v>83</v>
      </c>
      <c r="E96" s="30">
        <v>42511.664895833332</v>
      </c>
      <c r="F96" s="30">
        <v>42511.665891203702</v>
      </c>
      <c r="G96" s="38">
        <v>1</v>
      </c>
      <c r="H96" s="30" t="s">
        <v>98</v>
      </c>
      <c r="I96" s="30">
        <v>42511.698969907404</v>
      </c>
      <c r="J96" s="61">
        <v>0</v>
      </c>
      <c r="K96" s="61" t="str">
        <f t="shared" si="25"/>
        <v>4009/4010</v>
      </c>
      <c r="L96" s="61" t="str">
        <f>VLOOKUP(A96,'Trips&amp;Operators'!$C$1:$E$9999,3,FALSE)</f>
        <v>WEBSTER</v>
      </c>
      <c r="M96" s="12">
        <f t="shared" si="26"/>
        <v>3.3078703701903578E-2</v>
      </c>
      <c r="N96" s="13">
        <f t="shared" si="5"/>
        <v>47.633333330741152</v>
      </c>
      <c r="O96" s="13"/>
      <c r="P96" s="13"/>
      <c r="Q96" s="62"/>
      <c r="R96" s="62"/>
      <c r="T9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15:56:27-0600',mode:absolute,to:'2016-05-21 16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6" s="74" t="str">
        <f t="shared" si="28"/>
        <v>N</v>
      </c>
      <c r="V96" s="74">
        <f t="shared" si="29"/>
        <v>1</v>
      </c>
      <c r="W96" s="74">
        <f t="shared" si="30"/>
        <v>4.4600000000000001E-2</v>
      </c>
      <c r="X96" s="74">
        <f t="shared" si="31"/>
        <v>23.331499999999998</v>
      </c>
      <c r="Y96" s="74">
        <f t="shared" si="32"/>
        <v>23.286899999999999</v>
      </c>
      <c r="Z96" s="75" t="e">
        <f>VLOOKUP(A96,Enforcements!$C$3:$J$56,8,0)</f>
        <v>#N/A</v>
      </c>
      <c r="AA96" s="75" t="e">
        <f>VLOOKUP(A96,Enforcements!$C$3:$J$56,3,0)</f>
        <v>#N/A</v>
      </c>
    </row>
    <row r="97" spans="1:27" s="2" customFormat="1" x14ac:dyDescent="0.25">
      <c r="A97" s="61" t="s">
        <v>494</v>
      </c>
      <c r="B97" s="61">
        <v>4010</v>
      </c>
      <c r="C97" s="61" t="s">
        <v>66</v>
      </c>
      <c r="D97" s="61" t="s">
        <v>495</v>
      </c>
      <c r="E97" s="30">
        <v>42511.704189814816</v>
      </c>
      <c r="F97" s="30">
        <v>42511.70511574074</v>
      </c>
      <c r="G97" s="38">
        <v>1</v>
      </c>
      <c r="H97" s="30" t="s">
        <v>496</v>
      </c>
      <c r="I97" s="30">
        <v>42511.736585648148</v>
      </c>
      <c r="J97" s="61">
        <v>1</v>
      </c>
      <c r="K97" s="61" t="str">
        <f t="shared" si="25"/>
        <v>4009/4010</v>
      </c>
      <c r="L97" s="61" t="str">
        <f>VLOOKUP(A97,'Trips&amp;Operators'!$C$1:$E$9999,3,FALSE)</f>
        <v>WEBSTER</v>
      </c>
      <c r="M97" s="12">
        <f t="shared" si="26"/>
        <v>3.1469907407881692E-2</v>
      </c>
      <c r="N97" s="13">
        <f t="shared" si="5"/>
        <v>45.316666667349637</v>
      </c>
      <c r="O97" s="13"/>
      <c r="P97" s="13"/>
      <c r="Q97" s="62"/>
      <c r="R97" s="62"/>
      <c r="T9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7" s="74" t="str">
        <f t="shared" si="28"/>
        <v>N</v>
      </c>
      <c r="V97" s="74">
        <f t="shared" si="29"/>
        <v>1</v>
      </c>
      <c r="W97" s="74">
        <f t="shared" si="30"/>
        <v>23.300999999999998</v>
      </c>
      <c r="X97" s="74">
        <f t="shared" si="31"/>
        <v>9.2399999999999996E-2</v>
      </c>
      <c r="Y97" s="74">
        <f t="shared" si="32"/>
        <v>23.208599999999997</v>
      </c>
      <c r="Z97" s="75">
        <f>VLOOKUP(A97,Enforcements!$C$3:$J$56,8,0)</f>
        <v>839</v>
      </c>
      <c r="AA97" s="75" t="str">
        <f>VLOOKUP(A97,Enforcements!$C$3:$J$56,3,0)</f>
        <v>TRACK WARRANT AUTHORITY</v>
      </c>
    </row>
    <row r="98" spans="1:27" s="2" customFormat="1" x14ac:dyDescent="0.25">
      <c r="A98" s="61" t="s">
        <v>497</v>
      </c>
      <c r="B98" s="61">
        <v>4020</v>
      </c>
      <c r="C98" s="61" t="s">
        <v>66</v>
      </c>
      <c r="D98" s="61" t="s">
        <v>80</v>
      </c>
      <c r="E98" s="30">
        <v>42511.677465277775</v>
      </c>
      <c r="F98" s="30">
        <v>42511.678472222222</v>
      </c>
      <c r="G98" s="38">
        <v>1</v>
      </c>
      <c r="H98" s="30" t="s">
        <v>81</v>
      </c>
      <c r="I98" s="30">
        <v>42511.705578703702</v>
      </c>
      <c r="J98" s="61">
        <v>0</v>
      </c>
      <c r="K98" s="61" t="str">
        <f t="shared" si="25"/>
        <v>4019/4020</v>
      </c>
      <c r="L98" s="61" t="str">
        <f>VLOOKUP(A98,'Trips&amp;Operators'!$C$1:$E$9999,3,FALSE)</f>
        <v>RIVERA</v>
      </c>
      <c r="M98" s="12">
        <f t="shared" si="26"/>
        <v>2.7106481480586808E-2</v>
      </c>
      <c r="N98" s="13">
        <f t="shared" si="5"/>
        <v>39.033333332045004</v>
      </c>
      <c r="O98" s="13"/>
      <c r="P98" s="13"/>
      <c r="Q98" s="62"/>
      <c r="R98" s="62"/>
      <c r="T9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16:14:33-0600',mode:absolute,to:'2016-05-21 16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4" t="str">
        <f t="shared" si="28"/>
        <v>N</v>
      </c>
      <c r="V98" s="74">
        <f t="shared" si="29"/>
        <v>1</v>
      </c>
      <c r="W98" s="74">
        <f t="shared" si="30"/>
        <v>4.53E-2</v>
      </c>
      <c r="X98" s="74">
        <f t="shared" si="31"/>
        <v>23.329899999999999</v>
      </c>
      <c r="Y98" s="74">
        <f t="shared" si="32"/>
        <v>23.284599999999998</v>
      </c>
      <c r="Z98" s="75" t="e">
        <f>VLOOKUP(A98,Enforcements!$C$3:$J$56,8,0)</f>
        <v>#N/A</v>
      </c>
      <c r="AA98" s="75" t="e">
        <f>VLOOKUP(A98,Enforcements!$C$3:$J$56,3,0)</f>
        <v>#N/A</v>
      </c>
    </row>
    <row r="99" spans="1:27" s="2" customFormat="1" x14ac:dyDescent="0.25">
      <c r="A99" s="61" t="s">
        <v>498</v>
      </c>
      <c r="B99" s="61">
        <v>4019</v>
      </c>
      <c r="C99" s="61" t="s">
        <v>66</v>
      </c>
      <c r="D99" s="61" t="s">
        <v>151</v>
      </c>
      <c r="E99" s="30">
        <v>42511.710324074076</v>
      </c>
      <c r="F99" s="30">
        <v>42511.711111111108</v>
      </c>
      <c r="G99" s="38">
        <v>1</v>
      </c>
      <c r="H99" s="30" t="s">
        <v>94</v>
      </c>
      <c r="I99" s="30">
        <v>42511.747893518521</v>
      </c>
      <c r="J99" s="61">
        <v>1</v>
      </c>
      <c r="K99" s="61" t="str">
        <f t="shared" si="25"/>
        <v>4019/4020</v>
      </c>
      <c r="L99" s="61" t="str">
        <f>VLOOKUP(A99,'Trips&amp;Operators'!$C$1:$E$9999,3,FALSE)</f>
        <v>RIVERA</v>
      </c>
      <c r="M99" s="12">
        <f t="shared" si="26"/>
        <v>3.6782407412829343E-2</v>
      </c>
      <c r="N99" s="13">
        <f t="shared" si="5"/>
        <v>52.966666674474254</v>
      </c>
      <c r="O99" s="13"/>
      <c r="P99" s="13"/>
      <c r="Q99" s="62"/>
      <c r="R99" s="62"/>
      <c r="T9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4" t="str">
        <f t="shared" si="28"/>
        <v>N</v>
      </c>
      <c r="V99" s="74">
        <f t="shared" si="29"/>
        <v>1</v>
      </c>
      <c r="W99" s="74">
        <f t="shared" si="30"/>
        <v>23.297699999999999</v>
      </c>
      <c r="X99" s="74">
        <f t="shared" si="31"/>
        <v>1.4999999999999999E-2</v>
      </c>
      <c r="Y99" s="74">
        <f t="shared" si="32"/>
        <v>23.282699999999998</v>
      </c>
      <c r="Z99" s="75">
        <f>VLOOKUP(A99,Enforcements!$C$3:$J$56,8,0)</f>
        <v>190834</v>
      </c>
      <c r="AA99" s="75" t="str">
        <f>VLOOKUP(A99,Enforcements!$C$3:$J$56,3,0)</f>
        <v>PERMANENT SPEED RESTRICTION</v>
      </c>
    </row>
    <row r="100" spans="1:27" s="2" customFormat="1" x14ac:dyDescent="0.25">
      <c r="A100" s="61" t="s">
        <v>499</v>
      </c>
      <c r="B100" s="61">
        <v>4024</v>
      </c>
      <c r="C100" s="61" t="s">
        <v>66</v>
      </c>
      <c r="D100" s="61" t="s">
        <v>343</v>
      </c>
      <c r="E100" s="30">
        <v>42511.685069444444</v>
      </c>
      <c r="F100" s="30">
        <v>42511.686643518522</v>
      </c>
      <c r="G100" s="38">
        <v>2</v>
      </c>
      <c r="H100" s="30" t="s">
        <v>115</v>
      </c>
      <c r="I100" s="30">
        <v>42511.716319444444</v>
      </c>
      <c r="J100" s="61">
        <v>1</v>
      </c>
      <c r="K100" s="61" t="str">
        <f t="shared" si="25"/>
        <v>4023/4024</v>
      </c>
      <c r="L100" s="61" t="str">
        <f>VLOOKUP(A100,'Trips&amp;Operators'!$C$1:$E$9999,3,FALSE)</f>
        <v>BONDS</v>
      </c>
      <c r="M100" s="12">
        <f t="shared" si="26"/>
        <v>2.9675925921765156E-2</v>
      </c>
      <c r="N100" s="13">
        <f t="shared" si="5"/>
        <v>42.733333327341825</v>
      </c>
      <c r="O100" s="13"/>
      <c r="P100" s="13"/>
      <c r="Q100" s="62"/>
      <c r="R100" s="62"/>
      <c r="T10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28"/>
        <v>N</v>
      </c>
      <c r="V100" s="74">
        <f t="shared" si="29"/>
        <v>1</v>
      </c>
      <c r="W100" s="74">
        <f t="shared" si="30"/>
        <v>4.7500000000000001E-2</v>
      </c>
      <c r="X100" s="74">
        <f t="shared" si="31"/>
        <v>23.3306</v>
      </c>
      <c r="Y100" s="74">
        <f t="shared" si="32"/>
        <v>23.283100000000001</v>
      </c>
      <c r="Z100" s="75">
        <f>VLOOKUP(A100,Enforcements!$C$3:$J$56,8,0)</f>
        <v>53155</v>
      </c>
      <c r="AA100" s="75" t="str">
        <f>VLOOKUP(A100,Enforcements!$C$3:$J$56,3,0)</f>
        <v>GRADE CROSSING</v>
      </c>
    </row>
    <row r="101" spans="1:27" s="2" customFormat="1" x14ac:dyDescent="0.25">
      <c r="A101" s="61" t="s">
        <v>500</v>
      </c>
      <c r="B101" s="61">
        <v>4023</v>
      </c>
      <c r="C101" s="61" t="s">
        <v>66</v>
      </c>
      <c r="D101" s="61" t="s">
        <v>501</v>
      </c>
      <c r="E101" s="30">
        <v>42511.720370370371</v>
      </c>
      <c r="F101" s="30">
        <v>42511.721979166665</v>
      </c>
      <c r="G101" s="38">
        <v>2</v>
      </c>
      <c r="H101" s="30" t="s">
        <v>502</v>
      </c>
      <c r="I101" s="30">
        <v>42511.742939814816</v>
      </c>
      <c r="J101" s="61">
        <v>0</v>
      </c>
      <c r="K101" s="61" t="str">
        <f t="shared" si="25"/>
        <v>4023/4024</v>
      </c>
      <c r="L101" s="61" t="str">
        <f>VLOOKUP(A101,'Trips&amp;Operators'!$C$1:$E$9999,3,FALSE)</f>
        <v>BONDS</v>
      </c>
      <c r="M101" s="12">
        <f t="shared" si="26"/>
        <v>2.0960648151230998E-2</v>
      </c>
      <c r="N101" s="13"/>
      <c r="O101" s="13"/>
      <c r="P101" s="13">
        <f>24*60*SUM($M101:$M102)</f>
        <v>31.783333334606141</v>
      </c>
      <c r="Q101" s="62" t="s">
        <v>598</v>
      </c>
      <c r="R101" s="62" t="s">
        <v>609</v>
      </c>
      <c r="T10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28"/>
        <v>Y</v>
      </c>
      <c r="V101" s="74">
        <f t="shared" si="29"/>
        <v>1</v>
      </c>
      <c r="W101" s="74">
        <f t="shared" si="30"/>
        <v>23.296399999999998</v>
      </c>
      <c r="X101" s="74">
        <f t="shared" si="31"/>
        <v>7.0533000000000001</v>
      </c>
      <c r="Y101" s="74">
        <f t="shared" si="32"/>
        <v>16.243099999999998</v>
      </c>
      <c r="Z101" s="75">
        <f>VLOOKUP(A101,Enforcements!$C$3:$J$56,8,0)</f>
        <v>64008</v>
      </c>
      <c r="AA101" s="75" t="str">
        <f>VLOOKUP(A101,Enforcements!$C$3:$J$56,3,0)</f>
        <v>SIGNAL</v>
      </c>
    </row>
    <row r="102" spans="1:27" s="2" customFormat="1" x14ac:dyDescent="0.25">
      <c r="A102" s="61" t="s">
        <v>500</v>
      </c>
      <c r="B102" s="61">
        <v>4023</v>
      </c>
      <c r="C102" s="61" t="s">
        <v>66</v>
      </c>
      <c r="D102" s="61" t="s">
        <v>503</v>
      </c>
      <c r="E102" s="30">
        <v>42511.745937500003</v>
      </c>
      <c r="F102" s="30">
        <v>42511.746678240743</v>
      </c>
      <c r="G102" s="38">
        <v>1</v>
      </c>
      <c r="H102" s="30" t="s">
        <v>504</v>
      </c>
      <c r="I102" s="30">
        <v>42511.747789351852</v>
      </c>
      <c r="J102" s="61">
        <v>1</v>
      </c>
      <c r="K102" s="61" t="str">
        <f t="shared" si="25"/>
        <v>4023/4024</v>
      </c>
      <c r="L102" s="61" t="str">
        <f>VLOOKUP(A102,'Trips&amp;Operators'!$C$1:$E$9999,3,FALSE)</f>
        <v>BONDS</v>
      </c>
      <c r="M102" s="12">
        <f t="shared" si="26"/>
        <v>1.111111108912155E-3</v>
      </c>
      <c r="N102" s="13"/>
      <c r="O102" s="13"/>
      <c r="P102" s="13"/>
      <c r="Q102" s="62"/>
      <c r="R102" s="62"/>
      <c r="T10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17:53:09-0600',mode:absolute,to:'2016-05-21 17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2" s="74" t="str">
        <f t="shared" si="28"/>
        <v>Y</v>
      </c>
      <c r="V102" s="74">
        <f t="shared" si="29"/>
        <v>0</v>
      </c>
      <c r="W102" s="74">
        <f t="shared" si="30"/>
        <v>6.4146999999999998</v>
      </c>
      <c r="X102" s="74">
        <f t="shared" si="31"/>
        <v>6.3415999999999997</v>
      </c>
      <c r="Y102" s="74">
        <f t="shared" si="32"/>
        <v>7.3100000000000165E-2</v>
      </c>
      <c r="Z102" s="75">
        <f>VLOOKUP(A102,Enforcements!$C$3:$J$56,8,0)</f>
        <v>64008</v>
      </c>
      <c r="AA102" s="75" t="str">
        <f>VLOOKUP(A102,Enforcements!$C$3:$J$56,3,0)</f>
        <v>SIGNAL</v>
      </c>
    </row>
    <row r="103" spans="1:27" s="2" customFormat="1" x14ac:dyDescent="0.25">
      <c r="A103" s="61" t="s">
        <v>505</v>
      </c>
      <c r="B103" s="61">
        <v>4044</v>
      </c>
      <c r="C103" s="61" t="s">
        <v>66</v>
      </c>
      <c r="D103" s="61" t="s">
        <v>79</v>
      </c>
      <c r="E103" s="30">
        <v>42511.696574074071</v>
      </c>
      <c r="F103" s="30">
        <v>42511.697534722225</v>
      </c>
      <c r="G103" s="38">
        <v>1</v>
      </c>
      <c r="H103" s="30" t="s">
        <v>81</v>
      </c>
      <c r="I103" s="30">
        <v>42511.724976851852</v>
      </c>
      <c r="J103" s="61">
        <v>0</v>
      </c>
      <c r="K103" s="61" t="str">
        <f t="shared" si="25"/>
        <v>4043/4044</v>
      </c>
      <c r="L103" s="61" t="str">
        <f>VLOOKUP(A103,'Trips&amp;Operators'!$C$1:$E$9999,3,FALSE)</f>
        <v>LOCKLEAR</v>
      </c>
      <c r="M103" s="12">
        <f t="shared" si="26"/>
        <v>2.7442129627161194E-2</v>
      </c>
      <c r="N103" s="13">
        <f t="shared" si="5"/>
        <v>39.516666663112119</v>
      </c>
      <c r="O103" s="13"/>
      <c r="P103" s="13"/>
      <c r="Q103" s="62"/>
      <c r="R103" s="62"/>
      <c r="T10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16:42:04-0600',mode:absolute,to:'2016-05-21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4" t="str">
        <f t="shared" si="28"/>
        <v>N</v>
      </c>
      <c r="V103" s="74">
        <f t="shared" si="29"/>
        <v>1</v>
      </c>
      <c r="W103" s="74">
        <f t="shared" si="30"/>
        <v>4.5100000000000001E-2</v>
      </c>
      <c r="X103" s="74">
        <f t="shared" si="31"/>
        <v>23.329899999999999</v>
      </c>
      <c r="Y103" s="74">
        <f t="shared" si="32"/>
        <v>23.284799999999997</v>
      </c>
      <c r="Z103" s="75" t="e">
        <f>VLOOKUP(A103,Enforcements!$C$3:$J$56,8,0)</f>
        <v>#N/A</v>
      </c>
      <c r="AA103" s="75" t="e">
        <f>VLOOKUP(A103,Enforcements!$C$3:$J$56,3,0)</f>
        <v>#N/A</v>
      </c>
    </row>
    <row r="104" spans="1:27" s="2" customFormat="1" x14ac:dyDescent="0.25">
      <c r="A104" s="61" t="s">
        <v>506</v>
      </c>
      <c r="B104" s="61">
        <v>4043</v>
      </c>
      <c r="C104" s="61" t="s">
        <v>66</v>
      </c>
      <c r="D104" s="61" t="s">
        <v>86</v>
      </c>
      <c r="E104" s="30">
        <v>42511.73364583333</v>
      </c>
      <c r="F104" s="30">
        <v>42511.734467592592</v>
      </c>
      <c r="G104" s="38">
        <v>1</v>
      </c>
      <c r="H104" s="30" t="s">
        <v>93</v>
      </c>
      <c r="I104" s="30">
        <v>42511.763749999998</v>
      </c>
      <c r="J104" s="61">
        <v>0</v>
      </c>
      <c r="K104" s="61" t="str">
        <f t="shared" si="25"/>
        <v>4043/4044</v>
      </c>
      <c r="L104" s="61" t="str">
        <f>VLOOKUP(A104,'Trips&amp;Operators'!$C$1:$E$9999,3,FALSE)</f>
        <v>LOCKLEAR</v>
      </c>
      <c r="M104" s="12">
        <f t="shared" si="26"/>
        <v>2.9282407405844424E-2</v>
      </c>
      <c r="N104" s="13">
        <f t="shared" si="5"/>
        <v>42.16666666441597</v>
      </c>
      <c r="O104" s="13"/>
      <c r="P104" s="13"/>
      <c r="Q104" s="62"/>
      <c r="R104" s="62"/>
      <c r="T10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17:35:27-0600',mode:absolute,to:'2016-05-21 18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4" t="str">
        <f t="shared" si="28"/>
        <v>N</v>
      </c>
      <c r="V104" s="74">
        <f t="shared" si="29"/>
        <v>1</v>
      </c>
      <c r="W104" s="74">
        <f t="shared" si="30"/>
        <v>23.297999999999998</v>
      </c>
      <c r="X104" s="74">
        <f t="shared" si="31"/>
        <v>1.41E-2</v>
      </c>
      <c r="Y104" s="74">
        <f t="shared" si="32"/>
        <v>23.283899999999999</v>
      </c>
      <c r="Z104" s="75" t="e">
        <f>VLOOKUP(A104,Enforcements!$C$3:$J$56,8,0)</f>
        <v>#N/A</v>
      </c>
      <c r="AA104" s="75" t="e">
        <f>VLOOKUP(A104,Enforcements!$C$3:$J$56,3,0)</f>
        <v>#N/A</v>
      </c>
    </row>
    <row r="105" spans="1:27" s="2" customFormat="1" x14ac:dyDescent="0.25">
      <c r="A105" s="61" t="s">
        <v>507</v>
      </c>
      <c r="B105" s="61">
        <v>4031</v>
      </c>
      <c r="C105" s="61" t="s">
        <v>66</v>
      </c>
      <c r="D105" s="61" t="s">
        <v>166</v>
      </c>
      <c r="E105" s="30">
        <v>42511.71162037037</v>
      </c>
      <c r="F105" s="30">
        <v>42511.712395833332</v>
      </c>
      <c r="G105" s="38">
        <v>1</v>
      </c>
      <c r="H105" s="30" t="s">
        <v>77</v>
      </c>
      <c r="I105" s="30">
        <v>42511.741076388891</v>
      </c>
      <c r="J105" s="61">
        <v>0</v>
      </c>
      <c r="K105" s="61" t="str">
        <f t="shared" si="25"/>
        <v>4031/4032</v>
      </c>
      <c r="L105" s="61" t="str">
        <f>VLOOKUP(A105,'Trips&amp;Operators'!$C$1:$E$9999,3,FALSE)</f>
        <v>ACKERMAN</v>
      </c>
      <c r="M105" s="12">
        <f t="shared" si="26"/>
        <v>2.8680555558821652E-2</v>
      </c>
      <c r="N105" s="13">
        <f t="shared" si="5"/>
        <v>41.300000004703179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17:03:44-0600',mode:absolute,to:'2016-05-21 17:48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4.3999999999999997E-2</v>
      </c>
      <c r="X105" s="74">
        <f t="shared" si="31"/>
        <v>23.3308</v>
      </c>
      <c r="Y105" s="74">
        <f t="shared" si="32"/>
        <v>23.286799999999999</v>
      </c>
      <c r="Z105" s="75" t="e">
        <f>VLOOKUP(A105,Enforcements!$C$3:$J$56,8,0)</f>
        <v>#N/A</v>
      </c>
      <c r="AA105" s="75" t="e">
        <f>VLOOKUP(A105,Enforcements!$C$3:$J$56,3,0)</f>
        <v>#N/A</v>
      </c>
    </row>
    <row r="106" spans="1:27" s="2" customFormat="1" x14ac:dyDescent="0.25">
      <c r="A106" s="61" t="s">
        <v>508</v>
      </c>
      <c r="B106" s="61">
        <v>4032</v>
      </c>
      <c r="C106" s="61" t="s">
        <v>66</v>
      </c>
      <c r="D106" s="61" t="s">
        <v>509</v>
      </c>
      <c r="E106" s="30">
        <v>42511.744155092594</v>
      </c>
      <c r="F106" s="30">
        <v>42511.745208333334</v>
      </c>
      <c r="G106" s="38">
        <v>1</v>
      </c>
      <c r="H106" s="30" t="s">
        <v>510</v>
      </c>
      <c r="I106" s="30">
        <v>42511.77447916667</v>
      </c>
      <c r="J106" s="61">
        <v>0</v>
      </c>
      <c r="K106" s="61" t="str">
        <f t="shared" si="25"/>
        <v>4031/4032</v>
      </c>
      <c r="L106" s="61" t="str">
        <f>VLOOKUP(A106,'Trips&amp;Operators'!$C$1:$E$9999,3,FALSE)</f>
        <v>ACKERMAN</v>
      </c>
      <c r="M106" s="12">
        <f t="shared" si="26"/>
        <v>2.9270833336340729E-2</v>
      </c>
      <c r="N106" s="13">
        <f t="shared" si="5"/>
        <v>42.15000000433065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17:50:35-0600',mode:absolute,to:'2016-05-21 18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6" s="74" t="str">
        <f t="shared" si="28"/>
        <v>N</v>
      </c>
      <c r="V106" s="74">
        <f t="shared" si="29"/>
        <v>1</v>
      </c>
      <c r="W106" s="74">
        <f t="shared" si="30"/>
        <v>23.3004</v>
      </c>
      <c r="X106" s="74">
        <f t="shared" si="31"/>
        <v>1.2699999999999999E-2</v>
      </c>
      <c r="Y106" s="74">
        <f t="shared" si="32"/>
        <v>23.287700000000001</v>
      </c>
      <c r="Z106" s="75" t="e">
        <f>VLOOKUP(A106,Enforcements!$C$3:$J$56,8,0)</f>
        <v>#N/A</v>
      </c>
      <c r="AA106" s="75" t="e">
        <f>VLOOKUP(A106,Enforcements!$C$3:$J$56,3,0)</f>
        <v>#N/A</v>
      </c>
    </row>
    <row r="107" spans="1:27" s="2" customFormat="1" x14ac:dyDescent="0.25">
      <c r="A107" s="61" t="s">
        <v>511</v>
      </c>
      <c r="B107" s="61">
        <v>4014</v>
      </c>
      <c r="C107" s="61" t="s">
        <v>66</v>
      </c>
      <c r="D107" s="61" t="s">
        <v>512</v>
      </c>
      <c r="E107" s="30">
        <v>42511.722361111111</v>
      </c>
      <c r="F107" s="30">
        <v>42511.723495370374</v>
      </c>
      <c r="G107" s="38">
        <v>1</v>
      </c>
      <c r="H107" s="30" t="s">
        <v>513</v>
      </c>
      <c r="I107" s="30">
        <v>42511.751157407409</v>
      </c>
      <c r="J107" s="61">
        <v>0</v>
      </c>
      <c r="K107" s="61" t="str">
        <f t="shared" si="25"/>
        <v>4013/4014</v>
      </c>
      <c r="L107" s="61" t="str">
        <f>VLOOKUP(A107,'Trips&amp;Operators'!$C$1:$E$9999,3,FALSE)</f>
        <v>BEAM</v>
      </c>
      <c r="M107" s="12">
        <f t="shared" si="26"/>
        <v>2.7662037035042886E-2</v>
      </c>
      <c r="N107" s="13">
        <f t="shared" si="5"/>
        <v>39.833333330461755</v>
      </c>
      <c r="O107" s="13"/>
      <c r="P107" s="13"/>
      <c r="Q107" s="62"/>
      <c r="R107" s="62"/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17:19:12-0600',mode:absolute,to:'2016-05-21 18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4" t="str">
        <f t="shared" si="28"/>
        <v>N</v>
      </c>
      <c r="V107" s="74">
        <f t="shared" si="29"/>
        <v>1</v>
      </c>
      <c r="W107" s="74">
        <f t="shared" si="30"/>
        <v>0.1188</v>
      </c>
      <c r="X107" s="74">
        <f t="shared" si="31"/>
        <v>23.331900000000001</v>
      </c>
      <c r="Y107" s="74">
        <f t="shared" si="32"/>
        <v>23.213100000000001</v>
      </c>
      <c r="Z107" s="75" t="e">
        <f>VLOOKUP(A107,Enforcements!$C$3:$J$56,8,0)</f>
        <v>#N/A</v>
      </c>
      <c r="AA107" s="75" t="e">
        <f>VLOOKUP(A107,Enforcements!$C$3:$J$56,3,0)</f>
        <v>#N/A</v>
      </c>
    </row>
    <row r="108" spans="1:27" s="2" customFormat="1" x14ac:dyDescent="0.25">
      <c r="A108" s="61" t="s">
        <v>514</v>
      </c>
      <c r="B108" s="61">
        <v>4013</v>
      </c>
      <c r="C108" s="61" t="s">
        <v>66</v>
      </c>
      <c r="D108" s="61" t="s">
        <v>171</v>
      </c>
      <c r="E108" s="30">
        <v>42511.754872685182</v>
      </c>
      <c r="F108" s="30">
        <v>42511.755694444444</v>
      </c>
      <c r="G108" s="38">
        <v>1</v>
      </c>
      <c r="H108" s="30" t="s">
        <v>515</v>
      </c>
      <c r="I108" s="30">
        <v>42511.78361111111</v>
      </c>
      <c r="J108" s="61">
        <v>1</v>
      </c>
      <c r="K108" s="61" t="str">
        <f t="shared" si="25"/>
        <v>4013/4014</v>
      </c>
      <c r="L108" s="61" t="str">
        <f>VLOOKUP(A108,'Trips&amp;Operators'!$C$1:$E$9999,3,FALSE)</f>
        <v>BEAM</v>
      </c>
      <c r="M108" s="12">
        <f t="shared" si="26"/>
        <v>2.7916666665987577E-2</v>
      </c>
      <c r="N108" s="13">
        <f t="shared" ref="N108:N145" si="33">24*60*SUM($M108:$M108)</f>
        <v>40.199999999022111</v>
      </c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4" t="str">
        <f t="shared" si="28"/>
        <v>N</v>
      </c>
      <c r="V108" s="74">
        <f t="shared" si="29"/>
        <v>1</v>
      </c>
      <c r="W108" s="74">
        <f t="shared" si="30"/>
        <v>23.300599999999999</v>
      </c>
      <c r="X108" s="74">
        <f t="shared" si="31"/>
        <v>1.38E-2</v>
      </c>
      <c r="Y108" s="74">
        <f t="shared" si="32"/>
        <v>23.286799999999999</v>
      </c>
      <c r="Z108" s="75">
        <f>VLOOKUP(A108,Enforcements!$C$3:$J$56,8,0)</f>
        <v>1</v>
      </c>
      <c r="AA108" s="75" t="str">
        <f>VLOOKUP(A108,Enforcements!$C$3:$J$56,3,0)</f>
        <v>TRACK WARRANT AUTHORITY</v>
      </c>
    </row>
    <row r="109" spans="1:27" s="2" customFormat="1" x14ac:dyDescent="0.25">
      <c r="A109" s="61" t="s">
        <v>516</v>
      </c>
      <c r="B109" s="61">
        <v>4002</v>
      </c>
      <c r="C109" s="61" t="s">
        <v>66</v>
      </c>
      <c r="D109" s="61" t="s">
        <v>124</v>
      </c>
      <c r="E109" s="30">
        <v>42511.730821759258</v>
      </c>
      <c r="F109" s="30">
        <v>42511.732581018521</v>
      </c>
      <c r="G109" s="38">
        <v>2</v>
      </c>
      <c r="H109" s="30" t="s">
        <v>67</v>
      </c>
      <c r="I109" s="30">
        <v>42511.763923611114</v>
      </c>
      <c r="J109" s="61">
        <v>2</v>
      </c>
      <c r="K109" s="61" t="str">
        <f t="shared" si="25"/>
        <v>4001/4002</v>
      </c>
      <c r="L109" s="61" t="str">
        <f>VLOOKUP(A109,'Trips&amp;Operators'!$C$1:$E$9999,3,FALSE)</f>
        <v>BUTLER</v>
      </c>
      <c r="M109" s="12">
        <f t="shared" si="26"/>
        <v>3.1342592592409346E-2</v>
      </c>
      <c r="N109" s="13">
        <f t="shared" si="33"/>
        <v>45.133333333069459</v>
      </c>
      <c r="O109" s="13"/>
      <c r="P109" s="13"/>
      <c r="Q109" s="62"/>
      <c r="R109" s="62"/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09" s="74" t="str">
        <f t="shared" si="28"/>
        <v>N</v>
      </c>
      <c r="V109" s="74">
        <f t="shared" si="29"/>
        <v>1</v>
      </c>
      <c r="W109" s="74">
        <f t="shared" si="30"/>
        <v>4.4900000000000002E-2</v>
      </c>
      <c r="X109" s="74">
        <f t="shared" si="31"/>
        <v>23.331</v>
      </c>
      <c r="Y109" s="74">
        <f t="shared" si="32"/>
        <v>23.286100000000001</v>
      </c>
      <c r="Z109" s="75">
        <f>VLOOKUP(A109,Enforcements!$C$3:$J$56,8,0)</f>
        <v>127562</v>
      </c>
      <c r="AA109" s="75" t="str">
        <f>VLOOKUP(A109,Enforcements!$C$3:$J$56,3,0)</f>
        <v>GRADE CROSSING</v>
      </c>
    </row>
    <row r="110" spans="1:27" s="2" customFormat="1" x14ac:dyDescent="0.25">
      <c r="A110" s="61" t="s">
        <v>517</v>
      </c>
      <c r="B110" s="61">
        <v>4001</v>
      </c>
      <c r="C110" s="61" t="s">
        <v>66</v>
      </c>
      <c r="D110" s="61" t="s">
        <v>467</v>
      </c>
      <c r="E110" s="30">
        <v>42511.766064814816</v>
      </c>
      <c r="F110" s="30">
        <v>42511.767071759263</v>
      </c>
      <c r="G110" s="38">
        <v>1</v>
      </c>
      <c r="H110" s="30" t="s">
        <v>93</v>
      </c>
      <c r="I110" s="30">
        <v>42511.794432870367</v>
      </c>
      <c r="J110" s="61">
        <v>0</v>
      </c>
      <c r="K110" s="61" t="str">
        <f t="shared" si="25"/>
        <v>4001/4002</v>
      </c>
      <c r="L110" s="61" t="str">
        <f>VLOOKUP(A110,'Trips&amp;Operators'!$C$1:$E$9999,3,FALSE)</f>
        <v>BUTLER</v>
      </c>
      <c r="M110" s="12">
        <f t="shared" si="26"/>
        <v>2.7361111104255542E-2</v>
      </c>
      <c r="N110" s="13">
        <f t="shared" si="33"/>
        <v>39.399999990127981</v>
      </c>
      <c r="O110" s="13"/>
      <c r="P110" s="13"/>
      <c r="Q110" s="62"/>
      <c r="R110" s="62"/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18:22:08-0600',mode:absolute,to:'2016-05-21 19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10" s="74" t="str">
        <f t="shared" si="28"/>
        <v>N</v>
      </c>
      <c r="V110" s="74">
        <f t="shared" si="29"/>
        <v>1</v>
      </c>
      <c r="W110" s="74">
        <f t="shared" si="30"/>
        <v>23.2987</v>
      </c>
      <c r="X110" s="74">
        <f t="shared" si="31"/>
        <v>1.41E-2</v>
      </c>
      <c r="Y110" s="74">
        <f t="shared" si="32"/>
        <v>23.284600000000001</v>
      </c>
      <c r="Z110" s="75" t="e">
        <f>VLOOKUP(A110,Enforcements!$C$3:$J$56,8,0)</f>
        <v>#N/A</v>
      </c>
      <c r="AA110" s="75" t="e">
        <f>VLOOKUP(A110,Enforcements!$C$3:$J$56,3,0)</f>
        <v>#N/A</v>
      </c>
    </row>
    <row r="111" spans="1:27" s="2" customFormat="1" x14ac:dyDescent="0.25">
      <c r="A111" s="61" t="s">
        <v>518</v>
      </c>
      <c r="B111" s="61">
        <v>4025</v>
      </c>
      <c r="C111" s="61" t="s">
        <v>66</v>
      </c>
      <c r="D111" s="61" t="s">
        <v>75</v>
      </c>
      <c r="E111" s="30">
        <v>42511.740636574075</v>
      </c>
      <c r="F111" s="30">
        <v>42511.741423611114</v>
      </c>
      <c r="G111" s="38">
        <v>1</v>
      </c>
      <c r="H111" s="30" t="s">
        <v>519</v>
      </c>
      <c r="I111" s="30">
        <v>42511.772303240738</v>
      </c>
      <c r="J111" s="61">
        <v>0</v>
      </c>
      <c r="K111" s="61" t="str">
        <f t="shared" si="25"/>
        <v>4025/4026</v>
      </c>
      <c r="L111" s="61" t="str">
        <f>VLOOKUP(A111,'Trips&amp;Operators'!$C$1:$E$9999,3,FALSE)</f>
        <v>LEVERE</v>
      </c>
      <c r="M111" s="12">
        <f t="shared" si="26"/>
        <v>3.0879629623086657E-2</v>
      </c>
      <c r="N111" s="13">
        <f t="shared" si="33"/>
        <v>44.466666657244787</v>
      </c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17:45:31-0600',mode:absolute,to:'2016-05-21 18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1" s="74" t="str">
        <f t="shared" si="28"/>
        <v>N</v>
      </c>
      <c r="V111" s="74">
        <f t="shared" si="29"/>
        <v>1</v>
      </c>
      <c r="W111" s="74">
        <f t="shared" si="30"/>
        <v>4.4699999999999997E-2</v>
      </c>
      <c r="X111" s="74">
        <f t="shared" si="31"/>
        <v>23.332599999999999</v>
      </c>
      <c r="Y111" s="74">
        <f t="shared" si="32"/>
        <v>23.2879</v>
      </c>
      <c r="Z111" s="75" t="e">
        <f>VLOOKUP(A111,Enforcements!$C$3:$J$56,8,0)</f>
        <v>#N/A</v>
      </c>
      <c r="AA111" s="75" t="e">
        <f>VLOOKUP(A111,Enforcements!$C$3:$J$56,3,0)</f>
        <v>#N/A</v>
      </c>
    </row>
    <row r="112" spans="1:27" s="2" customFormat="1" x14ac:dyDescent="0.25">
      <c r="A112" s="61" t="s">
        <v>520</v>
      </c>
      <c r="B112" s="61">
        <v>4026</v>
      </c>
      <c r="C112" s="61" t="s">
        <v>66</v>
      </c>
      <c r="D112" s="61" t="s">
        <v>322</v>
      </c>
      <c r="E112" s="30">
        <v>42511.775914351849</v>
      </c>
      <c r="F112" s="30">
        <v>42511.77684027778</v>
      </c>
      <c r="G112" s="38">
        <v>1</v>
      </c>
      <c r="H112" s="30" t="s">
        <v>491</v>
      </c>
      <c r="I112" s="30">
        <v>42511.805972222224</v>
      </c>
      <c r="J112" s="61">
        <v>0</v>
      </c>
      <c r="K112" s="61" t="str">
        <f t="shared" si="25"/>
        <v>4025/4026</v>
      </c>
      <c r="L112" s="61" t="str">
        <f>VLOOKUP(A112,'Trips&amp;Operators'!$C$1:$E$9999,3,FALSE)</f>
        <v>LEVERE</v>
      </c>
      <c r="M112" s="12">
        <f t="shared" si="26"/>
        <v>2.9131944444088731E-2</v>
      </c>
      <c r="N112" s="13">
        <f t="shared" si="33"/>
        <v>41.949999999487773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18:36:19-0600',mode:absolute,to:'2016-05-21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23.296700000000001</v>
      </c>
      <c r="X112" s="74">
        <f t="shared" si="31"/>
        <v>1.7999999999999999E-2</v>
      </c>
      <c r="Y112" s="74">
        <f t="shared" si="32"/>
        <v>23.278700000000001</v>
      </c>
      <c r="Z112" s="75" t="e">
        <f>VLOOKUP(A112,Enforcements!$C$3:$J$56,8,0)</f>
        <v>#N/A</v>
      </c>
      <c r="AA112" s="75" t="e">
        <f>VLOOKUP(A112,Enforcements!$C$3:$J$56,3,0)</f>
        <v>#N/A</v>
      </c>
    </row>
    <row r="113" spans="1:27" s="2" customFormat="1" x14ac:dyDescent="0.25">
      <c r="A113" s="61" t="s">
        <v>521</v>
      </c>
      <c r="B113" s="61">
        <v>4020</v>
      </c>
      <c r="C113" s="61" t="s">
        <v>66</v>
      </c>
      <c r="D113" s="61" t="s">
        <v>522</v>
      </c>
      <c r="E113" s="30">
        <v>42511.749918981484</v>
      </c>
      <c r="F113" s="30">
        <v>42511.75236111111</v>
      </c>
      <c r="G113" s="38">
        <v>3</v>
      </c>
      <c r="H113" s="30" t="s">
        <v>148</v>
      </c>
      <c r="I113" s="30">
        <v>42511.783020833333</v>
      </c>
      <c r="J113" s="61">
        <v>0</v>
      </c>
      <c r="K113" s="61" t="str">
        <f t="shared" si="25"/>
        <v>4019/4020</v>
      </c>
      <c r="L113" s="61" t="str">
        <f>VLOOKUP(A113,'Trips&amp;Operators'!$C$1:$E$9999,3,FALSE)</f>
        <v>WEBSTER</v>
      </c>
      <c r="M113" s="12">
        <f t="shared" si="26"/>
        <v>3.0659722222480923E-2</v>
      </c>
      <c r="N113" s="13">
        <f t="shared" si="33"/>
        <v>44.150000000372529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17:58:53-0600',mode:absolute,to:'2016-05-21 18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3" s="74" t="str">
        <f t="shared" si="28"/>
        <v>N</v>
      </c>
      <c r="V113" s="74">
        <f t="shared" si="29"/>
        <v>1</v>
      </c>
      <c r="W113" s="74">
        <f t="shared" si="30"/>
        <v>4.3499999999999997E-2</v>
      </c>
      <c r="X113" s="74">
        <f t="shared" si="31"/>
        <v>23.3278</v>
      </c>
      <c r="Y113" s="74">
        <f t="shared" si="32"/>
        <v>23.284299999999998</v>
      </c>
      <c r="Z113" s="75" t="e">
        <f>VLOOKUP(A113,Enforcements!$C$3:$J$56,8,0)</f>
        <v>#N/A</v>
      </c>
      <c r="AA113" s="75" t="e">
        <f>VLOOKUP(A113,Enforcements!$C$3:$J$56,3,0)</f>
        <v>#N/A</v>
      </c>
    </row>
    <row r="114" spans="1:27" s="2" customFormat="1" x14ac:dyDescent="0.25">
      <c r="A114" s="61" t="s">
        <v>523</v>
      </c>
      <c r="B114" s="61">
        <v>4019</v>
      </c>
      <c r="C114" s="61" t="s">
        <v>66</v>
      </c>
      <c r="D114" s="61" t="s">
        <v>156</v>
      </c>
      <c r="E114" s="30">
        <v>42511.785914351851</v>
      </c>
      <c r="F114" s="30">
        <v>42511.78701388889</v>
      </c>
      <c r="G114" s="38">
        <v>1</v>
      </c>
      <c r="H114" s="30" t="s">
        <v>82</v>
      </c>
      <c r="I114" s="30">
        <v>42511.815868055557</v>
      </c>
      <c r="J114" s="61">
        <v>0</v>
      </c>
      <c r="K114" s="61" t="str">
        <f t="shared" si="25"/>
        <v>4019/4020</v>
      </c>
      <c r="L114" s="61" t="str">
        <f>VLOOKUP(A114,'Trips&amp;Operators'!$C$1:$E$9999,3,FALSE)</f>
        <v>WEBSTER</v>
      </c>
      <c r="M114" s="12">
        <f t="shared" si="26"/>
        <v>2.8854166666860692E-2</v>
      </c>
      <c r="N114" s="13">
        <f t="shared" si="33"/>
        <v>41.550000000279397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18:50:43-0600',mode:absolute,to:'2016-05-21 19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23.297000000000001</v>
      </c>
      <c r="X114" s="74">
        <f t="shared" si="31"/>
        <v>1.52E-2</v>
      </c>
      <c r="Y114" s="74">
        <f t="shared" si="32"/>
        <v>23.2818</v>
      </c>
      <c r="Z114" s="75" t="e">
        <f>VLOOKUP(A114,Enforcements!$C$3:$J$56,8,0)</f>
        <v>#N/A</v>
      </c>
      <c r="AA114" s="75" t="e">
        <f>VLOOKUP(A114,Enforcements!$C$3:$J$56,3,0)</f>
        <v>#N/A</v>
      </c>
    </row>
    <row r="115" spans="1:27" s="2" customFormat="1" x14ac:dyDescent="0.25">
      <c r="A115" s="61" t="s">
        <v>524</v>
      </c>
      <c r="B115" s="61">
        <v>4024</v>
      </c>
      <c r="C115" s="61" t="s">
        <v>66</v>
      </c>
      <c r="D115" s="61" t="s">
        <v>124</v>
      </c>
      <c r="E115" s="30">
        <v>42511.761319444442</v>
      </c>
      <c r="F115" s="30">
        <v>42511.762523148151</v>
      </c>
      <c r="G115" s="38">
        <v>1</v>
      </c>
      <c r="H115" s="30" t="s">
        <v>314</v>
      </c>
      <c r="I115" s="30">
        <v>42511.792442129627</v>
      </c>
      <c r="J115" s="61">
        <v>0</v>
      </c>
      <c r="K115" s="61" t="str">
        <f t="shared" si="25"/>
        <v>4023/4024</v>
      </c>
      <c r="L115" s="61" t="str">
        <f>VLOOKUP(A115,'Trips&amp;Operators'!$C$1:$E$9999,3,FALSE)</f>
        <v>GOODNIGHT</v>
      </c>
      <c r="M115" s="12">
        <f t="shared" si="26"/>
        <v>2.9918981475930195E-2</v>
      </c>
      <c r="N115" s="13">
        <f t="shared" si="33"/>
        <v>43.083333325339481</v>
      </c>
      <c r="O115" s="13"/>
      <c r="P115" s="13"/>
      <c r="Q115" s="62"/>
      <c r="R115" s="62"/>
      <c r="T11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18:15:18-0600',mode:absolute,to:'2016-05-21 19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4" t="str">
        <f t="shared" si="28"/>
        <v>N</v>
      </c>
      <c r="V115" s="74">
        <f t="shared" si="29"/>
        <v>1</v>
      </c>
      <c r="W115" s="74">
        <f t="shared" si="30"/>
        <v>4.4900000000000002E-2</v>
      </c>
      <c r="X115" s="74">
        <f t="shared" si="31"/>
        <v>23.328900000000001</v>
      </c>
      <c r="Y115" s="74">
        <f t="shared" si="32"/>
        <v>23.284000000000002</v>
      </c>
      <c r="Z115" s="75" t="e">
        <f>VLOOKUP(A115,Enforcements!$C$3:$J$56,8,0)</f>
        <v>#N/A</v>
      </c>
      <c r="AA115" s="75" t="e">
        <f>VLOOKUP(A115,Enforcements!$C$3:$J$56,3,0)</f>
        <v>#N/A</v>
      </c>
    </row>
    <row r="116" spans="1:27" s="2" customFormat="1" x14ac:dyDescent="0.25">
      <c r="A116" s="61" t="s">
        <v>525</v>
      </c>
      <c r="B116" s="61">
        <v>4023</v>
      </c>
      <c r="C116" s="61" t="s">
        <v>66</v>
      </c>
      <c r="D116" s="61" t="s">
        <v>69</v>
      </c>
      <c r="E116" s="30">
        <v>42511.795972222222</v>
      </c>
      <c r="F116" s="30">
        <v>42511.796990740739</v>
      </c>
      <c r="G116" s="38">
        <v>1</v>
      </c>
      <c r="H116" s="30" t="s">
        <v>421</v>
      </c>
      <c r="I116" s="30">
        <v>42511.825624999998</v>
      </c>
      <c r="J116" s="61">
        <v>1</v>
      </c>
      <c r="K116" s="61" t="str">
        <f t="shared" si="25"/>
        <v>4023/4024</v>
      </c>
      <c r="L116" s="61" t="str">
        <f>VLOOKUP(A116,'Trips&amp;Operators'!$C$1:$E$9999,3,FALSE)</f>
        <v>GOODNIGHT</v>
      </c>
      <c r="M116" s="12">
        <f t="shared" si="26"/>
        <v>2.8634259258979E-2</v>
      </c>
      <c r="N116" s="13">
        <f t="shared" si="33"/>
        <v>41.23333333292976</v>
      </c>
      <c r="O116" s="13"/>
      <c r="P116" s="13"/>
      <c r="Q116" s="62"/>
      <c r="R116" s="62"/>
      <c r="T11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4" t="str">
        <f t="shared" si="28"/>
        <v>N</v>
      </c>
      <c r="V116" s="74">
        <f t="shared" si="29"/>
        <v>1</v>
      </c>
      <c r="W116" s="74">
        <f t="shared" si="30"/>
        <v>23.297799999999999</v>
      </c>
      <c r="X116" s="74">
        <f t="shared" si="31"/>
        <v>1.78E-2</v>
      </c>
      <c r="Y116" s="74">
        <f t="shared" si="32"/>
        <v>23.279999999999998</v>
      </c>
      <c r="Z116" s="75">
        <f>VLOOKUP(A116,Enforcements!$C$3:$J$56,8,0)</f>
        <v>1</v>
      </c>
      <c r="AA116" s="75" t="str">
        <f>VLOOKUP(A116,Enforcements!$C$3:$J$56,3,0)</f>
        <v>TRACK WARRANT AUTHORITY</v>
      </c>
    </row>
    <row r="117" spans="1:27" s="2" customFormat="1" x14ac:dyDescent="0.25">
      <c r="A117" s="61" t="s">
        <v>526</v>
      </c>
      <c r="B117" s="61">
        <v>4044</v>
      </c>
      <c r="C117" s="61" t="s">
        <v>66</v>
      </c>
      <c r="D117" s="61" t="s">
        <v>75</v>
      </c>
      <c r="E117" s="30">
        <v>42511.766296296293</v>
      </c>
      <c r="F117" s="30">
        <v>42511.767407407409</v>
      </c>
      <c r="G117" s="38">
        <v>1</v>
      </c>
      <c r="H117" s="30" t="s">
        <v>527</v>
      </c>
      <c r="I117" s="30">
        <v>42511.796759259261</v>
      </c>
      <c r="J117" s="61">
        <v>0</v>
      </c>
      <c r="K117" s="61" t="str">
        <f t="shared" si="25"/>
        <v>4043/4044</v>
      </c>
      <c r="L117" s="61" t="str">
        <f>VLOOKUP(A117,'Trips&amp;Operators'!$C$1:$E$9999,3,FALSE)</f>
        <v>GRASTON</v>
      </c>
      <c r="M117" s="12">
        <f t="shared" si="26"/>
        <v>2.9351851851970423E-2</v>
      </c>
      <c r="N117" s="13">
        <f t="shared" si="33"/>
        <v>42.266666666837409</v>
      </c>
      <c r="O117" s="13"/>
      <c r="P117" s="13"/>
      <c r="Q117" s="62"/>
      <c r="R117" s="62"/>
      <c r="T11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18:22:28-0600',mode:absolute,to:'2016-05-21 19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7" s="74" t="str">
        <f t="shared" si="28"/>
        <v>N</v>
      </c>
      <c r="V117" s="74">
        <f t="shared" si="29"/>
        <v>1</v>
      </c>
      <c r="W117" s="74">
        <f t="shared" si="30"/>
        <v>4.4699999999999997E-2</v>
      </c>
      <c r="X117" s="74">
        <f t="shared" si="31"/>
        <v>23.324000000000002</v>
      </c>
      <c r="Y117" s="74">
        <f t="shared" si="32"/>
        <v>23.279300000000003</v>
      </c>
      <c r="Z117" s="75" t="e">
        <f>VLOOKUP(A117,Enforcements!$C$3:$J$56,8,0)</f>
        <v>#N/A</v>
      </c>
      <c r="AA117" s="75" t="e">
        <f>VLOOKUP(A117,Enforcements!$C$3:$J$56,3,0)</f>
        <v>#N/A</v>
      </c>
    </row>
    <row r="118" spans="1:27" s="2" customFormat="1" x14ac:dyDescent="0.25">
      <c r="A118" s="61" t="s">
        <v>528</v>
      </c>
      <c r="B118" s="61">
        <v>4043</v>
      </c>
      <c r="C118" s="61" t="s">
        <v>66</v>
      </c>
      <c r="D118" s="61" t="s">
        <v>467</v>
      </c>
      <c r="E118" s="30">
        <v>42511.807291666664</v>
      </c>
      <c r="F118" s="30">
        <v>42511.808136574073</v>
      </c>
      <c r="G118" s="38">
        <v>1</v>
      </c>
      <c r="H118" s="30" t="s">
        <v>323</v>
      </c>
      <c r="I118" s="30">
        <v>42511.836493055554</v>
      </c>
      <c r="J118" s="61">
        <v>0</v>
      </c>
      <c r="K118" s="61" t="str">
        <f t="shared" si="25"/>
        <v>4043/4044</v>
      </c>
      <c r="L118" s="61" t="str">
        <f>VLOOKUP(A118,'Trips&amp;Operators'!$C$1:$E$9999,3,FALSE)</f>
        <v>GRASTON</v>
      </c>
      <c r="M118" s="12">
        <f t="shared" si="26"/>
        <v>2.8356481481750961E-2</v>
      </c>
      <c r="N118" s="13">
        <f t="shared" si="33"/>
        <v>40.833333333721384</v>
      </c>
      <c r="O118" s="13"/>
      <c r="P118" s="13"/>
      <c r="Q118" s="62"/>
      <c r="R118" s="62"/>
      <c r="T11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19:21:30-0600',mode:absolute,to:'2016-05-21 20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8" s="74" t="str">
        <f t="shared" si="28"/>
        <v>N</v>
      </c>
      <c r="V118" s="74">
        <f t="shared" si="29"/>
        <v>1</v>
      </c>
      <c r="W118" s="74">
        <f t="shared" si="30"/>
        <v>23.2987</v>
      </c>
      <c r="X118" s="74">
        <f t="shared" si="31"/>
        <v>1.6500000000000001E-2</v>
      </c>
      <c r="Y118" s="74">
        <f t="shared" si="32"/>
        <v>23.2822</v>
      </c>
      <c r="Z118" s="75" t="e">
        <f>VLOOKUP(A118,Enforcements!$C$3:$J$56,8,0)</f>
        <v>#N/A</v>
      </c>
      <c r="AA118" s="75" t="e">
        <f>VLOOKUP(A118,Enforcements!$C$3:$J$56,3,0)</f>
        <v>#N/A</v>
      </c>
    </row>
    <row r="119" spans="1:27" s="2" customFormat="1" x14ac:dyDescent="0.25">
      <c r="A119" s="61" t="s">
        <v>529</v>
      </c>
      <c r="B119" s="61">
        <v>4014</v>
      </c>
      <c r="C119" s="61" t="s">
        <v>66</v>
      </c>
      <c r="D119" s="61" t="s">
        <v>107</v>
      </c>
      <c r="E119" s="30">
        <v>42511.788784722223</v>
      </c>
      <c r="F119" s="30">
        <v>42511.789756944447</v>
      </c>
      <c r="G119" s="38">
        <v>1</v>
      </c>
      <c r="H119" s="30" t="s">
        <v>530</v>
      </c>
      <c r="I119" s="30">
        <v>42511.81695601852</v>
      </c>
      <c r="J119" s="61">
        <v>1</v>
      </c>
      <c r="K119" s="61" t="str">
        <f t="shared" si="25"/>
        <v>4013/4014</v>
      </c>
      <c r="L119" s="61" t="str">
        <f>VLOOKUP(A119,'Trips&amp;Operators'!$C$1:$E$9999,3,FALSE)</f>
        <v>GOLIGHTLY</v>
      </c>
      <c r="M119" s="12">
        <f t="shared" si="26"/>
        <v>2.7199074072996154E-2</v>
      </c>
      <c r="N119" s="13">
        <f t="shared" si="33"/>
        <v>39.166666665114462</v>
      </c>
      <c r="O119" s="13"/>
      <c r="P119" s="13"/>
      <c r="Q119" s="62"/>
      <c r="R119" s="62"/>
      <c r="T11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9" s="74" t="str">
        <f t="shared" si="28"/>
        <v>N</v>
      </c>
      <c r="V119" s="74">
        <f t="shared" si="29"/>
        <v>1</v>
      </c>
      <c r="W119" s="74">
        <f t="shared" si="30"/>
        <v>4.58E-2</v>
      </c>
      <c r="X119" s="74">
        <f t="shared" si="31"/>
        <v>23.329799999999999</v>
      </c>
      <c r="Y119" s="74">
        <f t="shared" si="32"/>
        <v>23.283999999999999</v>
      </c>
      <c r="Z119" s="75">
        <f>VLOOKUP(A119,Enforcements!$C$3:$J$56,8,0)</f>
        <v>233491</v>
      </c>
      <c r="AA119" s="75" t="str">
        <f>VLOOKUP(A119,Enforcements!$C$3:$J$56,3,0)</f>
        <v>TRACK WARRANT AUTHORITY</v>
      </c>
    </row>
    <row r="120" spans="1:27" s="2" customFormat="1" x14ac:dyDescent="0.25">
      <c r="A120" s="61" t="s">
        <v>531</v>
      </c>
      <c r="B120" s="61">
        <v>4013</v>
      </c>
      <c r="C120" s="61" t="s">
        <v>66</v>
      </c>
      <c r="D120" s="61" t="s">
        <v>430</v>
      </c>
      <c r="E120" s="30">
        <v>42511.822060185186</v>
      </c>
      <c r="F120" s="30">
        <v>42511.823287037034</v>
      </c>
      <c r="G120" s="38">
        <v>1</v>
      </c>
      <c r="H120" s="30" t="s">
        <v>515</v>
      </c>
      <c r="I120" s="30">
        <v>42511.857245370367</v>
      </c>
      <c r="J120" s="61">
        <v>0</v>
      </c>
      <c r="K120" s="61" t="str">
        <f t="shared" si="25"/>
        <v>4013/4014</v>
      </c>
      <c r="L120" s="61" t="str">
        <f>VLOOKUP(A120,'Trips&amp;Operators'!$C$1:$E$9999,3,FALSE)</f>
        <v>GOLIGHTLY</v>
      </c>
      <c r="M120" s="12">
        <f t="shared" si="26"/>
        <v>3.3958333333430346E-2</v>
      </c>
      <c r="N120" s="13">
        <f t="shared" si="33"/>
        <v>48.900000000139698</v>
      </c>
      <c r="O120" s="13"/>
      <c r="P120" s="13"/>
      <c r="Q120" s="62"/>
      <c r="R120" s="62"/>
      <c r="T12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19:42:46-0600',mode:absolute,to:'2016-05-21 20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0" s="74" t="str">
        <f t="shared" si="28"/>
        <v>N</v>
      </c>
      <c r="V120" s="74">
        <f t="shared" si="29"/>
        <v>1</v>
      </c>
      <c r="W120" s="74">
        <f t="shared" si="30"/>
        <v>23.298500000000001</v>
      </c>
      <c r="X120" s="74">
        <f t="shared" si="31"/>
        <v>1.38E-2</v>
      </c>
      <c r="Y120" s="74">
        <f t="shared" si="32"/>
        <v>23.284700000000001</v>
      </c>
      <c r="Z120" s="75" t="e">
        <f>VLOOKUP(A120,Enforcements!$C$3:$J$56,8,0)</f>
        <v>#N/A</v>
      </c>
      <c r="AA120" s="75" t="e">
        <f>VLOOKUP(A120,Enforcements!$C$3:$J$56,3,0)</f>
        <v>#N/A</v>
      </c>
    </row>
    <row r="121" spans="1:27" s="2" customFormat="1" x14ac:dyDescent="0.25">
      <c r="A121" s="61" t="s">
        <v>532</v>
      </c>
      <c r="B121" s="61">
        <v>4025</v>
      </c>
      <c r="C121" s="61" t="s">
        <v>66</v>
      </c>
      <c r="D121" s="61" t="s">
        <v>329</v>
      </c>
      <c r="E121" s="30">
        <v>42511.808969907404</v>
      </c>
      <c r="F121" s="30">
        <v>42511.809675925928</v>
      </c>
      <c r="G121" s="38">
        <v>1</v>
      </c>
      <c r="H121" s="30" t="s">
        <v>533</v>
      </c>
      <c r="I121" s="30">
        <v>42511.838946759257</v>
      </c>
      <c r="J121" s="61">
        <v>0</v>
      </c>
      <c r="K121" s="61" t="str">
        <f t="shared" si="25"/>
        <v>4025/4026</v>
      </c>
      <c r="L121" s="61" t="str">
        <f>VLOOKUP(A121,'Trips&amp;Operators'!$C$1:$E$9999,3,FALSE)</f>
        <v>LEVERE</v>
      </c>
      <c r="M121" s="12">
        <f t="shared" si="26"/>
        <v>2.9270833329064772E-2</v>
      </c>
      <c r="N121" s="13">
        <f t="shared" si="33"/>
        <v>42.149999993853271</v>
      </c>
      <c r="O121" s="13"/>
      <c r="P121" s="13"/>
      <c r="Q121" s="62"/>
      <c r="R121" s="62"/>
      <c r="T12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19:23:55-0600',mode:absolute,to:'2016-05-21 20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1" s="74" t="str">
        <f t="shared" si="28"/>
        <v>N</v>
      </c>
      <c r="V121" s="74">
        <f t="shared" si="29"/>
        <v>1</v>
      </c>
      <c r="W121" s="74">
        <f t="shared" si="30"/>
        <v>4.82E-2</v>
      </c>
      <c r="X121" s="74">
        <f t="shared" si="31"/>
        <v>23.328099999999999</v>
      </c>
      <c r="Y121" s="74">
        <f t="shared" si="32"/>
        <v>23.279899999999998</v>
      </c>
      <c r="Z121" s="75" t="e">
        <f>VLOOKUP(A121,Enforcements!$C$3:$J$56,8,0)</f>
        <v>#N/A</v>
      </c>
      <c r="AA121" s="75" t="e">
        <f>VLOOKUP(A121,Enforcements!$C$3:$J$56,3,0)</f>
        <v>#N/A</v>
      </c>
    </row>
    <row r="122" spans="1:27" s="2" customFormat="1" x14ac:dyDescent="0.25">
      <c r="A122" s="61" t="s">
        <v>534</v>
      </c>
      <c r="B122" s="61">
        <v>4026</v>
      </c>
      <c r="C122" s="61" t="s">
        <v>66</v>
      </c>
      <c r="D122" s="61" t="s">
        <v>319</v>
      </c>
      <c r="E122" s="30">
        <v>42511.845462962963</v>
      </c>
      <c r="F122" s="30">
        <v>42511.846446759257</v>
      </c>
      <c r="G122" s="38">
        <v>1</v>
      </c>
      <c r="H122" s="30" t="s">
        <v>535</v>
      </c>
      <c r="I122" s="30">
        <v>42511.881342592591</v>
      </c>
      <c r="J122" s="61">
        <v>0</v>
      </c>
      <c r="K122" s="61" t="str">
        <f t="shared" si="25"/>
        <v>4025/4026</v>
      </c>
      <c r="L122" s="61" t="str">
        <f>VLOOKUP(A122,'Trips&amp;Operators'!$C$1:$E$9999,3,FALSE)</f>
        <v>LEVERE</v>
      </c>
      <c r="M122" s="12">
        <f t="shared" si="26"/>
        <v>3.4895833334303461E-2</v>
      </c>
      <c r="N122" s="13">
        <f t="shared" si="33"/>
        <v>50.250000001396984</v>
      </c>
      <c r="O122" s="13"/>
      <c r="P122" s="13"/>
      <c r="Q122" s="62"/>
      <c r="R122" s="62"/>
      <c r="T12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20:16:28-0600',mode:absolute,to:'2016-05-21 21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2" s="74" t="str">
        <f t="shared" si="28"/>
        <v>N</v>
      </c>
      <c r="V122" s="74">
        <f t="shared" si="29"/>
        <v>1</v>
      </c>
      <c r="W122" s="74">
        <f t="shared" si="30"/>
        <v>23.295500000000001</v>
      </c>
      <c r="X122" s="74">
        <f t="shared" si="31"/>
        <v>1.9099999999999999E-2</v>
      </c>
      <c r="Y122" s="74">
        <f t="shared" si="32"/>
        <v>23.276399999999999</v>
      </c>
      <c r="Z122" s="75" t="e">
        <f>VLOOKUP(A122,Enforcements!$C$3:$J$56,8,0)</f>
        <v>#N/A</v>
      </c>
      <c r="AA122" s="75" t="e">
        <f>VLOOKUP(A122,Enforcements!$C$3:$J$56,3,0)</f>
        <v>#N/A</v>
      </c>
    </row>
    <row r="123" spans="1:27" s="2" customFormat="1" x14ac:dyDescent="0.25">
      <c r="A123" s="61" t="s">
        <v>536</v>
      </c>
      <c r="B123" s="61">
        <v>4024</v>
      </c>
      <c r="C123" s="61" t="s">
        <v>66</v>
      </c>
      <c r="D123" s="61" t="s">
        <v>329</v>
      </c>
      <c r="E123" s="30">
        <v>42511.8278125</v>
      </c>
      <c r="F123" s="30">
        <v>42511.829259259262</v>
      </c>
      <c r="G123" s="38">
        <v>2</v>
      </c>
      <c r="H123" s="30" t="s">
        <v>513</v>
      </c>
      <c r="I123" s="30">
        <v>42511.858611111114</v>
      </c>
      <c r="J123" s="61">
        <v>0</v>
      </c>
      <c r="K123" s="61" t="str">
        <f t="shared" si="25"/>
        <v>4023/4024</v>
      </c>
      <c r="L123" s="61" t="str">
        <f>VLOOKUP(A123,'Trips&amp;Operators'!$C$1:$E$9999,3,FALSE)</f>
        <v>GOODNIGHT</v>
      </c>
      <c r="M123" s="12">
        <f t="shared" si="26"/>
        <v>2.9351851851970423E-2</v>
      </c>
      <c r="N123" s="13">
        <f t="shared" si="33"/>
        <v>42.266666666837409</v>
      </c>
      <c r="O123" s="13"/>
      <c r="P123" s="13"/>
      <c r="Q123" s="62"/>
      <c r="R123" s="62"/>
      <c r="T12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19:51:03-0600',mode:absolute,to:'2016-05-21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4" t="str">
        <f t="shared" si="28"/>
        <v>N</v>
      </c>
      <c r="V123" s="74">
        <f t="shared" si="29"/>
        <v>1</v>
      </c>
      <c r="W123" s="74">
        <f t="shared" si="30"/>
        <v>4.82E-2</v>
      </c>
      <c r="X123" s="74">
        <f t="shared" si="31"/>
        <v>23.331900000000001</v>
      </c>
      <c r="Y123" s="74">
        <f t="shared" si="32"/>
        <v>23.2837</v>
      </c>
      <c r="Z123" s="75" t="e">
        <f>VLOOKUP(A123,Enforcements!$C$3:$J$56,8,0)</f>
        <v>#N/A</v>
      </c>
      <c r="AA123" s="75" t="e">
        <f>VLOOKUP(A123,Enforcements!$C$3:$J$56,3,0)</f>
        <v>#N/A</v>
      </c>
    </row>
    <row r="124" spans="1:27" s="2" customFormat="1" x14ac:dyDescent="0.25">
      <c r="A124" s="61" t="s">
        <v>537</v>
      </c>
      <c r="B124" s="61">
        <v>4023</v>
      </c>
      <c r="C124" s="61" t="s">
        <v>66</v>
      </c>
      <c r="D124" s="61" t="s">
        <v>538</v>
      </c>
      <c r="E124" s="30">
        <v>42511.867083333331</v>
      </c>
      <c r="F124" s="30">
        <v>42511.867893518516</v>
      </c>
      <c r="G124" s="38">
        <v>1</v>
      </c>
      <c r="H124" s="30" t="s">
        <v>94</v>
      </c>
      <c r="I124" s="30">
        <v>42511.898888888885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GOODNIGHT</v>
      </c>
      <c r="M124" s="12">
        <f t="shared" si="26"/>
        <v>3.0995370369055308E-2</v>
      </c>
      <c r="N124" s="13">
        <f t="shared" si="33"/>
        <v>44.633333331439644</v>
      </c>
      <c r="O124" s="13"/>
      <c r="P124" s="13"/>
      <c r="Q124" s="62"/>
      <c r="R124" s="62"/>
      <c r="T12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20:47:36-0600',mode:absolute,to:'2016-05-21 21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8"/>
        <v>N</v>
      </c>
      <c r="V124" s="74">
        <f t="shared" si="29"/>
        <v>1</v>
      </c>
      <c r="W124" s="74">
        <f t="shared" si="30"/>
        <v>23.301300000000001</v>
      </c>
      <c r="X124" s="74">
        <f t="shared" si="31"/>
        <v>1.4999999999999999E-2</v>
      </c>
      <c r="Y124" s="74">
        <f t="shared" si="32"/>
        <v>23.286300000000001</v>
      </c>
      <c r="Z124" s="75" t="e">
        <f>VLOOKUP(A124,Enforcements!$C$3:$J$56,8,0)</f>
        <v>#N/A</v>
      </c>
      <c r="AA124" s="75" t="e">
        <f>VLOOKUP(A124,Enforcements!$C$3:$J$56,3,0)</f>
        <v>#N/A</v>
      </c>
    </row>
    <row r="125" spans="1:27" s="2" customFormat="1" x14ac:dyDescent="0.25">
      <c r="A125" s="61" t="s">
        <v>539</v>
      </c>
      <c r="B125" s="61">
        <v>4044</v>
      </c>
      <c r="C125" s="61" t="s">
        <v>66</v>
      </c>
      <c r="D125" s="61" t="s">
        <v>108</v>
      </c>
      <c r="E125" s="30">
        <v>42511.84957175926</v>
      </c>
      <c r="F125" s="30">
        <v>42511.850474537037</v>
      </c>
      <c r="G125" s="38">
        <v>1</v>
      </c>
      <c r="H125" s="30" t="s">
        <v>328</v>
      </c>
      <c r="I125" s="30">
        <v>42511.879537037035</v>
      </c>
      <c r="J125" s="61">
        <v>0</v>
      </c>
      <c r="K125" s="61" t="str">
        <f t="shared" si="25"/>
        <v>4043/4044</v>
      </c>
      <c r="L125" s="61" t="str">
        <f>VLOOKUP(A125,'Trips&amp;Operators'!$C$1:$E$9999,3,FALSE)</f>
        <v>GRASTON</v>
      </c>
      <c r="M125" s="12">
        <f t="shared" si="26"/>
        <v>2.9062499997962732E-2</v>
      </c>
      <c r="N125" s="13">
        <f t="shared" si="33"/>
        <v>41.849999997066334</v>
      </c>
      <c r="O125" s="13"/>
      <c r="P125" s="13"/>
      <c r="Q125" s="62"/>
      <c r="R125" s="62"/>
      <c r="T12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20:22:23-0600',mode:absolute,to:'2016-05-21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5" s="74" t="str">
        <f t="shared" si="28"/>
        <v>N</v>
      </c>
      <c r="V125" s="74">
        <f t="shared" si="29"/>
        <v>1</v>
      </c>
      <c r="W125" s="74">
        <f t="shared" si="30"/>
        <v>4.6899999999999997E-2</v>
      </c>
      <c r="X125" s="74">
        <f t="shared" si="31"/>
        <v>23.329699999999999</v>
      </c>
      <c r="Y125" s="74">
        <f t="shared" si="32"/>
        <v>23.282799999999998</v>
      </c>
      <c r="Z125" s="75" t="e">
        <f>VLOOKUP(A125,Enforcements!$C$3:$J$56,8,0)</f>
        <v>#N/A</v>
      </c>
      <c r="AA125" s="75" t="e">
        <f>VLOOKUP(A125,Enforcements!$C$3:$J$56,3,0)</f>
        <v>#N/A</v>
      </c>
    </row>
    <row r="126" spans="1:27" s="2" customFormat="1" x14ac:dyDescent="0.25">
      <c r="A126" s="61" t="s">
        <v>540</v>
      </c>
      <c r="B126" s="61">
        <v>4043</v>
      </c>
      <c r="C126" s="61" t="s">
        <v>66</v>
      </c>
      <c r="D126" s="61" t="s">
        <v>151</v>
      </c>
      <c r="E126" s="30">
        <v>42511.889374999999</v>
      </c>
      <c r="F126" s="30">
        <v>42511.890185185184</v>
      </c>
      <c r="G126" s="38">
        <v>1</v>
      </c>
      <c r="H126" s="30" t="s">
        <v>126</v>
      </c>
      <c r="I126" s="30">
        <v>42511.920092592591</v>
      </c>
      <c r="J126" s="61">
        <v>0</v>
      </c>
      <c r="K126" s="61" t="str">
        <f t="shared" si="25"/>
        <v>4043/4044</v>
      </c>
      <c r="L126" s="61" t="str">
        <f>VLOOKUP(A126,'Trips&amp;Operators'!$C$1:$E$9999,3,FALSE)</f>
        <v>GRASTON</v>
      </c>
      <c r="M126" s="12">
        <f t="shared" si="26"/>
        <v>2.9907407406426501E-2</v>
      </c>
      <c r="N126" s="13">
        <f t="shared" si="33"/>
        <v>43.066666665254161</v>
      </c>
      <c r="O126" s="13"/>
      <c r="P126" s="13"/>
      <c r="Q126" s="62"/>
      <c r="R126" s="62"/>
      <c r="T12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21:19:42-0600',mode:absolute,to:'2016-05-21 22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6" s="74" t="str">
        <f t="shared" si="28"/>
        <v>N</v>
      </c>
      <c r="V126" s="74">
        <f t="shared" si="29"/>
        <v>1</v>
      </c>
      <c r="W126" s="74">
        <f t="shared" si="30"/>
        <v>23.297699999999999</v>
      </c>
      <c r="X126" s="74">
        <f t="shared" si="31"/>
        <v>1.6E-2</v>
      </c>
      <c r="Y126" s="74">
        <f t="shared" si="32"/>
        <v>23.281700000000001</v>
      </c>
      <c r="Z126" s="75" t="e">
        <f>VLOOKUP(A126,Enforcements!$C$3:$J$56,8,0)</f>
        <v>#N/A</v>
      </c>
      <c r="AA126" s="75" t="e">
        <f>VLOOKUP(A126,Enforcements!$C$3:$J$56,3,0)</f>
        <v>#N/A</v>
      </c>
    </row>
    <row r="127" spans="1:27" s="2" customFormat="1" x14ac:dyDescent="0.25">
      <c r="A127" s="61" t="s">
        <v>541</v>
      </c>
      <c r="B127" s="61">
        <v>4014</v>
      </c>
      <c r="C127" s="61" t="s">
        <v>66</v>
      </c>
      <c r="D127" s="61" t="s">
        <v>83</v>
      </c>
      <c r="E127" s="30">
        <v>42511.864675925928</v>
      </c>
      <c r="F127" s="30">
        <v>42511.865682870368</v>
      </c>
      <c r="G127" s="38">
        <v>1</v>
      </c>
      <c r="H127" s="30" t="s">
        <v>464</v>
      </c>
      <c r="I127" s="30">
        <v>42511.900601851848</v>
      </c>
      <c r="J127" s="61">
        <v>0</v>
      </c>
      <c r="K127" s="61" t="str">
        <f t="shared" si="25"/>
        <v>4013/4014</v>
      </c>
      <c r="L127" s="61" t="str">
        <f>VLOOKUP(A127,'Trips&amp;Operators'!$C$1:$E$9999,3,FALSE)</f>
        <v>GOLIGHTLY</v>
      </c>
      <c r="M127" s="12">
        <f t="shared" si="26"/>
        <v>3.4918981480586808E-2</v>
      </c>
      <c r="N127" s="13">
        <f t="shared" si="33"/>
        <v>50.283333332045004</v>
      </c>
      <c r="O127" s="13"/>
      <c r="P127" s="13"/>
      <c r="Q127" s="62"/>
      <c r="R127" s="62"/>
      <c r="T12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20:44:08-0600',mode:absolute,to:'2016-05-21 21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4" t="str">
        <f t="shared" si="28"/>
        <v>N</v>
      </c>
      <c r="V127" s="74">
        <f t="shared" si="29"/>
        <v>1</v>
      </c>
      <c r="W127" s="74">
        <f t="shared" si="30"/>
        <v>4.4600000000000001E-2</v>
      </c>
      <c r="X127" s="74">
        <f t="shared" si="31"/>
        <v>23.332100000000001</v>
      </c>
      <c r="Y127" s="74">
        <f t="shared" si="32"/>
        <v>23.287500000000001</v>
      </c>
      <c r="Z127" s="75" t="e">
        <f>VLOOKUP(A127,Enforcements!$C$3:$J$56,8,0)</f>
        <v>#N/A</v>
      </c>
      <c r="AA127" s="75" t="e">
        <f>VLOOKUP(A127,Enforcements!$C$3:$J$56,3,0)</f>
        <v>#N/A</v>
      </c>
    </row>
    <row r="128" spans="1:27" s="2" customFormat="1" x14ac:dyDescent="0.25">
      <c r="A128" s="61" t="s">
        <v>542</v>
      </c>
      <c r="B128" s="61">
        <v>4013</v>
      </c>
      <c r="C128" s="61" t="s">
        <v>66</v>
      </c>
      <c r="D128" s="61" t="s">
        <v>73</v>
      </c>
      <c r="E128" s="30">
        <v>42511.905844907407</v>
      </c>
      <c r="F128" s="30">
        <v>42511.906747685185</v>
      </c>
      <c r="G128" s="38">
        <v>1</v>
      </c>
      <c r="H128" s="30" t="s">
        <v>126</v>
      </c>
      <c r="I128" s="30">
        <v>42511.94462962963</v>
      </c>
      <c r="J128" s="61">
        <v>0</v>
      </c>
      <c r="K128" s="61" t="str">
        <f t="shared" si="25"/>
        <v>4013/4014</v>
      </c>
      <c r="L128" s="61" t="str">
        <f>VLOOKUP(A128,'Trips&amp;Operators'!$C$1:$E$9999,3,FALSE)</f>
        <v>GOLIGHTLY</v>
      </c>
      <c r="M128" s="12">
        <f t="shared" si="26"/>
        <v>3.7881944444961846E-2</v>
      </c>
      <c r="N128" s="13">
        <f t="shared" si="33"/>
        <v>54.550000000745058</v>
      </c>
      <c r="O128" s="13"/>
      <c r="P128" s="13"/>
      <c r="Q128" s="62"/>
      <c r="R128" s="62"/>
      <c r="T12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21:43:25-0600',mode:absolute,to:'2016-05-21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4" t="str">
        <f t="shared" si="28"/>
        <v>N</v>
      </c>
      <c r="V128" s="74">
        <f t="shared" si="29"/>
        <v>1</v>
      </c>
      <c r="W128" s="74">
        <f t="shared" si="30"/>
        <v>23.2989</v>
      </c>
      <c r="X128" s="74">
        <f t="shared" si="31"/>
        <v>1.6E-2</v>
      </c>
      <c r="Y128" s="74">
        <f t="shared" si="32"/>
        <v>23.282900000000001</v>
      </c>
      <c r="Z128" s="75" t="e">
        <f>VLOOKUP(A128,Enforcements!$C$3:$J$56,8,0)</f>
        <v>#N/A</v>
      </c>
      <c r="AA128" s="75" t="e">
        <f>VLOOKUP(A128,Enforcements!$C$3:$J$56,3,0)</f>
        <v>#N/A</v>
      </c>
    </row>
    <row r="129" spans="1:27" s="2" customFormat="1" x14ac:dyDescent="0.25">
      <c r="A129" s="61" t="s">
        <v>543</v>
      </c>
      <c r="B129" s="61">
        <v>4025</v>
      </c>
      <c r="C129" s="61" t="s">
        <v>66</v>
      </c>
      <c r="D129" s="61" t="s">
        <v>544</v>
      </c>
      <c r="E129" s="30">
        <v>42511.887361111112</v>
      </c>
      <c r="F129" s="30">
        <v>42511.888252314813</v>
      </c>
      <c r="G129" s="38">
        <v>1</v>
      </c>
      <c r="H129" s="30" t="s">
        <v>533</v>
      </c>
      <c r="I129" s="30">
        <v>42511.92596064815</v>
      </c>
      <c r="J129" s="61">
        <v>0</v>
      </c>
      <c r="K129" s="61" t="str">
        <f t="shared" si="25"/>
        <v>4025/4026</v>
      </c>
      <c r="L129" s="61" t="str">
        <f>VLOOKUP(A129,'Trips&amp;Operators'!$C$1:$E$9999,3,FALSE)</f>
        <v>LEVERE</v>
      </c>
      <c r="M129" s="12">
        <f t="shared" si="26"/>
        <v>3.7708333336922806E-2</v>
      </c>
      <c r="N129" s="13">
        <f t="shared" si="33"/>
        <v>54.30000000516884</v>
      </c>
      <c r="O129" s="13"/>
      <c r="P129" s="13"/>
      <c r="Q129" s="62"/>
      <c r="R129" s="62"/>
      <c r="T12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21:16:48-0600',mode:absolute,to:'2016-05-21 22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9" s="74" t="str">
        <f t="shared" si="28"/>
        <v>N</v>
      </c>
      <c r="V129" s="74">
        <f t="shared" si="29"/>
        <v>1</v>
      </c>
      <c r="W129" s="74">
        <f t="shared" si="30"/>
        <v>4.8000000000000001E-2</v>
      </c>
      <c r="X129" s="74">
        <f t="shared" si="31"/>
        <v>23.328099999999999</v>
      </c>
      <c r="Y129" s="74">
        <f t="shared" si="32"/>
        <v>23.280100000000001</v>
      </c>
      <c r="Z129" s="75" t="e">
        <f>VLOOKUP(A129,Enforcements!$C$3:$J$56,8,0)</f>
        <v>#N/A</v>
      </c>
      <c r="AA129" s="75" t="e">
        <f>VLOOKUP(A129,Enforcements!$C$3:$J$56,3,0)</f>
        <v>#N/A</v>
      </c>
    </row>
    <row r="130" spans="1:27" s="2" customFormat="1" x14ac:dyDescent="0.25">
      <c r="A130" s="61" t="s">
        <v>545</v>
      </c>
      <c r="B130" s="61">
        <v>4026</v>
      </c>
      <c r="C130" s="61" t="s">
        <v>66</v>
      </c>
      <c r="D130" s="61" t="s">
        <v>501</v>
      </c>
      <c r="E130" s="30">
        <v>42511.930277777778</v>
      </c>
      <c r="F130" s="30">
        <v>42511.931516203702</v>
      </c>
      <c r="G130" s="38">
        <v>1</v>
      </c>
      <c r="H130" s="30" t="s">
        <v>546</v>
      </c>
      <c r="I130" s="30">
        <v>42511.965543981481</v>
      </c>
      <c r="J130" s="61">
        <v>1</v>
      </c>
      <c r="K130" s="61" t="str">
        <f t="shared" si="25"/>
        <v>4025/4026</v>
      </c>
      <c r="L130" s="61" t="str">
        <f>VLOOKUP(A130,'Trips&amp;Operators'!$C$1:$E$9999,3,FALSE)</f>
        <v>LEVERE</v>
      </c>
      <c r="M130" s="12">
        <f t="shared" si="26"/>
        <v>3.4027777779556345E-2</v>
      </c>
      <c r="N130" s="13">
        <f t="shared" si="33"/>
        <v>49.000000002561137</v>
      </c>
      <c r="O130" s="13"/>
      <c r="P130" s="13"/>
      <c r="Q130" s="62"/>
      <c r="R130" s="62"/>
      <c r="T13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0" s="74" t="str">
        <f t="shared" si="28"/>
        <v>N</v>
      </c>
      <c r="V130" s="74">
        <f t="shared" si="29"/>
        <v>1</v>
      </c>
      <c r="W130" s="74">
        <f t="shared" si="30"/>
        <v>23.296399999999998</v>
      </c>
      <c r="X130" s="74">
        <f t="shared" si="31"/>
        <v>1.9599999999999999E-2</v>
      </c>
      <c r="Y130" s="74">
        <f t="shared" si="32"/>
        <v>23.276799999999998</v>
      </c>
      <c r="Z130" s="75">
        <f>VLOOKUP(A130,Enforcements!$C$3:$J$56,8,0)</f>
        <v>1</v>
      </c>
      <c r="AA130" s="75" t="str">
        <f>VLOOKUP(A130,Enforcements!$C$3:$J$56,3,0)</f>
        <v>TRACK WARRANT AUTHORITY</v>
      </c>
    </row>
    <row r="131" spans="1:27" s="2" customFormat="1" x14ac:dyDescent="0.25">
      <c r="A131" s="61" t="s">
        <v>547</v>
      </c>
      <c r="B131" s="61">
        <v>4024</v>
      </c>
      <c r="C131" s="61" t="s">
        <v>66</v>
      </c>
      <c r="D131" s="61" t="s">
        <v>548</v>
      </c>
      <c r="E131" s="30">
        <v>42511.910358796296</v>
      </c>
      <c r="F131" s="30">
        <v>42511.911481481482</v>
      </c>
      <c r="G131" s="38">
        <v>1</v>
      </c>
      <c r="H131" s="30" t="s">
        <v>68</v>
      </c>
      <c r="I131" s="30">
        <v>42511.944143518522</v>
      </c>
      <c r="J131" s="61">
        <v>1</v>
      </c>
      <c r="K131" s="61" t="str">
        <f t="shared" si="25"/>
        <v>4023/4024</v>
      </c>
      <c r="L131" s="61" t="str">
        <f>VLOOKUP(A131,'Trips&amp;Operators'!$C$1:$E$9999,3,FALSE)</f>
        <v>GOODNIGHT</v>
      </c>
      <c r="M131" s="12">
        <f t="shared" si="26"/>
        <v>3.2662037039699499E-2</v>
      </c>
      <c r="N131" s="13">
        <f t="shared" si="33"/>
        <v>47.033333337167278</v>
      </c>
      <c r="O131" s="13"/>
      <c r="P131" s="13"/>
      <c r="Q131" s="62"/>
      <c r="R131" s="62"/>
      <c r="T13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1" s="74" t="str">
        <f t="shared" si="28"/>
        <v>N</v>
      </c>
      <c r="V131" s="74">
        <f t="shared" si="29"/>
        <v>1</v>
      </c>
      <c r="W131" s="74">
        <f t="shared" si="30"/>
        <v>4.2599999999999999E-2</v>
      </c>
      <c r="X131" s="74">
        <f t="shared" si="31"/>
        <v>23.329499999999999</v>
      </c>
      <c r="Y131" s="74">
        <f t="shared" si="32"/>
        <v>23.286899999999999</v>
      </c>
      <c r="Z131" s="75">
        <f>VLOOKUP(A131,Enforcements!$C$3:$J$56,8,0)</f>
        <v>233491</v>
      </c>
      <c r="AA131" s="75" t="str">
        <f>VLOOKUP(A131,Enforcements!$C$3:$J$56,3,0)</f>
        <v>TRACK WARRANT AUTHORITY</v>
      </c>
    </row>
    <row r="132" spans="1:27" s="2" customFormat="1" x14ac:dyDescent="0.25">
      <c r="A132" s="61" t="s">
        <v>549</v>
      </c>
      <c r="B132" s="61">
        <v>4023</v>
      </c>
      <c r="C132" s="61" t="s">
        <v>66</v>
      </c>
      <c r="D132" s="61" t="s">
        <v>151</v>
      </c>
      <c r="E132" s="30">
        <v>42511.95212962963</v>
      </c>
      <c r="F132" s="30">
        <v>42511.953449074077</v>
      </c>
      <c r="G132" s="38">
        <v>1</v>
      </c>
      <c r="H132" s="30" t="s">
        <v>94</v>
      </c>
      <c r="I132" s="30">
        <v>42511.982627314814</v>
      </c>
      <c r="J132" s="61">
        <v>0</v>
      </c>
      <c r="K132" s="61" t="str">
        <f t="shared" si="25"/>
        <v>4023/4024</v>
      </c>
      <c r="L132" s="61" t="str">
        <f>VLOOKUP(A132,'Trips&amp;Operators'!$C$1:$E$9999,3,FALSE)</f>
        <v>GOODNIGHT</v>
      </c>
      <c r="M132" s="12">
        <f t="shared" si="26"/>
        <v>2.9178240736655425E-2</v>
      </c>
      <c r="N132" s="13">
        <f t="shared" si="33"/>
        <v>42.016666660783812</v>
      </c>
      <c r="O132" s="13"/>
      <c r="P132" s="13"/>
      <c r="Q132" s="62"/>
      <c r="R132" s="62"/>
      <c r="T13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22:50:04-0600',mode:absolute,to:'2016-05-21 23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2" s="74" t="str">
        <f t="shared" si="28"/>
        <v>N</v>
      </c>
      <c r="V132" s="74">
        <f t="shared" si="29"/>
        <v>1</v>
      </c>
      <c r="W132" s="74">
        <f t="shared" si="30"/>
        <v>23.297699999999999</v>
      </c>
      <c r="X132" s="74">
        <f t="shared" si="31"/>
        <v>1.4999999999999999E-2</v>
      </c>
      <c r="Y132" s="74">
        <f t="shared" si="32"/>
        <v>23.282699999999998</v>
      </c>
      <c r="Z132" s="75" t="e">
        <f>VLOOKUP(A132,Enforcements!$C$3:$J$56,8,0)</f>
        <v>#N/A</v>
      </c>
      <c r="AA132" s="75" t="e">
        <f>VLOOKUP(A132,Enforcements!$C$3:$J$56,3,0)</f>
        <v>#N/A</v>
      </c>
    </row>
    <row r="133" spans="1:27" s="2" customFormat="1" x14ac:dyDescent="0.25">
      <c r="A133" s="61" t="s">
        <v>550</v>
      </c>
      <c r="B133" s="61">
        <v>4044</v>
      </c>
      <c r="C133" s="61" t="s">
        <v>66</v>
      </c>
      <c r="D133" s="61" t="s">
        <v>107</v>
      </c>
      <c r="E133" s="30">
        <v>42511.932488425926</v>
      </c>
      <c r="F133" s="30">
        <v>42511.933333333334</v>
      </c>
      <c r="G133" s="38">
        <v>1</v>
      </c>
      <c r="H133" s="30" t="s">
        <v>162</v>
      </c>
      <c r="I133" s="30">
        <v>42511.964456018519</v>
      </c>
      <c r="J133" s="61">
        <v>1</v>
      </c>
      <c r="K133" s="61" t="str">
        <f t="shared" si="25"/>
        <v>4043/4044</v>
      </c>
      <c r="L133" s="61" t="str">
        <f>VLOOKUP(A133,'Trips&amp;Operators'!$C$1:$E$9999,3,FALSE)</f>
        <v>GRASTON</v>
      </c>
      <c r="M133" s="12">
        <f t="shared" si="26"/>
        <v>3.1122685184527654E-2</v>
      </c>
      <c r="N133" s="13">
        <f t="shared" si="33"/>
        <v>44.816666665719822</v>
      </c>
      <c r="O133" s="13"/>
      <c r="P133" s="13"/>
      <c r="Q133" s="62"/>
      <c r="R133" s="62"/>
      <c r="T13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4" t="str">
        <f t="shared" si="28"/>
        <v>N</v>
      </c>
      <c r="V133" s="74">
        <f t="shared" si="29"/>
        <v>1</v>
      </c>
      <c r="W133" s="74">
        <f t="shared" si="30"/>
        <v>4.58E-2</v>
      </c>
      <c r="X133" s="74">
        <f t="shared" si="31"/>
        <v>23.3291</v>
      </c>
      <c r="Y133" s="74">
        <f t="shared" si="32"/>
        <v>23.283300000000001</v>
      </c>
      <c r="Z133" s="75">
        <f>VLOOKUP(A133,Enforcements!$C$3:$J$56,8,0)</f>
        <v>232107</v>
      </c>
      <c r="AA133" s="75" t="str">
        <f>VLOOKUP(A133,Enforcements!$C$3:$J$56,3,0)</f>
        <v>PERMANENT SPEED RESTRICTION</v>
      </c>
    </row>
    <row r="134" spans="1:27" s="2" customFormat="1" x14ac:dyDescent="0.25">
      <c r="A134" s="61" t="s">
        <v>551</v>
      </c>
      <c r="B134" s="61">
        <v>4043</v>
      </c>
      <c r="C134" s="61" t="s">
        <v>66</v>
      </c>
      <c r="D134" s="61" t="s">
        <v>146</v>
      </c>
      <c r="E134" s="30">
        <v>42511.97415509259</v>
      </c>
      <c r="F134" s="30">
        <v>42511.975277777776</v>
      </c>
      <c r="G134" s="38">
        <v>1</v>
      </c>
      <c r="H134" s="30" t="s">
        <v>104</v>
      </c>
      <c r="I134" s="30">
        <v>42512.002939814818</v>
      </c>
      <c r="J134" s="61">
        <v>0</v>
      </c>
      <c r="K134" s="61" t="str">
        <f t="shared" si="25"/>
        <v>4043/4044</v>
      </c>
      <c r="L134" s="61" t="str">
        <f>VLOOKUP(A134,'Trips&amp;Operators'!$C$1:$E$9999,3,FALSE)</f>
        <v>GRASTON</v>
      </c>
      <c r="M134" s="12">
        <f t="shared" si="26"/>
        <v>2.7662037042318843E-2</v>
      </c>
      <c r="N134" s="13">
        <f t="shared" si="33"/>
        <v>39.833333340939134</v>
      </c>
      <c r="O134" s="13"/>
      <c r="P134" s="13"/>
      <c r="Q134" s="62"/>
      <c r="R134" s="62"/>
      <c r="T13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23:21:47-0600',mode:absolute,to:'2016-05-22 00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4" t="str">
        <f t="shared" si="28"/>
        <v>N</v>
      </c>
      <c r="V134" s="74">
        <f t="shared" si="29"/>
        <v>1</v>
      </c>
      <c r="W134" s="74">
        <f t="shared" si="30"/>
        <v>23.297899999999998</v>
      </c>
      <c r="X134" s="74">
        <f t="shared" si="31"/>
        <v>1.5800000000000002E-2</v>
      </c>
      <c r="Y134" s="74">
        <f t="shared" si="32"/>
        <v>23.2821</v>
      </c>
      <c r="Z134" s="75" t="e">
        <f>VLOOKUP(A134,Enforcements!$C$3:$J$56,8,0)</f>
        <v>#N/A</v>
      </c>
      <c r="AA134" s="75" t="e">
        <f>VLOOKUP(A134,Enforcements!$C$3:$J$56,3,0)</f>
        <v>#N/A</v>
      </c>
    </row>
    <row r="135" spans="1:27" s="2" customFormat="1" x14ac:dyDescent="0.25">
      <c r="A135" s="61" t="s">
        <v>552</v>
      </c>
      <c r="B135" s="61">
        <v>4014</v>
      </c>
      <c r="C135" s="61" t="s">
        <v>66</v>
      </c>
      <c r="D135" s="61" t="s">
        <v>105</v>
      </c>
      <c r="E135" s="30">
        <v>42511.948611111111</v>
      </c>
      <c r="F135" s="30">
        <v>42511.949467592596</v>
      </c>
      <c r="G135" s="38">
        <v>1</v>
      </c>
      <c r="H135" s="30" t="s">
        <v>67</v>
      </c>
      <c r="I135" s="30">
        <v>42511.983483796299</v>
      </c>
      <c r="J135" s="61">
        <v>0</v>
      </c>
      <c r="K135" s="61" t="str">
        <f t="shared" ref="K135:K145" si="34">IF(ISEVEN(B135),(B135-1)&amp;"/"&amp;B135,B135&amp;"/"&amp;(B135+1))</f>
        <v>4013/4014</v>
      </c>
      <c r="L135" s="61" t="str">
        <f>VLOOKUP(A135,'Trips&amp;Operators'!$C$1:$E$9999,3,FALSE)</f>
        <v>GOLIGHTLY</v>
      </c>
      <c r="M135" s="12">
        <f t="shared" ref="M135:M145" si="35">I135-F135</f>
        <v>3.4016203702776693E-2</v>
      </c>
      <c r="N135" s="13">
        <f t="shared" si="33"/>
        <v>48.983333331998438</v>
      </c>
      <c r="O135" s="13"/>
      <c r="P135" s="13"/>
      <c r="Q135" s="62"/>
      <c r="R135" s="62"/>
      <c r="T135" s="74" t="str">
        <f t="shared" ref="T135:T145" si="36"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https://search-rtdc-monitor-bjffxe2xuh6vdkpspy63sjmuny.us-east-1.es.amazonaws.com/_plugin/kibana/#/discover/Steve-Slow-Train-Analysis-(2080s-and-2083s)?_g=(refreshInterval:(display:Off,section:0,value:0),time:(from:'2016-05-21 22:45:00-0600',mode:absolute,to:'2016-05-21 23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5" s="74" t="str">
        <f t="shared" ref="U135:U145" si="37">IF(Y135&lt;23,"Y","N")</f>
        <v>N</v>
      </c>
      <c r="V135" s="74">
        <f t="shared" ref="V135:V145" si="38">VALUE(LEFT(A135,3))-VALUE(LEFT(A134,3))</f>
        <v>1</v>
      </c>
      <c r="W135" s="74">
        <f t="shared" ref="W135:W145" si="39">RIGHT(D135,LEN(D135)-4)/10000</f>
        <v>4.6699999999999998E-2</v>
      </c>
      <c r="X135" s="74">
        <f t="shared" ref="X135:X145" si="40">RIGHT(H135,LEN(H135)-4)/10000</f>
        <v>23.331</v>
      </c>
      <c r="Y135" s="74">
        <f t="shared" ref="Y135:Y145" si="41">ABS(X135-W135)</f>
        <v>23.284299999999998</v>
      </c>
      <c r="Z135" s="75" t="e">
        <f>VLOOKUP(A135,Enforcements!$C$3:$J$56,8,0)</f>
        <v>#N/A</v>
      </c>
      <c r="AA135" s="75" t="e">
        <f>VLOOKUP(A135,Enforcements!$C$3:$J$56,3,0)</f>
        <v>#N/A</v>
      </c>
    </row>
    <row r="136" spans="1:27" s="2" customFormat="1" x14ac:dyDescent="0.25">
      <c r="A136" s="61" t="s">
        <v>553</v>
      </c>
      <c r="B136" s="61">
        <v>4013</v>
      </c>
      <c r="C136" s="61" t="s">
        <v>66</v>
      </c>
      <c r="D136" s="61" t="s">
        <v>430</v>
      </c>
      <c r="E136" s="30">
        <v>42511.99287037037</v>
      </c>
      <c r="F136" s="30">
        <v>42511.994212962964</v>
      </c>
      <c r="G136" s="38">
        <v>1</v>
      </c>
      <c r="H136" s="30" t="s">
        <v>70</v>
      </c>
      <c r="I136" s="30">
        <v>42512.032812500001</v>
      </c>
      <c r="J136" s="61">
        <v>0</v>
      </c>
      <c r="K136" s="61" t="str">
        <f t="shared" si="34"/>
        <v>4013/4014</v>
      </c>
      <c r="L136" s="61" t="str">
        <f>VLOOKUP(A136,'Trips&amp;Operators'!$C$1:$E$9999,3,FALSE)</f>
        <v>GOLIGHTLY</v>
      </c>
      <c r="M136" s="12">
        <f t="shared" si="35"/>
        <v>3.8599537037953269E-2</v>
      </c>
      <c r="N136" s="13">
        <f t="shared" si="33"/>
        <v>55.583333334652707</v>
      </c>
      <c r="O136" s="13"/>
      <c r="P136" s="13"/>
      <c r="Q136" s="62"/>
      <c r="R136" s="62"/>
      <c r="T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23:48:44-0600',mode:absolute,to:'2016-05-22 00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6" s="74" t="str">
        <f t="shared" si="37"/>
        <v>N</v>
      </c>
      <c r="V136" s="74">
        <f t="shared" si="38"/>
        <v>1</v>
      </c>
      <c r="W136" s="74">
        <f t="shared" si="39"/>
        <v>23.298500000000001</v>
      </c>
      <c r="X136" s="74">
        <f t="shared" si="40"/>
        <v>1.5599999999999999E-2</v>
      </c>
      <c r="Y136" s="74">
        <f t="shared" si="41"/>
        <v>23.282900000000001</v>
      </c>
      <c r="Z136" s="75" t="e">
        <f>VLOOKUP(A136,Enforcements!$C$3:$J$56,8,0)</f>
        <v>#N/A</v>
      </c>
      <c r="AA136" s="75" t="e">
        <f>VLOOKUP(A136,Enforcements!$C$3:$J$56,3,0)</f>
        <v>#N/A</v>
      </c>
    </row>
    <row r="137" spans="1:27" s="2" customFormat="1" x14ac:dyDescent="0.25">
      <c r="A137" s="61" t="s">
        <v>554</v>
      </c>
      <c r="B137" s="61">
        <v>4025</v>
      </c>
      <c r="C137" s="61" t="s">
        <v>66</v>
      </c>
      <c r="D137" s="61" t="s">
        <v>555</v>
      </c>
      <c r="E137" s="30">
        <v>42511.971886574072</v>
      </c>
      <c r="F137" s="30">
        <v>42511.972743055558</v>
      </c>
      <c r="G137" s="38">
        <v>1</v>
      </c>
      <c r="H137" s="30" t="s">
        <v>556</v>
      </c>
      <c r="I137" s="30">
        <v>42511.986817129633</v>
      </c>
      <c r="J137" s="61">
        <v>0</v>
      </c>
      <c r="K137" s="61" t="str">
        <f t="shared" si="34"/>
        <v>4025/4026</v>
      </c>
      <c r="L137" s="61" t="str">
        <f>VLOOKUP(A137,'Trips&amp;Operators'!$C$1:$E$9999,3,FALSE)</f>
        <v>LEVERE</v>
      </c>
      <c r="M137" s="12">
        <f t="shared" si="35"/>
        <v>1.4074074075324461E-2</v>
      </c>
      <c r="N137" s="13"/>
      <c r="O137" s="13"/>
      <c r="P137" s="13">
        <f>24*60*SUM($M137:$M138)</f>
        <v>46.483333334326744</v>
      </c>
      <c r="Q137" s="62" t="s">
        <v>598</v>
      </c>
      <c r="R137" s="62" t="s">
        <v>599</v>
      </c>
      <c r="T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23:18:31-0600',mode:absolute,to:'2016-05-21 23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7" s="74" t="str">
        <f t="shared" si="37"/>
        <v>Y</v>
      </c>
      <c r="V137" s="74">
        <f t="shared" si="38"/>
        <v>1</v>
      </c>
      <c r="W137" s="74">
        <f t="shared" si="39"/>
        <v>5.28E-2</v>
      </c>
      <c r="X137" s="74">
        <f t="shared" si="40"/>
        <v>4.0091999999999999</v>
      </c>
      <c r="Y137" s="74">
        <f t="shared" si="41"/>
        <v>3.9563999999999999</v>
      </c>
      <c r="Z137" s="75" t="e">
        <f>VLOOKUP(A137,Enforcements!$C$3:$J$56,8,0)</f>
        <v>#N/A</v>
      </c>
      <c r="AA137" s="75" t="e">
        <f>VLOOKUP(A137,Enforcements!$C$3:$J$56,3,0)</f>
        <v>#N/A</v>
      </c>
    </row>
    <row r="138" spans="1:27" s="2" customFormat="1" x14ac:dyDescent="0.25">
      <c r="A138" s="61" t="s">
        <v>554</v>
      </c>
      <c r="B138" s="61">
        <v>4025</v>
      </c>
      <c r="C138" s="61" t="s">
        <v>66</v>
      </c>
      <c r="D138" s="61" t="s">
        <v>557</v>
      </c>
      <c r="E138" s="30">
        <v>42511.993773148148</v>
      </c>
      <c r="F138" s="30">
        <v>42511.99459490741</v>
      </c>
      <c r="G138" s="38">
        <v>1</v>
      </c>
      <c r="H138" s="30" t="s">
        <v>162</v>
      </c>
      <c r="I138" s="30">
        <v>42512.012800925928</v>
      </c>
      <c r="J138" s="61">
        <v>0</v>
      </c>
      <c r="K138" s="61" t="str">
        <f t="shared" si="34"/>
        <v>4025/4026</v>
      </c>
      <c r="L138" s="61" t="str">
        <f>VLOOKUP(A138,'Trips&amp;Operators'!$C$1:$E$9999,3,FALSE)</f>
        <v>LEVERE</v>
      </c>
      <c r="M138" s="12">
        <f t="shared" si="35"/>
        <v>1.8206018517958E-2</v>
      </c>
      <c r="N138" s="13"/>
      <c r="O138" s="13"/>
      <c r="P138" s="13"/>
      <c r="Q138" s="62"/>
      <c r="R138" s="62"/>
      <c r="T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23:50:02-0600',mode:absolute,to:'2016-05-22 00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8" s="74" t="str">
        <f t="shared" si="37"/>
        <v>Y</v>
      </c>
      <c r="V138" s="74">
        <f t="shared" si="38"/>
        <v>0</v>
      </c>
      <c r="W138" s="74">
        <f t="shared" si="39"/>
        <v>6.4702000000000002</v>
      </c>
      <c r="X138" s="74">
        <f t="shared" si="40"/>
        <v>23.3291</v>
      </c>
      <c r="Y138" s="74">
        <f t="shared" si="41"/>
        <v>16.858899999999998</v>
      </c>
      <c r="Z138" s="75" t="e">
        <f>VLOOKUP(A138,Enforcements!$C$3:$J$56,8,0)</f>
        <v>#N/A</v>
      </c>
      <c r="AA138" s="75" t="e">
        <f>VLOOKUP(A138,Enforcements!$C$3:$J$56,3,0)</f>
        <v>#N/A</v>
      </c>
    </row>
    <row r="139" spans="1:27" s="2" customFormat="1" x14ac:dyDescent="0.25">
      <c r="A139" s="61" t="s">
        <v>558</v>
      </c>
      <c r="B139" s="61">
        <v>4026</v>
      </c>
      <c r="C139" s="61" t="s">
        <v>66</v>
      </c>
      <c r="D139" s="61" t="s">
        <v>559</v>
      </c>
      <c r="E139" s="30">
        <v>42512.014756944445</v>
      </c>
      <c r="F139" s="30">
        <v>42512.015949074077</v>
      </c>
      <c r="G139" s="38">
        <v>1</v>
      </c>
      <c r="H139" s="30" t="s">
        <v>421</v>
      </c>
      <c r="I139" s="30">
        <v>42512.046666666669</v>
      </c>
      <c r="J139" s="61">
        <v>1</v>
      </c>
      <c r="K139" s="61" t="str">
        <f t="shared" si="34"/>
        <v>4025/4026</v>
      </c>
      <c r="L139" s="61" t="str">
        <f>VLOOKUP(A139,'Trips&amp;Operators'!$C$1:$E$9999,3,FALSE)</f>
        <v>LEVERE</v>
      </c>
      <c r="M139" s="12">
        <f t="shared" si="35"/>
        <v>3.071759259182727E-2</v>
      </c>
      <c r="N139" s="13">
        <f t="shared" si="33"/>
        <v>44.233333332231268</v>
      </c>
      <c r="O139" s="13"/>
      <c r="P139" s="13"/>
      <c r="Q139" s="62"/>
      <c r="R139" s="62"/>
      <c r="T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9" s="74" t="str">
        <f t="shared" si="37"/>
        <v>N</v>
      </c>
      <c r="V139" s="74">
        <f t="shared" si="38"/>
        <v>1</v>
      </c>
      <c r="W139" s="74">
        <f t="shared" si="39"/>
        <v>23.296600000000002</v>
      </c>
      <c r="X139" s="74">
        <f t="shared" si="40"/>
        <v>1.78E-2</v>
      </c>
      <c r="Y139" s="74">
        <f t="shared" si="41"/>
        <v>23.2788</v>
      </c>
      <c r="Z139" s="75">
        <f>VLOOKUP(A139,Enforcements!$C$3:$J$56,8,0)</f>
        <v>1</v>
      </c>
      <c r="AA139" s="75" t="str">
        <f>VLOOKUP(A139,Enforcements!$C$3:$J$56,3,0)</f>
        <v>TRACK WARRANT AUTHORITY</v>
      </c>
    </row>
    <row r="140" spans="1:27" s="2" customFormat="1" x14ac:dyDescent="0.25">
      <c r="A140" s="61" t="s">
        <v>560</v>
      </c>
      <c r="B140" s="61">
        <v>4024</v>
      </c>
      <c r="C140" s="61" t="s">
        <v>66</v>
      </c>
      <c r="D140" s="61" t="s">
        <v>85</v>
      </c>
      <c r="E140" s="30">
        <v>42511.997048611112</v>
      </c>
      <c r="F140" s="30">
        <v>42511.998391203706</v>
      </c>
      <c r="G140" s="38">
        <v>1</v>
      </c>
      <c r="H140" s="30" t="s">
        <v>442</v>
      </c>
      <c r="I140" s="30">
        <v>42512.025451388887</v>
      </c>
      <c r="J140" s="61">
        <v>0</v>
      </c>
      <c r="K140" s="61" t="str">
        <f t="shared" si="34"/>
        <v>4023/4024</v>
      </c>
      <c r="L140" s="61" t="str">
        <f>VLOOKUP(A140,'Trips&amp;Operators'!$C$1:$E$9999,3,FALSE)</f>
        <v>GOODNIGHT</v>
      </c>
      <c r="M140" s="12">
        <f t="shared" si="35"/>
        <v>2.7060185180744156E-2</v>
      </c>
      <c r="N140" s="13">
        <f t="shared" si="33"/>
        <v>38.966666660271585</v>
      </c>
      <c r="O140" s="13"/>
      <c r="P140" s="13"/>
      <c r="Q140" s="62"/>
      <c r="R140" s="62"/>
      <c r="T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23:54:45-0600',mode:absolute,to:'2016-05-22 00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0" s="74" t="str">
        <f t="shared" si="37"/>
        <v>N</v>
      </c>
      <c r="V140" s="74">
        <f t="shared" si="38"/>
        <v>1</v>
      </c>
      <c r="W140" s="74">
        <f t="shared" si="39"/>
        <v>4.6399999999999997E-2</v>
      </c>
      <c r="X140" s="74">
        <f t="shared" si="40"/>
        <v>23.331199999999999</v>
      </c>
      <c r="Y140" s="74">
        <f t="shared" si="41"/>
        <v>23.284800000000001</v>
      </c>
      <c r="Z140" s="75" t="e">
        <f>VLOOKUP(A140,Enforcements!$C$3:$J$56,8,0)</f>
        <v>#N/A</v>
      </c>
      <c r="AA140" s="75" t="e">
        <f>VLOOKUP(A140,Enforcements!$C$3:$J$56,3,0)</f>
        <v>#N/A</v>
      </c>
    </row>
    <row r="141" spans="1:27" s="2" customFormat="1" x14ac:dyDescent="0.25">
      <c r="A141" s="61" t="s">
        <v>561</v>
      </c>
      <c r="B141" s="61">
        <v>4023</v>
      </c>
      <c r="C141" s="61" t="s">
        <v>66</v>
      </c>
      <c r="D141" s="61" t="s">
        <v>125</v>
      </c>
      <c r="E141" s="30">
        <v>42512.033912037034</v>
      </c>
      <c r="F141" s="30">
        <v>42512.03466435185</v>
      </c>
      <c r="G141" s="38">
        <v>1</v>
      </c>
      <c r="H141" s="30" t="s">
        <v>562</v>
      </c>
      <c r="I141" s="30">
        <v>42512.064722222225</v>
      </c>
      <c r="J141" s="61">
        <v>1</v>
      </c>
      <c r="K141" s="61" t="str">
        <f t="shared" si="34"/>
        <v>4023/4024</v>
      </c>
      <c r="L141" s="61" t="str">
        <f>VLOOKUP(A141,'Trips&amp;Operators'!$C$1:$E$9999,3,FALSE)</f>
        <v>GOODNIGHT</v>
      </c>
      <c r="M141" s="12">
        <f t="shared" si="35"/>
        <v>3.0057870375458151E-2</v>
      </c>
      <c r="N141" s="13">
        <f t="shared" si="33"/>
        <v>43.283333340659738</v>
      </c>
      <c r="O141" s="13"/>
      <c r="P141" s="13"/>
      <c r="Q141" s="62"/>
      <c r="R141" s="62"/>
      <c r="T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1" s="74" t="str">
        <f t="shared" si="37"/>
        <v>N</v>
      </c>
      <c r="V141" s="74">
        <f t="shared" si="38"/>
        <v>1</v>
      </c>
      <c r="W141" s="74">
        <f t="shared" si="39"/>
        <v>23.299600000000002</v>
      </c>
      <c r="X141" s="74">
        <f t="shared" si="40"/>
        <v>1.7000000000000001E-2</v>
      </c>
      <c r="Y141" s="74">
        <f t="shared" si="41"/>
        <v>23.282600000000002</v>
      </c>
      <c r="Z141" s="75">
        <f>VLOOKUP(A141,Enforcements!$C$3:$J$56,8,0)</f>
        <v>1</v>
      </c>
      <c r="AA141" s="75" t="str">
        <f>VLOOKUP(A141,Enforcements!$C$3:$J$56,3,0)</f>
        <v>TRACK WARRANT AUTHORITY</v>
      </c>
    </row>
    <row r="142" spans="1:27" s="2" customFormat="1" x14ac:dyDescent="0.25">
      <c r="A142" s="61" t="s">
        <v>563</v>
      </c>
      <c r="B142" s="61">
        <v>4044</v>
      </c>
      <c r="C142" s="61" t="s">
        <v>66</v>
      </c>
      <c r="D142" s="61" t="s">
        <v>127</v>
      </c>
      <c r="E142" s="30">
        <v>42512.016550925924</v>
      </c>
      <c r="F142" s="30">
        <v>42512.01761574074</v>
      </c>
      <c r="G142" s="38">
        <v>1</v>
      </c>
      <c r="H142" s="30" t="s">
        <v>152</v>
      </c>
      <c r="I142" s="30">
        <v>42512.046747685185</v>
      </c>
      <c r="J142" s="61">
        <v>0</v>
      </c>
      <c r="K142" s="61" t="str">
        <f t="shared" si="34"/>
        <v>4043/4044</v>
      </c>
      <c r="L142" s="61" t="str">
        <f>VLOOKUP(A142,'Trips&amp;Operators'!$C$1:$E$9999,3,FALSE)</f>
        <v>GRASTON</v>
      </c>
      <c r="M142" s="12">
        <f t="shared" si="35"/>
        <v>2.9131944444088731E-2</v>
      </c>
      <c r="N142" s="13">
        <f t="shared" si="33"/>
        <v>41.949999999487773</v>
      </c>
      <c r="O142" s="13"/>
      <c r="P142" s="13"/>
      <c r="Q142" s="62"/>
      <c r="R142" s="62"/>
      <c r="T14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00:22:50-0600',mode:absolute,to:'2016-05-22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2" s="74" t="str">
        <f t="shared" si="37"/>
        <v>N</v>
      </c>
      <c r="V142" s="74">
        <f t="shared" si="38"/>
        <v>1</v>
      </c>
      <c r="W142" s="74">
        <f t="shared" si="39"/>
        <v>4.5999999999999999E-2</v>
      </c>
      <c r="X142" s="74">
        <f t="shared" si="40"/>
        <v>23.330400000000001</v>
      </c>
      <c r="Y142" s="74">
        <f t="shared" si="41"/>
        <v>23.284400000000002</v>
      </c>
      <c r="Z142" s="75" t="e">
        <f>VLOOKUP(A142,Enforcements!$C$3:$J$56,8,0)</f>
        <v>#N/A</v>
      </c>
      <c r="AA142" s="75" t="e">
        <f>VLOOKUP(A142,Enforcements!$C$3:$J$56,3,0)</f>
        <v>#N/A</v>
      </c>
    </row>
    <row r="143" spans="1:27" s="2" customFormat="1" x14ac:dyDescent="0.25">
      <c r="A143" s="61" t="s">
        <v>564</v>
      </c>
      <c r="B143" s="61">
        <v>4043</v>
      </c>
      <c r="C143" s="61" t="s">
        <v>66</v>
      </c>
      <c r="D143" s="61" t="s">
        <v>146</v>
      </c>
      <c r="E143" s="30">
        <v>42512.058263888888</v>
      </c>
      <c r="F143" s="30">
        <v>42512.058958333335</v>
      </c>
      <c r="G143" s="38">
        <v>0</v>
      </c>
      <c r="H143" s="30" t="s">
        <v>320</v>
      </c>
      <c r="I143" s="30">
        <v>42512.08662037037</v>
      </c>
      <c r="J143" s="61">
        <v>0</v>
      </c>
      <c r="K143" s="61" t="str">
        <f t="shared" si="34"/>
        <v>4043/4044</v>
      </c>
      <c r="L143" s="61" t="str">
        <f>VLOOKUP(A143,'Trips&amp;Operators'!$C$1:$E$9999,3,FALSE)</f>
        <v>GRASTON</v>
      </c>
      <c r="M143" s="12">
        <f t="shared" si="35"/>
        <v>2.7662037035042886E-2</v>
      </c>
      <c r="N143" s="13">
        <f t="shared" si="33"/>
        <v>39.833333330461755</v>
      </c>
      <c r="O143" s="13"/>
      <c r="P143" s="13"/>
      <c r="Q143" s="62"/>
      <c r="R143" s="62"/>
      <c r="T14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01:22:54-0600',mode:absolute,to:'2016-05-22 02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3" s="74" t="str">
        <f t="shared" si="37"/>
        <v>N</v>
      </c>
      <c r="V143" s="74">
        <f t="shared" si="38"/>
        <v>1</v>
      </c>
      <c r="W143" s="74">
        <f t="shared" si="39"/>
        <v>23.297899999999998</v>
      </c>
      <c r="X143" s="74">
        <f t="shared" si="40"/>
        <v>1.6899999999999998E-2</v>
      </c>
      <c r="Y143" s="74">
        <f t="shared" si="41"/>
        <v>23.280999999999999</v>
      </c>
      <c r="Z143" s="75" t="e">
        <f>VLOOKUP(A143,Enforcements!$C$3:$J$56,8,0)</f>
        <v>#N/A</v>
      </c>
      <c r="AA143" s="75" t="e">
        <f>VLOOKUP(A143,Enforcements!$C$3:$J$56,3,0)</f>
        <v>#N/A</v>
      </c>
    </row>
    <row r="144" spans="1:27" s="2" customFormat="1" x14ac:dyDescent="0.25">
      <c r="A144" s="61" t="s">
        <v>565</v>
      </c>
      <c r="B144" s="61">
        <v>4014</v>
      </c>
      <c r="C144" s="61" t="s">
        <v>66</v>
      </c>
      <c r="D144" s="61" t="s">
        <v>165</v>
      </c>
      <c r="E144" s="30">
        <v>42512.037060185183</v>
      </c>
      <c r="F144" s="30">
        <v>42512.038055555553</v>
      </c>
      <c r="G144" s="38">
        <v>1</v>
      </c>
      <c r="H144" s="30" t="s">
        <v>152</v>
      </c>
      <c r="I144" s="30">
        <v>42512.066655092596</v>
      </c>
      <c r="J144" s="61">
        <v>1</v>
      </c>
      <c r="K144" s="61" t="str">
        <f t="shared" si="34"/>
        <v>4013/4014</v>
      </c>
      <c r="L144" s="61" t="str">
        <f>VLOOKUP(A144,'Trips&amp;Operators'!$C$1:$E$9999,3,FALSE)</f>
        <v>GOLIGHTLY</v>
      </c>
      <c r="M144" s="12">
        <f t="shared" si="35"/>
        <v>2.8599537043191958E-2</v>
      </c>
      <c r="N144" s="13">
        <f t="shared" si="33"/>
        <v>41.18333334219642</v>
      </c>
      <c r="O144" s="13"/>
      <c r="P144" s="13"/>
      <c r="Q144" s="62"/>
      <c r="R144" s="62"/>
      <c r="T14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4" s="74" t="str">
        <f t="shared" si="37"/>
        <v>N</v>
      </c>
      <c r="V144" s="74">
        <f t="shared" si="38"/>
        <v>1</v>
      </c>
      <c r="W144" s="74">
        <f t="shared" si="39"/>
        <v>4.8399999999999999E-2</v>
      </c>
      <c r="X144" s="74">
        <f t="shared" si="40"/>
        <v>23.330400000000001</v>
      </c>
      <c r="Y144" s="74">
        <f t="shared" si="41"/>
        <v>23.282</v>
      </c>
      <c r="Z144" s="75">
        <f>VLOOKUP(A144,Enforcements!$C$3:$J$56,8,0)</f>
        <v>233491</v>
      </c>
      <c r="AA144" s="75" t="str">
        <f>VLOOKUP(A144,Enforcements!$C$3:$J$56,3,0)</f>
        <v>TRACK WARRANT AUTHORITY</v>
      </c>
    </row>
    <row r="145" spans="1:27" s="2" customFormat="1" x14ac:dyDescent="0.25">
      <c r="A145" s="61" t="s">
        <v>566</v>
      </c>
      <c r="B145" s="61">
        <v>4013</v>
      </c>
      <c r="C145" s="61" t="s">
        <v>66</v>
      </c>
      <c r="D145" s="61" t="s">
        <v>567</v>
      </c>
      <c r="E145" s="30">
        <v>42512.070856481485</v>
      </c>
      <c r="F145" s="30">
        <v>42512.071898148148</v>
      </c>
      <c r="G145" s="38">
        <v>1</v>
      </c>
      <c r="H145" s="30" t="s">
        <v>562</v>
      </c>
      <c r="I145" s="30">
        <v>42512.106585648151</v>
      </c>
      <c r="J145" s="61">
        <v>0</v>
      </c>
      <c r="K145" s="61" t="str">
        <f t="shared" si="34"/>
        <v>4013/4014</v>
      </c>
      <c r="L145" s="61" t="str">
        <f>VLOOKUP(A145,'Trips&amp;Operators'!$C$1:$E$9999,3,FALSE)</f>
        <v>GOLIGHTLY</v>
      </c>
      <c r="M145" s="12">
        <f t="shared" si="35"/>
        <v>3.4687500003201421E-2</v>
      </c>
      <c r="N145" s="13">
        <f t="shared" si="33"/>
        <v>49.950000004610047</v>
      </c>
      <c r="O145" s="13"/>
      <c r="P145" s="13"/>
      <c r="Q145" s="62"/>
      <c r="R145" s="62"/>
      <c r="T14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01:41:02-0600',mode:absolute,to:'2016-05-22 02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5" s="74" t="str">
        <f t="shared" si="37"/>
        <v>N</v>
      </c>
      <c r="V145" s="74">
        <f t="shared" si="38"/>
        <v>1</v>
      </c>
      <c r="W145" s="74">
        <f t="shared" si="39"/>
        <v>23.300799999999999</v>
      </c>
      <c r="X145" s="74">
        <f t="shared" si="40"/>
        <v>1.7000000000000001E-2</v>
      </c>
      <c r="Y145" s="74">
        <f t="shared" si="41"/>
        <v>23.283799999999999</v>
      </c>
      <c r="Z145" s="75" t="e">
        <f>VLOOKUP(A145,Enforcements!$C$3:$J$56,8,0)</f>
        <v>#N/A</v>
      </c>
      <c r="AA145" s="75" t="e">
        <f>VLOOKUP(A145,Enforcements!$C$3:$J$56,3,0)</f>
        <v>#N/A</v>
      </c>
    </row>
    <row r="146" spans="1:27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T146" s="69"/>
      <c r="U146" s="69"/>
      <c r="V146" s="69"/>
      <c r="W146" s="69"/>
      <c r="X146" s="69"/>
      <c r="Y146" s="69"/>
      <c r="Z146" s="70"/>
      <c r="AA146" s="70"/>
    </row>
    <row r="147" spans="1:27" s="2" customFormat="1" ht="15.75" thickBot="1" x14ac:dyDescent="0.3">
      <c r="E147" s="31"/>
      <c r="F147" s="31"/>
      <c r="G147" s="39"/>
      <c r="H147" s="31"/>
      <c r="I147" s="84">
        <f>Variables!A2</f>
        <v>42511</v>
      </c>
      <c r="J147" s="85"/>
      <c r="K147" s="76"/>
      <c r="L147" s="76"/>
      <c r="M147" s="86" t="s">
        <v>8</v>
      </c>
      <c r="N147" s="87"/>
      <c r="O147" s="88"/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89" t="s">
        <v>10</v>
      </c>
      <c r="J148" s="90"/>
      <c r="K148" s="35"/>
      <c r="L148" s="59"/>
      <c r="M148" s="9" t="s">
        <v>11</v>
      </c>
      <c r="N148" s="6" t="s">
        <v>12</v>
      </c>
      <c r="O148" s="7" t="s">
        <v>13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139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125</v>
      </c>
      <c r="K150" s="3"/>
      <c r="L150" s="3"/>
      <c r="M150" s="71">
        <f>AVERAGE(N3:N145)</f>
        <v>47.407733333241197</v>
      </c>
      <c r="N150" s="6">
        <f>MIN(N3:N145)</f>
        <v>36.033333332743496</v>
      </c>
      <c r="O150" s="7">
        <f>MAX(N3:N145)</f>
        <v>126.35000000009313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14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125</v>
      </c>
      <c r="K153" s="3"/>
      <c r="L153" s="3"/>
      <c r="M153" s="71">
        <f>AVERAGE(N3:P145)</f>
        <v>45.517146282958322</v>
      </c>
      <c r="N153" s="6">
        <f>MIN(N3:O145)</f>
        <v>36.033333332743496</v>
      </c>
      <c r="O153" s="7">
        <f>MAX(N3:O145)</f>
        <v>126.35000000009313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0.89928057553956831</v>
      </c>
      <c r="K154" s="8"/>
      <c r="L154" s="8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</sheetData>
  <autoFilter ref="A2:AA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6:P146 A3:R145">
    <cfRule type="expression" dxfId="7" priority="35">
      <formula>$P3&gt;0</formula>
    </cfRule>
    <cfRule type="expression" dxfId="6" priority="36">
      <formula>$O3&gt;0</formula>
    </cfRule>
  </conditionalFormatting>
  <conditionalFormatting sqref="Q146:R146">
    <cfRule type="expression" dxfId="5" priority="77">
      <formula>$P146&gt;0</formula>
    </cfRule>
    <cfRule type="expression" dxfId="4" priority="78">
      <formula>$O165&gt;0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GridLines="0" zoomScale="85" zoomScaleNormal="85" workbookViewId="0">
      <selection activeCell="L22" sqref="L22"/>
    </sheetView>
    <sheetView workbookViewId="1">
      <selection sqref="A1:M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2" t="str">
        <f>"Eagle P3 Braking Events - "&amp;TEXT(Variables!$A$2,"YYYY-mm-dd")</f>
        <v>Eagle P3 Braking Events - 2016-05-21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205</v>
      </c>
    </row>
    <row r="3" spans="1:17" s="19" customFormat="1" x14ac:dyDescent="0.25">
      <c r="A3" s="23">
        <v>42511.384652777779</v>
      </c>
      <c r="B3" s="22" t="s">
        <v>569</v>
      </c>
      <c r="C3" s="22" t="s">
        <v>399</v>
      </c>
      <c r="D3" s="22" t="s">
        <v>52</v>
      </c>
      <c r="E3" s="22" t="s">
        <v>311</v>
      </c>
      <c r="F3" s="22">
        <v>790</v>
      </c>
      <c r="G3" s="22">
        <v>354</v>
      </c>
      <c r="H3" s="22">
        <v>63179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ROCHA</v>
      </c>
      <c r="M3" s="20" t="s">
        <v>144</v>
      </c>
      <c r="N3" s="21" t="s">
        <v>206</v>
      </c>
      <c r="P3" s="81" t="str">
        <f>VLOOKUP(C3,'Train Runs'!$A$3:$T$254,20,0)</f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42511.145057870373</v>
      </c>
      <c r="B4" s="22" t="s">
        <v>64</v>
      </c>
      <c r="C4" s="22" t="s">
        <v>331</v>
      </c>
      <c r="D4" s="22" t="s">
        <v>52</v>
      </c>
      <c r="E4" s="22" t="s">
        <v>137</v>
      </c>
      <c r="F4" s="22">
        <v>150</v>
      </c>
      <c r="G4" s="22">
        <v>290</v>
      </c>
      <c r="H4" s="22">
        <v>51881</v>
      </c>
      <c r="I4" s="22" t="s">
        <v>138</v>
      </c>
      <c r="J4" s="22">
        <v>53155</v>
      </c>
      <c r="K4" s="21" t="s">
        <v>55</v>
      </c>
      <c r="L4" s="21" t="str">
        <f>VLOOKUP(C4,'Trips&amp;Operators'!$C$1:$E$9999,3,FALSE)</f>
        <v>LEVIN</v>
      </c>
      <c r="M4" s="20" t="s">
        <v>87</v>
      </c>
      <c r="N4" s="21" t="s">
        <v>597</v>
      </c>
      <c r="P4" s="81" t="str">
        <f>VLOOKUP(C4,'Train Runs'!$A$3:$T$254,20,0)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" s="19" t="str">
        <f t="shared" ref="Q4:Q56" si="0">MID(B4,13,4)</f>
        <v>4020</v>
      </c>
    </row>
    <row r="5" spans="1:17" s="19" customFormat="1" x14ac:dyDescent="0.25">
      <c r="A5" s="23">
        <v>42511.210879629631</v>
      </c>
      <c r="B5" s="22" t="s">
        <v>568</v>
      </c>
      <c r="C5" s="22" t="s">
        <v>345</v>
      </c>
      <c r="D5" s="22" t="s">
        <v>52</v>
      </c>
      <c r="E5" s="22" t="s">
        <v>137</v>
      </c>
      <c r="F5" s="22">
        <v>0</v>
      </c>
      <c r="G5" s="22">
        <v>367</v>
      </c>
      <c r="H5" s="22">
        <v>51353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ROCHA</v>
      </c>
      <c r="M5" s="20" t="s">
        <v>87</v>
      </c>
      <c r="N5" s="21" t="s">
        <v>604</v>
      </c>
      <c r="P5" s="81" t="str">
        <f>VLOOKUP(C5,'Train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" s="19" t="str">
        <f t="shared" si="0"/>
        <v>4014</v>
      </c>
    </row>
    <row r="6" spans="1:17" s="19" customFormat="1" x14ac:dyDescent="0.25">
      <c r="A6" s="23">
        <v>42511.239675925928</v>
      </c>
      <c r="B6" s="22" t="s">
        <v>131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94</v>
      </c>
      <c r="H6" s="22">
        <v>27609</v>
      </c>
      <c r="I6" s="22" t="s">
        <v>138</v>
      </c>
      <c r="J6" s="22">
        <v>27350</v>
      </c>
      <c r="K6" s="21" t="s">
        <v>56</v>
      </c>
      <c r="L6" s="21" t="str">
        <f>VLOOKUP(C6,'Trips&amp;Operators'!$C$1:$E$9999,3,FALSE)</f>
        <v>LEDERHAUSE</v>
      </c>
      <c r="M6" s="20" t="s">
        <v>87</v>
      </c>
      <c r="N6" s="21" t="s">
        <v>604</v>
      </c>
      <c r="P6" s="81" t="str">
        <f>VLOOKUP(C6,'Train Runs'!$A$3:$T$254,20,0)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" s="19" t="str">
        <f t="shared" si="0"/>
        <v>4032</v>
      </c>
    </row>
    <row r="7" spans="1:17" s="19" customFormat="1" x14ac:dyDescent="0.25">
      <c r="A7" s="23">
        <v>42511.258935185186</v>
      </c>
      <c r="B7" s="22" t="s">
        <v>136</v>
      </c>
      <c r="C7" s="22" t="s">
        <v>366</v>
      </c>
      <c r="D7" s="22" t="s">
        <v>52</v>
      </c>
      <c r="E7" s="22" t="s">
        <v>137</v>
      </c>
      <c r="F7" s="22">
        <v>0</v>
      </c>
      <c r="G7" s="22">
        <v>243</v>
      </c>
      <c r="H7" s="22">
        <v>26194</v>
      </c>
      <c r="I7" s="22" t="s">
        <v>138</v>
      </c>
      <c r="J7" s="22">
        <v>27052</v>
      </c>
      <c r="K7" s="21" t="s">
        <v>55</v>
      </c>
      <c r="L7" s="21" t="str">
        <f>VLOOKUP(C7,'Trips&amp;Operators'!$C$1:$E$9999,3,FALSE)</f>
        <v>LEDERHAUSE</v>
      </c>
      <c r="M7" s="20" t="s">
        <v>87</v>
      </c>
      <c r="N7" s="21" t="s">
        <v>604</v>
      </c>
      <c r="P7" s="81" t="str">
        <f>VLOOKUP(C7,'Train Runs'!$A$3:$T$254,20,0)</f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" s="19" t="str">
        <f t="shared" si="0"/>
        <v>4044</v>
      </c>
    </row>
    <row r="8" spans="1:17" s="19" customFormat="1" x14ac:dyDescent="0.25">
      <c r="A8" s="23">
        <v>42511.478356481479</v>
      </c>
      <c r="B8" s="22" t="s">
        <v>64</v>
      </c>
      <c r="C8" s="22" t="s">
        <v>440</v>
      </c>
      <c r="D8" s="22" t="s">
        <v>52</v>
      </c>
      <c r="E8" s="22" t="s">
        <v>137</v>
      </c>
      <c r="F8" s="22">
        <v>0</v>
      </c>
      <c r="G8" s="22">
        <v>66</v>
      </c>
      <c r="H8" s="22">
        <v>52931</v>
      </c>
      <c r="I8" s="22" t="s">
        <v>138</v>
      </c>
      <c r="J8" s="22">
        <v>53155</v>
      </c>
      <c r="K8" s="21" t="s">
        <v>55</v>
      </c>
      <c r="L8" s="21" t="str">
        <f>VLOOKUP(C8,'Trips&amp;Operators'!$C$1:$E$9999,3,FALSE)</f>
        <v>RIVERA</v>
      </c>
      <c r="M8" s="20" t="s">
        <v>87</v>
      </c>
      <c r="N8" s="21" t="s">
        <v>604</v>
      </c>
      <c r="P8" s="81" t="str">
        <f>VLOOKUP(C8,'Train Runs'!$A$3:$T$254,20,0)</f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" s="19" t="str">
        <f t="shared" si="0"/>
        <v>4020</v>
      </c>
    </row>
    <row r="9" spans="1:17" s="19" customFormat="1" x14ac:dyDescent="0.25">
      <c r="A9" s="23">
        <v>42511.497731481482</v>
      </c>
      <c r="B9" s="22" t="s">
        <v>136</v>
      </c>
      <c r="C9" s="22" t="s">
        <v>449</v>
      </c>
      <c r="D9" s="22" t="s">
        <v>52</v>
      </c>
      <c r="E9" s="22" t="s">
        <v>137</v>
      </c>
      <c r="F9" s="22">
        <v>0</v>
      </c>
      <c r="G9" s="22">
        <v>270</v>
      </c>
      <c r="H9" s="22">
        <v>52042</v>
      </c>
      <c r="I9" s="22" t="s">
        <v>138</v>
      </c>
      <c r="J9" s="22">
        <v>53155</v>
      </c>
      <c r="K9" s="21" t="s">
        <v>55</v>
      </c>
      <c r="L9" s="21" t="str">
        <f>VLOOKUP(C9,'Trips&amp;Operators'!$C$1:$E$9999,3,FALSE)</f>
        <v>LOCKLEAR</v>
      </c>
      <c r="M9" s="20" t="s">
        <v>87</v>
      </c>
      <c r="N9" s="21" t="s">
        <v>604</v>
      </c>
      <c r="P9" s="81" t="str">
        <f>VLOOKUP(C9,'Train Runs'!$A$3:$T$254,20,0)</f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9" s="19" t="str">
        <f t="shared" si="0"/>
        <v>4044</v>
      </c>
    </row>
    <row r="10" spans="1:17" s="19" customFormat="1" x14ac:dyDescent="0.25">
      <c r="A10" s="23">
        <v>42511.587187500001</v>
      </c>
      <c r="B10" s="22" t="s">
        <v>119</v>
      </c>
      <c r="C10" s="22" t="s">
        <v>446</v>
      </c>
      <c r="D10" s="22" t="s">
        <v>52</v>
      </c>
      <c r="E10" s="22" t="s">
        <v>137</v>
      </c>
      <c r="F10" s="22">
        <v>0</v>
      </c>
      <c r="G10" s="22">
        <v>199</v>
      </c>
      <c r="H10" s="22">
        <v>53961</v>
      </c>
      <c r="I10" s="22" t="s">
        <v>138</v>
      </c>
      <c r="J10" s="22">
        <v>53277</v>
      </c>
      <c r="K10" s="21" t="s">
        <v>56</v>
      </c>
      <c r="L10" s="21" t="str">
        <f>VLOOKUP(C10,'Trips&amp;Operators'!$C$1:$E$9999,3,FALSE)</f>
        <v>BONDS</v>
      </c>
      <c r="M10" s="20" t="s">
        <v>87</v>
      </c>
      <c r="N10" s="21" t="s">
        <v>604</v>
      </c>
      <c r="P10" s="81" t="str">
        <f>VLOOKUP(C10,'Train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0" s="19" t="str">
        <f t="shared" si="0"/>
        <v>4023</v>
      </c>
    </row>
    <row r="11" spans="1:17" s="19" customFormat="1" x14ac:dyDescent="0.25">
      <c r="A11" s="23">
        <v>42511.589768518519</v>
      </c>
      <c r="B11" s="22" t="s">
        <v>572</v>
      </c>
      <c r="C11" s="22" t="s">
        <v>455</v>
      </c>
      <c r="D11" s="22" t="s">
        <v>52</v>
      </c>
      <c r="E11" s="22" t="s">
        <v>137</v>
      </c>
      <c r="F11" s="22">
        <v>370</v>
      </c>
      <c r="G11" s="22">
        <v>439</v>
      </c>
      <c r="H11" s="22">
        <v>127414</v>
      </c>
      <c r="I11" s="22" t="s">
        <v>138</v>
      </c>
      <c r="J11" s="22">
        <v>127562</v>
      </c>
      <c r="K11" s="21" t="s">
        <v>55</v>
      </c>
      <c r="L11" s="21" t="str">
        <f>VLOOKUP(C11,'Trips&amp;Operators'!$C$1:$E$9999,3,FALSE)</f>
        <v>STEWART</v>
      </c>
      <c r="M11" s="20" t="s">
        <v>87</v>
      </c>
      <c r="N11" s="21" t="s">
        <v>597</v>
      </c>
      <c r="P11" s="81" t="str">
        <f>VLOOKUP(C11,'Train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1" s="19" t="str">
        <f t="shared" si="0"/>
        <v>4025</v>
      </c>
    </row>
    <row r="12" spans="1:17" s="19" customFormat="1" x14ac:dyDescent="0.25">
      <c r="A12" s="23">
        <v>42511.618287037039</v>
      </c>
      <c r="B12" s="22" t="s">
        <v>118</v>
      </c>
      <c r="C12" s="22" t="s">
        <v>475</v>
      </c>
      <c r="D12" s="22" t="s">
        <v>52</v>
      </c>
      <c r="E12" s="22" t="s">
        <v>137</v>
      </c>
      <c r="F12" s="22">
        <v>0</v>
      </c>
      <c r="G12" s="22">
        <v>90</v>
      </c>
      <c r="H12" s="22">
        <v>52816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BONDS</v>
      </c>
      <c r="M12" s="20" t="s">
        <v>87</v>
      </c>
      <c r="N12" s="21" t="s">
        <v>604</v>
      </c>
      <c r="P12" s="81" t="str">
        <f>VLOOKUP(C12,'Train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42511.670659722222</v>
      </c>
      <c r="B13" s="22" t="s">
        <v>571</v>
      </c>
      <c r="C13" s="22" t="s">
        <v>457</v>
      </c>
      <c r="D13" s="22" t="s">
        <v>52</v>
      </c>
      <c r="E13" s="22" t="s">
        <v>137</v>
      </c>
      <c r="F13" s="22">
        <v>0</v>
      </c>
      <c r="G13" s="22">
        <v>454</v>
      </c>
      <c r="H13" s="22">
        <v>50711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BRANNON</v>
      </c>
      <c r="M13" s="20" t="s">
        <v>87</v>
      </c>
      <c r="N13" s="21" t="s">
        <v>604</v>
      </c>
      <c r="P13" s="81" t="str">
        <f>VLOOKUP(C13,'Train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3" s="19" t="str">
        <f t="shared" si="0"/>
        <v>4002</v>
      </c>
    </row>
    <row r="14" spans="1:17" s="19" customFormat="1" x14ac:dyDescent="0.25">
      <c r="A14" s="23">
        <v>42511.674432870372</v>
      </c>
      <c r="B14" s="22" t="s">
        <v>119</v>
      </c>
      <c r="C14" s="22" t="s">
        <v>479</v>
      </c>
      <c r="D14" s="22" t="s">
        <v>52</v>
      </c>
      <c r="E14" s="22" t="s">
        <v>137</v>
      </c>
      <c r="F14" s="22">
        <v>0</v>
      </c>
      <c r="G14" s="22">
        <v>82</v>
      </c>
      <c r="H14" s="22">
        <v>53521</v>
      </c>
      <c r="I14" s="22" t="s">
        <v>138</v>
      </c>
      <c r="J14" s="22">
        <v>53277</v>
      </c>
      <c r="K14" s="21" t="s">
        <v>56</v>
      </c>
      <c r="L14" s="21" t="str">
        <f>VLOOKUP(C14,'Trips&amp;Operators'!$C$1:$E$9999,3,FALSE)</f>
        <v>BONDS</v>
      </c>
      <c r="M14" s="20" t="s">
        <v>87</v>
      </c>
      <c r="N14" s="21" t="s">
        <v>604</v>
      </c>
      <c r="P14" s="81" t="str">
        <f>VLOOKUP(C14,'Train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0"/>
        <v>4023</v>
      </c>
    </row>
    <row r="15" spans="1:17" s="19" customFormat="1" x14ac:dyDescent="0.25">
      <c r="A15" s="23">
        <v>42511.696469907409</v>
      </c>
      <c r="B15" s="22" t="s">
        <v>118</v>
      </c>
      <c r="C15" s="22" t="s">
        <v>499</v>
      </c>
      <c r="D15" s="22" t="s">
        <v>52</v>
      </c>
      <c r="E15" s="22" t="s">
        <v>137</v>
      </c>
      <c r="F15" s="22">
        <v>0</v>
      </c>
      <c r="G15" s="22">
        <v>130</v>
      </c>
      <c r="H15" s="22">
        <v>52877</v>
      </c>
      <c r="I15" s="22" t="s">
        <v>138</v>
      </c>
      <c r="J15" s="22">
        <v>53155</v>
      </c>
      <c r="K15" s="21" t="s">
        <v>55</v>
      </c>
      <c r="L15" s="21" t="str">
        <f>VLOOKUP(C15,'Trips&amp;Operators'!$C$1:$E$9999,3,FALSE)</f>
        <v>BONDS</v>
      </c>
      <c r="M15" s="20" t="s">
        <v>87</v>
      </c>
      <c r="N15" s="21" t="s">
        <v>604</v>
      </c>
      <c r="P15" s="81" t="str">
        <f>VLOOKUP(C15,'Train Runs'!$A$3:$T$254,20,0)</f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5" s="19" t="str">
        <f t="shared" si="0"/>
        <v>4024</v>
      </c>
    </row>
    <row r="16" spans="1:17" s="19" customFormat="1" x14ac:dyDescent="0.25">
      <c r="A16" s="23">
        <v>42511.751261574071</v>
      </c>
      <c r="B16" s="22" t="s">
        <v>571</v>
      </c>
      <c r="C16" s="22" t="s">
        <v>516</v>
      </c>
      <c r="D16" s="22" t="s">
        <v>52</v>
      </c>
      <c r="E16" s="22" t="s">
        <v>137</v>
      </c>
      <c r="F16" s="22">
        <v>0</v>
      </c>
      <c r="G16" s="22">
        <v>329</v>
      </c>
      <c r="H16" s="22">
        <v>127327</v>
      </c>
      <c r="I16" s="22" t="s">
        <v>138</v>
      </c>
      <c r="J16" s="22">
        <v>127562</v>
      </c>
      <c r="K16" s="21" t="s">
        <v>55</v>
      </c>
      <c r="L16" s="21" t="str">
        <f>VLOOKUP(C16,'Trips&amp;Operators'!$C$1:$E$9999,3,FALSE)</f>
        <v>BUTLER</v>
      </c>
      <c r="M16" s="20" t="s">
        <v>144</v>
      </c>
      <c r="N16" s="21" t="s">
        <v>610</v>
      </c>
      <c r="P16" s="81" t="str">
        <f>VLOOKUP(C16,'Train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6" s="19" t="str">
        <f t="shared" si="0"/>
        <v>4002</v>
      </c>
    </row>
    <row r="17" spans="1:17" s="19" customFormat="1" x14ac:dyDescent="0.25">
      <c r="A17" s="23">
        <v>42511.288495370369</v>
      </c>
      <c r="B17" s="22" t="s">
        <v>120</v>
      </c>
      <c r="C17" s="22" t="s">
        <v>377</v>
      </c>
      <c r="D17" s="22" t="s">
        <v>52</v>
      </c>
      <c r="E17" s="22" t="s">
        <v>60</v>
      </c>
      <c r="F17" s="22">
        <v>200</v>
      </c>
      <c r="G17" s="22">
        <v>164</v>
      </c>
      <c r="H17" s="22">
        <v>27270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GEBRETEKLE</v>
      </c>
      <c r="M17" s="20" t="s">
        <v>87</v>
      </c>
      <c r="N17" s="21"/>
      <c r="P17" s="81" t="str">
        <f>VLOOKUP(C17,'Train Runs'!$A$3:$T$254,20,0)</f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7" s="19" t="str">
        <f t="shared" si="0"/>
        <v>4031</v>
      </c>
    </row>
    <row r="18" spans="1:17" s="19" customFormat="1" x14ac:dyDescent="0.25">
      <c r="A18" s="23">
        <v>42511.422743055555</v>
      </c>
      <c r="B18" s="22" t="s">
        <v>136</v>
      </c>
      <c r="C18" s="22" t="s">
        <v>422</v>
      </c>
      <c r="D18" s="22" t="s">
        <v>52</v>
      </c>
      <c r="E18" s="22" t="s">
        <v>60</v>
      </c>
      <c r="F18" s="22">
        <v>300</v>
      </c>
      <c r="G18" s="22">
        <v>253</v>
      </c>
      <c r="H18" s="22">
        <v>19809</v>
      </c>
      <c r="I18" s="22" t="s">
        <v>61</v>
      </c>
      <c r="J18" s="22">
        <v>20338</v>
      </c>
      <c r="K18" s="21" t="s">
        <v>55</v>
      </c>
      <c r="L18" s="21" t="str">
        <f>VLOOKUP(C18,'Trips&amp;Operators'!$C$1:$E$9999,3,FALSE)</f>
        <v>ROCHA</v>
      </c>
      <c r="M18" s="20" t="s">
        <v>87</v>
      </c>
      <c r="N18" s="21"/>
      <c r="P18" s="81" t="str">
        <f>VLOOKUP(C18,'Train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8" s="19" t="str">
        <f t="shared" si="0"/>
        <v>4044</v>
      </c>
    </row>
    <row r="19" spans="1:17" s="19" customFormat="1" x14ac:dyDescent="0.25">
      <c r="A19" s="23">
        <v>42511.597256944442</v>
      </c>
      <c r="B19" s="22" t="s">
        <v>119</v>
      </c>
      <c r="C19" s="22" t="s">
        <v>446</v>
      </c>
      <c r="D19" s="22" t="s">
        <v>52</v>
      </c>
      <c r="E19" s="22" t="s">
        <v>60</v>
      </c>
      <c r="F19" s="22">
        <v>150</v>
      </c>
      <c r="G19" s="22">
        <v>198</v>
      </c>
      <c r="H19" s="22">
        <v>5031</v>
      </c>
      <c r="I19" s="22" t="s">
        <v>61</v>
      </c>
      <c r="J19" s="22">
        <v>4677</v>
      </c>
      <c r="K19" s="21" t="s">
        <v>56</v>
      </c>
      <c r="L19" s="21" t="str">
        <f>VLOOKUP(C19,'Trips&amp;Operators'!$C$1:$E$9999,3,FALSE)</f>
        <v>BONDS</v>
      </c>
      <c r="M19" s="20" t="s">
        <v>87</v>
      </c>
      <c r="N19" s="21"/>
      <c r="P19" s="81" t="str">
        <f>VLOOKUP(C19,'Train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9" s="19" t="str">
        <f t="shared" si="0"/>
        <v>4023</v>
      </c>
    </row>
    <row r="20" spans="1:17" s="19" customFormat="1" x14ac:dyDescent="0.25">
      <c r="A20" s="23">
        <v>42511.62096064815</v>
      </c>
      <c r="B20" s="22" t="s">
        <v>136</v>
      </c>
      <c r="C20" s="22" t="s">
        <v>477</v>
      </c>
      <c r="D20" s="22" t="s">
        <v>52</v>
      </c>
      <c r="E20" s="22" t="s">
        <v>60</v>
      </c>
      <c r="F20" s="22">
        <v>300</v>
      </c>
      <c r="G20" s="22">
        <v>266</v>
      </c>
      <c r="H20" s="22">
        <v>19905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87</v>
      </c>
      <c r="N20" s="21"/>
      <c r="P20" s="81" t="str">
        <f>VLOOKUP(C20,'Train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7" s="19" customFormat="1" x14ac:dyDescent="0.25">
      <c r="A21" s="23">
        <v>42511.67664351852</v>
      </c>
      <c r="B21" s="22" t="s">
        <v>572</v>
      </c>
      <c r="C21" s="22" t="s">
        <v>487</v>
      </c>
      <c r="D21" s="22" t="s">
        <v>52</v>
      </c>
      <c r="E21" s="22" t="s">
        <v>60</v>
      </c>
      <c r="F21" s="22">
        <v>150</v>
      </c>
      <c r="G21" s="22">
        <v>349</v>
      </c>
      <c r="H21" s="22">
        <v>227887</v>
      </c>
      <c r="I21" s="22" t="s">
        <v>61</v>
      </c>
      <c r="J21" s="22">
        <v>230436</v>
      </c>
      <c r="K21" s="21" t="s">
        <v>55</v>
      </c>
      <c r="L21" s="21" t="str">
        <f>VLOOKUP(C21,'Trips&amp;Operators'!$C$1:$E$9999,3,FALSE)</f>
        <v>STEWART</v>
      </c>
      <c r="M21" s="20" t="s">
        <v>87</v>
      </c>
      <c r="N21" s="21"/>
      <c r="P21" s="81" t="str">
        <f>VLOOKUP(C21,'Train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9" t="str">
        <f t="shared" si="0"/>
        <v>4025</v>
      </c>
    </row>
    <row r="22" spans="1:17" s="19" customFormat="1" x14ac:dyDescent="0.25">
      <c r="A22" s="23">
        <v>42511.677199074074</v>
      </c>
      <c r="B22" s="22" t="s">
        <v>572</v>
      </c>
      <c r="C22" s="22" t="s">
        <v>487</v>
      </c>
      <c r="D22" s="22" t="s">
        <v>52</v>
      </c>
      <c r="E22" s="22" t="s">
        <v>60</v>
      </c>
      <c r="F22" s="22">
        <v>150</v>
      </c>
      <c r="G22" s="22">
        <v>182</v>
      </c>
      <c r="H22" s="22">
        <v>229206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STEWART</v>
      </c>
      <c r="M22" s="20" t="s">
        <v>87</v>
      </c>
      <c r="N22" s="21"/>
      <c r="P22" s="81" t="str">
        <f>VLOOKUP(C22,'Train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2" s="19" t="str">
        <f t="shared" si="0"/>
        <v>4025</v>
      </c>
    </row>
    <row r="23" spans="1:17" s="19" customFormat="1" x14ac:dyDescent="0.25">
      <c r="A23" s="23">
        <v>42511.722685185188</v>
      </c>
      <c r="B23" s="22" t="s">
        <v>65</v>
      </c>
      <c r="C23" s="22" t="s">
        <v>498</v>
      </c>
      <c r="D23" s="22" t="s">
        <v>57</v>
      </c>
      <c r="E23" s="22" t="s">
        <v>60</v>
      </c>
      <c r="F23" s="22">
        <v>600</v>
      </c>
      <c r="G23" s="22">
        <v>650</v>
      </c>
      <c r="H23" s="22">
        <v>184252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RIVERA</v>
      </c>
      <c r="M23" s="20" t="s">
        <v>87</v>
      </c>
      <c r="N23" s="21"/>
      <c r="P23" s="81" t="str">
        <f>VLOOKUP(C23,'Train Runs'!$A$3:$T$254,20,0)</f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0"/>
        <v>4019</v>
      </c>
    </row>
    <row r="24" spans="1:17" s="19" customFormat="1" x14ac:dyDescent="0.25">
      <c r="A24" s="23">
        <v>42511.963275462964</v>
      </c>
      <c r="B24" s="22" t="s">
        <v>136</v>
      </c>
      <c r="C24" s="22" t="s">
        <v>550</v>
      </c>
      <c r="D24" s="22" t="s">
        <v>52</v>
      </c>
      <c r="E24" s="22" t="s">
        <v>60</v>
      </c>
      <c r="F24" s="22">
        <v>150</v>
      </c>
      <c r="G24" s="22">
        <v>132</v>
      </c>
      <c r="H24" s="22">
        <v>231553</v>
      </c>
      <c r="I24" s="22" t="s">
        <v>61</v>
      </c>
      <c r="J24" s="22">
        <v>232107</v>
      </c>
      <c r="K24" s="21" t="s">
        <v>55</v>
      </c>
      <c r="L24" s="21" t="str">
        <f>VLOOKUP(C24,'Trips&amp;Operators'!$C$1:$E$9999,3,FALSE)</f>
        <v>GRASTON</v>
      </c>
      <c r="M24" s="20" t="s">
        <v>87</v>
      </c>
      <c r="N24" s="21"/>
      <c r="P24" s="81" t="str">
        <f>VLOOKUP(C24,'Train Runs'!$A$3:$T$254,20,0)</f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4" s="19" t="str">
        <f t="shared" si="0"/>
        <v>4044</v>
      </c>
    </row>
    <row r="25" spans="1:17" s="19" customFormat="1" x14ac:dyDescent="0.25">
      <c r="A25" s="23">
        <v>42511.583437499998</v>
      </c>
      <c r="B25" s="22" t="s">
        <v>572</v>
      </c>
      <c r="C25" s="22" t="s">
        <v>455</v>
      </c>
      <c r="D25" s="22" t="s">
        <v>57</v>
      </c>
      <c r="E25" s="22" t="s">
        <v>58</v>
      </c>
      <c r="F25" s="22">
        <v>200</v>
      </c>
      <c r="G25" s="22">
        <v>262</v>
      </c>
      <c r="H25" s="22">
        <v>66054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STEWART</v>
      </c>
      <c r="M25" s="20" t="s">
        <v>87</v>
      </c>
      <c r="N25" s="21" t="s">
        <v>611</v>
      </c>
      <c r="P25" s="81" t="str">
        <f>VLOOKUP(C25,'Train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5" s="19" t="str">
        <f t="shared" si="0"/>
        <v>4025</v>
      </c>
    </row>
    <row r="26" spans="1:17" s="19" customFormat="1" x14ac:dyDescent="0.25">
      <c r="A26" s="23">
        <v>42511.596817129626</v>
      </c>
      <c r="B26" s="22" t="s">
        <v>571</v>
      </c>
      <c r="C26" s="22" t="s">
        <v>457</v>
      </c>
      <c r="D26" s="22" t="s">
        <v>52</v>
      </c>
      <c r="E26" s="22" t="s">
        <v>58</v>
      </c>
      <c r="F26" s="22">
        <v>0</v>
      </c>
      <c r="G26" s="22">
        <v>425</v>
      </c>
      <c r="H26" s="22">
        <v>105856</v>
      </c>
      <c r="I26" s="22" t="s">
        <v>59</v>
      </c>
      <c r="J26" s="22">
        <v>107939</v>
      </c>
      <c r="K26" s="21" t="s">
        <v>55</v>
      </c>
      <c r="L26" s="21" t="str">
        <f>VLOOKUP(C26,'Trips&amp;Operators'!$C$1:$E$9999,3,FALSE)</f>
        <v>BRANNON</v>
      </c>
      <c r="M26" s="20" t="s">
        <v>87</v>
      </c>
      <c r="N26" s="21" t="s">
        <v>612</v>
      </c>
      <c r="P26" s="81" t="str">
        <f>VLOOKUP(C26,'Train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26" s="19" t="str">
        <f t="shared" si="0"/>
        <v>4002</v>
      </c>
    </row>
    <row r="27" spans="1:17" s="19" customFormat="1" x14ac:dyDescent="0.25">
      <c r="A27" s="23">
        <v>42511.635393518518</v>
      </c>
      <c r="B27" s="22" t="s">
        <v>136</v>
      </c>
      <c r="C27" s="22" t="s">
        <v>477</v>
      </c>
      <c r="D27" s="22" t="s">
        <v>52</v>
      </c>
      <c r="E27" s="22" t="s">
        <v>58</v>
      </c>
      <c r="F27" s="22">
        <v>0</v>
      </c>
      <c r="G27" s="22">
        <v>551</v>
      </c>
      <c r="H27" s="22">
        <v>146472</v>
      </c>
      <c r="I27" s="22" t="s">
        <v>59</v>
      </c>
      <c r="J27" s="22">
        <v>149694</v>
      </c>
      <c r="K27" s="21" t="s">
        <v>55</v>
      </c>
      <c r="L27" s="21" t="str">
        <f>VLOOKUP(C27,'Trips&amp;Operators'!$C$1:$E$9999,3,FALSE)</f>
        <v>LOCKLEAR</v>
      </c>
      <c r="M27" s="20" t="s">
        <v>87</v>
      </c>
      <c r="N27" s="21" t="s">
        <v>613</v>
      </c>
      <c r="P27" s="81" t="str">
        <f>VLOOKUP(C27,'Train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7" s="19" customFormat="1" x14ac:dyDescent="0.25">
      <c r="A28" s="23">
        <v>42511.747303240743</v>
      </c>
      <c r="B28" s="22" t="s">
        <v>119</v>
      </c>
      <c r="C28" s="22" t="s">
        <v>500</v>
      </c>
      <c r="D28" s="22" t="s">
        <v>57</v>
      </c>
      <c r="E28" s="22" t="s">
        <v>58</v>
      </c>
      <c r="F28" s="22">
        <v>0</v>
      </c>
      <c r="G28" s="22">
        <v>180</v>
      </c>
      <c r="H28" s="22">
        <v>63705</v>
      </c>
      <c r="I28" s="22" t="s">
        <v>59</v>
      </c>
      <c r="J28" s="22">
        <v>64008</v>
      </c>
      <c r="K28" s="21" t="s">
        <v>56</v>
      </c>
      <c r="L28" s="21" t="str">
        <f>VLOOKUP(C28,'Trips&amp;Operators'!$C$1:$E$9999,3,FALSE)</f>
        <v>BONDS</v>
      </c>
      <c r="M28" s="20" t="s">
        <v>87</v>
      </c>
      <c r="N28" s="21" t="s">
        <v>611</v>
      </c>
      <c r="P28" s="81" t="str">
        <f>VLOOKUP(C28,'Train Runs'!$A$3:$T$254,20,0)</f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8" s="19" t="str">
        <f t="shared" si="0"/>
        <v>4023</v>
      </c>
    </row>
    <row r="29" spans="1:17" s="19" customFormat="1" x14ac:dyDescent="0.25">
      <c r="A29" s="23">
        <v>42511.232418981483</v>
      </c>
      <c r="B29" s="22" t="s">
        <v>568</v>
      </c>
      <c r="C29" s="22" t="s">
        <v>345</v>
      </c>
      <c r="D29" s="22" t="s">
        <v>52</v>
      </c>
      <c r="E29" s="22" t="s">
        <v>53</v>
      </c>
      <c r="F29" s="22">
        <v>0</v>
      </c>
      <c r="G29" s="22">
        <v>7</v>
      </c>
      <c r="H29" s="22">
        <v>233318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ROCHA</v>
      </c>
      <c r="M29" s="20" t="s">
        <v>87</v>
      </c>
      <c r="N29" s="21"/>
      <c r="P29" s="81" t="str">
        <f>VLOOKUP(C29,'Train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9" s="19" t="str">
        <f t="shared" si="0"/>
        <v>4014</v>
      </c>
    </row>
    <row r="30" spans="1:17" s="19" customFormat="1" x14ac:dyDescent="0.25">
      <c r="A30" s="23">
        <v>42511.264548611114</v>
      </c>
      <c r="B30" s="22" t="s">
        <v>569</v>
      </c>
      <c r="C30" s="22" t="s">
        <v>347</v>
      </c>
      <c r="D30" s="22" t="s">
        <v>52</v>
      </c>
      <c r="E30" s="22" t="s">
        <v>53</v>
      </c>
      <c r="F30" s="22">
        <v>0</v>
      </c>
      <c r="G30" s="22">
        <v>40</v>
      </c>
      <c r="H30" s="22">
        <v>952</v>
      </c>
      <c r="I30" s="22" t="s">
        <v>54</v>
      </c>
      <c r="J30" s="22">
        <v>839</v>
      </c>
      <c r="K30" s="21" t="s">
        <v>56</v>
      </c>
      <c r="L30" s="21" t="str">
        <f>VLOOKUP(C30,'Trips&amp;Operators'!$C$1:$E$9999,3,FALSE)</f>
        <v>ROCHA</v>
      </c>
      <c r="M30" s="20" t="s">
        <v>87</v>
      </c>
      <c r="N30" s="21"/>
      <c r="P30" s="81" t="str">
        <f>VLOOKUP(C30,'Train Runs'!$A$3:$T$254,20,0)</f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7" s="19" customFormat="1" x14ac:dyDescent="0.25">
      <c r="A31" s="23">
        <v>42511.296585648146</v>
      </c>
      <c r="B31" s="22" t="s">
        <v>568</v>
      </c>
      <c r="C31" s="22" t="s">
        <v>373</v>
      </c>
      <c r="D31" s="22" t="s">
        <v>52</v>
      </c>
      <c r="E31" s="22" t="s">
        <v>53</v>
      </c>
      <c r="F31" s="22">
        <v>0</v>
      </c>
      <c r="G31" s="22">
        <v>2</v>
      </c>
      <c r="H31" s="22">
        <v>233336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87</v>
      </c>
      <c r="N31" s="21"/>
      <c r="P31" s="81" t="str">
        <f>VLOOKUP(C31,'Train Runs'!$A$3:$T$254,20,0)</f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0"/>
        <v>4014</v>
      </c>
    </row>
    <row r="32" spans="1:17" s="19" customFormat="1" x14ac:dyDescent="0.25">
      <c r="A32" s="23">
        <v>42511.357789351852</v>
      </c>
      <c r="B32" s="22" t="s">
        <v>570</v>
      </c>
      <c r="C32" s="22" t="s">
        <v>384</v>
      </c>
      <c r="D32" s="22" t="s">
        <v>52</v>
      </c>
      <c r="E32" s="22" t="s">
        <v>53</v>
      </c>
      <c r="F32" s="22">
        <v>0</v>
      </c>
      <c r="G32" s="22">
        <v>6</v>
      </c>
      <c r="H32" s="22">
        <v>303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LEVIN</v>
      </c>
      <c r="M32" s="20" t="s">
        <v>87</v>
      </c>
      <c r="N32" s="21"/>
      <c r="P32" s="81" t="str">
        <f>VLOOKUP(C32,'Train Runs'!$A$3:$T$254,20,0)</f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2" s="19" t="str">
        <f t="shared" si="0"/>
        <v>4026</v>
      </c>
    </row>
    <row r="33" spans="1:17" s="19" customFormat="1" x14ac:dyDescent="0.25">
      <c r="A33" s="23">
        <v>42511.361307870371</v>
      </c>
      <c r="B33" s="22" t="s">
        <v>118</v>
      </c>
      <c r="C33" s="22" t="s">
        <v>396</v>
      </c>
      <c r="D33" s="22" t="s">
        <v>52</v>
      </c>
      <c r="E33" s="22" t="s">
        <v>53</v>
      </c>
      <c r="F33" s="22">
        <v>0</v>
      </c>
      <c r="G33" s="22">
        <v>6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SANTIZO</v>
      </c>
      <c r="M33" s="20" t="s">
        <v>87</v>
      </c>
      <c r="N33" s="21"/>
      <c r="P33" s="81" t="str">
        <f>VLOOKUP(C33,'Train Runs'!$A$3:$T$254,20,0)</f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9" t="str">
        <f t="shared" si="0"/>
        <v>4024</v>
      </c>
    </row>
    <row r="34" spans="1:17" s="19" customFormat="1" x14ac:dyDescent="0.25">
      <c r="A34" s="23">
        <v>42511.444247685184</v>
      </c>
      <c r="B34" s="22" t="s">
        <v>136</v>
      </c>
      <c r="C34" s="22" t="s">
        <v>422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233331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ROCHA</v>
      </c>
      <c r="M34" s="20" t="s">
        <v>87</v>
      </c>
      <c r="N34" s="21"/>
      <c r="P34" s="81" t="str">
        <f>VLOOKUP(C34,'Train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7" s="19" customFormat="1" x14ac:dyDescent="0.25">
      <c r="A35" s="23">
        <v>42511.474641203706</v>
      </c>
      <c r="B35" s="22" t="s">
        <v>571</v>
      </c>
      <c r="C35" s="22" t="s">
        <v>431</v>
      </c>
      <c r="D35" s="22" t="s">
        <v>57</v>
      </c>
      <c r="E35" s="22" t="s">
        <v>53</v>
      </c>
      <c r="F35" s="22">
        <v>0</v>
      </c>
      <c r="G35" s="22">
        <v>8</v>
      </c>
      <c r="H35" s="22">
        <v>233491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BRANNON</v>
      </c>
      <c r="M35" s="20" t="s">
        <v>87</v>
      </c>
      <c r="N35" s="21"/>
      <c r="P35" s="81" t="str">
        <f>VLOOKUP(C35,'Train Runs'!$A$3:$T$254,20,0)</f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5" s="19" t="str">
        <f t="shared" si="0"/>
        <v>4002</v>
      </c>
    </row>
    <row r="36" spans="1:17" s="19" customFormat="1" x14ac:dyDescent="0.25">
      <c r="A36" s="23">
        <v>42511.482349537036</v>
      </c>
      <c r="B36" s="22" t="s">
        <v>135</v>
      </c>
      <c r="C36" s="22" t="s">
        <v>424</v>
      </c>
      <c r="D36" s="22" t="s">
        <v>52</v>
      </c>
      <c r="E36" s="22" t="s">
        <v>53</v>
      </c>
      <c r="F36" s="22">
        <v>0</v>
      </c>
      <c r="G36" s="22">
        <v>5</v>
      </c>
      <c r="H36" s="22">
        <v>123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ROCHA</v>
      </c>
      <c r="M36" s="20" t="s">
        <v>87</v>
      </c>
      <c r="N36" s="21"/>
      <c r="P36" s="81" t="str">
        <f>VLOOKUP(C36,'Train Runs'!$A$3:$T$254,20,0)</f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6" s="19" t="str">
        <f t="shared" si="0"/>
        <v>4043</v>
      </c>
    </row>
    <row r="37" spans="1:17" s="19" customFormat="1" x14ac:dyDescent="0.25">
      <c r="A37" s="23">
        <v>42511.540868055556</v>
      </c>
      <c r="B37" s="22" t="s">
        <v>219</v>
      </c>
      <c r="C37" s="22" t="s">
        <v>437</v>
      </c>
      <c r="D37" s="22" t="s">
        <v>52</v>
      </c>
      <c r="E37" s="22" t="s">
        <v>53</v>
      </c>
      <c r="F37" s="22">
        <v>0</v>
      </c>
      <c r="G37" s="22">
        <v>68</v>
      </c>
      <c r="H37" s="22">
        <v>273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YANAI</v>
      </c>
      <c r="M37" s="20" t="s">
        <v>87</v>
      </c>
      <c r="N37" s="21"/>
      <c r="P37" s="81" t="str">
        <f>VLOOKUP(C37,'Train Runs'!$A$3:$T$254,20,0)</f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7" s="19" customFormat="1" x14ac:dyDescent="0.25">
      <c r="A38" s="23">
        <v>42511.591319444444</v>
      </c>
      <c r="B38" s="22" t="s">
        <v>65</v>
      </c>
      <c r="C38" s="22" t="s">
        <v>443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RIVERA</v>
      </c>
      <c r="M38" s="20" t="s">
        <v>87</v>
      </c>
      <c r="N38" s="21"/>
      <c r="P38" s="81" t="str">
        <f>VLOOKUP(C38,'Train Runs'!$A$3:$T$254,20,0)</f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9" t="str">
        <f t="shared" si="0"/>
        <v>4019</v>
      </c>
    </row>
    <row r="39" spans="1:17" s="19" customFormat="1" x14ac:dyDescent="0.25">
      <c r="A39" s="23">
        <v>42511.608402777776</v>
      </c>
      <c r="B39" s="22" t="s">
        <v>571</v>
      </c>
      <c r="C39" s="22" t="s">
        <v>457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233337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BRANNON</v>
      </c>
      <c r="M39" s="20" t="s">
        <v>87</v>
      </c>
      <c r="N39" s="21"/>
      <c r="P39" s="81" t="str">
        <f>VLOOKUP(C39,'Train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9" s="19" t="str">
        <f t="shared" si="0"/>
        <v>4002</v>
      </c>
    </row>
    <row r="40" spans="1:17" s="19" customFormat="1" x14ac:dyDescent="0.25">
      <c r="A40" s="23">
        <v>42511.63490740741</v>
      </c>
      <c r="B40" s="22" t="s">
        <v>64</v>
      </c>
      <c r="C40" s="22" t="s">
        <v>472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RIVERA</v>
      </c>
      <c r="M40" s="20" t="s">
        <v>87</v>
      </c>
      <c r="N40" s="21"/>
      <c r="P40" s="81" t="str">
        <f>VLOOKUP(C40,'Train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0" s="19" t="str">
        <f t="shared" si="0"/>
        <v>4020</v>
      </c>
    </row>
    <row r="41" spans="1:17" s="19" customFormat="1" x14ac:dyDescent="0.25">
      <c r="A41" s="23">
        <v>42511.655624999999</v>
      </c>
      <c r="B41" s="22" t="s">
        <v>573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49</v>
      </c>
      <c r="H41" s="22">
        <v>172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BRANNON</v>
      </c>
      <c r="M41" s="20" t="s">
        <v>87</v>
      </c>
      <c r="N41" s="21"/>
      <c r="P41" s="81" t="str">
        <f>VLOOKUP(C41,'Train Runs'!$A$3:$T$254,20,0)</f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1" s="19" t="str">
        <f t="shared" si="0"/>
        <v>4001</v>
      </c>
    </row>
    <row r="42" spans="1:17" s="19" customFormat="1" x14ac:dyDescent="0.25">
      <c r="A42" s="23">
        <v>42511.659155092595</v>
      </c>
      <c r="B42" s="22" t="s">
        <v>568</v>
      </c>
      <c r="C42" s="22" t="s">
        <v>480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233342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BEAM</v>
      </c>
      <c r="M42" s="20" t="s">
        <v>87</v>
      </c>
      <c r="N42" s="21"/>
      <c r="P42" s="81" t="str">
        <f>VLOOKUP(C42,'Train Runs'!$A$3:$T$254,20,0)</f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2" s="19" t="str">
        <f t="shared" si="0"/>
        <v>4014</v>
      </c>
    </row>
    <row r="43" spans="1:17" s="19" customFormat="1" x14ac:dyDescent="0.25">
      <c r="A43" s="23">
        <v>42511.678912037038</v>
      </c>
      <c r="B43" s="22" t="s">
        <v>572</v>
      </c>
      <c r="C43" s="22" t="s">
        <v>487</v>
      </c>
      <c r="D43" s="22" t="s">
        <v>52</v>
      </c>
      <c r="E43" s="22" t="s">
        <v>53</v>
      </c>
      <c r="F43" s="22">
        <v>0</v>
      </c>
      <c r="G43" s="22">
        <v>86</v>
      </c>
      <c r="H43" s="22">
        <v>233174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STEWART</v>
      </c>
      <c r="M43" s="20" t="s">
        <v>87</v>
      </c>
      <c r="N43" s="21"/>
      <c r="P43" s="81" t="str">
        <f>VLOOKUP(C43,'Train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3" s="19" t="str">
        <f t="shared" si="0"/>
        <v>4025</v>
      </c>
    </row>
    <row r="44" spans="1:17" s="19" customFormat="1" x14ac:dyDescent="0.25">
      <c r="A44" s="23">
        <v>42511.68378472222</v>
      </c>
      <c r="B44" s="22" t="s">
        <v>119</v>
      </c>
      <c r="C44" s="22" t="s">
        <v>479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125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BONDS</v>
      </c>
      <c r="M44" s="20" t="s">
        <v>87</v>
      </c>
      <c r="N44" s="21"/>
      <c r="P44" s="81" t="str">
        <f>VLOOKUP(C44,'Train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7" s="19" customFormat="1" x14ac:dyDescent="0.25">
      <c r="A45" s="23">
        <v>42511.692777777775</v>
      </c>
      <c r="B45" s="22" t="s">
        <v>571</v>
      </c>
      <c r="C45" s="22" t="s">
        <v>457</v>
      </c>
      <c r="D45" s="22" t="s">
        <v>52</v>
      </c>
      <c r="E45" s="22" t="s">
        <v>53</v>
      </c>
      <c r="F45" s="22">
        <v>0</v>
      </c>
      <c r="G45" s="22">
        <v>46</v>
      </c>
      <c r="H45" s="22">
        <v>233366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BRANNON</v>
      </c>
      <c r="M45" s="20" t="s">
        <v>87</v>
      </c>
      <c r="N45" s="21"/>
      <c r="P45" s="81" t="str">
        <f>VLOOKUP(C45,'Train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5" s="19" t="str">
        <f t="shared" si="0"/>
        <v>4002</v>
      </c>
    </row>
    <row r="46" spans="1:17" s="19" customFormat="1" x14ac:dyDescent="0.25">
      <c r="A46" s="23">
        <v>42511.700891203705</v>
      </c>
      <c r="B46" s="22" t="s">
        <v>569</v>
      </c>
      <c r="C46" s="22" t="s">
        <v>485</v>
      </c>
      <c r="D46" s="22" t="s">
        <v>52</v>
      </c>
      <c r="E46" s="22" t="s">
        <v>53</v>
      </c>
      <c r="F46" s="22">
        <v>0</v>
      </c>
      <c r="G46" s="22">
        <v>15</v>
      </c>
      <c r="H46" s="22">
        <v>841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BEAM</v>
      </c>
      <c r="M46" s="20" t="s">
        <v>87</v>
      </c>
      <c r="N46" s="21"/>
      <c r="P46" s="81" t="str">
        <f>VLOOKUP(C46,'Train Runs'!$A$3:$T$254,20,0)</f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6" s="19" t="str">
        <f t="shared" si="0"/>
        <v>4013</v>
      </c>
    </row>
    <row r="47" spans="1:17" s="19" customFormat="1" x14ac:dyDescent="0.25">
      <c r="A47" s="23">
        <v>42511.735613425924</v>
      </c>
      <c r="B47" s="22" t="s">
        <v>219</v>
      </c>
      <c r="C47" s="22" t="s">
        <v>494</v>
      </c>
      <c r="D47" s="22" t="s">
        <v>52</v>
      </c>
      <c r="E47" s="22" t="s">
        <v>53</v>
      </c>
      <c r="F47" s="22">
        <v>0</v>
      </c>
      <c r="G47" s="22">
        <v>9</v>
      </c>
      <c r="H47" s="22">
        <v>1658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WEBSTER</v>
      </c>
      <c r="M47" s="20" t="s">
        <v>87</v>
      </c>
      <c r="N47" s="21"/>
      <c r="P47" s="81" t="str">
        <f>VLOOKUP(C47,'Train Runs'!$A$3:$T$254,20,0)</f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7" s="19" t="str">
        <f t="shared" si="0"/>
        <v>4010</v>
      </c>
    </row>
    <row r="48" spans="1:17" s="19" customFormat="1" x14ac:dyDescent="0.25">
      <c r="A48" s="23">
        <v>42511.76185185185</v>
      </c>
      <c r="B48" s="22" t="s">
        <v>571</v>
      </c>
      <c r="C48" s="22" t="s">
        <v>516</v>
      </c>
      <c r="D48" s="22" t="s">
        <v>52</v>
      </c>
      <c r="E48" s="22" t="s">
        <v>53</v>
      </c>
      <c r="F48" s="22">
        <v>0</v>
      </c>
      <c r="G48" s="22">
        <v>7</v>
      </c>
      <c r="H48" s="22">
        <v>231441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BUTLER</v>
      </c>
      <c r="M48" s="20" t="s">
        <v>87</v>
      </c>
      <c r="N48" s="21"/>
      <c r="P48" s="81" t="str">
        <f>VLOOKUP(C48,'Train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8" s="19" t="str">
        <f t="shared" si="0"/>
        <v>4002</v>
      </c>
    </row>
    <row r="49" spans="1:17" s="19" customFormat="1" x14ac:dyDescent="0.25">
      <c r="A49" s="23">
        <v>42511.783483796295</v>
      </c>
      <c r="B49" s="22" t="s">
        <v>569</v>
      </c>
      <c r="C49" s="22" t="s">
        <v>514</v>
      </c>
      <c r="D49" s="22" t="s">
        <v>52</v>
      </c>
      <c r="E49" s="22" t="s">
        <v>53</v>
      </c>
      <c r="F49" s="22">
        <v>0</v>
      </c>
      <c r="G49" s="22">
        <v>7</v>
      </c>
      <c r="H49" s="22">
        <v>107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BEAM</v>
      </c>
      <c r="M49" s="20" t="s">
        <v>87</v>
      </c>
      <c r="N49" s="21"/>
      <c r="P49" s="81" t="str">
        <f>VLOOKUP(C49,'Train Runs'!$A$3:$T$254,20,0)</f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9" s="19" t="str">
        <f t="shared" si="0"/>
        <v>4013</v>
      </c>
    </row>
    <row r="50" spans="1:17" s="19" customFormat="1" x14ac:dyDescent="0.25">
      <c r="A50" s="23">
        <v>42511.816851851851</v>
      </c>
      <c r="B50" s="22" t="s">
        <v>568</v>
      </c>
      <c r="C50" s="22" t="s">
        <v>529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GOLIGHTLY</v>
      </c>
      <c r="M50" s="20" t="s">
        <v>87</v>
      </c>
      <c r="N50" s="21"/>
      <c r="P50" s="81" t="str">
        <f>VLOOKUP(C50,'Train Runs'!$A$3:$T$254,20,0)</f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0" s="19" t="str">
        <f t="shared" si="0"/>
        <v>4014</v>
      </c>
    </row>
    <row r="51" spans="1:17" s="19" customFormat="1" x14ac:dyDescent="0.25">
      <c r="A51" s="23">
        <v>42511.825509259259</v>
      </c>
      <c r="B51" s="22" t="s">
        <v>119</v>
      </c>
      <c r="C51" s="22" t="s">
        <v>525</v>
      </c>
      <c r="D51" s="22" t="s">
        <v>52</v>
      </c>
      <c r="E51" s="22" t="s">
        <v>53</v>
      </c>
      <c r="F51" s="22">
        <v>0</v>
      </c>
      <c r="G51" s="22">
        <v>51</v>
      </c>
      <c r="H51" s="22">
        <v>174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GOODNIGHT</v>
      </c>
      <c r="M51" s="20" t="s">
        <v>87</v>
      </c>
      <c r="N51" s="21"/>
      <c r="P51" s="81" t="str">
        <f>VLOOKUP(C51,'Train Runs'!$A$3:$T$254,20,0)</f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42511.944027777776</v>
      </c>
      <c r="B52" s="22" t="s">
        <v>118</v>
      </c>
      <c r="C52" s="22" t="s">
        <v>547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87</v>
      </c>
      <c r="N52" s="21"/>
      <c r="P52" s="81" t="str">
        <f>VLOOKUP(C52,'Train Runs'!$A$3:$T$254,20,0)</f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0"/>
        <v>4024</v>
      </c>
    </row>
    <row r="53" spans="1:17" s="19" customFormat="1" x14ac:dyDescent="0.25">
      <c r="A53" s="23">
        <v>42511.965162037035</v>
      </c>
      <c r="B53" s="22" t="s">
        <v>570</v>
      </c>
      <c r="C53" s="22" t="s">
        <v>545</v>
      </c>
      <c r="D53" s="22" t="s">
        <v>52</v>
      </c>
      <c r="E53" s="22" t="s">
        <v>53</v>
      </c>
      <c r="F53" s="22">
        <v>0</v>
      </c>
      <c r="G53" s="22">
        <v>68</v>
      </c>
      <c r="H53" s="22">
        <v>245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LEVERE</v>
      </c>
      <c r="M53" s="20" t="s">
        <v>87</v>
      </c>
      <c r="N53" s="21"/>
      <c r="P53" s="81" t="str">
        <f>VLOOKUP(C53,'Train Runs'!$A$3:$T$254,20,0)</f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3" s="19" t="str">
        <f t="shared" si="0"/>
        <v>4026</v>
      </c>
    </row>
    <row r="54" spans="1:17" s="19" customFormat="1" x14ac:dyDescent="0.25">
      <c r="A54" s="23">
        <v>42512.046168981484</v>
      </c>
      <c r="B54" s="22" t="s">
        <v>570</v>
      </c>
      <c r="C54" s="22" t="s">
        <v>558</v>
      </c>
      <c r="D54" s="22" t="s">
        <v>52</v>
      </c>
      <c r="E54" s="22" t="s">
        <v>53</v>
      </c>
      <c r="F54" s="22">
        <v>0</v>
      </c>
      <c r="G54" s="22">
        <v>3</v>
      </c>
      <c r="H54" s="22">
        <v>152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LEVERE</v>
      </c>
      <c r="M54" s="20" t="s">
        <v>87</v>
      </c>
      <c r="N54" s="21"/>
      <c r="P54" s="81" t="str">
        <f>VLOOKUP(C54,'Train Runs'!$A$3:$T$254,20,0)</f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4" s="19" t="str">
        <f t="shared" si="0"/>
        <v>4026</v>
      </c>
    </row>
    <row r="55" spans="1:17" s="19" customFormat="1" x14ac:dyDescent="0.25">
      <c r="A55" s="23">
        <v>42512.064571759256</v>
      </c>
      <c r="B55" s="22" t="s">
        <v>119</v>
      </c>
      <c r="C55" s="22" t="s">
        <v>561</v>
      </c>
      <c r="D55" s="22" t="s">
        <v>52</v>
      </c>
      <c r="E55" s="22" t="s">
        <v>53</v>
      </c>
      <c r="F55" s="22">
        <v>0</v>
      </c>
      <c r="G55" s="22">
        <v>56</v>
      </c>
      <c r="H55" s="22">
        <v>170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GOODNIGHT</v>
      </c>
      <c r="M55" s="20" t="s">
        <v>87</v>
      </c>
      <c r="N55" s="21"/>
      <c r="P55" s="81" t="str">
        <f>VLOOKUP(C55,'Train Runs'!$A$3:$T$254,20,0)</f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5" s="19" t="str">
        <f t="shared" si="0"/>
        <v>4023</v>
      </c>
    </row>
    <row r="56" spans="1:17" s="19" customFormat="1" x14ac:dyDescent="0.25">
      <c r="A56" s="23">
        <v>42512.066550925927</v>
      </c>
      <c r="B56" s="22" t="s">
        <v>568</v>
      </c>
      <c r="C56" s="22" t="s">
        <v>565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233336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GOLIGHTLY</v>
      </c>
      <c r="M56" s="20" t="s">
        <v>87</v>
      </c>
      <c r="N56" s="21"/>
      <c r="P56" s="81" t="str">
        <f>VLOOKUP(C56,'Train Runs'!$A$3:$T$254,20,0)</f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6" s="19" t="str">
        <f t="shared" si="0"/>
        <v>4014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1"/>
    </row>
    <row r="58" spans="1:17" ht="30" x14ac:dyDescent="0.25">
      <c r="B58" s="60"/>
      <c r="C58" s="60"/>
      <c r="D58" s="60"/>
      <c r="E58" s="60"/>
      <c r="F58" s="60"/>
      <c r="G58" s="60"/>
      <c r="H58" s="60"/>
      <c r="I58" s="60"/>
      <c r="J58" s="60"/>
      <c r="K58" s="18" t="s">
        <v>28</v>
      </c>
      <c r="L58" s="53"/>
      <c r="M58" s="17">
        <f>COUNTIF(M3:M56,"=Y")</f>
        <v>2</v>
      </c>
    </row>
    <row r="59" spans="1:17" ht="15.75" thickBot="1" x14ac:dyDescent="0.3">
      <c r="B59" s="60"/>
      <c r="C59" s="60"/>
      <c r="D59" s="60"/>
      <c r="E59" s="60"/>
      <c r="F59" s="60"/>
      <c r="G59" s="60"/>
      <c r="H59" s="60"/>
      <c r="I59" s="60"/>
      <c r="J59" s="60"/>
      <c r="K59" s="16" t="s">
        <v>27</v>
      </c>
      <c r="L59" s="54"/>
      <c r="M59" s="15">
        <f>COUNTA(M3:M56)-M58</f>
        <v>52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57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1"/>
    </sheetView>
    <sheetView tabSelected="1" workbookViewId="1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2016-05-21</v>
      </c>
      <c r="B1" s="78"/>
    </row>
    <row r="2" spans="1:2" x14ac:dyDescent="0.25">
      <c r="A2" s="78" t="s">
        <v>614</v>
      </c>
      <c r="B2" s="78" t="s">
        <v>622</v>
      </c>
    </row>
    <row r="3" spans="1:2" x14ac:dyDescent="0.25">
      <c r="A3" s="78" t="s">
        <v>615</v>
      </c>
      <c r="B3" s="78" t="s">
        <v>622</v>
      </c>
    </row>
    <row r="4" spans="1:2" x14ac:dyDescent="0.25">
      <c r="A4" s="78" t="s">
        <v>616</v>
      </c>
      <c r="B4" s="78" t="s">
        <v>622</v>
      </c>
    </row>
    <row r="5" spans="1:2" x14ac:dyDescent="0.25">
      <c r="A5" s="79" t="s">
        <v>617</v>
      </c>
      <c r="B5" s="78" t="s">
        <v>622</v>
      </c>
    </row>
    <row r="6" spans="1:2" x14ac:dyDescent="0.25">
      <c r="A6" s="79" t="s">
        <v>618</v>
      </c>
      <c r="B6" s="78" t="s">
        <v>622</v>
      </c>
    </row>
    <row r="7" spans="1:2" x14ac:dyDescent="0.25">
      <c r="A7" s="79" t="s">
        <v>619</v>
      </c>
      <c r="B7" s="78" t="s">
        <v>622</v>
      </c>
    </row>
    <row r="8" spans="1:2" x14ac:dyDescent="0.25">
      <c r="A8" s="79" t="s">
        <v>620</v>
      </c>
      <c r="B8" s="78" t="s">
        <v>622</v>
      </c>
    </row>
    <row r="9" spans="1:2" x14ac:dyDescent="0.25">
      <c r="A9" s="79" t="s">
        <v>579</v>
      </c>
      <c r="B9" s="78" t="s">
        <v>622</v>
      </c>
    </row>
    <row r="10" spans="1:2" x14ac:dyDescent="0.25">
      <c r="A10" s="79" t="s">
        <v>621</v>
      </c>
      <c r="B10" s="78" t="s">
        <v>622</v>
      </c>
    </row>
    <row r="11" spans="1:2" x14ac:dyDescent="0.25">
      <c r="A11" s="79"/>
      <c r="B11" s="78"/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B9" sqref="B9"/>
    </sheetView>
    <sheetView workbookViewId="1"/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42511.211539351854</v>
      </c>
      <c r="B1" t="s">
        <v>572</v>
      </c>
      <c r="C1" t="s">
        <v>355</v>
      </c>
      <c r="D1">
        <v>1300000</v>
      </c>
      <c r="E1" t="s">
        <v>113</v>
      </c>
    </row>
    <row r="2" spans="1:5" x14ac:dyDescent="0.25">
      <c r="A2" s="14">
        <v>42511.396909722222</v>
      </c>
      <c r="B2" t="s">
        <v>570</v>
      </c>
      <c r="C2" t="s">
        <v>406</v>
      </c>
      <c r="D2">
        <v>1300000</v>
      </c>
      <c r="E2" t="s">
        <v>113</v>
      </c>
    </row>
    <row r="3" spans="1:5" x14ac:dyDescent="0.25">
      <c r="A3" s="14">
        <v>42511.417766203704</v>
      </c>
      <c r="B3" t="s">
        <v>136</v>
      </c>
      <c r="C3" t="s">
        <v>422</v>
      </c>
      <c r="D3">
        <v>900000</v>
      </c>
      <c r="E3" t="s">
        <v>574</v>
      </c>
    </row>
    <row r="4" spans="1:5" x14ac:dyDescent="0.25">
      <c r="A4" s="14">
        <v>42511.427800925929</v>
      </c>
      <c r="B4" t="s">
        <v>65</v>
      </c>
      <c r="C4" t="s">
        <v>418</v>
      </c>
      <c r="D4">
        <v>1430000</v>
      </c>
      <c r="E4" t="s">
        <v>130</v>
      </c>
    </row>
    <row r="5" spans="1:5" x14ac:dyDescent="0.25">
      <c r="A5" s="14">
        <v>42511.443726851852</v>
      </c>
      <c r="B5" t="s">
        <v>571</v>
      </c>
      <c r="C5" t="s">
        <v>431</v>
      </c>
      <c r="D5">
        <v>1190000</v>
      </c>
      <c r="E5" t="s">
        <v>575</v>
      </c>
    </row>
    <row r="6" spans="1:5" x14ac:dyDescent="0.25">
      <c r="A6" s="14">
        <v>42511.329259259262</v>
      </c>
      <c r="B6" t="s">
        <v>570</v>
      </c>
      <c r="C6" t="s">
        <v>384</v>
      </c>
      <c r="D6">
        <v>1300000</v>
      </c>
      <c r="E6" t="s">
        <v>113</v>
      </c>
    </row>
    <row r="7" spans="1:5" x14ac:dyDescent="0.25">
      <c r="A7" s="14">
        <v>42511.20826388889</v>
      </c>
      <c r="B7" t="s">
        <v>64</v>
      </c>
      <c r="C7" t="s">
        <v>349</v>
      </c>
      <c r="D7">
        <v>1100000</v>
      </c>
      <c r="E7" t="s">
        <v>129</v>
      </c>
    </row>
    <row r="8" spans="1:5" x14ac:dyDescent="0.25">
      <c r="A8" s="14">
        <v>42511.22552083333</v>
      </c>
      <c r="B8" t="s">
        <v>119</v>
      </c>
      <c r="C8" t="s">
        <v>344</v>
      </c>
      <c r="D8">
        <v>1360000</v>
      </c>
      <c r="E8" t="s">
        <v>218</v>
      </c>
    </row>
    <row r="9" spans="1:5" x14ac:dyDescent="0.25">
      <c r="A9" s="14">
        <v>42511.29724537037</v>
      </c>
      <c r="B9" t="s">
        <v>119</v>
      </c>
      <c r="C9" t="s">
        <v>372</v>
      </c>
      <c r="D9">
        <v>1360000</v>
      </c>
      <c r="E9" t="s">
        <v>218</v>
      </c>
    </row>
    <row r="10" spans="1:5" x14ac:dyDescent="0.25">
      <c r="A10" s="14">
        <v>42511.353055555555</v>
      </c>
      <c r="B10" t="s">
        <v>120</v>
      </c>
      <c r="C10" t="s">
        <v>402</v>
      </c>
      <c r="D10">
        <v>1100000</v>
      </c>
      <c r="E10" t="s">
        <v>129</v>
      </c>
    </row>
    <row r="11" spans="1:5" x14ac:dyDescent="0.25">
      <c r="A11" s="14">
        <v>42511.368414351855</v>
      </c>
      <c r="B11" t="s">
        <v>119</v>
      </c>
      <c r="C11" t="s">
        <v>397</v>
      </c>
      <c r="D11">
        <v>1360000</v>
      </c>
      <c r="E11" t="s">
        <v>218</v>
      </c>
    </row>
    <row r="12" spans="1:5" x14ac:dyDescent="0.25">
      <c r="A12" s="14">
        <v>42511.317893518521</v>
      </c>
      <c r="B12" t="s">
        <v>131</v>
      </c>
      <c r="C12" t="s">
        <v>380</v>
      </c>
      <c r="D12">
        <v>1100000</v>
      </c>
      <c r="E12" t="s">
        <v>129</v>
      </c>
    </row>
    <row r="13" spans="1:5" x14ac:dyDescent="0.25">
      <c r="A13" s="14">
        <v>42511.389953703707</v>
      </c>
      <c r="B13" t="s">
        <v>131</v>
      </c>
      <c r="C13" t="s">
        <v>403</v>
      </c>
      <c r="D13">
        <v>1100000</v>
      </c>
      <c r="E13" t="s">
        <v>129</v>
      </c>
    </row>
    <row r="14" spans="1:5" x14ac:dyDescent="0.25">
      <c r="A14" s="14">
        <v>42511.306817129633</v>
      </c>
      <c r="B14" t="s">
        <v>569</v>
      </c>
      <c r="C14" t="s">
        <v>375</v>
      </c>
      <c r="D14">
        <v>900000</v>
      </c>
      <c r="E14" t="s">
        <v>574</v>
      </c>
    </row>
    <row r="15" spans="1:5" x14ac:dyDescent="0.25">
      <c r="A15" s="14">
        <v>42511.475717592592</v>
      </c>
      <c r="B15" t="s">
        <v>118</v>
      </c>
      <c r="C15" t="s">
        <v>444</v>
      </c>
      <c r="D15">
        <v>940000</v>
      </c>
      <c r="E15" t="s">
        <v>576</v>
      </c>
    </row>
    <row r="16" spans="1:5" x14ac:dyDescent="0.25">
      <c r="A16" s="14">
        <v>42511.281493055554</v>
      </c>
      <c r="B16" t="s">
        <v>120</v>
      </c>
      <c r="C16" t="s">
        <v>377</v>
      </c>
      <c r="D16">
        <v>1100000</v>
      </c>
      <c r="E16" t="s">
        <v>129</v>
      </c>
    </row>
    <row r="17" spans="1:5" x14ac:dyDescent="0.25">
      <c r="A17" s="14">
        <v>42511.502928240741</v>
      </c>
      <c r="B17" t="s">
        <v>65</v>
      </c>
      <c r="C17" t="s">
        <v>443</v>
      </c>
      <c r="D17">
        <v>1470000</v>
      </c>
      <c r="E17" t="s">
        <v>577</v>
      </c>
    </row>
    <row r="18" spans="1:5" x14ac:dyDescent="0.25">
      <c r="A18" s="14">
        <v>42511.247673611113</v>
      </c>
      <c r="B18" t="s">
        <v>65</v>
      </c>
      <c r="C18" t="s">
        <v>352</v>
      </c>
      <c r="D18">
        <v>1100000</v>
      </c>
      <c r="E18" t="s">
        <v>129</v>
      </c>
    </row>
    <row r="19" spans="1:5" x14ac:dyDescent="0.25">
      <c r="A19" s="14">
        <v>42511.561620370368</v>
      </c>
      <c r="B19" t="s">
        <v>571</v>
      </c>
      <c r="C19" t="s">
        <v>457</v>
      </c>
      <c r="D19">
        <v>1190000</v>
      </c>
      <c r="E19" t="s">
        <v>575</v>
      </c>
    </row>
    <row r="20" spans="1:5" x14ac:dyDescent="0.25">
      <c r="A20" s="14">
        <v>42511.234502314815</v>
      </c>
      <c r="B20" t="s">
        <v>578</v>
      </c>
      <c r="C20" t="s">
        <v>362</v>
      </c>
      <c r="D20">
        <v>1480000</v>
      </c>
      <c r="E20" t="s">
        <v>134</v>
      </c>
    </row>
    <row r="21" spans="1:5" x14ac:dyDescent="0.25">
      <c r="A21" s="14">
        <v>42511.61273148148</v>
      </c>
      <c r="B21" t="s">
        <v>573</v>
      </c>
      <c r="C21" t="s">
        <v>579</v>
      </c>
      <c r="D21">
        <v>1190000</v>
      </c>
      <c r="E21" t="s">
        <v>575</v>
      </c>
    </row>
    <row r="22" spans="1:5" x14ac:dyDescent="0.25">
      <c r="A22" s="14">
        <v>42511.214490740742</v>
      </c>
      <c r="B22" t="s">
        <v>131</v>
      </c>
      <c r="C22" t="s">
        <v>341</v>
      </c>
      <c r="D22">
        <v>1430000</v>
      </c>
      <c r="E22" t="s">
        <v>130</v>
      </c>
    </row>
    <row r="23" spans="1:5" x14ac:dyDescent="0.25">
      <c r="A23" s="14">
        <v>42511.615844907406</v>
      </c>
      <c r="B23" t="s">
        <v>573</v>
      </c>
      <c r="C23" t="s">
        <v>471</v>
      </c>
      <c r="D23">
        <v>1190000</v>
      </c>
      <c r="E23" t="s">
        <v>575</v>
      </c>
    </row>
    <row r="24" spans="1:5" x14ac:dyDescent="0.25">
      <c r="A24" s="14">
        <v>42511.18240740741</v>
      </c>
      <c r="B24" t="s">
        <v>118</v>
      </c>
      <c r="C24" t="s">
        <v>342</v>
      </c>
      <c r="D24">
        <v>1360000</v>
      </c>
      <c r="E24" t="s">
        <v>218</v>
      </c>
    </row>
    <row r="25" spans="1:5" x14ac:dyDescent="0.25">
      <c r="A25" s="14">
        <v>42511.623622685183</v>
      </c>
      <c r="B25" t="s">
        <v>219</v>
      </c>
      <c r="C25" t="s">
        <v>474</v>
      </c>
      <c r="D25">
        <v>950000</v>
      </c>
      <c r="E25" t="s">
        <v>580</v>
      </c>
    </row>
    <row r="26" spans="1:5" x14ac:dyDescent="0.25">
      <c r="A26" s="14">
        <v>42511.608553240738</v>
      </c>
      <c r="B26" t="s">
        <v>570</v>
      </c>
      <c r="C26" t="s">
        <v>466</v>
      </c>
      <c r="D26">
        <v>880000</v>
      </c>
      <c r="E26" t="s">
        <v>111</v>
      </c>
    </row>
    <row r="27" spans="1:5" x14ac:dyDescent="0.25">
      <c r="A27" s="14">
        <v>42511.640486111108</v>
      </c>
      <c r="B27" t="s">
        <v>65</v>
      </c>
      <c r="C27" t="s">
        <v>476</v>
      </c>
      <c r="D27">
        <v>1470000</v>
      </c>
      <c r="E27" t="s">
        <v>577</v>
      </c>
    </row>
    <row r="28" spans="1:5" x14ac:dyDescent="0.25">
      <c r="A28" s="14">
        <v>42511.194490740738</v>
      </c>
      <c r="B28" t="s">
        <v>219</v>
      </c>
      <c r="C28" t="s">
        <v>338</v>
      </c>
      <c r="D28">
        <v>1480000</v>
      </c>
      <c r="E28" t="s">
        <v>134</v>
      </c>
    </row>
    <row r="29" spans="1:5" x14ac:dyDescent="0.25">
      <c r="A29" s="14">
        <v>42511.665300925924</v>
      </c>
      <c r="B29" t="s">
        <v>578</v>
      </c>
      <c r="C29" t="s">
        <v>493</v>
      </c>
      <c r="D29">
        <v>950000</v>
      </c>
      <c r="E29" t="s">
        <v>580</v>
      </c>
    </row>
    <row r="30" spans="1:5" x14ac:dyDescent="0.25">
      <c r="A30" s="14">
        <v>42511.13208333333</v>
      </c>
      <c r="B30" t="s">
        <v>64</v>
      </c>
      <c r="C30" t="s">
        <v>331</v>
      </c>
      <c r="D30">
        <v>1300000</v>
      </c>
      <c r="E30" t="s">
        <v>113</v>
      </c>
    </row>
    <row r="31" spans="1:5" x14ac:dyDescent="0.25">
      <c r="A31" s="14">
        <v>42511.731898148151</v>
      </c>
      <c r="B31" t="s">
        <v>571</v>
      </c>
      <c r="C31" t="s">
        <v>516</v>
      </c>
      <c r="D31">
        <v>1490000</v>
      </c>
      <c r="E31" t="s">
        <v>581</v>
      </c>
    </row>
    <row r="32" spans="1:5" x14ac:dyDescent="0.25">
      <c r="A32" s="14">
        <v>42512.071226851855</v>
      </c>
      <c r="B32" t="s">
        <v>569</v>
      </c>
      <c r="C32" t="s">
        <v>566</v>
      </c>
      <c r="D32">
        <v>1410000</v>
      </c>
      <c r="E32" t="s">
        <v>158</v>
      </c>
    </row>
    <row r="33" spans="1:5" x14ac:dyDescent="0.25">
      <c r="A33" s="14">
        <v>42511.734027777777</v>
      </c>
      <c r="B33" t="s">
        <v>135</v>
      </c>
      <c r="C33" t="s">
        <v>506</v>
      </c>
      <c r="D33">
        <v>1120000</v>
      </c>
      <c r="E33" t="s">
        <v>582</v>
      </c>
    </row>
    <row r="34" spans="1:5" x14ac:dyDescent="0.25">
      <c r="A34" s="14">
        <v>42512.058576388888</v>
      </c>
      <c r="B34" t="s">
        <v>135</v>
      </c>
      <c r="C34" t="s">
        <v>564</v>
      </c>
      <c r="D34">
        <v>1240000</v>
      </c>
      <c r="E34" t="s">
        <v>583</v>
      </c>
    </row>
    <row r="35" spans="1:5" x14ac:dyDescent="0.25">
      <c r="A35" s="14">
        <v>42511.739432870374</v>
      </c>
      <c r="B35" t="s">
        <v>572</v>
      </c>
      <c r="C35" t="s">
        <v>518</v>
      </c>
      <c r="D35">
        <v>1180000</v>
      </c>
      <c r="E35" t="s">
        <v>584</v>
      </c>
    </row>
    <row r="36" spans="1:5" x14ac:dyDescent="0.25">
      <c r="A36" s="14">
        <v>42511.740960648145</v>
      </c>
      <c r="B36" t="s">
        <v>572</v>
      </c>
      <c r="C36" t="s">
        <v>518</v>
      </c>
      <c r="D36">
        <v>1180000</v>
      </c>
      <c r="E36" t="s">
        <v>584</v>
      </c>
    </row>
    <row r="37" spans="1:5" x14ac:dyDescent="0.25">
      <c r="A37" s="14">
        <v>42511.74627314815</v>
      </c>
      <c r="B37" t="s">
        <v>119</v>
      </c>
      <c r="C37" t="s">
        <v>500</v>
      </c>
      <c r="D37">
        <v>940000</v>
      </c>
      <c r="E37" t="s">
        <v>576</v>
      </c>
    </row>
    <row r="38" spans="1:5" x14ac:dyDescent="0.25">
      <c r="A38" s="14">
        <v>42511.704664351855</v>
      </c>
      <c r="B38" t="s">
        <v>219</v>
      </c>
      <c r="C38" t="s">
        <v>494</v>
      </c>
      <c r="D38">
        <v>950000</v>
      </c>
      <c r="E38" t="s">
        <v>580</v>
      </c>
    </row>
    <row r="39" spans="1:5" x14ac:dyDescent="0.25">
      <c r="A39" s="14">
        <v>42511.755243055559</v>
      </c>
      <c r="B39" t="s">
        <v>569</v>
      </c>
      <c r="C39" t="s">
        <v>514</v>
      </c>
      <c r="D39">
        <v>1340000</v>
      </c>
      <c r="E39" t="s">
        <v>585</v>
      </c>
    </row>
    <row r="40" spans="1:5" x14ac:dyDescent="0.25">
      <c r="A40" s="14">
        <v>42511.525902777779</v>
      </c>
      <c r="B40" t="s">
        <v>571</v>
      </c>
      <c r="C40" t="s">
        <v>457</v>
      </c>
      <c r="D40">
        <v>1190000</v>
      </c>
      <c r="E40" t="s">
        <v>575</v>
      </c>
    </row>
    <row r="41" spans="1:5" x14ac:dyDescent="0.25">
      <c r="A41" s="14">
        <v>42511.76666666667</v>
      </c>
      <c r="B41" t="s">
        <v>573</v>
      </c>
      <c r="C41" t="s">
        <v>517</v>
      </c>
      <c r="D41">
        <v>1490000</v>
      </c>
      <c r="E41" t="s">
        <v>581</v>
      </c>
    </row>
    <row r="42" spans="1:5" x14ac:dyDescent="0.25">
      <c r="A42" s="14">
        <v>42511.481550925928</v>
      </c>
      <c r="B42" t="s">
        <v>573</v>
      </c>
      <c r="C42" t="s">
        <v>434</v>
      </c>
      <c r="D42">
        <v>1190000</v>
      </c>
      <c r="E42" t="s">
        <v>575</v>
      </c>
    </row>
    <row r="43" spans="1:5" x14ac:dyDescent="0.25">
      <c r="A43" s="14">
        <v>42511.789259259262</v>
      </c>
      <c r="B43" t="s">
        <v>568</v>
      </c>
      <c r="C43" t="s">
        <v>529</v>
      </c>
      <c r="D43">
        <v>1410000</v>
      </c>
      <c r="E43" t="s">
        <v>158</v>
      </c>
    </row>
    <row r="44" spans="1:5" x14ac:dyDescent="0.25">
      <c r="A44" s="14">
        <v>42511.470439814817</v>
      </c>
      <c r="B44" t="s">
        <v>570</v>
      </c>
      <c r="C44" t="s">
        <v>429</v>
      </c>
      <c r="D44">
        <v>1100000</v>
      </c>
      <c r="E44" t="s">
        <v>129</v>
      </c>
    </row>
    <row r="45" spans="1:5" x14ac:dyDescent="0.25">
      <c r="A45" s="14">
        <v>42511.807696759257</v>
      </c>
      <c r="B45" t="s">
        <v>135</v>
      </c>
      <c r="C45" t="s">
        <v>528</v>
      </c>
      <c r="D45">
        <v>1240000</v>
      </c>
      <c r="E45" t="s">
        <v>583</v>
      </c>
    </row>
    <row r="46" spans="1:5" x14ac:dyDescent="0.25">
      <c r="A46" s="14">
        <v>42511.420023148145</v>
      </c>
      <c r="B46" t="s">
        <v>219</v>
      </c>
      <c r="C46" t="s">
        <v>414</v>
      </c>
      <c r="D46">
        <v>1480000</v>
      </c>
      <c r="E46" t="s">
        <v>134</v>
      </c>
    </row>
    <row r="47" spans="1:5" x14ac:dyDescent="0.25">
      <c r="A47" s="14">
        <v>42511.808217592596</v>
      </c>
      <c r="B47" t="s">
        <v>572</v>
      </c>
      <c r="C47" t="s">
        <v>532</v>
      </c>
      <c r="D47">
        <v>1180000</v>
      </c>
      <c r="E47" t="s">
        <v>584</v>
      </c>
    </row>
    <row r="48" spans="1:5" x14ac:dyDescent="0.25">
      <c r="A48" s="14">
        <v>42511.359432870369</v>
      </c>
      <c r="B48" t="s">
        <v>135</v>
      </c>
      <c r="C48" t="s">
        <v>394</v>
      </c>
      <c r="D48">
        <v>1430000</v>
      </c>
      <c r="E48" t="s">
        <v>130</v>
      </c>
    </row>
    <row r="49" spans="1:5" x14ac:dyDescent="0.25">
      <c r="A49" s="14">
        <v>42511.822696759256</v>
      </c>
      <c r="B49" t="s">
        <v>569</v>
      </c>
      <c r="C49" t="s">
        <v>531</v>
      </c>
      <c r="D49">
        <v>1410000</v>
      </c>
      <c r="E49" t="s">
        <v>158</v>
      </c>
    </row>
    <row r="50" spans="1:5" x14ac:dyDescent="0.25">
      <c r="A50" s="14">
        <v>42511.844710648147</v>
      </c>
      <c r="B50" t="s">
        <v>570</v>
      </c>
      <c r="C50" t="s">
        <v>534</v>
      </c>
      <c r="D50">
        <v>1180000</v>
      </c>
      <c r="E50" t="s">
        <v>584</v>
      </c>
    </row>
    <row r="51" spans="1:5" x14ac:dyDescent="0.25">
      <c r="A51" s="14">
        <v>42511.887754629628</v>
      </c>
      <c r="B51" t="s">
        <v>572</v>
      </c>
      <c r="C51" t="s">
        <v>543</v>
      </c>
      <c r="D51">
        <v>1180000</v>
      </c>
      <c r="E51" t="s">
        <v>584</v>
      </c>
    </row>
    <row r="52" spans="1:5" x14ac:dyDescent="0.25">
      <c r="A52" s="14">
        <v>42512.188703703701</v>
      </c>
      <c r="B52" t="s">
        <v>92</v>
      </c>
      <c r="C52" t="s">
        <v>586</v>
      </c>
      <c r="D52">
        <v>1510000</v>
      </c>
      <c r="E52" t="s">
        <v>587</v>
      </c>
    </row>
    <row r="53" spans="1:5" x14ac:dyDescent="0.25">
      <c r="A53" s="14">
        <v>42511.889780092592</v>
      </c>
      <c r="B53" t="s">
        <v>135</v>
      </c>
      <c r="C53" t="s">
        <v>540</v>
      </c>
      <c r="D53">
        <v>1240000</v>
      </c>
      <c r="E53" t="s">
        <v>583</v>
      </c>
    </row>
    <row r="54" spans="1:5" x14ac:dyDescent="0.25">
      <c r="A54" s="14">
        <v>42511.61478009259</v>
      </c>
      <c r="B54" t="s">
        <v>573</v>
      </c>
      <c r="C54" t="s">
        <v>471</v>
      </c>
      <c r="D54">
        <v>1190000</v>
      </c>
      <c r="E54" t="s">
        <v>575</v>
      </c>
    </row>
    <row r="55" spans="1:5" x14ac:dyDescent="0.25">
      <c r="A55" s="14">
        <v>42512.12572916667</v>
      </c>
      <c r="B55" t="s">
        <v>120</v>
      </c>
      <c r="C55" t="s">
        <v>588</v>
      </c>
      <c r="D55">
        <v>1300000</v>
      </c>
      <c r="E55" t="s">
        <v>113</v>
      </c>
    </row>
    <row r="56" spans="1:5" x14ac:dyDescent="0.25">
      <c r="A56" s="14">
        <v>42511.50980324074</v>
      </c>
      <c r="B56" t="s">
        <v>119</v>
      </c>
      <c r="C56" t="s">
        <v>446</v>
      </c>
      <c r="D56">
        <v>940000</v>
      </c>
      <c r="E56" t="s">
        <v>576</v>
      </c>
    </row>
    <row r="57" spans="1:5" x14ac:dyDescent="0.25">
      <c r="A57" s="14">
        <v>42511.174375000002</v>
      </c>
      <c r="B57" t="s">
        <v>570</v>
      </c>
      <c r="C57" t="s">
        <v>334</v>
      </c>
      <c r="D57">
        <v>1300000</v>
      </c>
      <c r="E57" t="s">
        <v>113</v>
      </c>
    </row>
    <row r="58" spans="1:5" x14ac:dyDescent="0.25">
      <c r="A58" s="14">
        <v>42511.94902777778</v>
      </c>
      <c r="B58" t="s">
        <v>568</v>
      </c>
      <c r="C58" t="s">
        <v>552</v>
      </c>
      <c r="D58">
        <v>1410000</v>
      </c>
      <c r="E58" t="s">
        <v>158</v>
      </c>
    </row>
    <row r="59" spans="1:5" x14ac:dyDescent="0.25">
      <c r="A59" s="14">
        <v>42511.233831018515</v>
      </c>
      <c r="B59" t="s">
        <v>571</v>
      </c>
      <c r="C59" t="s">
        <v>357</v>
      </c>
      <c r="D59">
        <v>1230000</v>
      </c>
      <c r="E59" t="s">
        <v>589</v>
      </c>
    </row>
    <row r="60" spans="1:5" x14ac:dyDescent="0.25">
      <c r="A60" s="14">
        <v>42511.932847222219</v>
      </c>
      <c r="B60" t="s">
        <v>136</v>
      </c>
      <c r="C60" t="s">
        <v>550</v>
      </c>
      <c r="D60">
        <v>1240000</v>
      </c>
      <c r="E60" t="s">
        <v>583</v>
      </c>
    </row>
    <row r="61" spans="1:5" x14ac:dyDescent="0.25">
      <c r="A61" s="14">
        <v>42511.256238425929</v>
      </c>
      <c r="B61" t="s">
        <v>570</v>
      </c>
      <c r="C61" t="s">
        <v>356</v>
      </c>
      <c r="D61">
        <v>1300000</v>
      </c>
      <c r="E61" t="s">
        <v>113</v>
      </c>
    </row>
    <row r="62" spans="1:5" x14ac:dyDescent="0.25">
      <c r="A62" s="14">
        <v>42511.786539351851</v>
      </c>
      <c r="B62" t="s">
        <v>65</v>
      </c>
      <c r="C62" t="s">
        <v>523</v>
      </c>
      <c r="D62">
        <v>950000</v>
      </c>
      <c r="E62" t="s">
        <v>580</v>
      </c>
    </row>
    <row r="63" spans="1:5" x14ac:dyDescent="0.25">
      <c r="A63" s="14">
        <v>42511.287326388891</v>
      </c>
      <c r="B63" t="s">
        <v>135</v>
      </c>
      <c r="C63" t="s">
        <v>368</v>
      </c>
      <c r="D63">
        <v>1430000</v>
      </c>
      <c r="E63" t="s">
        <v>130</v>
      </c>
    </row>
    <row r="64" spans="1:5" x14ac:dyDescent="0.25">
      <c r="A64" s="14">
        <v>42511.722928240742</v>
      </c>
      <c r="B64" t="s">
        <v>568</v>
      </c>
      <c r="C64" t="s">
        <v>511</v>
      </c>
      <c r="D64">
        <v>1340000</v>
      </c>
      <c r="E64" t="s">
        <v>585</v>
      </c>
    </row>
    <row r="65" spans="1:5" x14ac:dyDescent="0.25">
      <c r="A65" s="14">
        <v>42511.311006944445</v>
      </c>
      <c r="B65" t="s">
        <v>64</v>
      </c>
      <c r="C65" t="s">
        <v>388</v>
      </c>
      <c r="D65">
        <v>1510000</v>
      </c>
      <c r="E65" t="s">
        <v>587</v>
      </c>
    </row>
    <row r="66" spans="1:5" x14ac:dyDescent="0.25">
      <c r="A66" s="14">
        <v>42511.633842592593</v>
      </c>
      <c r="B66" t="s">
        <v>120</v>
      </c>
      <c r="C66" t="s">
        <v>483</v>
      </c>
      <c r="D66">
        <v>1260000</v>
      </c>
      <c r="E66" t="s">
        <v>590</v>
      </c>
    </row>
    <row r="67" spans="1:5" x14ac:dyDescent="0.25">
      <c r="A67" s="14">
        <v>42511.322835648149</v>
      </c>
      <c r="B67" t="s">
        <v>136</v>
      </c>
      <c r="C67" t="s">
        <v>391</v>
      </c>
      <c r="D67">
        <v>1430000</v>
      </c>
      <c r="E67" t="s">
        <v>130</v>
      </c>
    </row>
    <row r="68" spans="1:5" x14ac:dyDescent="0.25">
      <c r="A68" s="14">
        <v>42511.615590277775</v>
      </c>
      <c r="B68" t="s">
        <v>136</v>
      </c>
      <c r="C68" t="s">
        <v>477</v>
      </c>
      <c r="D68">
        <v>1120000</v>
      </c>
      <c r="E68" t="s">
        <v>582</v>
      </c>
    </row>
    <row r="69" spans="1:5" x14ac:dyDescent="0.25">
      <c r="A69" s="14">
        <v>42511.35434027778</v>
      </c>
      <c r="B69" t="s">
        <v>120</v>
      </c>
      <c r="C69" t="s">
        <v>402</v>
      </c>
      <c r="D69">
        <v>1100000</v>
      </c>
      <c r="E69" t="s">
        <v>129</v>
      </c>
    </row>
    <row r="70" spans="1:5" x14ac:dyDescent="0.25">
      <c r="A70" s="14">
        <v>42511.487187500003</v>
      </c>
      <c r="B70" t="s">
        <v>136</v>
      </c>
      <c r="C70" t="s">
        <v>449</v>
      </c>
      <c r="D70">
        <v>1120000</v>
      </c>
      <c r="E70" t="s">
        <v>582</v>
      </c>
    </row>
    <row r="71" spans="1:5" x14ac:dyDescent="0.25">
      <c r="A71" s="14">
        <v>42511.362256944441</v>
      </c>
      <c r="B71" t="s">
        <v>572</v>
      </c>
      <c r="C71" t="s">
        <v>404</v>
      </c>
      <c r="D71">
        <v>1300000</v>
      </c>
      <c r="E71" t="s">
        <v>113</v>
      </c>
    </row>
    <row r="72" spans="1:5" x14ac:dyDescent="0.25">
      <c r="A72" s="14">
        <v>42511.338472222225</v>
      </c>
      <c r="B72" t="s">
        <v>573</v>
      </c>
      <c r="C72" t="s">
        <v>387</v>
      </c>
      <c r="D72">
        <v>1230000</v>
      </c>
      <c r="E72" t="s">
        <v>589</v>
      </c>
    </row>
    <row r="73" spans="1:5" x14ac:dyDescent="0.25">
      <c r="A73" s="14">
        <v>42511.371620370373</v>
      </c>
      <c r="B73" t="s">
        <v>578</v>
      </c>
      <c r="C73" t="s">
        <v>411</v>
      </c>
      <c r="D73">
        <v>1480000</v>
      </c>
      <c r="E73" t="s">
        <v>134</v>
      </c>
    </row>
    <row r="74" spans="1:5" x14ac:dyDescent="0.25">
      <c r="A74" s="14">
        <v>42511.253125000003</v>
      </c>
      <c r="B74" t="s">
        <v>136</v>
      </c>
      <c r="C74" t="s">
        <v>366</v>
      </c>
      <c r="D74">
        <v>1430000</v>
      </c>
      <c r="E74" t="s">
        <v>130</v>
      </c>
    </row>
    <row r="75" spans="1:5" x14ac:dyDescent="0.25">
      <c r="A75" s="14">
        <v>42511.49726851852</v>
      </c>
      <c r="B75" t="s">
        <v>120</v>
      </c>
      <c r="C75" t="s">
        <v>453</v>
      </c>
      <c r="D75">
        <v>1260000</v>
      </c>
      <c r="E75" t="s">
        <v>590</v>
      </c>
    </row>
    <row r="76" spans="1:5" x14ac:dyDescent="0.25">
      <c r="A76" s="14">
        <v>42511.68440972222</v>
      </c>
      <c r="B76" t="s">
        <v>570</v>
      </c>
      <c r="C76" t="s">
        <v>489</v>
      </c>
      <c r="D76">
        <v>880000</v>
      </c>
      <c r="E76" t="s">
        <v>111</v>
      </c>
    </row>
    <row r="77" spans="1:5" x14ac:dyDescent="0.25">
      <c r="A77" s="14">
        <v>42511.60696759259</v>
      </c>
      <c r="B77" t="s">
        <v>570</v>
      </c>
      <c r="C77" t="s">
        <v>466</v>
      </c>
      <c r="D77">
        <v>880000</v>
      </c>
      <c r="E77" t="s">
        <v>111</v>
      </c>
    </row>
    <row r="78" spans="1:5" x14ac:dyDescent="0.25">
      <c r="A78" s="14">
        <v>42511.58216435185</v>
      </c>
      <c r="B78" t="s">
        <v>572</v>
      </c>
      <c r="C78" t="s">
        <v>455</v>
      </c>
      <c r="D78">
        <v>880000</v>
      </c>
      <c r="E78" t="s">
        <v>111</v>
      </c>
    </row>
    <row r="79" spans="1:5" x14ac:dyDescent="0.25">
      <c r="A79" s="14">
        <v>42511.828668981485</v>
      </c>
      <c r="B79" t="s">
        <v>118</v>
      </c>
      <c r="C79" t="s">
        <v>536</v>
      </c>
      <c r="D79">
        <v>1500000</v>
      </c>
      <c r="E79" t="s">
        <v>591</v>
      </c>
    </row>
    <row r="80" spans="1:5" x14ac:dyDescent="0.25">
      <c r="A80" s="14">
        <v>42511.442743055559</v>
      </c>
      <c r="B80" t="s">
        <v>571</v>
      </c>
      <c r="C80" t="s">
        <v>431</v>
      </c>
      <c r="D80">
        <v>1190000</v>
      </c>
      <c r="E80" t="s">
        <v>575</v>
      </c>
    </row>
    <row r="81" spans="1:5" x14ac:dyDescent="0.25">
      <c r="A81" s="14">
        <v>42511.930937500001</v>
      </c>
      <c r="B81" t="s">
        <v>570</v>
      </c>
      <c r="C81" t="s">
        <v>545</v>
      </c>
      <c r="D81">
        <v>1180000</v>
      </c>
      <c r="E81" t="s">
        <v>584</v>
      </c>
    </row>
    <row r="82" spans="1:5" x14ac:dyDescent="0.25">
      <c r="A82" s="14">
        <v>42512.03434027778</v>
      </c>
      <c r="B82" t="s">
        <v>119</v>
      </c>
      <c r="C82" t="s">
        <v>561</v>
      </c>
      <c r="D82">
        <v>1500000</v>
      </c>
      <c r="E82" t="s">
        <v>591</v>
      </c>
    </row>
    <row r="83" spans="1:5" x14ac:dyDescent="0.25">
      <c r="A83" s="14">
        <v>42511.972326388888</v>
      </c>
      <c r="B83" t="s">
        <v>572</v>
      </c>
      <c r="C83" t="s">
        <v>554</v>
      </c>
      <c r="D83">
        <v>1180000</v>
      </c>
      <c r="E83" t="s">
        <v>584</v>
      </c>
    </row>
    <row r="84" spans="1:5" x14ac:dyDescent="0.25">
      <c r="A84" s="14">
        <v>42511.86519675926</v>
      </c>
      <c r="B84" t="s">
        <v>568</v>
      </c>
      <c r="C84" t="s">
        <v>541</v>
      </c>
      <c r="D84">
        <v>1410000</v>
      </c>
      <c r="E84" t="s">
        <v>158</v>
      </c>
    </row>
    <row r="85" spans="1:5" x14ac:dyDescent="0.25">
      <c r="A85" s="14">
        <v>42512.168622685182</v>
      </c>
      <c r="B85" t="s">
        <v>65</v>
      </c>
      <c r="C85" t="s">
        <v>592</v>
      </c>
      <c r="D85">
        <v>1300000</v>
      </c>
      <c r="E85" t="s">
        <v>113</v>
      </c>
    </row>
    <row r="86" spans="1:5" x14ac:dyDescent="0.25">
      <c r="A86" s="14">
        <v>42511.79650462963</v>
      </c>
      <c r="B86" t="s">
        <v>119</v>
      </c>
      <c r="C86" t="s">
        <v>525</v>
      </c>
      <c r="D86">
        <v>1500000</v>
      </c>
      <c r="E86" t="s">
        <v>591</v>
      </c>
    </row>
    <row r="87" spans="1:5" x14ac:dyDescent="0.25">
      <c r="A87" s="14">
        <v>42511.498680555553</v>
      </c>
      <c r="B87" t="s">
        <v>120</v>
      </c>
      <c r="C87" t="s">
        <v>453</v>
      </c>
      <c r="D87">
        <v>1260000</v>
      </c>
      <c r="E87" t="s">
        <v>590</v>
      </c>
    </row>
    <row r="88" spans="1:5" x14ac:dyDescent="0.25">
      <c r="A88" s="14">
        <v>42511.766770833332</v>
      </c>
      <c r="B88" t="s">
        <v>136</v>
      </c>
      <c r="C88" t="s">
        <v>526</v>
      </c>
      <c r="D88">
        <v>1240000</v>
      </c>
      <c r="E88" t="s">
        <v>583</v>
      </c>
    </row>
    <row r="89" spans="1:5" x14ac:dyDescent="0.25">
      <c r="A89" s="14">
        <v>42511.906168981484</v>
      </c>
      <c r="B89" t="s">
        <v>569</v>
      </c>
      <c r="C89" t="s">
        <v>542</v>
      </c>
      <c r="D89">
        <v>1410000</v>
      </c>
      <c r="E89" t="s">
        <v>158</v>
      </c>
    </row>
    <row r="90" spans="1:5" x14ac:dyDescent="0.25">
      <c r="A90" s="14">
        <v>42511.607685185183</v>
      </c>
      <c r="B90" t="s">
        <v>570</v>
      </c>
      <c r="C90" t="s">
        <v>466</v>
      </c>
      <c r="D90">
        <v>880000</v>
      </c>
      <c r="E90" t="s">
        <v>111</v>
      </c>
    </row>
    <row r="91" spans="1:5" x14ac:dyDescent="0.25">
      <c r="A91" s="14">
        <v>42511.629270833335</v>
      </c>
      <c r="B91" t="s">
        <v>568</v>
      </c>
      <c r="C91" t="s">
        <v>480</v>
      </c>
      <c r="D91">
        <v>1340000</v>
      </c>
      <c r="E91" t="s">
        <v>585</v>
      </c>
    </row>
    <row r="92" spans="1:5" x14ac:dyDescent="0.25">
      <c r="A92" s="14">
        <v>42511.602662037039</v>
      </c>
      <c r="B92" t="s">
        <v>118</v>
      </c>
      <c r="C92" t="s">
        <v>446</v>
      </c>
      <c r="D92">
        <v>940000</v>
      </c>
      <c r="E92" t="s">
        <v>576</v>
      </c>
    </row>
    <row r="93" spans="1:5" x14ac:dyDescent="0.25">
      <c r="A93" s="14">
        <v>42511.659629629627</v>
      </c>
      <c r="B93" t="s">
        <v>571</v>
      </c>
      <c r="C93" t="s">
        <v>457</v>
      </c>
      <c r="D93">
        <v>1190000</v>
      </c>
      <c r="E93" t="s">
        <v>575</v>
      </c>
    </row>
    <row r="94" spans="1:5" x14ac:dyDescent="0.25">
      <c r="A94" s="14">
        <v>42511.461712962962</v>
      </c>
      <c r="B94" t="s">
        <v>131</v>
      </c>
      <c r="C94" t="s">
        <v>426</v>
      </c>
      <c r="D94">
        <v>1260000</v>
      </c>
      <c r="E94" t="s">
        <v>590</v>
      </c>
    </row>
    <row r="95" spans="1:5" x14ac:dyDescent="0.25">
      <c r="A95" s="14">
        <v>42511.993634259263</v>
      </c>
      <c r="B95" t="s">
        <v>569</v>
      </c>
      <c r="C95" t="s">
        <v>553</v>
      </c>
      <c r="D95">
        <v>1410000</v>
      </c>
      <c r="E95" t="s">
        <v>158</v>
      </c>
    </row>
    <row r="96" spans="1:5" x14ac:dyDescent="0.25">
      <c r="A96" s="14">
        <v>42512.01703703704</v>
      </c>
      <c r="B96" t="s">
        <v>136</v>
      </c>
      <c r="C96" t="s">
        <v>563</v>
      </c>
      <c r="D96">
        <v>1240000</v>
      </c>
      <c r="E96" t="s">
        <v>583</v>
      </c>
    </row>
    <row r="97" spans="1:5" x14ac:dyDescent="0.25">
      <c r="A97" s="14">
        <v>42511.994108796294</v>
      </c>
      <c r="B97" t="s">
        <v>572</v>
      </c>
      <c r="C97" t="s">
        <v>554</v>
      </c>
      <c r="D97">
        <v>1180000</v>
      </c>
      <c r="E97" t="s">
        <v>584</v>
      </c>
    </row>
    <row r="98" spans="1:5" x14ac:dyDescent="0.25">
      <c r="A98" s="14">
        <v>42511.751469907409</v>
      </c>
      <c r="B98" t="s">
        <v>64</v>
      </c>
      <c r="C98" t="s">
        <v>521</v>
      </c>
      <c r="D98">
        <v>950000</v>
      </c>
      <c r="E98" t="s">
        <v>580</v>
      </c>
    </row>
    <row r="99" spans="1:5" x14ac:dyDescent="0.25">
      <c r="A99" s="14">
        <v>42511.394293981481</v>
      </c>
      <c r="B99" t="s">
        <v>64</v>
      </c>
      <c r="C99" t="s">
        <v>416</v>
      </c>
      <c r="D99">
        <v>1430000</v>
      </c>
      <c r="E99" t="s">
        <v>130</v>
      </c>
    </row>
    <row r="100" spans="1:5" x14ac:dyDescent="0.25">
      <c r="A100" s="14">
        <v>42511.686076388891</v>
      </c>
      <c r="B100" t="s">
        <v>118</v>
      </c>
      <c r="C100" t="s">
        <v>499</v>
      </c>
      <c r="D100">
        <v>940000</v>
      </c>
      <c r="E100" t="s">
        <v>576</v>
      </c>
    </row>
    <row r="101" spans="1:5" x14ac:dyDescent="0.25">
      <c r="A101" s="14">
        <v>42511.547893518517</v>
      </c>
      <c r="B101" t="s">
        <v>578</v>
      </c>
      <c r="C101" t="s">
        <v>462</v>
      </c>
      <c r="D101">
        <v>950000</v>
      </c>
      <c r="E101" t="s">
        <v>580</v>
      </c>
    </row>
    <row r="102" spans="1:5" x14ac:dyDescent="0.25">
      <c r="A102" s="14">
        <v>42511.448344907411</v>
      </c>
      <c r="B102" t="s">
        <v>135</v>
      </c>
      <c r="C102" t="s">
        <v>424</v>
      </c>
      <c r="D102">
        <v>900000</v>
      </c>
      <c r="E102" t="s">
        <v>574</v>
      </c>
    </row>
    <row r="103" spans="1:5" x14ac:dyDescent="0.25">
      <c r="A103" s="14">
        <v>42512.015381944446</v>
      </c>
      <c r="B103" t="s">
        <v>570</v>
      </c>
      <c r="C103" t="s">
        <v>558</v>
      </c>
      <c r="D103">
        <v>1180000</v>
      </c>
      <c r="E103" t="s">
        <v>584</v>
      </c>
    </row>
    <row r="104" spans="1:5" x14ac:dyDescent="0.25">
      <c r="A104" s="14">
        <v>42511.192928240744</v>
      </c>
      <c r="B104" t="s">
        <v>568</v>
      </c>
      <c r="C104" t="s">
        <v>345</v>
      </c>
      <c r="D104">
        <v>900000</v>
      </c>
      <c r="E104" t="s">
        <v>574</v>
      </c>
    </row>
    <row r="105" spans="1:5" x14ac:dyDescent="0.25">
      <c r="A105" s="14">
        <v>42511.420717592591</v>
      </c>
      <c r="B105" t="s">
        <v>219</v>
      </c>
      <c r="C105" t="s">
        <v>414</v>
      </c>
      <c r="D105">
        <v>1480000</v>
      </c>
      <c r="E105" t="s">
        <v>134</v>
      </c>
    </row>
    <row r="106" spans="1:5" x14ac:dyDescent="0.25">
      <c r="A106" s="14">
        <v>42511.974687499998</v>
      </c>
      <c r="B106" t="s">
        <v>135</v>
      </c>
      <c r="C106" t="s">
        <v>551</v>
      </c>
      <c r="D106">
        <v>1240000</v>
      </c>
      <c r="E106" t="s">
        <v>583</v>
      </c>
    </row>
    <row r="107" spans="1:5" x14ac:dyDescent="0.25">
      <c r="A107" s="14">
        <v>42511.867488425924</v>
      </c>
      <c r="B107" t="s">
        <v>119</v>
      </c>
      <c r="C107" t="s">
        <v>537</v>
      </c>
      <c r="D107">
        <v>1500000</v>
      </c>
      <c r="E107" t="s">
        <v>591</v>
      </c>
    </row>
    <row r="108" spans="1:5" x14ac:dyDescent="0.25">
      <c r="A108" s="14">
        <v>42511.910902777781</v>
      </c>
      <c r="B108" t="s">
        <v>118</v>
      </c>
      <c r="C108" t="s">
        <v>547</v>
      </c>
      <c r="D108">
        <v>1500000</v>
      </c>
      <c r="E108" t="s">
        <v>591</v>
      </c>
    </row>
    <row r="109" spans="1:5" x14ac:dyDescent="0.25">
      <c r="A109" s="14">
        <v>42511.997812499998</v>
      </c>
      <c r="B109" t="s">
        <v>118</v>
      </c>
      <c r="C109" t="s">
        <v>560</v>
      </c>
      <c r="D109">
        <v>1500000</v>
      </c>
      <c r="E109" t="s">
        <v>591</v>
      </c>
    </row>
    <row r="110" spans="1:5" x14ac:dyDescent="0.25">
      <c r="A110" s="14">
        <v>42511.732662037037</v>
      </c>
      <c r="B110" t="s">
        <v>135</v>
      </c>
      <c r="C110" t="s">
        <v>506</v>
      </c>
      <c r="D110">
        <v>1120000</v>
      </c>
      <c r="E110" t="s">
        <v>582</v>
      </c>
    </row>
    <row r="111" spans="1:5" x14ac:dyDescent="0.25">
      <c r="A111" s="14">
        <v>42511.562916666669</v>
      </c>
      <c r="B111" t="s">
        <v>119</v>
      </c>
      <c r="C111" t="s">
        <v>446</v>
      </c>
      <c r="D111">
        <v>940000</v>
      </c>
      <c r="E111" t="s">
        <v>576</v>
      </c>
    </row>
    <row r="112" spans="1:5" x14ac:dyDescent="0.25">
      <c r="A112" s="14">
        <v>42511.696909722225</v>
      </c>
      <c r="B112" t="s">
        <v>136</v>
      </c>
      <c r="C112" t="s">
        <v>505</v>
      </c>
      <c r="D112">
        <v>1120000</v>
      </c>
      <c r="E112" t="s">
        <v>582</v>
      </c>
    </row>
    <row r="113" spans="1:5" x14ac:dyDescent="0.25">
      <c r="A113" s="14">
        <v>42511.603321759256</v>
      </c>
      <c r="B113" t="s">
        <v>118</v>
      </c>
      <c r="C113" t="s">
        <v>475</v>
      </c>
      <c r="D113">
        <v>940000</v>
      </c>
      <c r="E113" t="s">
        <v>576</v>
      </c>
    </row>
    <row r="114" spans="1:5" x14ac:dyDescent="0.25">
      <c r="A114" s="14">
        <v>42511.647372685184</v>
      </c>
      <c r="B114" t="s">
        <v>572</v>
      </c>
      <c r="C114" t="s">
        <v>487</v>
      </c>
      <c r="D114">
        <v>880000</v>
      </c>
      <c r="E114" t="s">
        <v>111</v>
      </c>
    </row>
    <row r="115" spans="1:5" x14ac:dyDescent="0.25">
      <c r="A115" s="14">
        <v>42511.744652777779</v>
      </c>
      <c r="B115" t="s">
        <v>131</v>
      </c>
      <c r="C115" t="s">
        <v>508</v>
      </c>
      <c r="D115">
        <v>1260000</v>
      </c>
      <c r="E115" t="s">
        <v>590</v>
      </c>
    </row>
    <row r="116" spans="1:5" x14ac:dyDescent="0.25">
      <c r="A116" s="14">
        <v>42511.604178240741</v>
      </c>
      <c r="B116" t="s">
        <v>64</v>
      </c>
      <c r="C116" t="s">
        <v>472</v>
      </c>
      <c r="D116">
        <v>1470000</v>
      </c>
      <c r="E116" t="s">
        <v>577</v>
      </c>
    </row>
    <row r="117" spans="1:5" x14ac:dyDescent="0.25">
      <c r="A117" s="14">
        <v>42511.457372685189</v>
      </c>
      <c r="B117" t="s">
        <v>578</v>
      </c>
      <c r="C117" t="s">
        <v>436</v>
      </c>
      <c r="D117">
        <v>1230000</v>
      </c>
      <c r="E117" t="s">
        <v>589</v>
      </c>
    </row>
    <row r="118" spans="1:5" x14ac:dyDescent="0.25">
      <c r="A118" s="14">
        <v>42511.515914351854</v>
      </c>
      <c r="B118" t="s">
        <v>572</v>
      </c>
      <c r="C118" t="s">
        <v>455</v>
      </c>
      <c r="D118">
        <v>880000</v>
      </c>
      <c r="E118" t="s">
        <v>111</v>
      </c>
    </row>
    <row r="119" spans="1:5" x14ac:dyDescent="0.25">
      <c r="A119" s="14">
        <v>42512.188217592593</v>
      </c>
      <c r="B119" t="s">
        <v>593</v>
      </c>
      <c r="C119" t="s">
        <v>594</v>
      </c>
      <c r="D119">
        <v>1760000</v>
      </c>
      <c r="E119" t="s">
        <v>143</v>
      </c>
    </row>
    <row r="120" spans="1:5" x14ac:dyDescent="0.25">
      <c r="A120" s="14">
        <v>42511.495324074072</v>
      </c>
      <c r="B120" t="s">
        <v>219</v>
      </c>
      <c r="C120" t="s">
        <v>437</v>
      </c>
      <c r="D120">
        <v>1230000</v>
      </c>
      <c r="E120" t="s">
        <v>589</v>
      </c>
    </row>
    <row r="121" spans="1:5" x14ac:dyDescent="0.25">
      <c r="A121" s="14">
        <v>42511.238206018519</v>
      </c>
      <c r="B121" t="s">
        <v>571</v>
      </c>
      <c r="C121" t="s">
        <v>357</v>
      </c>
      <c r="D121">
        <v>1230000</v>
      </c>
      <c r="E121" t="s">
        <v>589</v>
      </c>
    </row>
    <row r="122" spans="1:5" x14ac:dyDescent="0.25">
      <c r="A122" s="14">
        <v>42512.152326388888</v>
      </c>
      <c r="B122" t="s">
        <v>116</v>
      </c>
      <c r="C122" t="s">
        <v>595</v>
      </c>
      <c r="D122">
        <v>1760000</v>
      </c>
      <c r="E122" t="s">
        <v>143</v>
      </c>
    </row>
    <row r="123" spans="1:5" x14ac:dyDescent="0.25">
      <c r="A123" s="14">
        <v>42511.266631944447</v>
      </c>
      <c r="B123" t="s">
        <v>573</v>
      </c>
      <c r="C123" t="s">
        <v>360</v>
      </c>
      <c r="D123">
        <v>1230000</v>
      </c>
      <c r="E123" t="s">
        <v>589</v>
      </c>
    </row>
    <row r="124" spans="1:5" x14ac:dyDescent="0.25">
      <c r="A124" s="14">
        <v>42511.809328703705</v>
      </c>
      <c r="B124" t="s">
        <v>572</v>
      </c>
      <c r="C124" t="s">
        <v>532</v>
      </c>
      <c r="D124">
        <v>1180000</v>
      </c>
      <c r="E124" t="s">
        <v>584</v>
      </c>
    </row>
    <row r="125" spans="1:5" x14ac:dyDescent="0.25">
      <c r="A125" s="14">
        <v>42511.301307870373</v>
      </c>
      <c r="B125" t="s">
        <v>571</v>
      </c>
      <c r="C125" t="s">
        <v>386</v>
      </c>
      <c r="D125">
        <v>1230000</v>
      </c>
      <c r="E125" t="s">
        <v>589</v>
      </c>
    </row>
    <row r="126" spans="1:5" x14ac:dyDescent="0.25">
      <c r="A126" s="14">
        <v>42511.761944444443</v>
      </c>
      <c r="B126" t="s">
        <v>118</v>
      </c>
      <c r="C126" t="s">
        <v>524</v>
      </c>
      <c r="D126">
        <v>1500000</v>
      </c>
      <c r="E126" t="s">
        <v>591</v>
      </c>
    </row>
    <row r="127" spans="1:5" x14ac:dyDescent="0.25">
      <c r="A127" s="14">
        <v>42511.318993055553</v>
      </c>
      <c r="B127" t="s">
        <v>64</v>
      </c>
      <c r="C127" t="s">
        <v>388</v>
      </c>
      <c r="D127">
        <v>1510000</v>
      </c>
      <c r="E127" t="s">
        <v>587</v>
      </c>
    </row>
    <row r="128" spans="1:5" x14ac:dyDescent="0.25">
      <c r="A128" s="14">
        <v>42511.67796296296</v>
      </c>
      <c r="B128" t="s">
        <v>64</v>
      </c>
      <c r="C128" t="s">
        <v>497</v>
      </c>
      <c r="D128">
        <v>1470000</v>
      </c>
      <c r="E128" t="s">
        <v>577</v>
      </c>
    </row>
    <row r="129" spans="1:5" x14ac:dyDescent="0.25">
      <c r="A129" s="14">
        <v>42511.393541666665</v>
      </c>
      <c r="B129" t="s">
        <v>64</v>
      </c>
      <c r="C129" t="s">
        <v>416</v>
      </c>
      <c r="D129">
        <v>1430000</v>
      </c>
      <c r="E129" t="s">
        <v>130</v>
      </c>
    </row>
    <row r="130" spans="1:5" x14ac:dyDescent="0.25">
      <c r="A130" s="14">
        <v>42511.561967592592</v>
      </c>
      <c r="B130" t="s">
        <v>135</v>
      </c>
      <c r="C130" t="s">
        <v>451</v>
      </c>
      <c r="D130">
        <v>1120000</v>
      </c>
      <c r="E130" t="s">
        <v>582</v>
      </c>
    </row>
    <row r="131" spans="1:5" x14ac:dyDescent="0.25">
      <c r="A131" s="14">
        <v>42511.494409722225</v>
      </c>
      <c r="B131" t="s">
        <v>219</v>
      </c>
      <c r="C131" t="s">
        <v>437</v>
      </c>
      <c r="D131">
        <v>1230000</v>
      </c>
      <c r="E131" t="s">
        <v>589</v>
      </c>
    </row>
    <row r="132" spans="1:5" x14ac:dyDescent="0.25">
      <c r="A132" s="14">
        <v>42511.553020833337</v>
      </c>
      <c r="B132" t="s">
        <v>573</v>
      </c>
      <c r="C132" t="s">
        <v>460</v>
      </c>
      <c r="D132">
        <v>1190000</v>
      </c>
      <c r="E132" t="s">
        <v>575</v>
      </c>
    </row>
    <row r="133" spans="1:5" x14ac:dyDescent="0.25">
      <c r="A133" s="14">
        <v>42511.635115740741</v>
      </c>
      <c r="B133" t="s">
        <v>120</v>
      </c>
      <c r="C133" t="s">
        <v>483</v>
      </c>
      <c r="D133">
        <v>1260000</v>
      </c>
      <c r="E133" t="s">
        <v>590</v>
      </c>
    </row>
    <row r="134" spans="1:5" x14ac:dyDescent="0.25">
      <c r="A134" s="14">
        <v>42511.467395833337</v>
      </c>
      <c r="B134" t="s">
        <v>64</v>
      </c>
      <c r="C134" t="s">
        <v>440</v>
      </c>
      <c r="D134">
        <v>1470000</v>
      </c>
      <c r="E134" t="s">
        <v>577</v>
      </c>
    </row>
    <row r="135" spans="1:5" x14ac:dyDescent="0.25">
      <c r="A135" s="14">
        <v>42511.646886574075</v>
      </c>
      <c r="B135" t="s">
        <v>119</v>
      </c>
      <c r="C135" t="s">
        <v>479</v>
      </c>
      <c r="D135">
        <v>940000</v>
      </c>
      <c r="E135" t="s">
        <v>576</v>
      </c>
    </row>
    <row r="136" spans="1:5" x14ac:dyDescent="0.25">
      <c r="A136" s="14">
        <v>42511.710717592592</v>
      </c>
      <c r="B136" t="s">
        <v>65</v>
      </c>
      <c r="C136" t="s">
        <v>498</v>
      </c>
      <c r="D136">
        <v>1470000</v>
      </c>
      <c r="E136" t="s">
        <v>577</v>
      </c>
    </row>
    <row r="137" spans="1:5" x14ac:dyDescent="0.25">
      <c r="A137" s="14">
        <v>42511.300659722219</v>
      </c>
      <c r="B137" t="s">
        <v>571</v>
      </c>
      <c r="C137" t="s">
        <v>386</v>
      </c>
      <c r="D137">
        <v>1230000</v>
      </c>
      <c r="E137" t="s">
        <v>589</v>
      </c>
    </row>
    <row r="138" spans="1:5" x14ac:dyDescent="0.25">
      <c r="A138" s="14">
        <v>42511.633888888886</v>
      </c>
      <c r="B138" t="s">
        <v>570</v>
      </c>
      <c r="C138" t="s">
        <v>466</v>
      </c>
      <c r="D138">
        <v>880000</v>
      </c>
      <c r="E138" t="s">
        <v>111</v>
      </c>
    </row>
    <row r="139" spans="1:5" x14ac:dyDescent="0.25">
      <c r="A139" s="14">
        <v>42511.421724537038</v>
      </c>
      <c r="B139" t="s">
        <v>219</v>
      </c>
      <c r="C139" t="s">
        <v>414</v>
      </c>
      <c r="D139">
        <v>1480000</v>
      </c>
      <c r="E139" t="s">
        <v>134</v>
      </c>
    </row>
    <row r="140" spans="1:5" x14ac:dyDescent="0.25">
      <c r="A140" s="14">
        <v>42511.589155092595</v>
      </c>
      <c r="B140" t="s">
        <v>131</v>
      </c>
      <c r="C140" t="s">
        <v>465</v>
      </c>
      <c r="D140">
        <v>1260000</v>
      </c>
      <c r="E140" t="s">
        <v>590</v>
      </c>
    </row>
    <row r="141" spans="1:5" x14ac:dyDescent="0.25">
      <c r="A141" s="14">
        <v>42511.534780092596</v>
      </c>
      <c r="B141" t="s">
        <v>571</v>
      </c>
      <c r="C141" t="s">
        <v>457</v>
      </c>
      <c r="D141">
        <v>1190000</v>
      </c>
      <c r="E141" t="s">
        <v>575</v>
      </c>
    </row>
    <row r="142" spans="1:5" x14ac:dyDescent="0.25">
      <c r="A142" s="14">
        <v>42511.546261574076</v>
      </c>
      <c r="B142" t="s">
        <v>571</v>
      </c>
      <c r="C142" t="s">
        <v>457</v>
      </c>
      <c r="D142">
        <v>1190000</v>
      </c>
      <c r="E142" t="s">
        <v>575</v>
      </c>
    </row>
    <row r="143" spans="1:5" x14ac:dyDescent="0.25">
      <c r="A143" s="14">
        <v>42511.630208333336</v>
      </c>
      <c r="B143" t="s">
        <v>568</v>
      </c>
      <c r="C143" t="s">
        <v>480</v>
      </c>
      <c r="D143">
        <v>1340000</v>
      </c>
      <c r="E143" t="s">
        <v>585</v>
      </c>
    </row>
    <row r="144" spans="1:5" x14ac:dyDescent="0.25">
      <c r="A144" s="14">
        <v>42511.437685185185</v>
      </c>
      <c r="B144" t="s">
        <v>119</v>
      </c>
      <c r="C144" t="s">
        <v>420</v>
      </c>
      <c r="D144">
        <v>1360000</v>
      </c>
      <c r="E144" t="s">
        <v>218</v>
      </c>
    </row>
    <row r="145" spans="1:5" x14ac:dyDescent="0.25">
      <c r="A145" s="14">
        <v>42511.173518518517</v>
      </c>
      <c r="B145" t="s">
        <v>136</v>
      </c>
      <c r="C145" t="s">
        <v>340</v>
      </c>
      <c r="D145">
        <v>1430000</v>
      </c>
      <c r="E145" t="s">
        <v>130</v>
      </c>
    </row>
    <row r="146" spans="1:5" x14ac:dyDescent="0.25">
      <c r="A146" s="14">
        <v>42511.410416666666</v>
      </c>
      <c r="B146" t="s">
        <v>573</v>
      </c>
      <c r="C146" t="s">
        <v>409</v>
      </c>
      <c r="D146">
        <v>1230000</v>
      </c>
      <c r="E146" t="s">
        <v>589</v>
      </c>
    </row>
    <row r="147" spans="1:5" x14ac:dyDescent="0.25">
      <c r="A147" s="14">
        <v>42511.290833333333</v>
      </c>
      <c r="B147" t="s">
        <v>572</v>
      </c>
      <c r="C147" t="s">
        <v>383</v>
      </c>
      <c r="D147">
        <v>1300000</v>
      </c>
      <c r="E147" t="s">
        <v>113</v>
      </c>
    </row>
    <row r="148" spans="1:5" x14ac:dyDescent="0.25">
      <c r="A148" s="14">
        <v>42511.272638888891</v>
      </c>
      <c r="B148" t="s">
        <v>219</v>
      </c>
      <c r="C148" t="s">
        <v>364</v>
      </c>
      <c r="D148">
        <v>1480000</v>
      </c>
      <c r="E148" t="s">
        <v>134</v>
      </c>
    </row>
    <row r="149" spans="1:5" x14ac:dyDescent="0.25">
      <c r="A149" s="14">
        <v>42511.424074074072</v>
      </c>
      <c r="B149" t="s">
        <v>120</v>
      </c>
      <c r="C149" t="s">
        <v>425</v>
      </c>
      <c r="D149">
        <v>1260000</v>
      </c>
      <c r="E149" t="s">
        <v>590</v>
      </c>
    </row>
    <row r="150" spans="1:5" x14ac:dyDescent="0.25">
      <c r="A150" s="14">
        <v>42511.15152777778</v>
      </c>
      <c r="B150" t="s">
        <v>571</v>
      </c>
      <c r="C150" t="s">
        <v>336</v>
      </c>
      <c r="D150">
        <v>1480000</v>
      </c>
      <c r="E150" t="s">
        <v>134</v>
      </c>
    </row>
    <row r="151" spans="1:5" x14ac:dyDescent="0.25">
      <c r="A151" s="14">
        <v>42511.426018518519</v>
      </c>
      <c r="B151" t="s">
        <v>120</v>
      </c>
      <c r="C151" t="s">
        <v>425</v>
      </c>
      <c r="D151">
        <v>1260000</v>
      </c>
      <c r="E151" t="s">
        <v>590</v>
      </c>
    </row>
    <row r="152" spans="1:5" x14ac:dyDescent="0.25">
      <c r="A152" s="14">
        <v>42511.341979166667</v>
      </c>
      <c r="B152" t="s">
        <v>568</v>
      </c>
      <c r="C152" t="s">
        <v>398</v>
      </c>
      <c r="D152">
        <v>900000</v>
      </c>
      <c r="E152" t="s">
        <v>574</v>
      </c>
    </row>
    <row r="153" spans="1:5" x14ac:dyDescent="0.25">
      <c r="A153" s="14">
        <v>42511.485706018517</v>
      </c>
      <c r="B153" t="s">
        <v>136</v>
      </c>
      <c r="C153" t="s">
        <v>449</v>
      </c>
      <c r="D153">
        <v>1120000</v>
      </c>
      <c r="E153" t="s">
        <v>582</v>
      </c>
    </row>
    <row r="154" spans="1:5" x14ac:dyDescent="0.25">
      <c r="A154" s="14">
        <v>42511.231296296297</v>
      </c>
      <c r="B154" t="s">
        <v>571</v>
      </c>
      <c r="C154" t="s">
        <v>357</v>
      </c>
      <c r="D154">
        <v>1230000</v>
      </c>
      <c r="E154" t="s">
        <v>589</v>
      </c>
    </row>
    <row r="155" spans="1:5" x14ac:dyDescent="0.25">
      <c r="A155" s="14">
        <v>42511.658090277779</v>
      </c>
      <c r="B155" t="s">
        <v>135</v>
      </c>
      <c r="C155" t="s">
        <v>482</v>
      </c>
      <c r="D155">
        <v>1120000</v>
      </c>
      <c r="E155" t="s">
        <v>582</v>
      </c>
    </row>
    <row r="156" spans="1:5" x14ac:dyDescent="0.25">
      <c r="A156" s="14">
        <v>42511.435914351852</v>
      </c>
      <c r="B156" t="s">
        <v>572</v>
      </c>
      <c r="C156" t="s">
        <v>427</v>
      </c>
      <c r="D156">
        <v>1100000</v>
      </c>
      <c r="E156" t="s">
        <v>129</v>
      </c>
    </row>
    <row r="157" spans="1:5" x14ac:dyDescent="0.25">
      <c r="A157" s="14">
        <v>42511.700312499997</v>
      </c>
      <c r="B157" t="s">
        <v>573</v>
      </c>
      <c r="C157" t="s">
        <v>492</v>
      </c>
      <c r="D157">
        <v>1190000</v>
      </c>
      <c r="E157" t="s">
        <v>575</v>
      </c>
    </row>
    <row r="158" spans="1:5" x14ac:dyDescent="0.25">
      <c r="A158" s="14">
        <v>42511.403321759259</v>
      </c>
      <c r="B158" t="s">
        <v>118</v>
      </c>
      <c r="C158" t="s">
        <v>419</v>
      </c>
      <c r="D158">
        <v>1360000</v>
      </c>
      <c r="E158" t="s">
        <v>218</v>
      </c>
    </row>
    <row r="159" spans="1:5" x14ac:dyDescent="0.25">
      <c r="A159" s="14">
        <v>42511.712013888886</v>
      </c>
      <c r="B159" t="s">
        <v>120</v>
      </c>
      <c r="C159" t="s">
        <v>507</v>
      </c>
      <c r="D159">
        <v>1260000</v>
      </c>
      <c r="E159" t="s">
        <v>590</v>
      </c>
    </row>
    <row r="160" spans="1:5" x14ac:dyDescent="0.25">
      <c r="A160" s="14">
        <v>42511.382268518515</v>
      </c>
      <c r="B160" t="s">
        <v>569</v>
      </c>
      <c r="C160" t="s">
        <v>399</v>
      </c>
      <c r="D160">
        <v>900000</v>
      </c>
      <c r="E160" t="s">
        <v>574</v>
      </c>
    </row>
    <row r="161" spans="1:5" x14ac:dyDescent="0.25">
      <c r="A161" s="14">
        <v>42511.721354166664</v>
      </c>
      <c r="B161" t="s">
        <v>119</v>
      </c>
      <c r="C161" t="s">
        <v>500</v>
      </c>
      <c r="D161">
        <v>940000</v>
      </c>
      <c r="E161" t="s">
        <v>576</v>
      </c>
    </row>
    <row r="162" spans="1:5" x14ac:dyDescent="0.25">
      <c r="A162" s="14">
        <v>42511.373124999998</v>
      </c>
      <c r="B162" t="s">
        <v>571</v>
      </c>
      <c r="C162" t="s">
        <v>407</v>
      </c>
      <c r="D162">
        <v>1230000</v>
      </c>
      <c r="E162" t="s">
        <v>589</v>
      </c>
    </row>
    <row r="163" spans="1:5" x14ac:dyDescent="0.25">
      <c r="A163" s="14">
        <v>42511.952523148146</v>
      </c>
      <c r="B163" t="s">
        <v>119</v>
      </c>
      <c r="C163" t="s">
        <v>549</v>
      </c>
      <c r="D163">
        <v>1500000</v>
      </c>
      <c r="E163" t="s">
        <v>591</v>
      </c>
    </row>
    <row r="164" spans="1:5" x14ac:dyDescent="0.25">
      <c r="A164" s="14">
        <v>42511.372175925928</v>
      </c>
      <c r="B164" t="s">
        <v>571</v>
      </c>
      <c r="C164" t="s">
        <v>407</v>
      </c>
      <c r="D164">
        <v>1230000</v>
      </c>
      <c r="E164" t="s">
        <v>589</v>
      </c>
    </row>
    <row r="165" spans="1:5" x14ac:dyDescent="0.25">
      <c r="A165" s="14">
        <v>42512.037523148145</v>
      </c>
      <c r="B165" t="s">
        <v>568</v>
      </c>
      <c r="C165" t="s">
        <v>565</v>
      </c>
      <c r="D165">
        <v>1410000</v>
      </c>
      <c r="E165" t="s">
        <v>158</v>
      </c>
    </row>
    <row r="166" spans="1:5" x14ac:dyDescent="0.25">
      <c r="A166" s="14">
        <v>42511.268460648149</v>
      </c>
      <c r="B166" t="s">
        <v>568</v>
      </c>
      <c r="C166" t="s">
        <v>373</v>
      </c>
      <c r="D166">
        <v>900000</v>
      </c>
      <c r="E166" t="s">
        <v>574</v>
      </c>
    </row>
    <row r="167" spans="1:5" x14ac:dyDescent="0.25">
      <c r="A167" s="14">
        <v>42511.66915509259</v>
      </c>
      <c r="B167" t="s">
        <v>569</v>
      </c>
      <c r="C167" t="s">
        <v>485</v>
      </c>
      <c r="D167">
        <v>1340000</v>
      </c>
      <c r="E167" t="s">
        <v>585</v>
      </c>
    </row>
    <row r="168" spans="1:5" x14ac:dyDescent="0.25">
      <c r="A168" s="14">
        <v>42511.348530092589</v>
      </c>
      <c r="B168" t="s">
        <v>65</v>
      </c>
      <c r="C168" t="s">
        <v>390</v>
      </c>
      <c r="D168">
        <v>1510000</v>
      </c>
      <c r="E168" t="s">
        <v>587</v>
      </c>
    </row>
    <row r="169" spans="1:5" x14ac:dyDescent="0.25">
      <c r="A169" s="14">
        <v>42511.776435185187</v>
      </c>
      <c r="B169" t="s">
        <v>570</v>
      </c>
      <c r="C169" t="s">
        <v>520</v>
      </c>
      <c r="D169">
        <v>1180000</v>
      </c>
      <c r="E169" t="s">
        <v>584</v>
      </c>
    </row>
    <row r="170" spans="1:5" x14ac:dyDescent="0.25">
      <c r="A170" s="14">
        <v>42511.33148148148</v>
      </c>
      <c r="B170" t="s">
        <v>118</v>
      </c>
      <c r="C170" t="s">
        <v>396</v>
      </c>
      <c r="D170">
        <v>1360000</v>
      </c>
      <c r="E170" t="s">
        <v>218</v>
      </c>
    </row>
    <row r="171" spans="1:5" x14ac:dyDescent="0.25">
      <c r="A171" s="14">
        <v>42511.845868055556</v>
      </c>
      <c r="B171" t="s">
        <v>570</v>
      </c>
      <c r="C171" t="s">
        <v>534</v>
      </c>
      <c r="D171">
        <v>1180000</v>
      </c>
      <c r="E171" t="s">
        <v>584</v>
      </c>
    </row>
    <row r="172" spans="1:5" x14ac:dyDescent="0.25">
      <c r="A172" s="14">
        <v>42511.259930555556</v>
      </c>
      <c r="B172" t="s">
        <v>118</v>
      </c>
      <c r="C172" t="s">
        <v>370</v>
      </c>
      <c r="D172">
        <v>1360000</v>
      </c>
      <c r="E172" t="s">
        <v>218</v>
      </c>
    </row>
    <row r="173" spans="1:5" x14ac:dyDescent="0.25">
      <c r="A173" s="14">
        <v>42511.849895833337</v>
      </c>
      <c r="B173" t="s">
        <v>136</v>
      </c>
      <c r="C173" t="s">
        <v>539</v>
      </c>
      <c r="D173">
        <v>1240000</v>
      </c>
      <c r="E173" t="s">
        <v>583</v>
      </c>
    </row>
    <row r="174" spans="1:5" x14ac:dyDescent="0.25">
      <c r="A174" s="14">
        <v>42511.235034722224</v>
      </c>
      <c r="B174" t="s">
        <v>569</v>
      </c>
      <c r="C174" t="s">
        <v>347</v>
      </c>
      <c r="D174">
        <v>900000</v>
      </c>
      <c r="E174" t="s">
        <v>574</v>
      </c>
    </row>
    <row r="175" spans="1:5" x14ac:dyDescent="0.25">
      <c r="A175" s="14">
        <v>42512.183333333334</v>
      </c>
      <c r="B175" t="s">
        <v>118</v>
      </c>
      <c r="C175" t="s">
        <v>596</v>
      </c>
      <c r="D175">
        <v>1780000</v>
      </c>
      <c r="E175" t="s">
        <v>112</v>
      </c>
    </row>
    <row r="176" spans="1:5" x14ac:dyDescent="0.25">
      <c r="A176" s="14">
        <v>42511.466087962966</v>
      </c>
      <c r="B176" t="s">
        <v>64</v>
      </c>
      <c r="C176" t="s">
        <v>440</v>
      </c>
      <c r="D176">
        <v>1470000</v>
      </c>
      <c r="E176" t="s">
        <v>577</v>
      </c>
    </row>
    <row r="178" spans="1:5" x14ac:dyDescent="0.25">
      <c r="A178" s="14">
        <v>42509.634351851855</v>
      </c>
      <c r="B178" t="s">
        <v>92</v>
      </c>
      <c r="C178" t="s">
        <v>222</v>
      </c>
      <c r="D178">
        <v>1090000</v>
      </c>
      <c r="E178" t="s">
        <v>186</v>
      </c>
    </row>
    <row r="179" spans="1:5" x14ac:dyDescent="0.25">
      <c r="A179" s="14">
        <v>42509.457905092589</v>
      </c>
      <c r="B179" t="s">
        <v>122</v>
      </c>
      <c r="C179" t="s">
        <v>223</v>
      </c>
      <c r="D179">
        <v>1200000</v>
      </c>
      <c r="E179" t="s">
        <v>190</v>
      </c>
    </row>
    <row r="180" spans="1:5" x14ac:dyDescent="0.25">
      <c r="A180" s="14">
        <v>42509.608472222222</v>
      </c>
      <c r="B180" t="s">
        <v>110</v>
      </c>
      <c r="C180" t="s">
        <v>224</v>
      </c>
      <c r="D180">
        <v>880000</v>
      </c>
      <c r="E180" t="s">
        <v>111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101</v>
      </c>
    </row>
    <row r="184" spans="1:5" x14ac:dyDescent="0.25">
      <c r="A184" s="14">
        <v>42509.553287037037</v>
      </c>
      <c r="B184" t="s">
        <v>92</v>
      </c>
      <c r="C184" t="s">
        <v>228</v>
      </c>
      <c r="D184">
        <v>1090000</v>
      </c>
      <c r="E184" t="s">
        <v>186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159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106</v>
      </c>
    </row>
    <row r="187" spans="1:5" x14ac:dyDescent="0.25">
      <c r="A187" s="14">
        <v>42509.586018518516</v>
      </c>
      <c r="B187" t="s">
        <v>133</v>
      </c>
      <c r="C187" t="s">
        <v>213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91</v>
      </c>
      <c r="C190" t="s">
        <v>233</v>
      </c>
      <c r="D190">
        <v>1090000</v>
      </c>
      <c r="E190" t="s">
        <v>186</v>
      </c>
    </row>
    <row r="191" spans="1:5" x14ac:dyDescent="0.25">
      <c r="A191" s="14">
        <v>42509.690671296295</v>
      </c>
      <c r="B191" t="s">
        <v>119</v>
      </c>
      <c r="C191" t="s">
        <v>216</v>
      </c>
      <c r="D191">
        <v>1290000</v>
      </c>
      <c r="E191" t="s">
        <v>159</v>
      </c>
    </row>
    <row r="192" spans="1:5" x14ac:dyDescent="0.25">
      <c r="A192" s="14">
        <v>42509.494108796294</v>
      </c>
      <c r="B192" t="s">
        <v>121</v>
      </c>
      <c r="C192" t="s">
        <v>223</v>
      </c>
      <c r="D192">
        <v>1200000</v>
      </c>
      <c r="E192" t="s">
        <v>190</v>
      </c>
    </row>
    <row r="193" spans="1:5" x14ac:dyDescent="0.25">
      <c r="A193" s="14">
        <v>42509.703530092593</v>
      </c>
      <c r="B193" t="s">
        <v>119</v>
      </c>
      <c r="C193" t="s">
        <v>216</v>
      </c>
      <c r="D193">
        <v>1290000</v>
      </c>
      <c r="E193" t="s">
        <v>159</v>
      </c>
    </row>
    <row r="194" spans="1:5" x14ac:dyDescent="0.25">
      <c r="A194" s="14">
        <v>42509.722222222219</v>
      </c>
      <c r="B194" t="s">
        <v>142</v>
      </c>
      <c r="C194" t="s">
        <v>212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101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210</v>
      </c>
    </row>
    <row r="198" spans="1:5" x14ac:dyDescent="0.25">
      <c r="A198" s="14">
        <v>42509.630902777775</v>
      </c>
      <c r="B198" t="s">
        <v>132</v>
      </c>
      <c r="C198" t="s">
        <v>208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218</v>
      </c>
    </row>
    <row r="202" spans="1:5" x14ac:dyDescent="0.25">
      <c r="A202" s="14">
        <v>42509.168993055559</v>
      </c>
      <c r="B202" t="s">
        <v>131</v>
      </c>
      <c r="C202" t="s">
        <v>192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215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191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92</v>
      </c>
      <c r="C205" t="s">
        <v>240</v>
      </c>
      <c r="D205">
        <v>1090000</v>
      </c>
      <c r="E205" t="s">
        <v>186</v>
      </c>
    </row>
    <row r="206" spans="1:5" x14ac:dyDescent="0.25">
      <c r="A206" s="14">
        <v>42509.86346064815</v>
      </c>
      <c r="B206" t="s">
        <v>142</v>
      </c>
      <c r="C206" t="s">
        <v>209</v>
      </c>
      <c r="D206">
        <v>1840000</v>
      </c>
      <c r="E206" t="s">
        <v>210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210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210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110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101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101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91</v>
      </c>
      <c r="C216" t="s">
        <v>248</v>
      </c>
      <c r="D216">
        <v>1090000</v>
      </c>
      <c r="E216" t="s">
        <v>186</v>
      </c>
    </row>
    <row r="217" spans="1:5" x14ac:dyDescent="0.25">
      <c r="A217" s="14">
        <v>42509.594467592593</v>
      </c>
      <c r="B217" t="s">
        <v>91</v>
      </c>
      <c r="C217" t="s">
        <v>214</v>
      </c>
      <c r="D217">
        <v>1090000</v>
      </c>
      <c r="E217" t="s">
        <v>186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159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101</v>
      </c>
    </row>
    <row r="221" spans="1:5" x14ac:dyDescent="0.25">
      <c r="A221" s="14">
        <v>42509.631932870368</v>
      </c>
      <c r="B221" t="s">
        <v>132</v>
      </c>
      <c r="C221" t="s">
        <v>208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109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109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159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101</v>
      </c>
    </row>
    <row r="227" spans="1:5" x14ac:dyDescent="0.25">
      <c r="A227" s="14">
        <v>42509.750925925924</v>
      </c>
      <c r="B227" t="s">
        <v>110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210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159</v>
      </c>
    </row>
    <row r="231" spans="1:5" x14ac:dyDescent="0.25">
      <c r="A231" s="14">
        <v>42510.028043981481</v>
      </c>
      <c r="B231" t="s">
        <v>142</v>
      </c>
      <c r="C231" t="s">
        <v>221</v>
      </c>
      <c r="D231">
        <v>1840000</v>
      </c>
      <c r="E231" t="s">
        <v>210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102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103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174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188</v>
      </c>
      <c r="D236">
        <v>1800000</v>
      </c>
      <c r="E236" t="s">
        <v>102</v>
      </c>
    </row>
    <row r="237" spans="1:5" x14ac:dyDescent="0.25">
      <c r="A237" s="14">
        <v>42509.155497685184</v>
      </c>
      <c r="B237" t="s">
        <v>139</v>
      </c>
      <c r="C237" t="s">
        <v>191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183</v>
      </c>
      <c r="D238">
        <v>1810000</v>
      </c>
      <c r="E238" t="s">
        <v>157</v>
      </c>
    </row>
    <row r="239" spans="1:5" x14ac:dyDescent="0.25">
      <c r="A239" s="14">
        <v>42509.276435185187</v>
      </c>
      <c r="B239" t="s">
        <v>121</v>
      </c>
      <c r="C239" t="s">
        <v>202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185</v>
      </c>
      <c r="D240">
        <v>970000</v>
      </c>
      <c r="E240" t="s">
        <v>187</v>
      </c>
    </row>
    <row r="241" spans="1:5" x14ac:dyDescent="0.25">
      <c r="A241" s="14">
        <v>42509.286458333336</v>
      </c>
      <c r="B241" t="s">
        <v>132</v>
      </c>
      <c r="C241" t="s">
        <v>198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189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189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193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101</v>
      </c>
    </row>
    <row r="248" spans="1:5" x14ac:dyDescent="0.25">
      <c r="A248" s="14">
        <v>42508.829155092593</v>
      </c>
      <c r="B248" t="s">
        <v>109</v>
      </c>
      <c r="C248" t="s">
        <v>175</v>
      </c>
      <c r="D248">
        <v>1410000</v>
      </c>
      <c r="E248" t="s">
        <v>158</v>
      </c>
    </row>
    <row r="249" spans="1:5" x14ac:dyDescent="0.25">
      <c r="A249" s="14">
        <v>42509.671724537038</v>
      </c>
      <c r="B249" t="s">
        <v>91</v>
      </c>
      <c r="C249" t="s">
        <v>264</v>
      </c>
      <c r="D249">
        <v>1090000</v>
      </c>
      <c r="E249" t="s">
        <v>186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157</v>
      </c>
    </row>
    <row r="251" spans="1:5" x14ac:dyDescent="0.25">
      <c r="A251" s="14">
        <v>42508.79178240741</v>
      </c>
      <c r="B251" t="s">
        <v>110</v>
      </c>
      <c r="C251" t="s">
        <v>172</v>
      </c>
      <c r="D251">
        <v>1410000</v>
      </c>
      <c r="E251" t="s">
        <v>158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200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159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101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109</v>
      </c>
      <c r="C260" t="s">
        <v>230</v>
      </c>
      <c r="D260">
        <v>1750000</v>
      </c>
      <c r="E260" t="s">
        <v>106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102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190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101</v>
      </c>
    </row>
    <row r="264" spans="1:5" x14ac:dyDescent="0.25">
      <c r="A264" s="14">
        <v>42509.403020833335</v>
      </c>
      <c r="B264" t="s">
        <v>109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101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109</v>
      </c>
      <c r="C267" t="s">
        <v>182</v>
      </c>
      <c r="D267">
        <v>1410000</v>
      </c>
      <c r="E267" t="s">
        <v>158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109</v>
      </c>
      <c r="C272" t="s">
        <v>195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106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157</v>
      </c>
    </row>
    <row r="275" spans="1:5" x14ac:dyDescent="0.25">
      <c r="A275" s="14">
        <v>42509.632696759261</v>
      </c>
      <c r="B275" t="s">
        <v>132</v>
      </c>
      <c r="C275" t="s">
        <v>208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157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101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157</v>
      </c>
    </row>
    <row r="279" spans="1:5" x14ac:dyDescent="0.25">
      <c r="A279" s="14">
        <v>42508.975185185183</v>
      </c>
      <c r="B279" t="s">
        <v>136</v>
      </c>
      <c r="C279" t="s">
        <v>180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211</v>
      </c>
      <c r="D280">
        <v>1290000</v>
      </c>
      <c r="E280" t="s">
        <v>159</v>
      </c>
    </row>
    <row r="281" spans="1:5" x14ac:dyDescent="0.25">
      <c r="A281" s="14">
        <v>42509.175011574072</v>
      </c>
      <c r="B281" t="s">
        <v>135</v>
      </c>
      <c r="C281" t="s">
        <v>204</v>
      </c>
      <c r="D281">
        <v>1800000</v>
      </c>
      <c r="E281" t="s">
        <v>102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101</v>
      </c>
    </row>
    <row r="283" spans="1:5" x14ac:dyDescent="0.25">
      <c r="A283" s="14">
        <v>42509.191099537034</v>
      </c>
      <c r="B283" t="s">
        <v>136</v>
      </c>
      <c r="C283" t="s">
        <v>197</v>
      </c>
      <c r="D283">
        <v>1800000</v>
      </c>
      <c r="E283" t="s">
        <v>102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190</v>
      </c>
    </row>
    <row r="285" spans="1:5" x14ac:dyDescent="0.25">
      <c r="A285" s="14">
        <v>42509.287094907406</v>
      </c>
      <c r="B285" t="s">
        <v>120</v>
      </c>
      <c r="C285" t="s">
        <v>199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92</v>
      </c>
      <c r="C286" t="s">
        <v>283</v>
      </c>
      <c r="D286">
        <v>1090000</v>
      </c>
      <c r="E286" t="s">
        <v>186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190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102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190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106</v>
      </c>
    </row>
    <row r="291" spans="1:5" x14ac:dyDescent="0.25">
      <c r="A291" s="14">
        <v>42508.927499999998</v>
      </c>
      <c r="B291" t="s">
        <v>64</v>
      </c>
      <c r="C291" t="s">
        <v>178</v>
      </c>
      <c r="D291">
        <v>1810000</v>
      </c>
      <c r="E291" t="s">
        <v>157</v>
      </c>
    </row>
    <row r="292" spans="1:5" x14ac:dyDescent="0.25">
      <c r="A292" s="14">
        <v>42510.226886574077</v>
      </c>
      <c r="B292" t="s">
        <v>122</v>
      </c>
      <c r="C292" t="s">
        <v>217</v>
      </c>
      <c r="D292">
        <v>1360000</v>
      </c>
      <c r="E292" t="s">
        <v>218</v>
      </c>
    </row>
    <row r="293" spans="1:5" x14ac:dyDescent="0.25">
      <c r="A293" s="14">
        <v>42509.207384259258</v>
      </c>
      <c r="B293" t="s">
        <v>118</v>
      </c>
      <c r="C293" t="s">
        <v>203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109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201</v>
      </c>
      <c r="D295">
        <v>1200000</v>
      </c>
      <c r="E295" t="s">
        <v>190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92</v>
      </c>
      <c r="C301" t="s">
        <v>283</v>
      </c>
      <c r="D301">
        <v>1090000</v>
      </c>
      <c r="E301" t="s">
        <v>186</v>
      </c>
    </row>
    <row r="302" spans="1:5" x14ac:dyDescent="0.25">
      <c r="A302" s="14">
        <v>42509.053877314815</v>
      </c>
      <c r="B302" t="s">
        <v>65</v>
      </c>
      <c r="C302" t="s">
        <v>184</v>
      </c>
      <c r="D302">
        <v>1810000</v>
      </c>
      <c r="E302" t="s">
        <v>157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190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157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109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160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207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101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101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181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220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110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211</v>
      </c>
      <c r="D325">
        <v>1290000</v>
      </c>
      <c r="E325" t="s">
        <v>159</v>
      </c>
    </row>
    <row r="326" spans="1:5" x14ac:dyDescent="0.25">
      <c r="A326" s="14">
        <v>42509.565706018519</v>
      </c>
      <c r="B326" t="s">
        <v>109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210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210</v>
      </c>
    </row>
    <row r="330" spans="1:5" x14ac:dyDescent="0.25">
      <c r="A330" s="14">
        <v>42509.226018518515</v>
      </c>
      <c r="B330" t="s">
        <v>110</v>
      </c>
      <c r="C330" t="s">
        <v>194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91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196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109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161</v>
      </c>
      <c r="C334" t="s">
        <v>179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157</v>
      </c>
    </row>
    <row r="336" spans="1:5" x14ac:dyDescent="0.25">
      <c r="A336" s="14">
        <v>42508.93136574074</v>
      </c>
      <c r="B336" t="s">
        <v>135</v>
      </c>
      <c r="C336" t="s">
        <v>177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210</v>
      </c>
    </row>
    <row r="338" spans="1:5" x14ac:dyDescent="0.25">
      <c r="A338" s="14">
        <v>42508.848796296297</v>
      </c>
      <c r="B338" t="s">
        <v>64</v>
      </c>
      <c r="C338" t="s">
        <v>176</v>
      </c>
      <c r="D338">
        <v>1810000</v>
      </c>
      <c r="E338" t="s">
        <v>157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160</v>
      </c>
      <c r="C340" t="s">
        <v>173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157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  <sheetView workbookViewId="1"/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42511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2016-05-23T20:19:16Z</dcterms:modified>
</cp:coreProperties>
</file>