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u\Documents\GitHub\eaglep3-reporting\EC\"/>
    </mc:Choice>
  </mc:AlternateContent>
  <bookViews>
    <workbookView xWindow="0" yWindow="0" windowWidth="28800" windowHeight="14820" activeTab="1"/>
  </bookViews>
  <sheets>
    <sheet name="Train Runs" sheetId="1" r:id="rId1"/>
    <sheet name="Enforcements" sheetId="3" r:id="rId2"/>
    <sheet name="Missing Trips" sheetId="6" r:id="rId3"/>
    <sheet name="Trips&amp;Operators" sheetId="4" r:id="rId4"/>
    <sheet name="Variables" sheetId="5" r:id="rId5"/>
  </sheets>
  <externalReferences>
    <externalReference r:id="rId6"/>
  </externalReferences>
  <definedNames>
    <definedName name="_xlnm._FilterDatabase" localSheetId="1" hidden="1">Enforcements!$A$6:$N$85</definedName>
    <definedName name="_xlnm._FilterDatabase" localSheetId="2" hidden="1">'Missing Trips'!$A$2:$G$2</definedName>
    <definedName name="_xlnm._FilterDatabase" localSheetId="0" hidden="1">'Train Runs'!$A$12:$AC$209</definedName>
    <definedName name="_xlnm._FilterDatabase" localSheetId="3" hidden="1">'Trips&amp;Operators'!$A$1:$E$211</definedName>
    <definedName name="Denver_Train_Runs_04122016" localSheetId="0">'Train Runs'!$A$12:$J$104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1" i="3" l="1"/>
  <c r="P94" i="1" l="1"/>
  <c r="X76" i="1"/>
  <c r="X77" i="1"/>
  <c r="X78" i="1"/>
  <c r="S76" i="1"/>
  <c r="T136" i="1" l="1"/>
  <c r="V136" i="1"/>
  <c r="X136" i="1"/>
  <c r="Y136" i="1"/>
  <c r="Z136" i="1"/>
  <c r="AB136" i="1"/>
  <c r="AC136" i="1"/>
  <c r="T137" i="1"/>
  <c r="V137" i="1"/>
  <c r="X137" i="1"/>
  <c r="Y137" i="1"/>
  <c r="Z137" i="1"/>
  <c r="AA137" i="1" s="1"/>
  <c r="W137" i="1" s="1"/>
  <c r="AB137" i="1"/>
  <c r="AC137" i="1"/>
  <c r="T138" i="1"/>
  <c r="V138" i="1"/>
  <c r="X138" i="1"/>
  <c r="Y138" i="1"/>
  <c r="AA138" i="1" s="1"/>
  <c r="W138" i="1" s="1"/>
  <c r="Z138" i="1"/>
  <c r="AB138" i="1"/>
  <c r="AC138" i="1"/>
  <c r="T139" i="1"/>
  <c r="V139" i="1"/>
  <c r="P79" i="3" s="1"/>
  <c r="X139" i="1"/>
  <c r="Y139" i="1"/>
  <c r="Z139" i="1"/>
  <c r="AB139" i="1"/>
  <c r="AC139" i="1"/>
  <c r="T140" i="1"/>
  <c r="V140" i="1"/>
  <c r="X140" i="1"/>
  <c r="Y140" i="1"/>
  <c r="Z140" i="1"/>
  <c r="AB140" i="1"/>
  <c r="AC140" i="1"/>
  <c r="T141" i="1"/>
  <c r="V141" i="1"/>
  <c r="P27" i="3" s="1"/>
  <c r="X141" i="1"/>
  <c r="Y141" i="1"/>
  <c r="Z141" i="1"/>
  <c r="AA141" i="1"/>
  <c r="W141" i="1" s="1"/>
  <c r="AB141" i="1"/>
  <c r="AC141" i="1"/>
  <c r="T142" i="1"/>
  <c r="V142" i="1"/>
  <c r="X142" i="1"/>
  <c r="Y142" i="1"/>
  <c r="Z142" i="1"/>
  <c r="AB142" i="1"/>
  <c r="AC142" i="1"/>
  <c r="T143" i="1"/>
  <c r="V143" i="1"/>
  <c r="P81" i="3" s="1"/>
  <c r="X143" i="1"/>
  <c r="Y143" i="1"/>
  <c r="Z143" i="1"/>
  <c r="AB143" i="1"/>
  <c r="AC143" i="1"/>
  <c r="T144" i="1"/>
  <c r="V144" i="1"/>
  <c r="X144" i="1"/>
  <c r="Y144" i="1"/>
  <c r="AA144" i="1" s="1"/>
  <c r="W144" i="1" s="1"/>
  <c r="Z144" i="1"/>
  <c r="AB144" i="1"/>
  <c r="AC144" i="1"/>
  <c r="T145" i="1"/>
  <c r="V145" i="1"/>
  <c r="X145" i="1"/>
  <c r="Y145" i="1"/>
  <c r="Z145" i="1"/>
  <c r="AA145" i="1" s="1"/>
  <c r="W145" i="1" s="1"/>
  <c r="AB145" i="1"/>
  <c r="AC145" i="1"/>
  <c r="T146" i="1"/>
  <c r="V146" i="1"/>
  <c r="X146" i="1"/>
  <c r="Y146" i="1"/>
  <c r="Z146" i="1"/>
  <c r="AB146" i="1"/>
  <c r="AC146" i="1"/>
  <c r="T147" i="1"/>
  <c r="V147" i="1"/>
  <c r="X147" i="1"/>
  <c r="Y147" i="1"/>
  <c r="Z147" i="1"/>
  <c r="AA147" i="1"/>
  <c r="W147" i="1" s="1"/>
  <c r="AB147" i="1"/>
  <c r="AC147" i="1"/>
  <c r="T148" i="1"/>
  <c r="V148" i="1"/>
  <c r="X148" i="1"/>
  <c r="Y148" i="1"/>
  <c r="Z148" i="1"/>
  <c r="AB148" i="1"/>
  <c r="AC148" i="1"/>
  <c r="T149" i="1"/>
  <c r="V149" i="1"/>
  <c r="X149" i="1"/>
  <c r="Y149" i="1"/>
  <c r="AA149" i="1" s="1"/>
  <c r="W149" i="1" s="1"/>
  <c r="Z149" i="1"/>
  <c r="AB149" i="1"/>
  <c r="AC149" i="1"/>
  <c r="T150" i="1"/>
  <c r="V150" i="1"/>
  <c r="X150" i="1"/>
  <c r="Y150" i="1"/>
  <c r="Z150" i="1"/>
  <c r="AB150" i="1"/>
  <c r="AC150" i="1"/>
  <c r="T151" i="1"/>
  <c r="V151" i="1"/>
  <c r="X151" i="1"/>
  <c r="Y151" i="1"/>
  <c r="Z151" i="1"/>
  <c r="AB151" i="1"/>
  <c r="AC151" i="1"/>
  <c r="T152" i="1"/>
  <c r="V152" i="1"/>
  <c r="X152" i="1"/>
  <c r="Y152" i="1"/>
  <c r="Z152" i="1"/>
  <c r="AB152" i="1"/>
  <c r="AC152" i="1"/>
  <c r="T153" i="1"/>
  <c r="V153" i="1"/>
  <c r="X153" i="1"/>
  <c r="Y153" i="1"/>
  <c r="Z153" i="1"/>
  <c r="AA153" i="1" s="1"/>
  <c r="W153" i="1" s="1"/>
  <c r="AB153" i="1"/>
  <c r="AC153" i="1"/>
  <c r="T154" i="1"/>
  <c r="V154" i="1"/>
  <c r="X154" i="1"/>
  <c r="Y154" i="1"/>
  <c r="AA154" i="1" s="1"/>
  <c r="W154" i="1" s="1"/>
  <c r="Z154" i="1"/>
  <c r="AB154" i="1"/>
  <c r="AC154" i="1"/>
  <c r="T155" i="1"/>
  <c r="V155" i="1"/>
  <c r="X155" i="1"/>
  <c r="Y155" i="1"/>
  <c r="Z155" i="1"/>
  <c r="AA155" i="1" s="1"/>
  <c r="W155" i="1" s="1"/>
  <c r="AB155" i="1"/>
  <c r="AC155" i="1"/>
  <c r="T156" i="1"/>
  <c r="V156" i="1"/>
  <c r="X156" i="1"/>
  <c r="Y156" i="1"/>
  <c r="Z156" i="1"/>
  <c r="AB156" i="1"/>
  <c r="AC156" i="1"/>
  <c r="T157" i="1"/>
  <c r="V157" i="1"/>
  <c r="X157" i="1"/>
  <c r="Y157" i="1"/>
  <c r="Z157" i="1"/>
  <c r="AA157" i="1"/>
  <c r="W157" i="1" s="1"/>
  <c r="AB157" i="1"/>
  <c r="AC157" i="1"/>
  <c r="T158" i="1"/>
  <c r="V158" i="1"/>
  <c r="X158" i="1"/>
  <c r="Y158" i="1"/>
  <c r="Z158" i="1"/>
  <c r="AB158" i="1"/>
  <c r="AC158" i="1"/>
  <c r="T159" i="1"/>
  <c r="V159" i="1"/>
  <c r="X159" i="1"/>
  <c r="Y159" i="1"/>
  <c r="Z159" i="1"/>
  <c r="AB159" i="1"/>
  <c r="AC159" i="1"/>
  <c r="K179" i="1"/>
  <c r="L179" i="1"/>
  <c r="M179" i="1"/>
  <c r="K180" i="1"/>
  <c r="L180" i="1"/>
  <c r="M180" i="1"/>
  <c r="K181" i="1"/>
  <c r="L181" i="1"/>
  <c r="M181" i="1"/>
  <c r="K182" i="1"/>
  <c r="L182" i="1"/>
  <c r="M182" i="1"/>
  <c r="K183" i="1"/>
  <c r="L183" i="1"/>
  <c r="M183" i="1"/>
  <c r="K184" i="1"/>
  <c r="L184" i="1"/>
  <c r="M184" i="1"/>
  <c r="K185" i="1"/>
  <c r="L185" i="1"/>
  <c r="M185" i="1"/>
  <c r="K186" i="1"/>
  <c r="L186" i="1"/>
  <c r="M186" i="1"/>
  <c r="K187" i="1"/>
  <c r="L187" i="1"/>
  <c r="M187" i="1"/>
  <c r="K188" i="1"/>
  <c r="L188" i="1"/>
  <c r="M188" i="1"/>
  <c r="K189" i="1"/>
  <c r="L189" i="1"/>
  <c r="M189" i="1"/>
  <c r="K190" i="1"/>
  <c r="L190" i="1"/>
  <c r="M190" i="1"/>
  <c r="K191" i="1"/>
  <c r="L191" i="1"/>
  <c r="M191" i="1"/>
  <c r="K192" i="1"/>
  <c r="L192" i="1"/>
  <c r="M192" i="1"/>
  <c r="K193" i="1"/>
  <c r="L193" i="1"/>
  <c r="M193" i="1"/>
  <c r="K194" i="1"/>
  <c r="L194" i="1"/>
  <c r="M194" i="1"/>
  <c r="K195" i="1"/>
  <c r="L195" i="1"/>
  <c r="M195" i="1"/>
  <c r="K196" i="1"/>
  <c r="L196" i="1"/>
  <c r="M196" i="1"/>
  <c r="K197" i="1"/>
  <c r="L197" i="1"/>
  <c r="M197" i="1"/>
  <c r="K198" i="1"/>
  <c r="L198" i="1"/>
  <c r="M198" i="1"/>
  <c r="K199" i="1"/>
  <c r="L199" i="1"/>
  <c r="M199" i="1"/>
  <c r="K200" i="1"/>
  <c r="L200" i="1"/>
  <c r="M200" i="1"/>
  <c r="K201" i="1"/>
  <c r="L201" i="1"/>
  <c r="M201" i="1"/>
  <c r="K202" i="1"/>
  <c r="L202" i="1"/>
  <c r="M202" i="1"/>
  <c r="K203" i="1"/>
  <c r="L203" i="1"/>
  <c r="M203" i="1"/>
  <c r="K204" i="1"/>
  <c r="L204" i="1"/>
  <c r="M204" i="1"/>
  <c r="K205" i="1"/>
  <c r="L205" i="1"/>
  <c r="M205" i="1"/>
  <c r="K206" i="1"/>
  <c r="L206" i="1"/>
  <c r="M206" i="1"/>
  <c r="K207" i="1"/>
  <c r="L207" i="1"/>
  <c r="M207" i="1"/>
  <c r="K208" i="1"/>
  <c r="L208" i="1"/>
  <c r="M208" i="1"/>
  <c r="K209" i="1"/>
  <c r="L209" i="1"/>
  <c r="M209" i="1"/>
  <c r="Q7" i="3"/>
  <c r="Q37" i="3"/>
  <c r="Q14" i="3"/>
  <c r="Q52" i="3"/>
  <c r="Q15" i="3"/>
  <c r="Q53" i="3"/>
  <c r="Q50" i="3"/>
  <c r="Q54" i="3"/>
  <c r="Q38" i="3"/>
  <c r="Q55" i="3"/>
  <c r="Q39" i="3"/>
  <c r="Q16" i="3"/>
  <c r="Q17" i="3"/>
  <c r="Q40" i="3"/>
  <c r="Q18" i="3"/>
  <c r="Q41" i="3"/>
  <c r="Q8" i="3"/>
  <c r="Q56" i="3"/>
  <c r="Q57" i="3"/>
  <c r="Q58" i="3"/>
  <c r="Q59" i="3"/>
  <c r="Q19" i="3"/>
  <c r="Q60" i="3"/>
  <c r="Q9" i="3"/>
  <c r="Q42" i="3"/>
  <c r="Q61" i="3"/>
  <c r="Q20" i="3"/>
  <c r="Q21" i="3"/>
  <c r="Q43" i="3"/>
  <c r="Q10" i="3"/>
  <c r="Q22" i="3"/>
  <c r="Q23" i="3"/>
  <c r="Q24" i="3"/>
  <c r="Q25" i="3"/>
  <c r="P62" i="3"/>
  <c r="Q62" i="3"/>
  <c r="Q63" i="3"/>
  <c r="Q44" i="3"/>
  <c r="Q64" i="3"/>
  <c r="Q65" i="3"/>
  <c r="Q26" i="3"/>
  <c r="Q66" i="3"/>
  <c r="Q11" i="3"/>
  <c r="Q45" i="3"/>
  <c r="Q67" i="3"/>
  <c r="Q68" i="3"/>
  <c r="P69" i="3"/>
  <c r="Q69" i="3"/>
  <c r="Q27" i="3"/>
  <c r="Q70" i="3"/>
  <c r="Q12" i="3"/>
  <c r="Q28" i="3"/>
  <c r="Q71" i="3"/>
  <c r="Q46" i="3"/>
  <c r="P47" i="3"/>
  <c r="Q47" i="3"/>
  <c r="Q29" i="3"/>
  <c r="Q30" i="3"/>
  <c r="Q72" i="3"/>
  <c r="P73" i="3"/>
  <c r="Q73" i="3"/>
  <c r="Q74" i="3"/>
  <c r="P48" i="3"/>
  <c r="Q48" i="3"/>
  <c r="Q75" i="3"/>
  <c r="P31" i="3"/>
  <c r="Q31" i="3"/>
  <c r="P32" i="3"/>
  <c r="Q32" i="3"/>
  <c r="P33" i="3"/>
  <c r="Q33" i="3"/>
  <c r="P76" i="3"/>
  <c r="Q76" i="3"/>
  <c r="P77" i="3"/>
  <c r="Q77" i="3"/>
  <c r="P49" i="3"/>
  <c r="Q49" i="3"/>
  <c r="P51" i="3"/>
  <c r="Q51" i="3"/>
  <c r="Q34" i="3"/>
  <c r="P78" i="3"/>
  <c r="Q78" i="3"/>
  <c r="P35" i="3"/>
  <c r="Q35" i="3"/>
  <c r="P36" i="3"/>
  <c r="Q36" i="3"/>
  <c r="Q79" i="3"/>
  <c r="P80" i="3"/>
  <c r="Q80" i="3"/>
  <c r="Q81" i="3"/>
  <c r="P82" i="3"/>
  <c r="Q82" i="3"/>
  <c r="Q83" i="3"/>
  <c r="P84" i="3"/>
  <c r="Q84" i="3"/>
  <c r="P85" i="3"/>
  <c r="Q85" i="3"/>
  <c r="P13" i="3"/>
  <c r="F266" i="4"/>
  <c r="G266" i="4"/>
  <c r="F267" i="4"/>
  <c r="G267" i="4"/>
  <c r="F268" i="4"/>
  <c r="G268" i="4"/>
  <c r="F269" i="4"/>
  <c r="G269" i="4"/>
  <c r="F270" i="4"/>
  <c r="G270" i="4"/>
  <c r="F271" i="4"/>
  <c r="G271" i="4"/>
  <c r="F272" i="4"/>
  <c r="G272" i="4"/>
  <c r="F273" i="4"/>
  <c r="G273" i="4"/>
  <c r="F274" i="4"/>
  <c r="G274" i="4"/>
  <c r="F275" i="4"/>
  <c r="G275" i="4"/>
  <c r="F276" i="4"/>
  <c r="G276" i="4"/>
  <c r="F277" i="4"/>
  <c r="G277" i="4"/>
  <c r="F278" i="4"/>
  <c r="G278" i="4"/>
  <c r="F279" i="4"/>
  <c r="G279" i="4"/>
  <c r="F280" i="4"/>
  <c r="G280" i="4"/>
  <c r="F281" i="4"/>
  <c r="G281" i="4"/>
  <c r="F282" i="4"/>
  <c r="G282" i="4"/>
  <c r="F283" i="4"/>
  <c r="G283" i="4"/>
  <c r="F284" i="4"/>
  <c r="G284" i="4"/>
  <c r="F285" i="4"/>
  <c r="G285" i="4"/>
  <c r="F286" i="4"/>
  <c r="G286" i="4"/>
  <c r="F287" i="4"/>
  <c r="G287" i="4"/>
  <c r="F288" i="4"/>
  <c r="G288" i="4"/>
  <c r="F289" i="4"/>
  <c r="G289" i="4"/>
  <c r="F290" i="4"/>
  <c r="G290" i="4"/>
  <c r="F291" i="4"/>
  <c r="G291" i="4"/>
  <c r="F292" i="4"/>
  <c r="G292" i="4"/>
  <c r="F293" i="4"/>
  <c r="G293" i="4"/>
  <c r="F294" i="4"/>
  <c r="G294" i="4"/>
  <c r="F295" i="4"/>
  <c r="G295" i="4"/>
  <c r="F296" i="4"/>
  <c r="G296" i="4"/>
  <c r="F297" i="4"/>
  <c r="G297" i="4"/>
  <c r="F298" i="4"/>
  <c r="G298" i="4"/>
  <c r="F299" i="4"/>
  <c r="G299" i="4"/>
  <c r="F300" i="4"/>
  <c r="G300" i="4"/>
  <c r="F301" i="4"/>
  <c r="G301" i="4"/>
  <c r="F302" i="4"/>
  <c r="G302" i="4"/>
  <c r="F303" i="4"/>
  <c r="G303" i="4"/>
  <c r="F304" i="4"/>
  <c r="G304" i="4"/>
  <c r="F305" i="4"/>
  <c r="G305" i="4"/>
  <c r="F306" i="4"/>
  <c r="G306" i="4"/>
  <c r="F307" i="4"/>
  <c r="G307" i="4"/>
  <c r="F308" i="4"/>
  <c r="G308" i="4"/>
  <c r="F309" i="4"/>
  <c r="G309" i="4"/>
  <c r="T15" i="1"/>
  <c r="V15" i="1"/>
  <c r="X15" i="1"/>
  <c r="Y15" i="1"/>
  <c r="Z15" i="1"/>
  <c r="AB15" i="1"/>
  <c r="AC15" i="1"/>
  <c r="T16" i="1"/>
  <c r="V16" i="1"/>
  <c r="X16" i="1"/>
  <c r="Y16" i="1"/>
  <c r="Z16" i="1"/>
  <c r="AB16" i="1"/>
  <c r="AC16" i="1"/>
  <c r="T17" i="1"/>
  <c r="V17" i="1"/>
  <c r="X17" i="1"/>
  <c r="Y17" i="1"/>
  <c r="Z17" i="1"/>
  <c r="AA17" i="1" s="1"/>
  <c r="W17" i="1" s="1"/>
  <c r="AB17" i="1"/>
  <c r="AC17" i="1"/>
  <c r="T18" i="1"/>
  <c r="V18" i="1"/>
  <c r="X18" i="1"/>
  <c r="Y18" i="1"/>
  <c r="Z18" i="1"/>
  <c r="AB18" i="1"/>
  <c r="AC18" i="1"/>
  <c r="T19" i="1"/>
  <c r="V19" i="1"/>
  <c r="P14" i="3" s="1"/>
  <c r="X19" i="1"/>
  <c r="Y19" i="1"/>
  <c r="Z19" i="1"/>
  <c r="AB19" i="1"/>
  <c r="AC19" i="1"/>
  <c r="T20" i="1"/>
  <c r="V20" i="1"/>
  <c r="X20" i="1"/>
  <c r="Y20" i="1"/>
  <c r="Z20" i="1"/>
  <c r="AA20" i="1" s="1"/>
  <c r="W20" i="1" s="1"/>
  <c r="AB20" i="1"/>
  <c r="AC20" i="1"/>
  <c r="T21" i="1"/>
  <c r="V21" i="1"/>
  <c r="X21" i="1"/>
  <c r="Y21" i="1"/>
  <c r="Z21" i="1"/>
  <c r="AA21" i="1" s="1"/>
  <c r="W21" i="1" s="1"/>
  <c r="AB21" i="1"/>
  <c r="AC21" i="1"/>
  <c r="T22" i="1"/>
  <c r="V22" i="1"/>
  <c r="X22" i="1"/>
  <c r="Y22" i="1"/>
  <c r="Z22" i="1"/>
  <c r="AB22" i="1"/>
  <c r="AC22" i="1"/>
  <c r="T23" i="1"/>
  <c r="V23" i="1"/>
  <c r="P52" i="3" s="1"/>
  <c r="X23" i="1"/>
  <c r="Y23" i="1"/>
  <c r="Z23" i="1"/>
  <c r="AB23" i="1"/>
  <c r="AC23" i="1"/>
  <c r="T24" i="1"/>
  <c r="V24" i="1"/>
  <c r="X24" i="1"/>
  <c r="Y24" i="1"/>
  <c r="Z24" i="1"/>
  <c r="AA24" i="1" s="1"/>
  <c r="W24" i="1" s="1"/>
  <c r="AB24" i="1"/>
  <c r="AC24" i="1"/>
  <c r="T25" i="1"/>
  <c r="V25" i="1"/>
  <c r="X25" i="1"/>
  <c r="Y25" i="1"/>
  <c r="Z25" i="1"/>
  <c r="AA25" i="1" s="1"/>
  <c r="W25" i="1" s="1"/>
  <c r="AB25" i="1"/>
  <c r="AC25" i="1"/>
  <c r="T26" i="1"/>
  <c r="V26" i="1"/>
  <c r="X26" i="1"/>
  <c r="Y26" i="1"/>
  <c r="Z26" i="1"/>
  <c r="AB26" i="1"/>
  <c r="AC26" i="1"/>
  <c r="T27" i="1"/>
  <c r="V27" i="1"/>
  <c r="X27" i="1"/>
  <c r="Y27" i="1"/>
  <c r="Z27" i="1"/>
  <c r="AB27" i="1"/>
  <c r="AC27" i="1"/>
  <c r="T28" i="1"/>
  <c r="V28" i="1"/>
  <c r="X28" i="1"/>
  <c r="Y28" i="1"/>
  <c r="Z28" i="1"/>
  <c r="AA28" i="1" s="1"/>
  <c r="W28" i="1" s="1"/>
  <c r="AB28" i="1"/>
  <c r="AC28" i="1"/>
  <c r="T29" i="1"/>
  <c r="V29" i="1"/>
  <c r="X29" i="1"/>
  <c r="Y29" i="1"/>
  <c r="Z29" i="1"/>
  <c r="AA29" i="1" s="1"/>
  <c r="W29" i="1" s="1"/>
  <c r="AB29" i="1"/>
  <c r="AC29" i="1"/>
  <c r="T30" i="1"/>
  <c r="V30" i="1"/>
  <c r="X30" i="1"/>
  <c r="Y30" i="1"/>
  <c r="Z30" i="1"/>
  <c r="AB30" i="1"/>
  <c r="AC30" i="1"/>
  <c r="T31" i="1"/>
  <c r="V31" i="1"/>
  <c r="X31" i="1"/>
  <c r="Y31" i="1"/>
  <c r="Z31" i="1"/>
  <c r="AB31" i="1"/>
  <c r="AC31" i="1"/>
  <c r="T32" i="1"/>
  <c r="V32" i="1"/>
  <c r="X32" i="1"/>
  <c r="Y32" i="1"/>
  <c r="Z32" i="1"/>
  <c r="AA32" i="1" s="1"/>
  <c r="W32" i="1" s="1"/>
  <c r="AB32" i="1"/>
  <c r="AC32" i="1"/>
  <c r="T33" i="1"/>
  <c r="V33" i="1"/>
  <c r="X33" i="1"/>
  <c r="Y33" i="1"/>
  <c r="Z33" i="1"/>
  <c r="AA33" i="1" s="1"/>
  <c r="W33" i="1" s="1"/>
  <c r="AB33" i="1"/>
  <c r="AC33" i="1"/>
  <c r="T34" i="1"/>
  <c r="V34" i="1"/>
  <c r="X34" i="1"/>
  <c r="Y34" i="1"/>
  <c r="Z34" i="1"/>
  <c r="AB34" i="1"/>
  <c r="AC34" i="1"/>
  <c r="T35" i="1"/>
  <c r="V35" i="1"/>
  <c r="X35" i="1"/>
  <c r="Y35" i="1"/>
  <c r="Z35" i="1"/>
  <c r="AB35" i="1"/>
  <c r="AC35" i="1"/>
  <c r="T36" i="1"/>
  <c r="V36" i="1"/>
  <c r="X36" i="1"/>
  <c r="Y36" i="1"/>
  <c r="Z36" i="1"/>
  <c r="AA36" i="1" s="1"/>
  <c r="W36" i="1" s="1"/>
  <c r="AB36" i="1"/>
  <c r="AC36" i="1"/>
  <c r="T37" i="1"/>
  <c r="V37" i="1"/>
  <c r="X37" i="1"/>
  <c r="Y37" i="1"/>
  <c r="Z37" i="1"/>
  <c r="AA37" i="1" s="1"/>
  <c r="W37" i="1" s="1"/>
  <c r="AB37" i="1"/>
  <c r="AC37" i="1"/>
  <c r="T38" i="1"/>
  <c r="V38" i="1"/>
  <c r="P15" i="3" s="1"/>
  <c r="X38" i="1"/>
  <c r="Y38" i="1"/>
  <c r="Z38" i="1"/>
  <c r="AB38" i="1"/>
  <c r="AC38" i="1"/>
  <c r="T39" i="1"/>
  <c r="V39" i="1"/>
  <c r="P53" i="3" s="1"/>
  <c r="X39" i="1"/>
  <c r="Y39" i="1"/>
  <c r="Z39" i="1"/>
  <c r="AB39" i="1"/>
  <c r="AC39" i="1"/>
  <c r="T40" i="1"/>
  <c r="V40" i="1"/>
  <c r="X40" i="1"/>
  <c r="Y40" i="1"/>
  <c r="Z40" i="1"/>
  <c r="AA40" i="1" s="1"/>
  <c r="W40" i="1" s="1"/>
  <c r="AB40" i="1"/>
  <c r="AC40" i="1"/>
  <c r="T41" i="1"/>
  <c r="V41" i="1"/>
  <c r="X41" i="1"/>
  <c r="Y41" i="1"/>
  <c r="Z41" i="1"/>
  <c r="AA41" i="1" s="1"/>
  <c r="W41" i="1" s="1"/>
  <c r="AB41" i="1"/>
  <c r="AC41" i="1"/>
  <c r="T42" i="1"/>
  <c r="V42" i="1"/>
  <c r="P54" i="3" s="1"/>
  <c r="X42" i="1"/>
  <c r="Y42" i="1"/>
  <c r="Z42" i="1"/>
  <c r="AB42" i="1"/>
  <c r="AC42" i="1"/>
  <c r="T43" i="1"/>
  <c r="V43" i="1"/>
  <c r="P55" i="3" s="1"/>
  <c r="X43" i="1"/>
  <c r="Y43" i="1"/>
  <c r="Z43" i="1"/>
  <c r="AA43" i="1" s="1"/>
  <c r="W43" i="1" s="1"/>
  <c r="AB43" i="1"/>
  <c r="AC43" i="1"/>
  <c r="T44" i="1"/>
  <c r="V44" i="1"/>
  <c r="X44" i="1"/>
  <c r="Y44" i="1"/>
  <c r="Z44" i="1"/>
  <c r="AA44" i="1" s="1"/>
  <c r="W44" i="1" s="1"/>
  <c r="AB44" i="1"/>
  <c r="AC44" i="1"/>
  <c r="T45" i="1"/>
  <c r="V45" i="1"/>
  <c r="P39" i="3" s="1"/>
  <c r="X45" i="1"/>
  <c r="Y45" i="1"/>
  <c r="Z45" i="1"/>
  <c r="AA45" i="1" s="1"/>
  <c r="W45" i="1" s="1"/>
  <c r="AB45" i="1"/>
  <c r="AC45" i="1"/>
  <c r="T46" i="1"/>
  <c r="V46" i="1"/>
  <c r="X46" i="1"/>
  <c r="Y46" i="1"/>
  <c r="Z46" i="1"/>
  <c r="AB46" i="1"/>
  <c r="AC46" i="1"/>
  <c r="T47" i="1"/>
  <c r="V47" i="1"/>
  <c r="X47" i="1"/>
  <c r="Y47" i="1"/>
  <c r="Z47" i="1"/>
  <c r="AB47" i="1"/>
  <c r="AC47" i="1"/>
  <c r="T48" i="1"/>
  <c r="V48" i="1"/>
  <c r="X48" i="1"/>
  <c r="Y48" i="1"/>
  <c r="Z48" i="1"/>
  <c r="AB48" i="1"/>
  <c r="AC48" i="1"/>
  <c r="T49" i="1"/>
  <c r="V49" i="1"/>
  <c r="X49" i="1"/>
  <c r="Y49" i="1"/>
  <c r="Z49" i="1"/>
  <c r="AA49" i="1" s="1"/>
  <c r="W49" i="1" s="1"/>
  <c r="AB49" i="1"/>
  <c r="AC49" i="1"/>
  <c r="T50" i="1"/>
  <c r="V50" i="1"/>
  <c r="X50" i="1"/>
  <c r="Y50" i="1"/>
  <c r="Z50" i="1"/>
  <c r="AB50" i="1"/>
  <c r="AC50" i="1"/>
  <c r="T51" i="1"/>
  <c r="V51" i="1"/>
  <c r="X51" i="1"/>
  <c r="Y51" i="1"/>
  <c r="Z51" i="1"/>
  <c r="AA51" i="1" s="1"/>
  <c r="W51" i="1" s="1"/>
  <c r="AB51" i="1"/>
  <c r="AC51" i="1"/>
  <c r="T52" i="1"/>
  <c r="V52" i="1"/>
  <c r="P41" i="3" s="1"/>
  <c r="X52" i="1"/>
  <c r="Y52" i="1"/>
  <c r="Z52" i="1"/>
  <c r="AB52" i="1"/>
  <c r="AC52" i="1"/>
  <c r="T53" i="1"/>
  <c r="V53" i="1"/>
  <c r="P17" i="3" s="1"/>
  <c r="X53" i="1"/>
  <c r="Y53" i="1"/>
  <c r="Z53" i="1"/>
  <c r="AA53" i="1"/>
  <c r="W53" i="1" s="1"/>
  <c r="AB53" i="1"/>
  <c r="AC53" i="1"/>
  <c r="T54" i="1"/>
  <c r="V54" i="1"/>
  <c r="X54" i="1"/>
  <c r="Y54" i="1"/>
  <c r="Z54" i="1"/>
  <c r="AB54" i="1"/>
  <c r="AC54" i="1"/>
  <c r="T55" i="1"/>
  <c r="V55" i="1"/>
  <c r="X55" i="1"/>
  <c r="Y55" i="1"/>
  <c r="Z55" i="1"/>
  <c r="AB55" i="1"/>
  <c r="AC55" i="1"/>
  <c r="T56" i="1"/>
  <c r="V56" i="1"/>
  <c r="X56" i="1"/>
  <c r="Y56" i="1"/>
  <c r="Z56" i="1"/>
  <c r="AA56" i="1" s="1"/>
  <c r="W56" i="1" s="1"/>
  <c r="AB56" i="1"/>
  <c r="AC56" i="1"/>
  <c r="T57" i="1"/>
  <c r="V57" i="1"/>
  <c r="X57" i="1"/>
  <c r="Y57" i="1"/>
  <c r="Z57" i="1"/>
  <c r="AB57" i="1"/>
  <c r="AC57" i="1"/>
  <c r="T58" i="1"/>
  <c r="V58" i="1"/>
  <c r="X58" i="1"/>
  <c r="Y58" i="1"/>
  <c r="Z58" i="1"/>
  <c r="AA58" i="1" s="1"/>
  <c r="W58" i="1" s="1"/>
  <c r="AB58" i="1"/>
  <c r="AC58" i="1"/>
  <c r="T59" i="1"/>
  <c r="V59" i="1"/>
  <c r="X59" i="1"/>
  <c r="Y59" i="1"/>
  <c r="AA59" i="1" s="1"/>
  <c r="W59" i="1" s="1"/>
  <c r="Z59" i="1"/>
  <c r="AB59" i="1"/>
  <c r="AC59" i="1"/>
  <c r="T60" i="1"/>
  <c r="V60" i="1"/>
  <c r="X60" i="1"/>
  <c r="Y60" i="1"/>
  <c r="AA60" i="1" s="1"/>
  <c r="W60" i="1" s="1"/>
  <c r="Z60" i="1"/>
  <c r="AB60" i="1"/>
  <c r="AC60" i="1"/>
  <c r="T61" i="1"/>
  <c r="V61" i="1"/>
  <c r="X61" i="1"/>
  <c r="Y61" i="1"/>
  <c r="Z61" i="1"/>
  <c r="AB61" i="1"/>
  <c r="AC61" i="1"/>
  <c r="T62" i="1"/>
  <c r="V62" i="1"/>
  <c r="X62" i="1"/>
  <c r="Y62" i="1"/>
  <c r="Z62" i="1"/>
  <c r="AB62" i="1"/>
  <c r="AC62" i="1"/>
  <c r="T63" i="1"/>
  <c r="V63" i="1"/>
  <c r="X63" i="1"/>
  <c r="Y63" i="1"/>
  <c r="Z63" i="1"/>
  <c r="AB63" i="1"/>
  <c r="AC63" i="1"/>
  <c r="T64" i="1"/>
  <c r="V64" i="1"/>
  <c r="P9" i="3" s="1"/>
  <c r="X64" i="1"/>
  <c r="Y64" i="1"/>
  <c r="Z64" i="1"/>
  <c r="AB64" i="1"/>
  <c r="AC64" i="1"/>
  <c r="T65" i="1"/>
  <c r="V65" i="1"/>
  <c r="X65" i="1"/>
  <c r="Y65" i="1"/>
  <c r="AA65" i="1" s="1"/>
  <c r="W65" i="1" s="1"/>
  <c r="Z65" i="1"/>
  <c r="AB65" i="1"/>
  <c r="AC65" i="1"/>
  <c r="T66" i="1"/>
  <c r="V66" i="1"/>
  <c r="X66" i="1"/>
  <c r="Y66" i="1"/>
  <c r="Z66" i="1"/>
  <c r="AB66" i="1"/>
  <c r="AC66" i="1"/>
  <c r="T67" i="1"/>
  <c r="V67" i="1"/>
  <c r="X67" i="1"/>
  <c r="Y67" i="1"/>
  <c r="Z67" i="1"/>
  <c r="AB67" i="1"/>
  <c r="AC67" i="1"/>
  <c r="T68" i="1"/>
  <c r="V68" i="1"/>
  <c r="X68" i="1"/>
  <c r="Y68" i="1"/>
  <c r="Z68" i="1"/>
  <c r="AB68" i="1"/>
  <c r="AC68" i="1"/>
  <c r="T69" i="1"/>
  <c r="V69" i="1"/>
  <c r="X69" i="1"/>
  <c r="Y69" i="1"/>
  <c r="Z69" i="1"/>
  <c r="AA69" i="1"/>
  <c r="W69" i="1" s="1"/>
  <c r="AB69" i="1"/>
  <c r="AC69" i="1"/>
  <c r="T70" i="1"/>
  <c r="V70" i="1"/>
  <c r="X70" i="1"/>
  <c r="Y70" i="1"/>
  <c r="Z70" i="1"/>
  <c r="AA70" i="1" s="1"/>
  <c r="W70" i="1" s="1"/>
  <c r="AB70" i="1"/>
  <c r="AC70" i="1"/>
  <c r="T71" i="1"/>
  <c r="V71" i="1"/>
  <c r="X71" i="1"/>
  <c r="Y71" i="1"/>
  <c r="Z71" i="1"/>
  <c r="AB71" i="1"/>
  <c r="AC71" i="1"/>
  <c r="T72" i="1"/>
  <c r="V72" i="1"/>
  <c r="X72" i="1"/>
  <c r="Y72" i="1"/>
  <c r="Z72" i="1"/>
  <c r="AB72" i="1"/>
  <c r="AC72" i="1"/>
  <c r="T73" i="1"/>
  <c r="V73" i="1"/>
  <c r="X73" i="1"/>
  <c r="Y73" i="1"/>
  <c r="Z73" i="1"/>
  <c r="AB73" i="1"/>
  <c r="AC73" i="1"/>
  <c r="T74" i="1"/>
  <c r="V74" i="1"/>
  <c r="P59" i="3" s="1"/>
  <c r="X74" i="1"/>
  <c r="Y74" i="1"/>
  <c r="Z74" i="1"/>
  <c r="AA74" i="1" s="1"/>
  <c r="W74" i="1" s="1"/>
  <c r="AB74" i="1"/>
  <c r="AC74" i="1"/>
  <c r="T75" i="1"/>
  <c r="V75" i="1"/>
  <c r="X75" i="1"/>
  <c r="Y75" i="1"/>
  <c r="AA75" i="1" s="1"/>
  <c r="W75" i="1" s="1"/>
  <c r="Z75" i="1"/>
  <c r="AB75" i="1"/>
  <c r="AC75" i="1"/>
  <c r="T76" i="1"/>
  <c r="V76" i="1"/>
  <c r="Y76" i="1"/>
  <c r="Z76" i="1"/>
  <c r="AB76" i="1"/>
  <c r="AC76" i="1"/>
  <c r="T77" i="1"/>
  <c r="V77" i="1"/>
  <c r="Y77" i="1"/>
  <c r="Z77" i="1"/>
  <c r="AB77" i="1"/>
  <c r="AC77" i="1"/>
  <c r="T78" i="1"/>
  <c r="V78" i="1"/>
  <c r="Y78" i="1"/>
  <c r="Z78" i="1"/>
  <c r="AB78" i="1"/>
  <c r="AC78" i="1"/>
  <c r="T79" i="1"/>
  <c r="V79" i="1"/>
  <c r="X79" i="1"/>
  <c r="Y79" i="1"/>
  <c r="Z79" i="1"/>
  <c r="AB79" i="1"/>
  <c r="AC79" i="1"/>
  <c r="T80" i="1"/>
  <c r="V80" i="1"/>
  <c r="X80" i="1"/>
  <c r="Y80" i="1"/>
  <c r="AA80" i="1" s="1"/>
  <c r="W80" i="1" s="1"/>
  <c r="Z80" i="1"/>
  <c r="AB80" i="1"/>
  <c r="AC80" i="1"/>
  <c r="T81" i="1"/>
  <c r="V81" i="1"/>
  <c r="X81" i="1"/>
  <c r="Y81" i="1"/>
  <c r="Z81" i="1"/>
  <c r="AB81" i="1"/>
  <c r="AC81" i="1"/>
  <c r="T82" i="1"/>
  <c r="V82" i="1"/>
  <c r="X82" i="1"/>
  <c r="Y82" i="1"/>
  <c r="Z82" i="1"/>
  <c r="AB82" i="1"/>
  <c r="AC82" i="1"/>
  <c r="T83" i="1"/>
  <c r="V83" i="1"/>
  <c r="P20" i="3" s="1"/>
  <c r="X83" i="1"/>
  <c r="Y83" i="1"/>
  <c r="Z83" i="1"/>
  <c r="AB83" i="1"/>
  <c r="AC83" i="1"/>
  <c r="T84" i="1"/>
  <c r="V84" i="1"/>
  <c r="X84" i="1"/>
  <c r="Y84" i="1"/>
  <c r="Z84" i="1"/>
  <c r="AA84" i="1"/>
  <c r="W84" i="1" s="1"/>
  <c r="AB84" i="1"/>
  <c r="AC84" i="1"/>
  <c r="T85" i="1"/>
  <c r="V85" i="1"/>
  <c r="X85" i="1"/>
  <c r="Y85" i="1"/>
  <c r="Z85" i="1"/>
  <c r="AA85" i="1" s="1"/>
  <c r="W85" i="1" s="1"/>
  <c r="AB85" i="1"/>
  <c r="AC85" i="1"/>
  <c r="T86" i="1"/>
  <c r="V86" i="1"/>
  <c r="X86" i="1"/>
  <c r="Y86" i="1"/>
  <c r="Z86" i="1"/>
  <c r="AB86" i="1"/>
  <c r="AC86" i="1"/>
  <c r="T87" i="1"/>
  <c r="V87" i="1"/>
  <c r="X87" i="1"/>
  <c r="Y87" i="1"/>
  <c r="Z87" i="1"/>
  <c r="AB87" i="1"/>
  <c r="AC87" i="1"/>
  <c r="T88" i="1"/>
  <c r="V88" i="1"/>
  <c r="X88" i="1"/>
  <c r="Y88" i="1"/>
  <c r="Z88" i="1"/>
  <c r="AB88" i="1"/>
  <c r="AC88" i="1"/>
  <c r="T89" i="1"/>
  <c r="V89" i="1"/>
  <c r="X89" i="1"/>
  <c r="Y89" i="1"/>
  <c r="Z89" i="1"/>
  <c r="AB89" i="1"/>
  <c r="AC89" i="1"/>
  <c r="T90" i="1"/>
  <c r="V90" i="1"/>
  <c r="X90" i="1"/>
  <c r="Y90" i="1"/>
  <c r="Z90" i="1"/>
  <c r="AB90" i="1"/>
  <c r="AC90" i="1"/>
  <c r="T91" i="1"/>
  <c r="V91" i="1"/>
  <c r="P43" i="3" s="1"/>
  <c r="X91" i="1"/>
  <c r="Y91" i="1"/>
  <c r="Z91" i="1"/>
  <c r="AA91" i="1" s="1"/>
  <c r="W91" i="1" s="1"/>
  <c r="AB91" i="1"/>
  <c r="AC91" i="1"/>
  <c r="T92" i="1"/>
  <c r="V92" i="1"/>
  <c r="X92" i="1"/>
  <c r="Y92" i="1"/>
  <c r="Z92" i="1"/>
  <c r="AA92" i="1" s="1"/>
  <c r="W92" i="1" s="1"/>
  <c r="AB92" i="1"/>
  <c r="AC92" i="1"/>
  <c r="T93" i="1"/>
  <c r="V93" i="1"/>
  <c r="X93" i="1"/>
  <c r="Y93" i="1"/>
  <c r="Z93" i="1"/>
  <c r="AA93" i="1" s="1"/>
  <c r="W93" i="1" s="1"/>
  <c r="AB93" i="1"/>
  <c r="AC93" i="1"/>
  <c r="T94" i="1"/>
  <c r="V94" i="1"/>
  <c r="X94" i="1"/>
  <c r="Y94" i="1"/>
  <c r="Z94" i="1"/>
  <c r="AB94" i="1"/>
  <c r="AC94" i="1"/>
  <c r="T95" i="1"/>
  <c r="V95" i="1"/>
  <c r="X95" i="1"/>
  <c r="Y95" i="1"/>
  <c r="Z95" i="1"/>
  <c r="AA95" i="1" s="1"/>
  <c r="W95" i="1" s="1"/>
  <c r="AB95" i="1"/>
  <c r="AC95" i="1"/>
  <c r="T96" i="1"/>
  <c r="V96" i="1"/>
  <c r="X96" i="1"/>
  <c r="Y96" i="1"/>
  <c r="AA96" i="1" s="1"/>
  <c r="W96" i="1" s="1"/>
  <c r="Z96" i="1"/>
  <c r="AB96" i="1"/>
  <c r="AC96" i="1"/>
  <c r="T97" i="1"/>
  <c r="V97" i="1"/>
  <c r="P22" i="3" s="1"/>
  <c r="X97" i="1"/>
  <c r="Y97" i="1"/>
  <c r="Z97" i="1"/>
  <c r="AB97" i="1"/>
  <c r="AC97" i="1"/>
  <c r="T98" i="1"/>
  <c r="V98" i="1"/>
  <c r="X98" i="1"/>
  <c r="Y98" i="1"/>
  <c r="Z98" i="1"/>
  <c r="AA98" i="1" s="1"/>
  <c r="W98" i="1" s="1"/>
  <c r="AB98" i="1"/>
  <c r="AC98" i="1"/>
  <c r="T99" i="1"/>
  <c r="V99" i="1"/>
  <c r="X99" i="1"/>
  <c r="Y99" i="1"/>
  <c r="Z99" i="1"/>
  <c r="AA99" i="1" s="1"/>
  <c r="W99" i="1" s="1"/>
  <c r="AB99" i="1"/>
  <c r="AC99" i="1"/>
  <c r="T100" i="1"/>
  <c r="V100" i="1"/>
  <c r="P24" i="3" s="1"/>
  <c r="X100" i="1"/>
  <c r="Y100" i="1"/>
  <c r="Z100" i="1"/>
  <c r="AB100" i="1"/>
  <c r="AC100" i="1"/>
  <c r="T101" i="1"/>
  <c r="V101" i="1"/>
  <c r="X101" i="1"/>
  <c r="Y101" i="1"/>
  <c r="Z101" i="1"/>
  <c r="AA101" i="1" s="1"/>
  <c r="W101" i="1" s="1"/>
  <c r="AB101" i="1"/>
  <c r="AC101" i="1"/>
  <c r="T102" i="1"/>
  <c r="V102" i="1"/>
  <c r="X102" i="1"/>
  <c r="Y102" i="1"/>
  <c r="Z102" i="1"/>
  <c r="AB102" i="1"/>
  <c r="AC102" i="1"/>
  <c r="T103" i="1"/>
  <c r="V103" i="1"/>
  <c r="X103" i="1"/>
  <c r="Y103" i="1"/>
  <c r="Z103" i="1"/>
  <c r="AA103" i="1" s="1"/>
  <c r="W103" i="1" s="1"/>
  <c r="AB103" i="1"/>
  <c r="AC103" i="1"/>
  <c r="T104" i="1"/>
  <c r="V104" i="1"/>
  <c r="X104" i="1"/>
  <c r="Y104" i="1"/>
  <c r="Z104" i="1"/>
  <c r="AA104" i="1" s="1"/>
  <c r="W104" i="1" s="1"/>
  <c r="AB104" i="1"/>
  <c r="AC104" i="1"/>
  <c r="T105" i="1"/>
  <c r="V105" i="1"/>
  <c r="X105" i="1"/>
  <c r="Y105" i="1"/>
  <c r="Z105" i="1"/>
  <c r="AA105" i="1" s="1"/>
  <c r="W105" i="1" s="1"/>
  <c r="AB105" i="1"/>
  <c r="AC105" i="1"/>
  <c r="T106" i="1"/>
  <c r="V106" i="1"/>
  <c r="X106" i="1"/>
  <c r="Y106" i="1"/>
  <c r="Z106" i="1"/>
  <c r="AB106" i="1"/>
  <c r="AC106" i="1"/>
  <c r="T107" i="1"/>
  <c r="V107" i="1"/>
  <c r="X107" i="1"/>
  <c r="Y107" i="1"/>
  <c r="Z107" i="1"/>
  <c r="AB107" i="1"/>
  <c r="AC107" i="1"/>
  <c r="T108" i="1"/>
  <c r="V108" i="1"/>
  <c r="X108" i="1"/>
  <c r="Y108" i="1"/>
  <c r="AA108" i="1" s="1"/>
  <c r="W108" i="1" s="1"/>
  <c r="Z108" i="1"/>
  <c r="AB108" i="1"/>
  <c r="AC108" i="1"/>
  <c r="T109" i="1"/>
  <c r="V109" i="1"/>
  <c r="X109" i="1"/>
  <c r="Y109" i="1"/>
  <c r="Z109" i="1"/>
  <c r="AB109" i="1"/>
  <c r="AC109" i="1"/>
  <c r="T110" i="1"/>
  <c r="V110" i="1"/>
  <c r="X110" i="1"/>
  <c r="Y110" i="1"/>
  <c r="Z110" i="1"/>
  <c r="AA110" i="1" s="1"/>
  <c r="W110" i="1" s="1"/>
  <c r="AB110" i="1"/>
  <c r="AC110" i="1"/>
  <c r="T111" i="1"/>
  <c r="V111" i="1"/>
  <c r="X111" i="1"/>
  <c r="Y111" i="1"/>
  <c r="Z111" i="1"/>
  <c r="AB111" i="1"/>
  <c r="AC111" i="1"/>
  <c r="T112" i="1"/>
  <c r="V112" i="1"/>
  <c r="X112" i="1"/>
  <c r="Y112" i="1"/>
  <c r="Z112" i="1"/>
  <c r="AB112" i="1"/>
  <c r="AC112" i="1"/>
  <c r="T113" i="1"/>
  <c r="V113" i="1"/>
  <c r="P72" i="3" s="1"/>
  <c r="X113" i="1"/>
  <c r="Y113" i="1"/>
  <c r="Z113" i="1"/>
  <c r="AB113" i="1"/>
  <c r="AC113" i="1"/>
  <c r="T114" i="1"/>
  <c r="V114" i="1"/>
  <c r="X114" i="1"/>
  <c r="Y114" i="1"/>
  <c r="Z114" i="1"/>
  <c r="AA114" i="1" s="1"/>
  <c r="W114" i="1" s="1"/>
  <c r="AB114" i="1"/>
  <c r="AC114" i="1"/>
  <c r="T115" i="1"/>
  <c r="V115" i="1"/>
  <c r="X115" i="1"/>
  <c r="Y115" i="1"/>
  <c r="Z115" i="1"/>
  <c r="AA115" i="1" s="1"/>
  <c r="W115" i="1" s="1"/>
  <c r="AB115" i="1"/>
  <c r="AC115" i="1"/>
  <c r="T116" i="1"/>
  <c r="V116" i="1"/>
  <c r="X116" i="1"/>
  <c r="Y116" i="1"/>
  <c r="Z116" i="1"/>
  <c r="AB116" i="1"/>
  <c r="AC116" i="1"/>
  <c r="T117" i="1"/>
  <c r="V117" i="1"/>
  <c r="X117" i="1"/>
  <c r="Y117" i="1"/>
  <c r="Z117" i="1"/>
  <c r="AB117" i="1"/>
  <c r="AC117" i="1"/>
  <c r="T118" i="1"/>
  <c r="V118" i="1"/>
  <c r="P66" i="3" s="1"/>
  <c r="X118" i="1"/>
  <c r="Y118" i="1"/>
  <c r="Z118" i="1"/>
  <c r="AA118" i="1" s="1"/>
  <c r="W118" i="1" s="1"/>
  <c r="AB118" i="1"/>
  <c r="AC118" i="1"/>
  <c r="T119" i="1"/>
  <c r="V119" i="1"/>
  <c r="X119" i="1"/>
  <c r="Y119" i="1"/>
  <c r="Z119" i="1"/>
  <c r="AB119" i="1"/>
  <c r="AC119" i="1"/>
  <c r="T120" i="1"/>
  <c r="V120" i="1"/>
  <c r="P74" i="3" s="1"/>
  <c r="X120" i="1"/>
  <c r="Y120" i="1"/>
  <c r="Z120" i="1"/>
  <c r="AB120" i="1"/>
  <c r="AC120" i="1"/>
  <c r="T121" i="1"/>
  <c r="V121" i="1"/>
  <c r="X121" i="1"/>
  <c r="Y121" i="1"/>
  <c r="Z121" i="1"/>
  <c r="AB121" i="1"/>
  <c r="AC121" i="1"/>
  <c r="T122" i="1"/>
  <c r="V122" i="1"/>
  <c r="X122" i="1"/>
  <c r="Y122" i="1"/>
  <c r="Z122" i="1"/>
  <c r="AB122" i="1"/>
  <c r="AC122" i="1"/>
  <c r="T123" i="1"/>
  <c r="V123" i="1"/>
  <c r="X123" i="1"/>
  <c r="Y123" i="1"/>
  <c r="Z123" i="1"/>
  <c r="AB123" i="1"/>
  <c r="AC123" i="1"/>
  <c r="T124" i="1"/>
  <c r="V124" i="1"/>
  <c r="X124" i="1"/>
  <c r="Y124" i="1"/>
  <c r="Z124" i="1"/>
  <c r="AB124" i="1"/>
  <c r="AC124" i="1"/>
  <c r="T125" i="1"/>
  <c r="V125" i="1"/>
  <c r="X125" i="1"/>
  <c r="Y125" i="1"/>
  <c r="Z125" i="1"/>
  <c r="AB125" i="1"/>
  <c r="AC125" i="1"/>
  <c r="T126" i="1"/>
  <c r="V126" i="1"/>
  <c r="P34" i="3" s="1"/>
  <c r="X126" i="1"/>
  <c r="Y126" i="1"/>
  <c r="Z126" i="1"/>
  <c r="AB126" i="1"/>
  <c r="AC126" i="1"/>
  <c r="T127" i="1"/>
  <c r="V127" i="1"/>
  <c r="P68" i="3" s="1"/>
  <c r="X127" i="1"/>
  <c r="Y127" i="1"/>
  <c r="Z127" i="1"/>
  <c r="AB127" i="1"/>
  <c r="AC127" i="1"/>
  <c r="T128" i="1"/>
  <c r="V128" i="1"/>
  <c r="X128" i="1"/>
  <c r="Y128" i="1"/>
  <c r="Z128" i="1"/>
  <c r="AB128" i="1"/>
  <c r="AC128" i="1"/>
  <c r="T129" i="1"/>
  <c r="V129" i="1"/>
  <c r="X129" i="1"/>
  <c r="Y129" i="1"/>
  <c r="Z129" i="1"/>
  <c r="AB129" i="1"/>
  <c r="AC129" i="1"/>
  <c r="T130" i="1"/>
  <c r="V130" i="1"/>
  <c r="X130" i="1"/>
  <c r="Y130" i="1"/>
  <c r="Z130" i="1"/>
  <c r="AB130" i="1"/>
  <c r="AC130" i="1"/>
  <c r="T131" i="1"/>
  <c r="V131" i="1"/>
  <c r="X131" i="1"/>
  <c r="Y131" i="1"/>
  <c r="Z131" i="1"/>
  <c r="AB131" i="1"/>
  <c r="AC131" i="1"/>
  <c r="T132" i="1"/>
  <c r="V132" i="1"/>
  <c r="X132" i="1"/>
  <c r="Y132" i="1"/>
  <c r="Z132" i="1"/>
  <c r="AB132" i="1"/>
  <c r="AC132" i="1"/>
  <c r="T133" i="1"/>
  <c r="V133" i="1"/>
  <c r="X133" i="1"/>
  <c r="Y133" i="1"/>
  <c r="Z133" i="1"/>
  <c r="AB133" i="1"/>
  <c r="AC133" i="1"/>
  <c r="T134" i="1"/>
  <c r="V134" i="1"/>
  <c r="X134" i="1"/>
  <c r="Y134" i="1"/>
  <c r="Z134" i="1"/>
  <c r="AB134" i="1"/>
  <c r="AC134" i="1"/>
  <c r="T135" i="1"/>
  <c r="V135" i="1"/>
  <c r="X135" i="1"/>
  <c r="Y135" i="1"/>
  <c r="Z135" i="1"/>
  <c r="AB135" i="1"/>
  <c r="AC135" i="1"/>
  <c r="K156" i="1"/>
  <c r="L156" i="1"/>
  <c r="M156" i="1"/>
  <c r="P156" i="1" s="1"/>
  <c r="K157" i="1"/>
  <c r="L157" i="1"/>
  <c r="M157" i="1"/>
  <c r="N157" i="1" s="1"/>
  <c r="K158" i="1"/>
  <c r="L158" i="1"/>
  <c r="M158" i="1"/>
  <c r="N158" i="1" s="1"/>
  <c r="K159" i="1"/>
  <c r="L159" i="1"/>
  <c r="M159" i="1"/>
  <c r="N159" i="1" s="1"/>
  <c r="K160" i="1"/>
  <c r="L160" i="1"/>
  <c r="M160" i="1"/>
  <c r="K161" i="1"/>
  <c r="L161" i="1"/>
  <c r="M161" i="1"/>
  <c r="K162" i="1"/>
  <c r="L162" i="1"/>
  <c r="M162" i="1"/>
  <c r="K163" i="1"/>
  <c r="L163" i="1"/>
  <c r="M163" i="1"/>
  <c r="K164" i="1"/>
  <c r="L164" i="1"/>
  <c r="M164" i="1"/>
  <c r="K165" i="1"/>
  <c r="L165" i="1"/>
  <c r="M165" i="1"/>
  <c r="K166" i="1"/>
  <c r="L166" i="1"/>
  <c r="M166" i="1"/>
  <c r="K167" i="1"/>
  <c r="L167" i="1"/>
  <c r="M167" i="1"/>
  <c r="K168" i="1"/>
  <c r="L168" i="1"/>
  <c r="M168" i="1"/>
  <c r="K169" i="1"/>
  <c r="L169" i="1"/>
  <c r="M169" i="1"/>
  <c r="K170" i="1"/>
  <c r="L170" i="1"/>
  <c r="M170" i="1"/>
  <c r="K171" i="1"/>
  <c r="L171" i="1"/>
  <c r="M171" i="1"/>
  <c r="K172" i="1"/>
  <c r="L172" i="1"/>
  <c r="M172" i="1"/>
  <c r="K173" i="1"/>
  <c r="L173" i="1"/>
  <c r="M173" i="1"/>
  <c r="K174" i="1"/>
  <c r="L174" i="1"/>
  <c r="M174" i="1"/>
  <c r="K175" i="1"/>
  <c r="L175" i="1"/>
  <c r="M175" i="1"/>
  <c r="K176" i="1"/>
  <c r="L176" i="1"/>
  <c r="M176" i="1"/>
  <c r="K177" i="1"/>
  <c r="L177" i="1"/>
  <c r="M177" i="1"/>
  <c r="K178" i="1"/>
  <c r="L178" i="1"/>
  <c r="M178" i="1"/>
  <c r="AA87" i="1" l="1"/>
  <c r="W87" i="1" s="1"/>
  <c r="AA136" i="1"/>
  <c r="W136" i="1" s="1"/>
  <c r="AA111" i="1"/>
  <c r="W111" i="1" s="1"/>
  <c r="AA100" i="1"/>
  <c r="W100" i="1" s="1"/>
  <c r="P45" i="3"/>
  <c r="P63" i="3"/>
  <c r="AA48" i="1"/>
  <c r="W48" i="1" s="1"/>
  <c r="P38" i="3"/>
  <c r="AA152" i="1"/>
  <c r="W152" i="1" s="1"/>
  <c r="P64" i="3"/>
  <c r="AA117" i="1"/>
  <c r="W117" i="1" s="1"/>
  <c r="AA113" i="1"/>
  <c r="W113" i="1" s="1"/>
  <c r="AA109" i="1"/>
  <c r="W109" i="1" s="1"/>
  <c r="AA102" i="1"/>
  <c r="W102" i="1" s="1"/>
  <c r="AA97" i="1"/>
  <c r="W97" i="1" s="1"/>
  <c r="AA86" i="1"/>
  <c r="W86" i="1" s="1"/>
  <c r="AA81" i="1"/>
  <c r="W81" i="1" s="1"/>
  <c r="AA76" i="1"/>
  <c r="W76" i="1" s="1"/>
  <c r="AA139" i="1"/>
  <c r="W139" i="1" s="1"/>
  <c r="AA73" i="1"/>
  <c r="W73" i="1" s="1"/>
  <c r="AA68" i="1"/>
  <c r="W68" i="1" s="1"/>
  <c r="P61" i="3"/>
  <c r="P18" i="3"/>
  <c r="AA57" i="1"/>
  <c r="W57" i="1" s="1"/>
  <c r="P8" i="3"/>
  <c r="U151" i="1"/>
  <c r="S151" i="1" s="1"/>
  <c r="AA151" i="1"/>
  <c r="W151" i="1" s="1"/>
  <c r="U145" i="1"/>
  <c r="S145" i="1" s="1"/>
  <c r="U122" i="1"/>
  <c r="S122" i="1" s="1"/>
  <c r="P75" i="3"/>
  <c r="P44" i="3"/>
  <c r="AA90" i="1"/>
  <c r="W90" i="1" s="1"/>
  <c r="P65" i="3"/>
  <c r="P11" i="3"/>
  <c r="P42" i="3"/>
  <c r="AA79" i="1"/>
  <c r="W79" i="1" s="1"/>
  <c r="U45" i="1"/>
  <c r="S45" i="1" s="1"/>
  <c r="P57" i="3"/>
  <c r="P50" i="3"/>
  <c r="P83" i="3"/>
  <c r="P71" i="3"/>
  <c r="AA146" i="1"/>
  <c r="W146" i="1" s="1"/>
  <c r="AA72" i="1"/>
  <c r="W72" i="1" s="1"/>
  <c r="P21" i="3"/>
  <c r="AA67" i="1"/>
  <c r="W67" i="1" s="1"/>
  <c r="AA55" i="1"/>
  <c r="W55" i="1" s="1"/>
  <c r="AA50" i="1"/>
  <c r="W50" i="1" s="1"/>
  <c r="U159" i="1"/>
  <c r="S159" i="1" s="1"/>
  <c r="AA159" i="1"/>
  <c r="W159" i="1" s="1"/>
  <c r="U153" i="1"/>
  <c r="S153" i="1" s="1"/>
  <c r="U143" i="1"/>
  <c r="S143" i="1" s="1"/>
  <c r="AA143" i="1"/>
  <c r="W143" i="1" s="1"/>
  <c r="U137" i="1"/>
  <c r="S137" i="1" s="1"/>
  <c r="P70" i="3"/>
  <c r="P23" i="3"/>
  <c r="P25" i="3"/>
  <c r="P58" i="3"/>
  <c r="P37" i="3"/>
  <c r="P7" i="3"/>
  <c r="P60" i="3"/>
  <c r="AA107" i="1"/>
  <c r="W107" i="1" s="1"/>
  <c r="P28" i="3"/>
  <c r="P10" i="3"/>
  <c r="AA83" i="1"/>
  <c r="W83" i="1" s="1"/>
  <c r="AA156" i="1"/>
  <c r="W156" i="1" s="1"/>
  <c r="U155" i="1"/>
  <c r="S155" i="1" s="1"/>
  <c r="AA148" i="1"/>
  <c r="W148" i="1" s="1"/>
  <c r="U147" i="1"/>
  <c r="S147" i="1" s="1"/>
  <c r="AA140" i="1"/>
  <c r="W140" i="1" s="1"/>
  <c r="U139" i="1"/>
  <c r="S139" i="1" s="1"/>
  <c r="P46" i="3"/>
  <c r="AA106" i="1"/>
  <c r="W106" i="1" s="1"/>
  <c r="AA94" i="1"/>
  <c r="W94" i="1" s="1"/>
  <c r="AA88" i="1"/>
  <c r="W88" i="1" s="1"/>
  <c r="AA82" i="1"/>
  <c r="W82" i="1" s="1"/>
  <c r="AA71" i="1"/>
  <c r="W71" i="1" s="1"/>
  <c r="AA66" i="1"/>
  <c r="W66" i="1" s="1"/>
  <c r="AA64" i="1"/>
  <c r="W64" i="1" s="1"/>
  <c r="AA61" i="1"/>
  <c r="W61" i="1" s="1"/>
  <c r="P19" i="3"/>
  <c r="AA54" i="1"/>
  <c r="W54" i="1" s="1"/>
  <c r="AA52" i="1"/>
  <c r="W52" i="1" s="1"/>
  <c r="P56" i="3"/>
  <c r="AA42" i="1"/>
  <c r="W42" i="1" s="1"/>
  <c r="P16" i="3"/>
  <c r="AA38" i="1"/>
  <c r="W38" i="1" s="1"/>
  <c r="AA34" i="1"/>
  <c r="W34" i="1" s="1"/>
  <c r="AA30" i="1"/>
  <c r="W30" i="1" s="1"/>
  <c r="AA26" i="1"/>
  <c r="W26" i="1" s="1"/>
  <c r="AA22" i="1"/>
  <c r="W22" i="1" s="1"/>
  <c r="AA18" i="1"/>
  <c r="W18" i="1" s="1"/>
  <c r="P26" i="3"/>
  <c r="AA158" i="1"/>
  <c r="W158" i="1" s="1"/>
  <c r="U157" i="1"/>
  <c r="S157" i="1" s="1"/>
  <c r="AA150" i="1"/>
  <c r="W150" i="1" s="1"/>
  <c r="U149" i="1"/>
  <c r="S149" i="1" s="1"/>
  <c r="AA142" i="1"/>
  <c r="W142" i="1" s="1"/>
  <c r="U141" i="1"/>
  <c r="S141" i="1" s="1"/>
  <c r="U158" i="1"/>
  <c r="S158" i="1" s="1"/>
  <c r="U156" i="1"/>
  <c r="S156" i="1" s="1"/>
  <c r="U154" i="1"/>
  <c r="S154" i="1" s="1"/>
  <c r="U152" i="1"/>
  <c r="S152" i="1" s="1"/>
  <c r="U150" i="1"/>
  <c r="S150" i="1" s="1"/>
  <c r="U148" i="1"/>
  <c r="S148" i="1" s="1"/>
  <c r="U146" i="1"/>
  <c r="S146" i="1" s="1"/>
  <c r="U144" i="1"/>
  <c r="S144" i="1" s="1"/>
  <c r="U142" i="1"/>
  <c r="S142" i="1" s="1"/>
  <c r="U140" i="1"/>
  <c r="S140" i="1" s="1"/>
  <c r="U138" i="1"/>
  <c r="S138" i="1" s="1"/>
  <c r="U136" i="1"/>
  <c r="S136" i="1" s="1"/>
  <c r="U61" i="1"/>
  <c r="S61" i="1" s="1"/>
  <c r="P12" i="3"/>
  <c r="U76" i="1"/>
  <c r="AA135" i="1"/>
  <c r="W135" i="1" s="1"/>
  <c r="AA134" i="1"/>
  <c r="W134" i="1" s="1"/>
  <c r="AA133" i="1"/>
  <c r="W133" i="1" s="1"/>
  <c r="AA131" i="1"/>
  <c r="W131" i="1" s="1"/>
  <c r="AA130" i="1"/>
  <c r="W130" i="1" s="1"/>
  <c r="AA129" i="1"/>
  <c r="W129" i="1" s="1"/>
  <c r="AA127" i="1"/>
  <c r="W127" i="1" s="1"/>
  <c r="AA126" i="1"/>
  <c r="W126" i="1" s="1"/>
  <c r="AA125" i="1"/>
  <c r="W125" i="1" s="1"/>
  <c r="U124" i="1"/>
  <c r="AA123" i="1"/>
  <c r="W123" i="1" s="1"/>
  <c r="AA122" i="1"/>
  <c r="W122" i="1" s="1"/>
  <c r="AA121" i="1"/>
  <c r="W121" i="1" s="1"/>
  <c r="U120" i="1"/>
  <c r="S120" i="1" s="1"/>
  <c r="AA119" i="1"/>
  <c r="W119" i="1" s="1"/>
  <c r="U88" i="1"/>
  <c r="S88" i="1" s="1"/>
  <c r="P30" i="3"/>
  <c r="AA112" i="1"/>
  <c r="W112" i="1" s="1"/>
  <c r="U49" i="1"/>
  <c r="S49" i="1" s="1"/>
  <c r="U108" i="1"/>
  <c r="S108" i="1" s="1"/>
  <c r="U96" i="1"/>
  <c r="S96" i="1" s="1"/>
  <c r="U84" i="1"/>
  <c r="S84" i="1" s="1"/>
  <c r="U69" i="1"/>
  <c r="S69" i="1" s="1"/>
  <c r="U53" i="1"/>
  <c r="S53" i="1" s="1"/>
  <c r="U39" i="1"/>
  <c r="S39" i="1" s="1"/>
  <c r="U35" i="1"/>
  <c r="S35" i="1" s="1"/>
  <c r="U31" i="1"/>
  <c r="S31" i="1" s="1"/>
  <c r="U23" i="1"/>
  <c r="S23" i="1" s="1"/>
  <c r="U19" i="1"/>
  <c r="S19" i="1" s="1"/>
  <c r="U16" i="1"/>
  <c r="S16" i="1" s="1"/>
  <c r="U15" i="1"/>
  <c r="S15" i="1" s="1"/>
  <c r="P29" i="3"/>
  <c r="P67" i="3"/>
  <c r="P40" i="3"/>
  <c r="U104" i="1"/>
  <c r="S104" i="1" s="1"/>
  <c r="U92" i="1"/>
  <c r="S92" i="1" s="1"/>
  <c r="U80" i="1"/>
  <c r="S80" i="1" s="1"/>
  <c r="U65" i="1"/>
  <c r="S65" i="1" s="1"/>
  <c r="U100" i="1"/>
  <c r="S100" i="1" s="1"/>
  <c r="AA89" i="1"/>
  <c r="W89" i="1" s="1"/>
  <c r="AA78" i="1"/>
  <c r="W78" i="1" s="1"/>
  <c r="AA77" i="1"/>
  <c r="W77" i="1" s="1"/>
  <c r="U73" i="1"/>
  <c r="S73" i="1" s="1"/>
  <c r="AA63" i="1"/>
  <c r="W63" i="1" s="1"/>
  <c r="AA62" i="1"/>
  <c r="W62" i="1" s="1"/>
  <c r="U57" i="1"/>
  <c r="S57" i="1" s="1"/>
  <c r="AA47" i="1"/>
  <c r="W47" i="1" s="1"/>
  <c r="AA46" i="1"/>
  <c r="W46" i="1" s="1"/>
  <c r="U123" i="1"/>
  <c r="S123" i="1" s="1"/>
  <c r="U132" i="1"/>
  <c r="S132" i="1" s="1"/>
  <c r="U131" i="1"/>
  <c r="S131" i="1" s="1"/>
  <c r="U116" i="1"/>
  <c r="S116" i="1" s="1"/>
  <c r="U115" i="1"/>
  <c r="S115" i="1" s="1"/>
  <c r="U58" i="1"/>
  <c r="S58" i="1" s="1"/>
  <c r="U135" i="1"/>
  <c r="S135" i="1" s="1"/>
  <c r="U128" i="1"/>
  <c r="S128" i="1" s="1"/>
  <c r="U127" i="1"/>
  <c r="S127" i="1" s="1"/>
  <c r="U89" i="1"/>
  <c r="S89" i="1" s="1"/>
  <c r="U38" i="1"/>
  <c r="S38" i="1" s="1"/>
  <c r="U119" i="1"/>
  <c r="S119" i="1" s="1"/>
  <c r="U105" i="1"/>
  <c r="S105" i="1" s="1"/>
  <c r="U74" i="1"/>
  <c r="S74" i="1" s="1"/>
  <c r="U133" i="1"/>
  <c r="S133" i="1" s="1"/>
  <c r="U121" i="1"/>
  <c r="S121" i="1" s="1"/>
  <c r="U117" i="1"/>
  <c r="S117" i="1" s="1"/>
  <c r="U113" i="1"/>
  <c r="S113" i="1" s="1"/>
  <c r="U97" i="1"/>
  <c r="S97" i="1" s="1"/>
  <c r="U81" i="1"/>
  <c r="S81" i="1" s="1"/>
  <c r="U66" i="1"/>
  <c r="S66" i="1" s="1"/>
  <c r="U50" i="1"/>
  <c r="S50" i="1" s="1"/>
  <c r="U22" i="1"/>
  <c r="S22" i="1" s="1"/>
  <c r="U129" i="1"/>
  <c r="S129" i="1" s="1"/>
  <c r="U125" i="1"/>
  <c r="AA132" i="1"/>
  <c r="W132" i="1" s="1"/>
  <c r="AA128" i="1"/>
  <c r="W128" i="1" s="1"/>
  <c r="AA124" i="1"/>
  <c r="W124" i="1" s="1"/>
  <c r="AA120" i="1"/>
  <c r="W120" i="1" s="1"/>
  <c r="AA116" i="1"/>
  <c r="W116" i="1" s="1"/>
  <c r="U112" i="1"/>
  <c r="S112" i="1" s="1"/>
  <c r="U101" i="1"/>
  <c r="S101" i="1" s="1"/>
  <c r="U85" i="1"/>
  <c r="S85" i="1" s="1"/>
  <c r="U70" i="1"/>
  <c r="S70" i="1" s="1"/>
  <c r="U54" i="1"/>
  <c r="S54" i="1" s="1"/>
  <c r="U18" i="1"/>
  <c r="S18" i="1" s="1"/>
  <c r="U134" i="1"/>
  <c r="S134" i="1" s="1"/>
  <c r="U130" i="1"/>
  <c r="S130" i="1" s="1"/>
  <c r="U126" i="1"/>
  <c r="S126" i="1" s="1"/>
  <c r="U118" i="1"/>
  <c r="S118" i="1" s="1"/>
  <c r="U114" i="1"/>
  <c r="S114" i="1" s="1"/>
  <c r="U109" i="1"/>
  <c r="S109" i="1" s="1"/>
  <c r="U93" i="1"/>
  <c r="S93" i="1" s="1"/>
  <c r="U77" i="1"/>
  <c r="S77" i="1" s="1"/>
  <c r="U62" i="1"/>
  <c r="S62" i="1" s="1"/>
  <c r="U46" i="1"/>
  <c r="S46" i="1" s="1"/>
  <c r="U34" i="1"/>
  <c r="S34" i="1" s="1"/>
  <c r="U110" i="1"/>
  <c r="S110" i="1" s="1"/>
  <c r="U106" i="1"/>
  <c r="S106" i="1" s="1"/>
  <c r="U102" i="1"/>
  <c r="S102" i="1" s="1"/>
  <c r="U98" i="1"/>
  <c r="S98" i="1" s="1"/>
  <c r="U94" i="1"/>
  <c r="S94" i="1" s="1"/>
  <c r="U90" i="1"/>
  <c r="S90" i="1" s="1"/>
  <c r="U86" i="1"/>
  <c r="S86" i="1" s="1"/>
  <c r="U82" i="1"/>
  <c r="S82" i="1" s="1"/>
  <c r="U78" i="1"/>
  <c r="S78" i="1" s="1"/>
  <c r="U75" i="1"/>
  <c r="S75" i="1" s="1"/>
  <c r="U71" i="1"/>
  <c r="S71" i="1" s="1"/>
  <c r="U67" i="1"/>
  <c r="S67" i="1" s="1"/>
  <c r="U63" i="1"/>
  <c r="S63" i="1" s="1"/>
  <c r="U59" i="1"/>
  <c r="S59" i="1" s="1"/>
  <c r="U55" i="1"/>
  <c r="S55" i="1" s="1"/>
  <c r="U51" i="1"/>
  <c r="S51" i="1" s="1"/>
  <c r="U47" i="1"/>
  <c r="S47" i="1" s="1"/>
  <c r="U43" i="1"/>
  <c r="S43" i="1" s="1"/>
  <c r="U42" i="1"/>
  <c r="S42" i="1" s="1"/>
  <c r="U30" i="1"/>
  <c r="S30" i="1" s="1"/>
  <c r="U111" i="1"/>
  <c r="S111" i="1" s="1"/>
  <c r="U107" i="1"/>
  <c r="S107" i="1" s="1"/>
  <c r="U103" i="1"/>
  <c r="S103" i="1" s="1"/>
  <c r="U99" i="1"/>
  <c r="S99" i="1" s="1"/>
  <c r="U95" i="1"/>
  <c r="S95" i="1" s="1"/>
  <c r="U91" i="1"/>
  <c r="S91" i="1" s="1"/>
  <c r="U87" i="1"/>
  <c r="S87" i="1" s="1"/>
  <c r="U83" i="1"/>
  <c r="S83" i="1" s="1"/>
  <c r="U79" i="1"/>
  <c r="S79" i="1" s="1"/>
  <c r="U72" i="1"/>
  <c r="S72" i="1" s="1"/>
  <c r="U68" i="1"/>
  <c r="S68" i="1" s="1"/>
  <c r="U64" i="1"/>
  <c r="S64" i="1" s="1"/>
  <c r="U60" i="1"/>
  <c r="S60" i="1" s="1"/>
  <c r="U56" i="1"/>
  <c r="S56" i="1" s="1"/>
  <c r="U52" i="1"/>
  <c r="S52" i="1" s="1"/>
  <c r="U48" i="1"/>
  <c r="S48" i="1" s="1"/>
  <c r="U44" i="1"/>
  <c r="S44" i="1" s="1"/>
  <c r="U41" i="1"/>
  <c r="S41" i="1" s="1"/>
  <c r="U27" i="1"/>
  <c r="S27" i="1" s="1"/>
  <c r="U26" i="1"/>
  <c r="S26" i="1" s="1"/>
  <c r="U40" i="1"/>
  <c r="S40" i="1" s="1"/>
  <c r="U36" i="1"/>
  <c r="S36" i="1" s="1"/>
  <c r="U32" i="1"/>
  <c r="S32" i="1" s="1"/>
  <c r="U28" i="1"/>
  <c r="S28" i="1" s="1"/>
  <c r="U24" i="1"/>
  <c r="S24" i="1" s="1"/>
  <c r="U20" i="1"/>
  <c r="S20" i="1" s="1"/>
  <c r="AA16" i="1"/>
  <c r="W16" i="1" s="1"/>
  <c r="AA39" i="1"/>
  <c r="W39" i="1" s="1"/>
  <c r="AA35" i="1"/>
  <c r="W35" i="1" s="1"/>
  <c r="AA31" i="1"/>
  <c r="W31" i="1" s="1"/>
  <c r="AA27" i="1"/>
  <c r="W27" i="1" s="1"/>
  <c r="AA23" i="1"/>
  <c r="W23" i="1" s="1"/>
  <c r="AA19" i="1"/>
  <c r="W19" i="1" s="1"/>
  <c r="AA15" i="1"/>
  <c r="W15" i="1" s="1"/>
  <c r="U37" i="1"/>
  <c r="S37" i="1" s="1"/>
  <c r="U33" i="1"/>
  <c r="S33" i="1" s="1"/>
  <c r="U29" i="1"/>
  <c r="S29" i="1" s="1"/>
  <c r="U25" i="1"/>
  <c r="S25" i="1" s="1"/>
  <c r="U21" i="1"/>
  <c r="S21" i="1" s="1"/>
  <c r="U17" i="1"/>
  <c r="S17" i="1" s="1"/>
  <c r="S124" i="1" l="1"/>
  <c r="L20" i="3"/>
  <c r="L19" i="3"/>
  <c r="L21" i="3"/>
  <c r="L34" i="3"/>
  <c r="L78" i="3"/>
  <c r="L17" i="3"/>
  <c r="L9" i="3"/>
  <c r="L60" i="3"/>
  <c r="L42" i="3"/>
  <c r="L61" i="3"/>
  <c r="L35" i="3"/>
  <c r="L37" i="3"/>
  <c r="L43" i="3"/>
  <c r="L22" i="3"/>
  <c r="L23" i="3"/>
  <c r="L10" i="3"/>
  <c r="L24" i="3"/>
  <c r="L8" i="3"/>
  <c r="L41" i="3"/>
  <c r="L52" i="3"/>
  <c r="L47" i="3"/>
  <c r="L25" i="3"/>
  <c r="L62" i="3"/>
  <c r="L76" i="3"/>
  <c r="L29" i="3"/>
  <c r="L63" i="3"/>
  <c r="L30" i="3"/>
  <c r="L72" i="3"/>
  <c r="L73" i="3"/>
  <c r="L38" i="3"/>
  <c r="L74" i="3"/>
  <c r="L53" i="3"/>
  <c r="L44" i="3"/>
  <c r="L18" i="3"/>
  <c r="L77" i="3"/>
  <c r="L32" i="3"/>
  <c r="L48" i="3"/>
  <c r="L55" i="3"/>
  <c r="L15" i="3"/>
  <c r="L16" i="3"/>
  <c r="L26" i="3"/>
  <c r="L13" i="3"/>
  <c r="L36" i="3"/>
  <c r="L50" i="3"/>
  <c r="L59" i="3"/>
  <c r="L39" i="3"/>
  <c r="L54" i="3"/>
  <c r="L56" i="3"/>
  <c r="L75" i="3"/>
  <c r="L11" i="3"/>
  <c r="L66" i="3"/>
  <c r="L64" i="3"/>
  <c r="L65" i="3"/>
  <c r="L79" i="3"/>
  <c r="L14" i="3"/>
  <c r="L31" i="3"/>
  <c r="L80" i="3"/>
  <c r="L33" i="3"/>
  <c r="L81" i="3"/>
  <c r="L49" i="3"/>
  <c r="L68" i="3"/>
  <c r="L82" i="3"/>
  <c r="L40" i="3"/>
  <c r="L83" i="3"/>
  <c r="L45" i="3"/>
  <c r="L58" i="3"/>
  <c r="L67" i="3"/>
  <c r="L84" i="3"/>
  <c r="L7" i="3"/>
  <c r="L27" i="3"/>
  <c r="L69" i="3"/>
  <c r="L12" i="3"/>
  <c r="L70" i="3"/>
  <c r="L85" i="3"/>
  <c r="L28" i="3"/>
  <c r="L71" i="3"/>
  <c r="L46" i="3"/>
  <c r="F236" i="4"/>
  <c r="G236" i="4"/>
  <c r="F237" i="4"/>
  <c r="G237" i="4"/>
  <c r="F238" i="4"/>
  <c r="G238" i="4"/>
  <c r="F239" i="4"/>
  <c r="G239" i="4"/>
  <c r="F240" i="4"/>
  <c r="G240" i="4"/>
  <c r="F241" i="4"/>
  <c r="G241" i="4"/>
  <c r="F242" i="4"/>
  <c r="G242" i="4"/>
  <c r="F243" i="4"/>
  <c r="G243" i="4"/>
  <c r="F244" i="4"/>
  <c r="G244" i="4"/>
  <c r="F245" i="4"/>
  <c r="G245" i="4"/>
  <c r="F246" i="4"/>
  <c r="G246" i="4"/>
  <c r="F247" i="4"/>
  <c r="G247" i="4"/>
  <c r="F248" i="4"/>
  <c r="G248" i="4"/>
  <c r="F249" i="4"/>
  <c r="G249" i="4"/>
  <c r="F250" i="4"/>
  <c r="G250" i="4"/>
  <c r="F251" i="4"/>
  <c r="G251" i="4"/>
  <c r="F252" i="4"/>
  <c r="G252" i="4"/>
  <c r="F253" i="4"/>
  <c r="G253" i="4"/>
  <c r="F254" i="4"/>
  <c r="G254" i="4"/>
  <c r="F255" i="4"/>
  <c r="G255" i="4"/>
  <c r="F256" i="4"/>
  <c r="G256" i="4"/>
  <c r="F257" i="4"/>
  <c r="G257" i="4"/>
  <c r="F258" i="4"/>
  <c r="G258" i="4"/>
  <c r="F259" i="4"/>
  <c r="G259" i="4"/>
  <c r="F260" i="4"/>
  <c r="G260" i="4"/>
  <c r="F261" i="4"/>
  <c r="G261" i="4"/>
  <c r="F262" i="4"/>
  <c r="G262" i="4"/>
  <c r="F263" i="4"/>
  <c r="G263" i="4"/>
  <c r="F264" i="4"/>
  <c r="G264" i="4"/>
  <c r="F265" i="4"/>
  <c r="G265" i="4"/>
  <c r="F2" i="4"/>
  <c r="G2" i="4"/>
  <c r="F3" i="4"/>
  <c r="G3" i="4"/>
  <c r="F4" i="4"/>
  <c r="G4" i="4"/>
  <c r="F5" i="4"/>
  <c r="G5" i="4"/>
  <c r="F6" i="4"/>
  <c r="G6" i="4"/>
  <c r="F7" i="4"/>
  <c r="G7" i="4"/>
  <c r="F8" i="4"/>
  <c r="G8" i="4"/>
  <c r="F9" i="4"/>
  <c r="G9" i="4"/>
  <c r="F10" i="4"/>
  <c r="G10" i="4"/>
  <c r="F11" i="4"/>
  <c r="G11" i="4"/>
  <c r="F12" i="4"/>
  <c r="G12" i="4"/>
  <c r="F13" i="4"/>
  <c r="G13" i="4"/>
  <c r="F14" i="4"/>
  <c r="G14" i="4"/>
  <c r="F15" i="4"/>
  <c r="G15" i="4"/>
  <c r="F16" i="4"/>
  <c r="G16" i="4"/>
  <c r="F17" i="4"/>
  <c r="G17" i="4"/>
  <c r="F18" i="4"/>
  <c r="G18" i="4"/>
  <c r="F19" i="4"/>
  <c r="G19" i="4"/>
  <c r="F20" i="4"/>
  <c r="G20" i="4"/>
  <c r="F21" i="4"/>
  <c r="G21" i="4"/>
  <c r="F22" i="4"/>
  <c r="G22" i="4"/>
  <c r="F23" i="4"/>
  <c r="G23" i="4"/>
  <c r="F24" i="4"/>
  <c r="G24" i="4"/>
  <c r="F25" i="4"/>
  <c r="G25" i="4"/>
  <c r="F26" i="4"/>
  <c r="G26" i="4"/>
  <c r="F27" i="4"/>
  <c r="G27" i="4"/>
  <c r="F28" i="4"/>
  <c r="G28" i="4"/>
  <c r="F29" i="4"/>
  <c r="G29" i="4"/>
  <c r="F30" i="4"/>
  <c r="G30" i="4"/>
  <c r="F31" i="4"/>
  <c r="G31" i="4"/>
  <c r="F32" i="4"/>
  <c r="G32" i="4"/>
  <c r="F33" i="4"/>
  <c r="G33" i="4"/>
  <c r="F34" i="4"/>
  <c r="G34" i="4"/>
  <c r="F35" i="4"/>
  <c r="G35" i="4"/>
  <c r="F36" i="4"/>
  <c r="G36" i="4"/>
  <c r="F37" i="4"/>
  <c r="G37" i="4"/>
  <c r="F38" i="4"/>
  <c r="G38" i="4"/>
  <c r="F39" i="4"/>
  <c r="G39" i="4"/>
  <c r="F40" i="4"/>
  <c r="G40" i="4"/>
  <c r="F41" i="4"/>
  <c r="G41" i="4"/>
  <c r="F42" i="4"/>
  <c r="G42" i="4"/>
  <c r="F43" i="4"/>
  <c r="G43" i="4"/>
  <c r="F44" i="4"/>
  <c r="G44" i="4"/>
  <c r="F45" i="4"/>
  <c r="G45" i="4"/>
  <c r="F46" i="4"/>
  <c r="G46" i="4"/>
  <c r="F47" i="4"/>
  <c r="G47" i="4"/>
  <c r="F48" i="4"/>
  <c r="G48" i="4"/>
  <c r="F49" i="4"/>
  <c r="G49" i="4"/>
  <c r="F50" i="4"/>
  <c r="G50" i="4"/>
  <c r="F51" i="4"/>
  <c r="G51" i="4"/>
  <c r="F52" i="4"/>
  <c r="G52" i="4"/>
  <c r="F53" i="4"/>
  <c r="G53" i="4"/>
  <c r="F54" i="4"/>
  <c r="G54" i="4"/>
  <c r="F55" i="4"/>
  <c r="G55" i="4"/>
  <c r="F56" i="4"/>
  <c r="G56" i="4"/>
  <c r="F57" i="4"/>
  <c r="G57" i="4"/>
  <c r="F58" i="4"/>
  <c r="G58" i="4"/>
  <c r="F59" i="4"/>
  <c r="G59" i="4"/>
  <c r="F60" i="4"/>
  <c r="G60" i="4"/>
  <c r="F61" i="4"/>
  <c r="G61" i="4"/>
  <c r="F62" i="4"/>
  <c r="G62" i="4"/>
  <c r="F63" i="4"/>
  <c r="G63" i="4"/>
  <c r="F64" i="4"/>
  <c r="G64" i="4"/>
  <c r="F65" i="4"/>
  <c r="G65" i="4"/>
  <c r="F66" i="4"/>
  <c r="G66" i="4"/>
  <c r="F67" i="4"/>
  <c r="G67" i="4"/>
  <c r="F68" i="4"/>
  <c r="G68" i="4"/>
  <c r="F69" i="4"/>
  <c r="G69" i="4"/>
  <c r="F70" i="4"/>
  <c r="G70" i="4"/>
  <c r="F71" i="4"/>
  <c r="G71" i="4"/>
  <c r="F72" i="4"/>
  <c r="G72" i="4"/>
  <c r="F73" i="4"/>
  <c r="G73" i="4"/>
  <c r="F74" i="4"/>
  <c r="G74" i="4"/>
  <c r="F75" i="4"/>
  <c r="G75" i="4"/>
  <c r="F76" i="4"/>
  <c r="G76" i="4"/>
  <c r="F77" i="4"/>
  <c r="G77" i="4"/>
  <c r="F78" i="4"/>
  <c r="G78" i="4"/>
  <c r="F79" i="4"/>
  <c r="G79" i="4"/>
  <c r="F80" i="4"/>
  <c r="G80" i="4"/>
  <c r="F81" i="4"/>
  <c r="G81" i="4"/>
  <c r="F82" i="4"/>
  <c r="G82" i="4"/>
  <c r="F83" i="4"/>
  <c r="G83" i="4"/>
  <c r="F84" i="4"/>
  <c r="G84" i="4"/>
  <c r="F85" i="4"/>
  <c r="G85" i="4"/>
  <c r="F86" i="4"/>
  <c r="G86" i="4"/>
  <c r="F87" i="4"/>
  <c r="G87" i="4"/>
  <c r="F88" i="4"/>
  <c r="G88" i="4"/>
  <c r="F89" i="4"/>
  <c r="G89" i="4"/>
  <c r="F90" i="4"/>
  <c r="G90" i="4"/>
  <c r="F91" i="4"/>
  <c r="G91" i="4"/>
  <c r="F92" i="4"/>
  <c r="G92" i="4"/>
  <c r="F93" i="4"/>
  <c r="G93" i="4"/>
  <c r="F94" i="4"/>
  <c r="G94" i="4"/>
  <c r="F95" i="4"/>
  <c r="G95" i="4"/>
  <c r="F96" i="4"/>
  <c r="G96" i="4"/>
  <c r="F97" i="4"/>
  <c r="G97" i="4"/>
  <c r="F98" i="4"/>
  <c r="G98" i="4"/>
  <c r="F99" i="4"/>
  <c r="G99" i="4"/>
  <c r="F100" i="4"/>
  <c r="G100" i="4"/>
  <c r="F101" i="4"/>
  <c r="G101" i="4"/>
  <c r="F102" i="4"/>
  <c r="G102" i="4"/>
  <c r="F103" i="4"/>
  <c r="G103" i="4"/>
  <c r="F104" i="4"/>
  <c r="G104" i="4"/>
  <c r="F105" i="4"/>
  <c r="G105" i="4"/>
  <c r="F106" i="4"/>
  <c r="G106" i="4"/>
  <c r="F107" i="4"/>
  <c r="G107" i="4"/>
  <c r="F108" i="4"/>
  <c r="G108" i="4"/>
  <c r="F109" i="4"/>
  <c r="G109" i="4"/>
  <c r="F110" i="4"/>
  <c r="G110" i="4"/>
  <c r="F111" i="4"/>
  <c r="G111" i="4"/>
  <c r="F112" i="4"/>
  <c r="G112" i="4"/>
  <c r="F113" i="4"/>
  <c r="G113" i="4"/>
  <c r="F114" i="4"/>
  <c r="G114" i="4"/>
  <c r="F115" i="4"/>
  <c r="G115" i="4"/>
  <c r="F116" i="4"/>
  <c r="G116" i="4"/>
  <c r="F117" i="4"/>
  <c r="G117" i="4"/>
  <c r="F118" i="4"/>
  <c r="G118" i="4"/>
  <c r="F119" i="4"/>
  <c r="G119" i="4"/>
  <c r="F120" i="4"/>
  <c r="G120" i="4"/>
  <c r="F121" i="4"/>
  <c r="G121" i="4"/>
  <c r="F122" i="4"/>
  <c r="G122" i="4"/>
  <c r="F123" i="4"/>
  <c r="G123" i="4"/>
  <c r="F124" i="4"/>
  <c r="G124" i="4"/>
  <c r="F125" i="4"/>
  <c r="G125" i="4"/>
  <c r="F126" i="4"/>
  <c r="G126" i="4"/>
  <c r="F127" i="4"/>
  <c r="G127" i="4"/>
  <c r="F128" i="4"/>
  <c r="G128" i="4"/>
  <c r="F129" i="4"/>
  <c r="G129" i="4"/>
  <c r="F130" i="4"/>
  <c r="G130" i="4"/>
  <c r="F131" i="4"/>
  <c r="G131" i="4"/>
  <c r="F132" i="4"/>
  <c r="G132" i="4"/>
  <c r="F133" i="4"/>
  <c r="G133" i="4"/>
  <c r="F134" i="4"/>
  <c r="G134" i="4"/>
  <c r="F135" i="4"/>
  <c r="G135" i="4"/>
  <c r="F136" i="4"/>
  <c r="G136" i="4"/>
  <c r="F137" i="4"/>
  <c r="G137" i="4"/>
  <c r="F138" i="4"/>
  <c r="G138" i="4"/>
  <c r="F139" i="4"/>
  <c r="G139" i="4"/>
  <c r="F140" i="4"/>
  <c r="G140" i="4"/>
  <c r="F141" i="4"/>
  <c r="G141" i="4"/>
  <c r="F142" i="4"/>
  <c r="G142" i="4"/>
  <c r="F143" i="4"/>
  <c r="G143" i="4"/>
  <c r="F144" i="4"/>
  <c r="G144" i="4"/>
  <c r="F145" i="4"/>
  <c r="G145" i="4"/>
  <c r="F146" i="4"/>
  <c r="G146" i="4"/>
  <c r="F147" i="4"/>
  <c r="G147" i="4"/>
  <c r="F148" i="4"/>
  <c r="G148" i="4"/>
  <c r="F149" i="4"/>
  <c r="G149" i="4"/>
  <c r="F150" i="4"/>
  <c r="G150" i="4"/>
  <c r="F151" i="4"/>
  <c r="G151" i="4"/>
  <c r="F152" i="4"/>
  <c r="G152" i="4"/>
  <c r="F153" i="4"/>
  <c r="G153" i="4"/>
  <c r="F154" i="4"/>
  <c r="G154" i="4"/>
  <c r="F155" i="4"/>
  <c r="G155" i="4"/>
  <c r="F156" i="4"/>
  <c r="G156" i="4"/>
  <c r="F157" i="4"/>
  <c r="G157" i="4"/>
  <c r="F158" i="4"/>
  <c r="G158" i="4"/>
  <c r="F159" i="4"/>
  <c r="G159" i="4"/>
  <c r="F160" i="4"/>
  <c r="G160" i="4"/>
  <c r="F161" i="4"/>
  <c r="G161" i="4"/>
  <c r="F162" i="4"/>
  <c r="G162" i="4"/>
  <c r="F163" i="4"/>
  <c r="G163" i="4"/>
  <c r="F164" i="4"/>
  <c r="G164" i="4"/>
  <c r="F165" i="4"/>
  <c r="G165" i="4"/>
  <c r="F166" i="4"/>
  <c r="G166" i="4"/>
  <c r="F167" i="4"/>
  <c r="G167" i="4"/>
  <c r="F168" i="4"/>
  <c r="G168" i="4"/>
  <c r="F169" i="4"/>
  <c r="G169" i="4"/>
  <c r="F170" i="4"/>
  <c r="G170" i="4"/>
  <c r="F171" i="4"/>
  <c r="G171" i="4"/>
  <c r="F172" i="4"/>
  <c r="G172" i="4"/>
  <c r="F173" i="4"/>
  <c r="G173" i="4"/>
  <c r="F174" i="4"/>
  <c r="G174" i="4"/>
  <c r="F175" i="4"/>
  <c r="G175" i="4"/>
  <c r="F176" i="4"/>
  <c r="G176" i="4"/>
  <c r="F177" i="4"/>
  <c r="G177" i="4"/>
  <c r="F178" i="4"/>
  <c r="G178" i="4"/>
  <c r="F179" i="4"/>
  <c r="G179" i="4"/>
  <c r="F180" i="4"/>
  <c r="G180" i="4"/>
  <c r="F181" i="4"/>
  <c r="G181" i="4"/>
  <c r="F182" i="4"/>
  <c r="G182" i="4"/>
  <c r="F183" i="4"/>
  <c r="G183" i="4"/>
  <c r="F184" i="4"/>
  <c r="G184" i="4"/>
  <c r="F185" i="4"/>
  <c r="G185" i="4"/>
  <c r="F186" i="4"/>
  <c r="G186" i="4"/>
  <c r="F187" i="4"/>
  <c r="G187" i="4"/>
  <c r="F188" i="4"/>
  <c r="G188" i="4"/>
  <c r="F189" i="4"/>
  <c r="G189" i="4"/>
  <c r="F190" i="4"/>
  <c r="G190" i="4"/>
  <c r="F191" i="4"/>
  <c r="G191" i="4"/>
  <c r="F192" i="4"/>
  <c r="G192" i="4"/>
  <c r="F193" i="4"/>
  <c r="G193" i="4"/>
  <c r="F194" i="4"/>
  <c r="G194" i="4"/>
  <c r="F195" i="4"/>
  <c r="G195" i="4"/>
  <c r="F196" i="4"/>
  <c r="G196" i="4"/>
  <c r="F197" i="4"/>
  <c r="G197" i="4"/>
  <c r="F198" i="4"/>
  <c r="G198" i="4"/>
  <c r="F199" i="4"/>
  <c r="G199" i="4"/>
  <c r="F200" i="4"/>
  <c r="G200" i="4"/>
  <c r="F201" i="4"/>
  <c r="G201" i="4"/>
  <c r="F202" i="4"/>
  <c r="G202" i="4"/>
  <c r="F203" i="4"/>
  <c r="G203" i="4"/>
  <c r="F204" i="4"/>
  <c r="G204" i="4"/>
  <c r="F205" i="4"/>
  <c r="G205" i="4"/>
  <c r="F206" i="4"/>
  <c r="G206" i="4"/>
  <c r="F207" i="4"/>
  <c r="G207" i="4"/>
  <c r="F208" i="4"/>
  <c r="G208" i="4"/>
  <c r="F209" i="4"/>
  <c r="G209" i="4"/>
  <c r="F210" i="4"/>
  <c r="G210" i="4"/>
  <c r="F211" i="4"/>
  <c r="G211" i="4"/>
  <c r="F212" i="4"/>
  <c r="G212" i="4"/>
  <c r="F213" i="4"/>
  <c r="G213" i="4"/>
  <c r="F214" i="4"/>
  <c r="G214" i="4"/>
  <c r="F215" i="4"/>
  <c r="G215" i="4"/>
  <c r="F216" i="4"/>
  <c r="G216" i="4"/>
  <c r="F217" i="4"/>
  <c r="G217" i="4"/>
  <c r="F218" i="4"/>
  <c r="G218" i="4"/>
  <c r="F219" i="4"/>
  <c r="G219" i="4"/>
  <c r="F220" i="4"/>
  <c r="G220" i="4"/>
  <c r="F221" i="4"/>
  <c r="G221" i="4"/>
  <c r="F222" i="4"/>
  <c r="G222" i="4"/>
  <c r="F223" i="4"/>
  <c r="G223" i="4"/>
  <c r="F224" i="4"/>
  <c r="G224" i="4"/>
  <c r="F225" i="4"/>
  <c r="G225" i="4"/>
  <c r="F226" i="4"/>
  <c r="G226" i="4"/>
  <c r="F227" i="4"/>
  <c r="G227" i="4"/>
  <c r="F228" i="4"/>
  <c r="G228" i="4"/>
  <c r="F229" i="4"/>
  <c r="G229" i="4"/>
  <c r="F230" i="4"/>
  <c r="G230" i="4"/>
  <c r="F231" i="4"/>
  <c r="G231" i="4"/>
  <c r="F232" i="4"/>
  <c r="G232" i="4"/>
  <c r="F233" i="4"/>
  <c r="G233" i="4"/>
  <c r="F234" i="4"/>
  <c r="G234" i="4"/>
  <c r="F235" i="4"/>
  <c r="G235" i="4"/>
  <c r="G1" i="4"/>
  <c r="F1" i="4"/>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3" i="1"/>
  <c r="L155" i="1"/>
  <c r="M155" i="1"/>
  <c r="N155" i="1" s="1"/>
  <c r="M119" i="1" l="1"/>
  <c r="N119" i="1" s="1"/>
  <c r="Z14" i="1"/>
  <c r="L151" i="1"/>
  <c r="L152" i="1"/>
  <c r="L153" i="1"/>
  <c r="L154" i="1"/>
  <c r="L57" i="3" l="1"/>
  <c r="L125" i="1"/>
  <c r="M125" i="1"/>
  <c r="L126" i="1"/>
  <c r="M126" i="1"/>
  <c r="N126" i="1" s="1"/>
  <c r="L127" i="1"/>
  <c r="M127" i="1"/>
  <c r="N127" i="1" s="1"/>
  <c r="L129" i="1"/>
  <c r="M129" i="1"/>
  <c r="N129" i="1" s="1"/>
  <c r="L128" i="1"/>
  <c r="M128" i="1"/>
  <c r="N128" i="1" s="1"/>
  <c r="L130" i="1"/>
  <c r="M130" i="1"/>
  <c r="N130" i="1" s="1"/>
  <c r="L131" i="1"/>
  <c r="M131" i="1"/>
  <c r="N131" i="1" s="1"/>
  <c r="L132" i="1"/>
  <c r="M132" i="1"/>
  <c r="N132" i="1" s="1"/>
  <c r="L133" i="1"/>
  <c r="M133" i="1"/>
  <c r="N133" i="1" s="1"/>
  <c r="L134" i="1"/>
  <c r="M134" i="1"/>
  <c r="N134" i="1" s="1"/>
  <c r="L135" i="1"/>
  <c r="M135" i="1"/>
  <c r="N135" i="1" s="1"/>
  <c r="L136" i="1"/>
  <c r="M136" i="1"/>
  <c r="N136" i="1" s="1"/>
  <c r="L137" i="1"/>
  <c r="M137" i="1"/>
  <c r="N137" i="1" s="1"/>
  <c r="L138" i="1"/>
  <c r="M138" i="1"/>
  <c r="N138" i="1" s="1"/>
  <c r="L139" i="1"/>
  <c r="M139" i="1"/>
  <c r="N139" i="1" s="1"/>
  <c r="L140" i="1"/>
  <c r="M140" i="1"/>
  <c r="N140" i="1" s="1"/>
  <c r="L141" i="1"/>
  <c r="M141" i="1"/>
  <c r="N141" i="1" s="1"/>
  <c r="L142" i="1"/>
  <c r="M142" i="1"/>
  <c r="N142" i="1" s="1"/>
  <c r="L143" i="1"/>
  <c r="M143" i="1"/>
  <c r="N143" i="1" s="1"/>
  <c r="L144" i="1"/>
  <c r="M144" i="1"/>
  <c r="N144" i="1" s="1"/>
  <c r="L145" i="1"/>
  <c r="M145" i="1"/>
  <c r="N145" i="1" s="1"/>
  <c r="L146" i="1"/>
  <c r="M146" i="1"/>
  <c r="N146" i="1" s="1"/>
  <c r="L147" i="1"/>
  <c r="M147" i="1"/>
  <c r="N147" i="1" s="1"/>
  <c r="L148" i="1"/>
  <c r="M148" i="1"/>
  <c r="N148" i="1" s="1"/>
  <c r="L149" i="1"/>
  <c r="M149" i="1"/>
  <c r="N149" i="1" s="1"/>
  <c r="L150" i="1"/>
  <c r="M150" i="1"/>
  <c r="N150" i="1" s="1"/>
  <c r="M151" i="1"/>
  <c r="N151" i="1" s="1"/>
  <c r="M152" i="1"/>
  <c r="N152" i="1" s="1"/>
  <c r="M153" i="1"/>
  <c r="N153" i="1" s="1"/>
  <c r="M154" i="1"/>
  <c r="N154" i="1" s="1"/>
  <c r="L94" i="1" l="1"/>
  <c r="M94" i="1"/>
  <c r="L95" i="1"/>
  <c r="M95" i="1"/>
  <c r="L96" i="1"/>
  <c r="M96" i="1"/>
  <c r="N96" i="1" s="1"/>
  <c r="L97" i="1"/>
  <c r="M97" i="1"/>
  <c r="N97" i="1" s="1"/>
  <c r="L98" i="1"/>
  <c r="M98" i="1"/>
  <c r="N98" i="1" s="1"/>
  <c r="L99" i="1"/>
  <c r="M99" i="1"/>
  <c r="N99" i="1" s="1"/>
  <c r="L100" i="1"/>
  <c r="M100" i="1"/>
  <c r="N100" i="1" s="1"/>
  <c r="L101" i="1"/>
  <c r="M101" i="1"/>
  <c r="N101" i="1" s="1"/>
  <c r="L102" i="1"/>
  <c r="M102" i="1"/>
  <c r="N102" i="1" s="1"/>
  <c r="L103" i="1"/>
  <c r="M103" i="1"/>
  <c r="N103" i="1" s="1"/>
  <c r="L104" i="1"/>
  <c r="M104" i="1"/>
  <c r="N104" i="1" s="1"/>
  <c r="L105" i="1"/>
  <c r="M105" i="1"/>
  <c r="N105" i="1" s="1"/>
  <c r="L106" i="1"/>
  <c r="M106" i="1"/>
  <c r="N106" i="1" s="1"/>
  <c r="L107" i="1"/>
  <c r="M107" i="1"/>
  <c r="N107" i="1" s="1"/>
  <c r="L108" i="1"/>
  <c r="M108" i="1"/>
  <c r="N108" i="1" s="1"/>
  <c r="L111" i="1"/>
  <c r="M111" i="1"/>
  <c r="N111" i="1" s="1"/>
  <c r="L109" i="1"/>
  <c r="M109" i="1"/>
  <c r="N109" i="1" s="1"/>
  <c r="L110" i="1"/>
  <c r="M110" i="1"/>
  <c r="N110" i="1" s="1"/>
  <c r="L112" i="1"/>
  <c r="M112" i="1"/>
  <c r="N112" i="1" s="1"/>
  <c r="L113" i="1"/>
  <c r="M113" i="1"/>
  <c r="N113" i="1" s="1"/>
  <c r="L114" i="1"/>
  <c r="M114" i="1"/>
  <c r="N114" i="1" s="1"/>
  <c r="L115" i="1"/>
  <c r="M115" i="1"/>
  <c r="N115" i="1" s="1"/>
  <c r="L116" i="1"/>
  <c r="M116" i="1"/>
  <c r="N116" i="1" s="1"/>
  <c r="L117" i="1"/>
  <c r="M117" i="1"/>
  <c r="N117" i="1" s="1"/>
  <c r="L118" i="1"/>
  <c r="M118" i="1"/>
  <c r="N118" i="1" s="1"/>
  <c r="L119" i="1"/>
  <c r="L120" i="1"/>
  <c r="M120" i="1"/>
  <c r="N120" i="1" s="1"/>
  <c r="L121" i="1"/>
  <c r="M121" i="1"/>
  <c r="P121" i="1" s="1"/>
  <c r="L123" i="1"/>
  <c r="M123" i="1"/>
  <c r="N123" i="1" s="1"/>
  <c r="L122" i="1"/>
  <c r="M122" i="1"/>
  <c r="N122" i="1" s="1"/>
  <c r="L124" i="1"/>
  <c r="M124" i="1"/>
  <c r="P124" i="1" s="1"/>
  <c r="L76" i="1" l="1"/>
  <c r="M76" i="1"/>
  <c r="N76" i="1" s="1"/>
  <c r="L92" i="1"/>
  <c r="M92" i="1"/>
  <c r="N92" i="1" s="1"/>
  <c r="L63" i="1"/>
  <c r="M63" i="1"/>
  <c r="N63" i="1" s="1"/>
  <c r="E6" i="6"/>
  <c r="F6" i="6"/>
  <c r="G6" i="6"/>
  <c r="E4" i="6"/>
  <c r="F4" i="6"/>
  <c r="G4" i="6"/>
  <c r="E3" i="6"/>
  <c r="F3" i="6"/>
  <c r="G3" i="6"/>
  <c r="E5" i="6"/>
  <c r="F5" i="6"/>
  <c r="G5" i="6"/>
  <c r="O6" i="1" l="1"/>
  <c r="N6" i="1"/>
  <c r="M6" i="1"/>
  <c r="J6" i="1"/>
  <c r="I2" i="1" l="1"/>
  <c r="AB14" i="1" l="1"/>
  <c r="AC14" i="1"/>
  <c r="AC13" i="1"/>
  <c r="AB13" i="1"/>
  <c r="M14" i="5" l="1"/>
  <c r="M13" i="5"/>
  <c r="M12" i="5"/>
  <c r="M11" i="5"/>
  <c r="M10" i="5"/>
  <c r="M9" i="5"/>
  <c r="M8" i="5"/>
  <c r="M7" i="5"/>
  <c r="M6" i="5"/>
  <c r="M5" i="5"/>
  <c r="M4" i="5"/>
  <c r="M3" i="5"/>
  <c r="L56" i="1" l="1"/>
  <c r="M56" i="1"/>
  <c r="N56" i="1" s="1"/>
  <c r="M93" i="1"/>
  <c r="N93" i="1" s="1"/>
  <c r="L93" i="1"/>
  <c r="M2" i="3" l="1"/>
  <c r="M3" i="3" s="1"/>
  <c r="Q13" i="3"/>
  <c r="T14" i="1"/>
  <c r="T13" i="1"/>
  <c r="M39" i="1" l="1"/>
  <c r="N39" i="1" s="1"/>
  <c r="M65" i="1"/>
  <c r="N65" i="1" s="1"/>
  <c r="L39" i="1"/>
  <c r="L65" i="1"/>
  <c r="V14" i="1" l="1"/>
  <c r="X14" i="1"/>
  <c r="Y14" i="1"/>
  <c r="U14" i="1" l="1"/>
  <c r="S14" i="1" s="1"/>
  <c r="AA14" i="1"/>
  <c r="W14" i="1" s="1"/>
  <c r="L13" i="1"/>
  <c r="M13" i="1"/>
  <c r="N13" i="1" s="1"/>
  <c r="L15" i="1"/>
  <c r="M15" i="1"/>
  <c r="N15" i="1" s="1"/>
  <c r="L14" i="1"/>
  <c r="M14" i="1"/>
  <c r="N14" i="1" s="1"/>
  <c r="L16" i="1"/>
  <c r="M16" i="1"/>
  <c r="N16" i="1" s="1"/>
  <c r="L17" i="1"/>
  <c r="M17" i="1"/>
  <c r="N17" i="1" s="1"/>
  <c r="L18" i="1"/>
  <c r="M18" i="1"/>
  <c r="N18" i="1" s="1"/>
  <c r="L19" i="1"/>
  <c r="M19" i="1"/>
  <c r="N19" i="1" s="1"/>
  <c r="L20" i="1"/>
  <c r="M20" i="1"/>
  <c r="P20" i="1" s="1"/>
  <c r="L21" i="1"/>
  <c r="M21" i="1"/>
  <c r="N21" i="1" s="1"/>
  <c r="L22" i="1"/>
  <c r="M22" i="1"/>
  <c r="N22" i="1" s="1"/>
  <c r="L23" i="1"/>
  <c r="M23" i="1"/>
  <c r="N23" i="1" s="1"/>
  <c r="L24" i="1"/>
  <c r="M24" i="1"/>
  <c r="P24" i="1" s="1"/>
  <c r="L25" i="1"/>
  <c r="M25" i="1"/>
  <c r="N25" i="1" s="1"/>
  <c r="L26" i="1"/>
  <c r="M26" i="1"/>
  <c r="N26" i="1" s="1"/>
  <c r="L27" i="1"/>
  <c r="M27" i="1"/>
  <c r="N27" i="1" s="1"/>
  <c r="L28" i="1"/>
  <c r="M28" i="1"/>
  <c r="N28" i="1" s="1"/>
  <c r="L29" i="1"/>
  <c r="M29" i="1"/>
  <c r="N29" i="1" s="1"/>
  <c r="L30" i="1"/>
  <c r="M30" i="1"/>
  <c r="N30" i="1" s="1"/>
  <c r="L31" i="1"/>
  <c r="M31" i="1"/>
  <c r="N31" i="1" s="1"/>
  <c r="L32" i="1"/>
  <c r="M32" i="1"/>
  <c r="N32" i="1" s="1"/>
  <c r="L34" i="1"/>
  <c r="M34" i="1"/>
  <c r="N34" i="1" s="1"/>
  <c r="L33" i="1"/>
  <c r="M33" i="1"/>
  <c r="N33" i="1" s="1"/>
  <c r="L35" i="1"/>
  <c r="M35" i="1"/>
  <c r="N35" i="1" s="1"/>
  <c r="L36" i="1"/>
  <c r="M36" i="1"/>
  <c r="N36" i="1" s="1"/>
  <c r="L38" i="1"/>
  <c r="M38" i="1"/>
  <c r="P38" i="1" s="1"/>
  <c r="L37" i="1"/>
  <c r="M37" i="1"/>
  <c r="N37" i="1" s="1"/>
  <c r="L41" i="1"/>
  <c r="M41" i="1"/>
  <c r="N41" i="1" s="1"/>
  <c r="L40" i="1"/>
  <c r="M40" i="1"/>
  <c r="N40" i="1" s="1"/>
  <c r="L42" i="1"/>
  <c r="M42" i="1"/>
  <c r="N42" i="1" s="1"/>
  <c r="L43" i="1"/>
  <c r="M43" i="1"/>
  <c r="L44" i="1"/>
  <c r="M44" i="1"/>
  <c r="L45" i="1"/>
  <c r="M45" i="1"/>
  <c r="N45" i="1" s="1"/>
  <c r="L46" i="1"/>
  <c r="M46" i="1"/>
  <c r="N46" i="1" s="1"/>
  <c r="L47" i="1"/>
  <c r="M47" i="1"/>
  <c r="N47" i="1" s="1"/>
  <c r="L48" i="1"/>
  <c r="M48" i="1"/>
  <c r="N48" i="1" s="1"/>
  <c r="L49" i="1"/>
  <c r="M49" i="1"/>
  <c r="N49" i="1" s="1"/>
  <c r="L50" i="1"/>
  <c r="M50" i="1"/>
  <c r="N50" i="1" s="1"/>
  <c r="L52" i="1"/>
  <c r="M52" i="1"/>
  <c r="N52" i="1" s="1"/>
  <c r="L51" i="1"/>
  <c r="M51" i="1"/>
  <c r="N51" i="1" s="1"/>
  <c r="L53" i="1"/>
  <c r="M53" i="1"/>
  <c r="N53" i="1" s="1"/>
  <c r="L54" i="1"/>
  <c r="M54" i="1"/>
  <c r="P54" i="1" s="1"/>
  <c r="L55" i="1"/>
  <c r="M55" i="1"/>
  <c r="N55" i="1" s="1"/>
  <c r="L57" i="1"/>
  <c r="M57" i="1"/>
  <c r="N57" i="1" s="1"/>
  <c r="L58" i="1"/>
  <c r="M58" i="1"/>
  <c r="N58" i="1" s="1"/>
  <c r="L60" i="1"/>
  <c r="M60" i="1"/>
  <c r="N60" i="1" s="1"/>
  <c r="L59" i="1"/>
  <c r="M59" i="1"/>
  <c r="N59" i="1" s="1"/>
  <c r="L61" i="1"/>
  <c r="M61" i="1"/>
  <c r="N61" i="1" s="1"/>
  <c r="L62" i="1"/>
  <c r="M62" i="1"/>
  <c r="P62" i="1" s="1"/>
  <c r="L64" i="1"/>
  <c r="M64" i="1"/>
  <c r="N64" i="1" s="1"/>
  <c r="L66" i="1"/>
  <c r="M66" i="1"/>
  <c r="N66" i="1" s="1"/>
  <c r="L67" i="1"/>
  <c r="M67" i="1"/>
  <c r="N67" i="1" s="1"/>
  <c r="L68" i="1"/>
  <c r="M68" i="1"/>
  <c r="N68" i="1" s="1"/>
  <c r="L69" i="1"/>
  <c r="M69" i="1"/>
  <c r="N69" i="1" s="1"/>
  <c r="L70" i="1"/>
  <c r="M70" i="1"/>
  <c r="N70" i="1" s="1"/>
  <c r="L71" i="1"/>
  <c r="M71" i="1"/>
  <c r="N71" i="1" s="1"/>
  <c r="L72" i="1"/>
  <c r="M72" i="1"/>
  <c r="N72" i="1" s="1"/>
  <c r="L73" i="1"/>
  <c r="M73" i="1"/>
  <c r="N73" i="1" s="1"/>
  <c r="L74" i="1"/>
  <c r="M74" i="1"/>
  <c r="N74" i="1" s="1"/>
  <c r="L75" i="1"/>
  <c r="M75" i="1"/>
  <c r="N75" i="1" s="1"/>
  <c r="L77" i="1"/>
  <c r="M77" i="1"/>
  <c r="N77" i="1" s="1"/>
  <c r="L78" i="1"/>
  <c r="M78" i="1"/>
  <c r="N78" i="1" s="1"/>
  <c r="L79" i="1"/>
  <c r="M79" i="1"/>
  <c r="N79" i="1" s="1"/>
  <c r="L80" i="1"/>
  <c r="M80" i="1"/>
  <c r="N80" i="1" s="1"/>
  <c r="L82" i="1"/>
  <c r="M82" i="1"/>
  <c r="N82" i="1" s="1"/>
  <c r="L81" i="1"/>
  <c r="M81" i="1"/>
  <c r="N81" i="1" s="1"/>
  <c r="L83" i="1"/>
  <c r="M83" i="1"/>
  <c r="N83" i="1" s="1"/>
  <c r="L84" i="1"/>
  <c r="M84" i="1"/>
  <c r="N84" i="1" s="1"/>
  <c r="L85" i="1"/>
  <c r="M85" i="1"/>
  <c r="N85" i="1" s="1"/>
  <c r="L87" i="1"/>
  <c r="M87" i="1"/>
  <c r="P87" i="1" s="1"/>
  <c r="L86" i="1"/>
  <c r="M86" i="1"/>
  <c r="N86" i="1" s="1"/>
  <c r="L88" i="1"/>
  <c r="M88" i="1"/>
  <c r="L90" i="1"/>
  <c r="M90" i="1"/>
  <c r="N90" i="1" s="1"/>
  <c r="L89" i="1"/>
  <c r="M89" i="1"/>
  <c r="L91" i="1"/>
  <c r="M91" i="1"/>
  <c r="N91" i="1" s="1"/>
  <c r="P43" i="1" l="1"/>
  <c r="P88" i="1"/>
  <c r="J4" i="1" s="1"/>
  <c r="O5" i="1"/>
  <c r="J8" i="1"/>
  <c r="N8" i="1"/>
  <c r="N5" i="1"/>
  <c r="J5" i="1"/>
  <c r="O8" i="1"/>
  <c r="M5" i="1"/>
  <c r="J7" i="1"/>
  <c r="X13" i="1"/>
  <c r="M8" i="1" l="1"/>
  <c r="J9" i="1"/>
  <c r="V13" i="1"/>
  <c r="Y13" i="1"/>
  <c r="Z13" i="1"/>
  <c r="U13" i="1" l="1"/>
  <c r="S13" i="1" s="1"/>
  <c r="AA13" i="1"/>
  <c r="W13" i="1" s="1"/>
  <c r="A11" i="1" l="1"/>
  <c r="A1" i="6" l="1"/>
  <c r="A5" i="3"/>
</calcChain>
</file>

<file path=xl/connections.xml><?xml version="1.0" encoding="utf-8"?>
<connections xmlns="http://schemas.openxmlformats.org/spreadsheetml/2006/main">
  <connection id="1" name="Denver Train Runs 04122016" type="6" refreshedVersion="5" deleted="1" background="1" saveData="1">
    <textPr codePage="437" sourceFile="C:\Users\rwhitlock\Desktop\Denver Train Runs 04122016.txt">
      <textFields count="10">
        <textField/>
        <textField/>
        <textField/>
        <textField/>
        <textField/>
        <textField/>
        <textField/>
        <textField/>
        <textField/>
        <textField/>
      </textFields>
    </textPr>
  </connection>
</connections>
</file>

<file path=xl/sharedStrings.xml><?xml version="1.0" encoding="utf-8"?>
<sst xmlns="http://schemas.openxmlformats.org/spreadsheetml/2006/main" count="2397" uniqueCount="681">
  <si>
    <t>Train ID</t>
  </si>
  <si>
    <t>Departure/Init Location</t>
  </si>
  <si>
    <t>Initialization Date/Time (US/Mountain)</t>
  </si>
  <si>
    <t>Departure Date/Time (US/Mountain)</t>
  </si>
  <si>
    <t>Delay (minutes)</t>
  </si>
  <si>
    <t>Arrival Location</t>
  </si>
  <si>
    <t>Arrival Date/Time (US/Mountain)</t>
  </si>
  <si>
    <t>2083 Enforcements (count)</t>
  </si>
  <si>
    <t>Trip Length</t>
  </si>
  <si>
    <t>Cut out runs</t>
  </si>
  <si>
    <t>PTC Runs</t>
  </si>
  <si>
    <t>Average</t>
  </si>
  <si>
    <t>Min</t>
  </si>
  <si>
    <t>Max</t>
  </si>
  <si>
    <t>Total</t>
  </si>
  <si>
    <t>NA</t>
  </si>
  <si>
    <t>Total Completed PTC runs</t>
  </si>
  <si>
    <t>Single Init runs</t>
  </si>
  <si>
    <t>Cut out</t>
  </si>
  <si>
    <t>Total Completed PTC runs (%)</t>
  </si>
  <si>
    <t>Trip Start MP</t>
  </si>
  <si>
    <t>Trip End MP</t>
  </si>
  <si>
    <t>Trip Distance</t>
  </si>
  <si>
    <t>Concerning?</t>
  </si>
  <si>
    <t>Comments</t>
  </si>
  <si>
    <t>Operating Date</t>
  </si>
  <si>
    <t>Onboard Software Version</t>
  </si>
  <si>
    <t>System Enforcement Y/N</t>
  </si>
  <si>
    <t xml:space="preserve">Data.Enforcement Direction of Travel </t>
  </si>
  <si>
    <t xml:space="preserve">Data.Target Start Milepost </t>
  </si>
  <si>
    <t xml:space="preserve">Data.Target Type </t>
  </si>
  <si>
    <t xml:space="preserve">Data.Enforcement Start Milepost </t>
  </si>
  <si>
    <t xml:space="preserve">Data.Enforcement Train Speed </t>
  </si>
  <si>
    <t xml:space="preserve">Data.Target Speed </t>
  </si>
  <si>
    <t xml:space="preserve">Data.Target Description </t>
  </si>
  <si>
    <t xml:space="preserve">Data.Warning/Enforcement Type </t>
  </si>
  <si>
    <t xml:space="preserve">Data.Train ID </t>
  </si>
  <si>
    <t xml:space="preserve">Source </t>
  </si>
  <si>
    <t xml:space="preserve">Time </t>
  </si>
  <si>
    <t>Enforcement MP</t>
  </si>
  <si>
    <t>Enforcement Desc</t>
  </si>
  <si>
    <t>w/o multiple inits</t>
  </si>
  <si>
    <t>w/ multiple inits</t>
  </si>
  <si>
    <t>Multi Init runs</t>
  </si>
  <si>
    <t>Loco ID</t>
  </si>
  <si>
    <t>Kibana Link</t>
  </si>
  <si>
    <t>Threshold for Pink Highlight (Slow Run) (mins)</t>
  </si>
  <si>
    <t>Status</t>
  </si>
  <si>
    <t>Operator Name</t>
  </si>
  <si>
    <t>Difference between last trip</t>
  </si>
  <si>
    <t>Predictive Enforcement (2)</t>
  </si>
  <si>
    <t>TRACK WARRANT AUTHORITY</t>
  </si>
  <si>
    <t>Form based authority (4)</t>
  </si>
  <si>
    <t>Increasing Mileposts (1)</t>
  </si>
  <si>
    <t>Decreasing Mileposts (2)</t>
  </si>
  <si>
    <t>Reactive Enforcement (3)</t>
  </si>
  <si>
    <t>SIGNAL</t>
  </si>
  <si>
    <t>Signal based authority (5)</t>
  </si>
  <si>
    <t>PERMANENT SPEED RESTRICTION</t>
  </si>
  <si>
    <t>Speed (6)</t>
  </si>
  <si>
    <t>DE.1.0.6.0</t>
  </si>
  <si>
    <t>204:145</t>
  </si>
  <si>
    <t>204:152</t>
  </si>
  <si>
    <t>baselines:</t>
  </si>
  <si>
    <t>sunday - thu - 144/day</t>
  </si>
  <si>
    <t>fri-sat - 146/day</t>
  </si>
  <si>
    <t>Married Pair</t>
  </si>
  <si>
    <t>204:147</t>
  </si>
  <si>
    <t>204:160</t>
  </si>
  <si>
    <t>204:460</t>
  </si>
  <si>
    <t>rtdc.l.rtdc.4032:itc</t>
  </si>
  <si>
    <t>204:232977</t>
  </si>
  <si>
    <t>Kibana URL</t>
  </si>
  <si>
    <t>204:457</t>
  </si>
  <si>
    <t>204:141</t>
  </si>
  <si>
    <t>204:149</t>
  </si>
  <si>
    <t>GRADE CROSSING</t>
  </si>
  <si>
    <t>Bulletin (2)</t>
  </si>
  <si>
    <t>204:453</t>
  </si>
  <si>
    <t>rtdc.l.rtdc.4019:itc</t>
  </si>
  <si>
    <t>rtdc.l.rtdc.4020:itc</t>
  </si>
  <si>
    <t>204:458</t>
  </si>
  <si>
    <t>rtdc.l.rtdc.4018:itc</t>
  </si>
  <si>
    <t>rtdc.l.rtdc.4017:itc</t>
  </si>
  <si>
    <t>204:232975</t>
  </si>
  <si>
    <t>204:464</t>
  </si>
  <si>
    <t>rtdc.l.rtdc.4008:itc</t>
  </si>
  <si>
    <t>rtdc.l.rtdc.4007:itc</t>
  </si>
  <si>
    <t>rtdc.l.rtdc.4031:itc</t>
  </si>
  <si>
    <t>204:161</t>
  </si>
  <si>
    <t>Possible Explanation</t>
  </si>
  <si>
    <t>Recorded Operator</t>
  </si>
  <si>
    <t>Trip ID</t>
  </si>
  <si>
    <t># Of Times Offered</t>
  </si>
  <si>
    <t>Loco</t>
  </si>
  <si>
    <t>204:233295</t>
  </si>
  <si>
    <t>204:158</t>
  </si>
  <si>
    <t>rtdc.l.rtdc.4041:itc</t>
  </si>
  <si>
    <t>rtdc.l.rtdc.4042:itc</t>
  </si>
  <si>
    <t>204:233291</t>
  </si>
  <si>
    <t>204:455</t>
  </si>
  <si>
    <t>204:467</t>
  </si>
  <si>
    <t>Recorded Loco</t>
  </si>
  <si>
    <t>Recorded time</t>
  </si>
  <si>
    <t>204:233307</t>
  </si>
  <si>
    <t>204:150</t>
  </si>
  <si>
    <t>204:232986</t>
  </si>
  <si>
    <t>Xing Completion Percentage</t>
  </si>
  <si>
    <t>IsEven</t>
  </si>
  <si>
    <t>Xing#</t>
  </si>
  <si>
    <t>STREETNAME</t>
  </si>
  <si>
    <t>BEGINMILEPOST</t>
  </si>
  <si>
    <t>ENDMILEPOST</t>
  </si>
  <si>
    <t>York and Josephine Street</t>
  </si>
  <si>
    <t>CLAYTON ST</t>
  </si>
  <si>
    <t>STEELE ST</t>
  </si>
  <si>
    <t>Dahlia Street</t>
  </si>
  <si>
    <t>Holly Street</t>
  </si>
  <si>
    <t>Monaco Parkway</t>
  </si>
  <si>
    <t>SB Quebec Parkway</t>
  </si>
  <si>
    <t>NB Quebec Parkway</t>
  </si>
  <si>
    <t>Ulster Street</t>
  </si>
  <si>
    <t>Havana Street</t>
  </si>
  <si>
    <t>Sable Boulevard</t>
  </si>
  <si>
    <t>Chambers Road</t>
  </si>
  <si>
    <t>204:232982</t>
  </si>
  <si>
    <t>204:473</t>
  </si>
  <si>
    <t>ADANE</t>
  </si>
  <si>
    <t>SWITCH UNKNOWN</t>
  </si>
  <si>
    <t>Track device (7)</t>
  </si>
  <si>
    <t>Y</t>
  </si>
  <si>
    <t>N</t>
  </si>
  <si>
    <t>Possible System Enforcement</t>
  </si>
  <si>
    <t>Training enforcement</t>
  </si>
  <si>
    <t>204:471</t>
  </si>
  <si>
    <t>204:143</t>
  </si>
  <si>
    <t>204:475</t>
  </si>
  <si>
    <t>rtdc.l.rtdc.4038:itc</t>
  </si>
  <si>
    <t>CANFIELD</t>
  </si>
  <si>
    <t>NELSON</t>
  </si>
  <si>
    <t>MALAVE</t>
  </si>
  <si>
    <t>204:477</t>
  </si>
  <si>
    <t>204:232969</t>
  </si>
  <si>
    <t>204:232985</t>
  </si>
  <si>
    <t>204:233293</t>
  </si>
  <si>
    <t>204:232971</t>
  </si>
  <si>
    <t>204:136</t>
  </si>
  <si>
    <t>204:233289</t>
  </si>
  <si>
    <t>204:232990</t>
  </si>
  <si>
    <t>204:451</t>
  </si>
  <si>
    <t>204:232973</t>
  </si>
  <si>
    <t>204:444</t>
  </si>
  <si>
    <t>204:233312</t>
  </si>
  <si>
    <t>204:478</t>
  </si>
  <si>
    <t>204:232984</t>
  </si>
  <si>
    <t>204:232994</t>
  </si>
  <si>
    <t>rtdc.l.rtdc.4024:itc</t>
  </si>
  <si>
    <t>rtdc.l.rtdc.4023:itc</t>
  </si>
  <si>
    <t>rtdc.l.rtdc.4011:itc</t>
  </si>
  <si>
    <t>rtdc.l.rtdc.4012:itc</t>
  </si>
  <si>
    <t>STURGEON</t>
  </si>
  <si>
    <t>204:233314</t>
  </si>
  <si>
    <t>204:138</t>
  </si>
  <si>
    <t>204:232993</t>
  </si>
  <si>
    <t>204:466</t>
  </si>
  <si>
    <t>204:442</t>
  </si>
  <si>
    <t>204:165</t>
  </si>
  <si>
    <t>204:233311</t>
  </si>
  <si>
    <t>204:154</t>
  </si>
  <si>
    <t>204:233010</t>
  </si>
  <si>
    <t>204:232991</t>
  </si>
  <si>
    <t>rtdc.l.rtdc.4026:itc</t>
  </si>
  <si>
    <t>rtdc.l.rtdc.4014:itc</t>
  </si>
  <si>
    <t>rtdc.l.rtdc.4013:itc</t>
  </si>
  <si>
    <t>rtdc.l.rtdc.4025:itc</t>
  </si>
  <si>
    <t>rtdc.l.rtdc.4028:itc</t>
  </si>
  <si>
    <t>ACKERMAN</t>
  </si>
  <si>
    <t>HELVIE</t>
  </si>
  <si>
    <t>204:233278</t>
  </si>
  <si>
    <t>204:449</t>
  </si>
  <si>
    <t>204:462</t>
  </si>
  <si>
    <t>204:232996</t>
  </si>
  <si>
    <t>204:232981</t>
  </si>
  <si>
    <t>204:233303</t>
  </si>
  <si>
    <t>204:176</t>
  </si>
  <si>
    <t>204:233282</t>
  </si>
  <si>
    <t>rtdc.l.rtdc.4037:itc</t>
  </si>
  <si>
    <t>BARTLETT</t>
  </si>
  <si>
    <t>REBOLETTI</t>
  </si>
  <si>
    <t>DE LA ROSA</t>
  </si>
  <si>
    <t>rtdc.l.rtdc.4029:itc</t>
  </si>
  <si>
    <t>rtdc.l.rtdc.4030:itc</t>
  </si>
  <si>
    <t>rtdc.l.rtdc.4027:itc</t>
  </si>
  <si>
    <t>rtdc.l.rtdc.4040:itc</t>
  </si>
  <si>
    <t>rtdc.l.rtdc.4039:itc</t>
  </si>
  <si>
    <t>204:233280</t>
  </si>
  <si>
    <t>204:232979</t>
  </si>
  <si>
    <t>204:178</t>
  </si>
  <si>
    <t>204:233299</t>
  </si>
  <si>
    <t>204:446</t>
  </si>
  <si>
    <t>204:232945</t>
  </si>
  <si>
    <t>204:232988</t>
  </si>
  <si>
    <t>204:156</t>
  </si>
  <si>
    <t>204:233272</t>
  </si>
  <si>
    <t>204:232989</t>
  </si>
  <si>
    <t>204:232980</t>
  </si>
  <si>
    <t>204:482</t>
  </si>
  <si>
    <t>204:232967</t>
  </si>
  <si>
    <t>204:134</t>
  </si>
  <si>
    <t>204:232968</t>
  </si>
  <si>
    <t>204:233302</t>
  </si>
  <si>
    <t>STAMBAUGH</t>
  </si>
  <si>
    <t>MAELZER</t>
  </si>
  <si>
    <t>MOSES</t>
  </si>
  <si>
    <t>KILLION</t>
  </si>
  <si>
    <t>SHOOK</t>
  </si>
  <si>
    <t>ROCHA</t>
  </si>
  <si>
    <t>DAVIS</t>
  </si>
  <si>
    <t>SPECTOR</t>
  </si>
  <si>
    <t>rtdc.l.rtdc.4044:itc</t>
  </si>
  <si>
    <t>YOUNG</t>
  </si>
  <si>
    <t>Onboard in-route failure</t>
  </si>
  <si>
    <t>Form C</t>
  </si>
  <si>
    <t>Premature downgrade at EC1981RH 191-1T 1N</t>
  </si>
  <si>
    <t>Wi-MAX outage</t>
  </si>
  <si>
    <t>101-29</t>
  </si>
  <si>
    <t>204:777</t>
  </si>
  <si>
    <t>102-29</t>
  </si>
  <si>
    <t>204:232650</t>
  </si>
  <si>
    <t>204:132</t>
  </si>
  <si>
    <t>103-29</t>
  </si>
  <si>
    <t>204:737</t>
  </si>
  <si>
    <t>104-29</t>
  </si>
  <si>
    <t>204:232644</t>
  </si>
  <si>
    <t>105-29</t>
  </si>
  <si>
    <t>204:730</t>
  </si>
  <si>
    <t>204:233309</t>
  </si>
  <si>
    <t>106-29</t>
  </si>
  <si>
    <t>204:232664</t>
  </si>
  <si>
    <t>107-29</t>
  </si>
  <si>
    <t>108-29</t>
  </si>
  <si>
    <t>204:42554</t>
  </si>
  <si>
    <t>109-29</t>
  </si>
  <si>
    <t>110-29</t>
  </si>
  <si>
    <t>111-29</t>
  </si>
  <si>
    <t>204:726</t>
  </si>
  <si>
    <t>112-29</t>
  </si>
  <si>
    <t>204:153991</t>
  </si>
  <si>
    <t>204:7397</t>
  </si>
  <si>
    <t>113-29</t>
  </si>
  <si>
    <t>204:438</t>
  </si>
  <si>
    <t>114-29</t>
  </si>
  <si>
    <t>115-29</t>
  </si>
  <si>
    <t>204:734</t>
  </si>
  <si>
    <t>116-29</t>
  </si>
  <si>
    <t>117-29</t>
  </si>
  <si>
    <t>118-29</t>
  </si>
  <si>
    <t>119-29</t>
  </si>
  <si>
    <t>204:746</t>
  </si>
  <si>
    <t>120-29</t>
  </si>
  <si>
    <t>121-29</t>
  </si>
  <si>
    <t>122-29</t>
  </si>
  <si>
    <t>123-29</t>
  </si>
  <si>
    <t>204:233315</t>
  </si>
  <si>
    <t>124-29</t>
  </si>
  <si>
    <t>125-29</t>
  </si>
  <si>
    <t>204:231456</t>
  </si>
  <si>
    <t>126-29</t>
  </si>
  <si>
    <t>204:22190</t>
  </si>
  <si>
    <t>127-29</t>
  </si>
  <si>
    <t>204:233287</t>
  </si>
  <si>
    <t>128-29</t>
  </si>
  <si>
    <t>129-29</t>
  </si>
  <si>
    <t>204:233318</t>
  </si>
  <si>
    <t>130-29</t>
  </si>
  <si>
    <t>131-29</t>
  </si>
  <si>
    <t>204:37205</t>
  </si>
  <si>
    <t>204:233206</t>
  </si>
  <si>
    <t>204:1504</t>
  </si>
  <si>
    <t>133-29</t>
  </si>
  <si>
    <t>204:233288</t>
  </si>
  <si>
    <t>135-29</t>
  </si>
  <si>
    <t>204:233264</t>
  </si>
  <si>
    <t>137-29</t>
  </si>
  <si>
    <t>154-29</t>
  </si>
  <si>
    <t>156-29</t>
  </si>
  <si>
    <t>204:232976</t>
  </si>
  <si>
    <t>158-29</t>
  </si>
  <si>
    <t>204:232963</t>
  </si>
  <si>
    <t>160-29</t>
  </si>
  <si>
    <t>161-29</t>
  </si>
  <si>
    <t>204:233019</t>
  </si>
  <si>
    <t>162-29</t>
  </si>
  <si>
    <t>204:232692</t>
  </si>
  <si>
    <t>163-29</t>
  </si>
  <si>
    <t>204:440</t>
  </si>
  <si>
    <t>204:233346</t>
  </si>
  <si>
    <t>164-29</t>
  </si>
  <si>
    <t>204:233008</t>
  </si>
  <si>
    <t>165-29</t>
  </si>
  <si>
    <t>167-29</t>
  </si>
  <si>
    <t>168-29</t>
  </si>
  <si>
    <t>169-29</t>
  </si>
  <si>
    <t>204:469</t>
  </si>
  <si>
    <t>170-29</t>
  </si>
  <si>
    <t>171-29</t>
  </si>
  <si>
    <t>172-29</t>
  </si>
  <si>
    <t>204:163</t>
  </si>
  <si>
    <t>173-29</t>
  </si>
  <si>
    <t>174-29</t>
  </si>
  <si>
    <t>204:233015</t>
  </si>
  <si>
    <t>204:238</t>
  </si>
  <si>
    <t>175-29</t>
  </si>
  <si>
    <t>204:435</t>
  </si>
  <si>
    <t>204:59392</t>
  </si>
  <si>
    <t>176-29</t>
  </si>
  <si>
    <t>204:127866</t>
  </si>
  <si>
    <t>204:233036</t>
  </si>
  <si>
    <t>204:232211</t>
  </si>
  <si>
    <t>177-29</t>
  </si>
  <si>
    <t>204:427</t>
  </si>
  <si>
    <t>178-29</t>
  </si>
  <si>
    <t>179-29</t>
  </si>
  <si>
    <t>180-29</t>
  </si>
  <si>
    <t>181-29</t>
  </si>
  <si>
    <t>204:19130</t>
  </si>
  <si>
    <t>204:1202</t>
  </si>
  <si>
    <t>182-29</t>
  </si>
  <si>
    <t>204:130</t>
  </si>
  <si>
    <t>183-29</t>
  </si>
  <si>
    <t>185-29</t>
  </si>
  <si>
    <t>204:433</t>
  </si>
  <si>
    <t>204:233259</t>
  </si>
  <si>
    <t>186-29</t>
  </si>
  <si>
    <t>204:129</t>
  </si>
  <si>
    <t>187-29</t>
  </si>
  <si>
    <t>204:969</t>
  </si>
  <si>
    <t>188-29</t>
  </si>
  <si>
    <t>189-29</t>
  </si>
  <si>
    <t>190-29</t>
  </si>
  <si>
    <t>191-29</t>
  </si>
  <si>
    <t>204:233338</t>
  </si>
  <si>
    <t>192-29</t>
  </si>
  <si>
    <t>204:918</t>
  </si>
  <si>
    <t>193-29</t>
  </si>
  <si>
    <t>194-29</t>
  </si>
  <si>
    <t>195-29</t>
  </si>
  <si>
    <t>196-29</t>
  </si>
  <si>
    <t>204:1013</t>
  </si>
  <si>
    <t>197-29</t>
  </si>
  <si>
    <t>198-29</t>
  </si>
  <si>
    <t>199-29</t>
  </si>
  <si>
    <t>200-29</t>
  </si>
  <si>
    <t>201-29</t>
  </si>
  <si>
    <t>204:1171</t>
  </si>
  <si>
    <t>202-29</t>
  </si>
  <si>
    <t>203-29</t>
  </si>
  <si>
    <t>204:233408</t>
  </si>
  <si>
    <t>204-29</t>
  </si>
  <si>
    <t>204:233083</t>
  </si>
  <si>
    <t>205-29</t>
  </si>
  <si>
    <t>204:1247</t>
  </si>
  <si>
    <t>206-29</t>
  </si>
  <si>
    <t>204:233000</t>
  </si>
  <si>
    <t>207-29</t>
  </si>
  <si>
    <t>204:233310</t>
  </si>
  <si>
    <t>208-29</t>
  </si>
  <si>
    <t>209-29</t>
  </si>
  <si>
    <t>204:1328</t>
  </si>
  <si>
    <t>204:19213</t>
  </si>
  <si>
    <t>210-29</t>
  </si>
  <si>
    <t>204:232978</t>
  </si>
  <si>
    <t>211-29</t>
  </si>
  <si>
    <t>204:233193</t>
  </si>
  <si>
    <t>212-29</t>
  </si>
  <si>
    <t>204:232877</t>
  </si>
  <si>
    <t>213-29</t>
  </si>
  <si>
    <t>215-29</t>
  </si>
  <si>
    <t>216-29</t>
  </si>
  <si>
    <t>204:233004</t>
  </si>
  <si>
    <t>217-29</t>
  </si>
  <si>
    <t>218-29</t>
  </si>
  <si>
    <t>219-29</t>
  </si>
  <si>
    <t>220-29</t>
  </si>
  <si>
    <t>221-29</t>
  </si>
  <si>
    <t>222-29</t>
  </si>
  <si>
    <t>204:736</t>
  </si>
  <si>
    <t>223-29</t>
  </si>
  <si>
    <t>224-29</t>
  </si>
  <si>
    <t>225-29</t>
  </si>
  <si>
    <t>226-29</t>
  </si>
  <si>
    <t>227-29</t>
  </si>
  <si>
    <t>228-29</t>
  </si>
  <si>
    <t>229-29</t>
  </si>
  <si>
    <t>230-29</t>
  </si>
  <si>
    <t>231-29</t>
  </si>
  <si>
    <t>232-29</t>
  </si>
  <si>
    <t>204:232955</t>
  </si>
  <si>
    <t>233-29</t>
  </si>
  <si>
    <t>234-29</t>
  </si>
  <si>
    <t>204:232965</t>
  </si>
  <si>
    <t>204:183</t>
  </si>
  <si>
    <t>235-29</t>
  </si>
  <si>
    <t>236-29</t>
  </si>
  <si>
    <t>237-29</t>
  </si>
  <si>
    <t>238-29</t>
  </si>
  <si>
    <t>204:2527</t>
  </si>
  <si>
    <t>239-29</t>
  </si>
  <si>
    <t>240-29</t>
  </si>
  <si>
    <t>241-29</t>
  </si>
  <si>
    <t>204:80353</t>
  </si>
  <si>
    <t>242-29</t>
  </si>
  <si>
    <t>243-29</t>
  </si>
  <si>
    <t>244-29</t>
  </si>
  <si>
    <t>800-29</t>
  </si>
  <si>
    <t>300:58596</t>
  </si>
  <si>
    <t>204:157</t>
  </si>
  <si>
    <t>801-29</t>
  </si>
  <si>
    <t>300:58897</t>
  </si>
  <si>
    <t>802-29</t>
  </si>
  <si>
    <t>300:58587</t>
  </si>
  <si>
    <t>204:991</t>
  </si>
  <si>
    <t>803-29</t>
  </si>
  <si>
    <t>204:1255</t>
  </si>
  <si>
    <t>300:58912</t>
  </si>
  <si>
    <t>804-29</t>
  </si>
  <si>
    <t>300:58493</t>
  </si>
  <si>
    <t>204:274</t>
  </si>
  <si>
    <t>805-29</t>
  </si>
  <si>
    <t>204:1315</t>
  </si>
  <si>
    <t>300:58905</t>
  </si>
  <si>
    <t>806-29</t>
  </si>
  <si>
    <t>300:58594</t>
  </si>
  <si>
    <t>204:155</t>
  </si>
  <si>
    <t>807-29</t>
  </si>
  <si>
    <t>204:564</t>
  </si>
  <si>
    <t>300:58845</t>
  </si>
  <si>
    <t>808-29</t>
  </si>
  <si>
    <t>300:58521</t>
  </si>
  <si>
    <t>204:327</t>
  </si>
  <si>
    <t>809-29</t>
  </si>
  <si>
    <t>300:58911</t>
  </si>
  <si>
    <t>810-29</t>
  </si>
  <si>
    <t>300:58602</t>
  </si>
  <si>
    <t>204:719</t>
  </si>
  <si>
    <t>817-29</t>
  </si>
  <si>
    <t>204:1172</t>
  </si>
  <si>
    <t>300:58815</t>
  </si>
  <si>
    <t>818-29</t>
  </si>
  <si>
    <t>300:58491</t>
  </si>
  <si>
    <t>204:950</t>
  </si>
  <si>
    <t>819-29</t>
  </si>
  <si>
    <t>204:1237</t>
  </si>
  <si>
    <t>820-29</t>
  </si>
  <si>
    <t>300:58574</t>
  </si>
  <si>
    <t>204:951</t>
  </si>
  <si>
    <t>821-29</t>
  </si>
  <si>
    <t>204:1251</t>
  </si>
  <si>
    <t>300:58965</t>
  </si>
  <si>
    <t>822-29</t>
  </si>
  <si>
    <t>300:58647</t>
  </si>
  <si>
    <t>204:876</t>
  </si>
  <si>
    <t>823-29</t>
  </si>
  <si>
    <t>204:1119</t>
  </si>
  <si>
    <t>300:58928</t>
  </si>
  <si>
    <t>204:1168</t>
  </si>
  <si>
    <t>300:58935</t>
  </si>
  <si>
    <t>824-29</t>
  </si>
  <si>
    <t>300:58615</t>
  </si>
  <si>
    <t>204:839</t>
  </si>
  <si>
    <t>826-29</t>
  </si>
  <si>
    <t>300:58598</t>
  </si>
  <si>
    <t>204:838</t>
  </si>
  <si>
    <t>827-29</t>
  </si>
  <si>
    <t>204:944</t>
  </si>
  <si>
    <t>300:58907</t>
  </si>
  <si>
    <t>828-29</t>
  </si>
  <si>
    <t>829-29</t>
  </si>
  <si>
    <t>204:1130</t>
  </si>
  <si>
    <t>300:58920</t>
  </si>
  <si>
    <t>830-29</t>
  </si>
  <si>
    <t>204:710</t>
  </si>
  <si>
    <t>831-29</t>
  </si>
  <si>
    <t>300:58888</t>
  </si>
  <si>
    <t>832-29</t>
  </si>
  <si>
    <t>300:58581</t>
  </si>
  <si>
    <t>204:144</t>
  </si>
  <si>
    <t>833-29</t>
  </si>
  <si>
    <t>204:993</t>
  </si>
  <si>
    <t>300:58941</t>
  </si>
  <si>
    <t>834-29</t>
  </si>
  <si>
    <t>300:58623</t>
  </si>
  <si>
    <t>835-29</t>
  </si>
  <si>
    <t>204:439</t>
  </si>
  <si>
    <t>836-29</t>
  </si>
  <si>
    <t>300:58611</t>
  </si>
  <si>
    <t>204:733</t>
  </si>
  <si>
    <t>837-29</t>
  </si>
  <si>
    <t>204:1140</t>
  </si>
  <si>
    <t>838-29</t>
  </si>
  <si>
    <t>300:58600</t>
  </si>
  <si>
    <t>204:866</t>
  </si>
  <si>
    <t>839-29</t>
  </si>
  <si>
    <t>204:1025</t>
  </si>
  <si>
    <t>300:58918</t>
  </si>
  <si>
    <t>840-29</t>
  </si>
  <si>
    <t>204:832</t>
  </si>
  <si>
    <t>841-29</t>
  </si>
  <si>
    <t>204:1139</t>
  </si>
  <si>
    <t>300:58924</t>
  </si>
  <si>
    <t>204:1743</t>
  </si>
  <si>
    <t>842-29</t>
  </si>
  <si>
    <t>300:58583</t>
  </si>
  <si>
    <t>204:824</t>
  </si>
  <si>
    <t>843-29</t>
  </si>
  <si>
    <t>300:58901</t>
  </si>
  <si>
    <t>844-29</t>
  </si>
  <si>
    <t>300:58576</t>
  </si>
  <si>
    <t>204:922</t>
  </si>
  <si>
    <t>845-29</t>
  </si>
  <si>
    <t>300:58892</t>
  </si>
  <si>
    <t>847-29</t>
  </si>
  <si>
    <t>204:1209</t>
  </si>
  <si>
    <t>300:58884</t>
  </si>
  <si>
    <t>906-29</t>
  </si>
  <si>
    <t>rtdc.l.rtdc.4016:itc</t>
  </si>
  <si>
    <t>139-29</t>
  </si>
  <si>
    <t>132-29</t>
  </si>
  <si>
    <t>812-29</t>
  </si>
  <si>
    <t>813-29</t>
  </si>
  <si>
    <t>rtdc.l.rtdc.4015:itc</t>
  </si>
  <si>
    <t>142-29</t>
  </si>
  <si>
    <t>140-29</t>
  </si>
  <si>
    <t>151-29</t>
  </si>
  <si>
    <t>149-29</t>
  </si>
  <si>
    <t>146-29</t>
  </si>
  <si>
    <t>815-29</t>
  </si>
  <si>
    <t>155-29</t>
  </si>
  <si>
    <t>UNHEALTHY CROSSING</t>
  </si>
  <si>
    <t>Other (9)</t>
  </si>
  <si>
    <t>rtdc.l.rtdc.4043:itc</t>
  </si>
  <si>
    <t>YORK</t>
  </si>
  <si>
    <t>BONDS</t>
  </si>
  <si>
    <t>242-28</t>
  </si>
  <si>
    <t>STEWART</t>
  </si>
  <si>
    <t>227-28</t>
  </si>
  <si>
    <t>119-30</t>
  </si>
  <si>
    <t>152-29</t>
  </si>
  <si>
    <t>814-29</t>
  </si>
  <si>
    <t>MAYBERRY</t>
  </si>
  <si>
    <t>SANTIZO</t>
  </si>
  <si>
    <t>107-30</t>
  </si>
  <si>
    <t>908-28</t>
  </si>
  <si>
    <t>STORY</t>
  </si>
  <si>
    <t>125-30</t>
  </si>
  <si>
    <t>847-28</t>
  </si>
  <si>
    <t>LYNN</t>
  </si>
  <si>
    <t>807-30</t>
  </si>
  <si>
    <t>BEAM</t>
  </si>
  <si>
    <t>243-28</t>
  </si>
  <si>
    <t>238-28</t>
  </si>
  <si>
    <t>LEVERE</t>
  </si>
  <si>
    <t>rtdc.l.rtdc.4005:itc</t>
  </si>
  <si>
    <t>301-29</t>
  </si>
  <si>
    <t>CHIONE</t>
  </si>
  <si>
    <t>235-28</t>
  </si>
  <si>
    <t>104-30</t>
  </si>
  <si>
    <t>STARKS</t>
  </si>
  <si>
    <t>126-30</t>
  </si>
  <si>
    <t>236-28</t>
  </si>
  <si>
    <t>842-28</t>
  </si>
  <si>
    <t>226-28</t>
  </si>
  <si>
    <t>231-28</t>
  </si>
  <si>
    <t>241-28</t>
  </si>
  <si>
    <t>141-29</t>
  </si>
  <si>
    <t>150-29</t>
  </si>
  <si>
    <t>809-30</t>
  </si>
  <si>
    <t>117-30</t>
  </si>
  <si>
    <t>rtdc.l.rtdc.4002:itc</t>
  </si>
  <si>
    <t>101-30</t>
  </si>
  <si>
    <t>112-30</t>
  </si>
  <si>
    <t>148-29</t>
  </si>
  <si>
    <t>106-30</t>
  </si>
  <si>
    <t>230-28</t>
  </si>
  <si>
    <t>103-30</t>
  </si>
  <si>
    <t>214-29</t>
  </si>
  <si>
    <t>843-28</t>
  </si>
  <si>
    <t>123-30</t>
  </si>
  <si>
    <t>233-28</t>
  </si>
  <si>
    <t>901-29</t>
  </si>
  <si>
    <t>224-28</t>
  </si>
  <si>
    <t>234-28</t>
  </si>
  <si>
    <t>904-29</t>
  </si>
  <si>
    <t>237-28</t>
  </si>
  <si>
    <t>145-29</t>
  </si>
  <si>
    <t>115-30</t>
  </si>
  <si>
    <t>228-28</t>
  </si>
  <si>
    <t>845-28</t>
  </si>
  <si>
    <t>801-30</t>
  </si>
  <si>
    <t>803-30</t>
  </si>
  <si>
    <t>811-29</t>
  </si>
  <si>
    <t>129-30</t>
  </si>
  <si>
    <t>225-28</t>
  </si>
  <si>
    <t>118-30</t>
  </si>
  <si>
    <t>157-29</t>
  </si>
  <si>
    <t>STRICKLAND</t>
  </si>
  <si>
    <t>805-30</t>
  </si>
  <si>
    <t>808-30</t>
  </si>
  <si>
    <t>138-29</t>
  </si>
  <si>
    <t>105-30</t>
  </si>
  <si>
    <t>113-30</t>
  </si>
  <si>
    <t>109-30</t>
  </si>
  <si>
    <t>800-30</t>
  </si>
  <si>
    <t>127-30</t>
  </si>
  <si>
    <t>222-28</t>
  </si>
  <si>
    <t>239-28</t>
  </si>
  <si>
    <t>116-30</t>
  </si>
  <si>
    <t>134-29</t>
  </si>
  <si>
    <t>114-30</t>
  </si>
  <si>
    <t>147-29</t>
  </si>
  <si>
    <t>ARNOLD</t>
  </si>
  <si>
    <t>144-29</t>
  </si>
  <si>
    <t>153-29</t>
  </si>
  <si>
    <t>121-30</t>
  </si>
  <si>
    <t>102-30</t>
  </si>
  <si>
    <t>rtdc.l.rtdc.4001:itc</t>
  </si>
  <si>
    <t>802-30</t>
  </si>
  <si>
    <t>166-29</t>
  </si>
  <si>
    <t>111-30</t>
  </si>
  <si>
    <t>903-29</t>
  </si>
  <si>
    <t>132-30</t>
  </si>
  <si>
    <t>184-29</t>
  </si>
  <si>
    <t>122-30</t>
  </si>
  <si>
    <t>159-29</t>
  </si>
  <si>
    <t>844-28</t>
  </si>
  <si>
    <t>229-28</t>
  </si>
  <si>
    <t>816-29</t>
  </si>
  <si>
    <t>244-28</t>
  </si>
  <si>
    <t>240-28</t>
  </si>
  <si>
    <t>108-30</t>
  </si>
  <si>
    <t>218-28</t>
  </si>
  <si>
    <t>131-30</t>
  </si>
  <si>
    <t>136-29</t>
  </si>
  <si>
    <t>110-30</t>
  </si>
  <si>
    <t>124-30</t>
  </si>
  <si>
    <t>120-30</t>
  </si>
  <si>
    <t>133-30</t>
  </si>
  <si>
    <t>143-29</t>
  </si>
  <si>
    <t>232-28</t>
  </si>
  <si>
    <t>804-30</t>
  </si>
  <si>
    <t>806-30</t>
  </si>
  <si>
    <t>204:232896</t>
  </si>
  <si>
    <t>204:233298</t>
  </si>
  <si>
    <t>204:61842</t>
  </si>
  <si>
    <t>204:233304</t>
  </si>
  <si>
    <t>204:200077</t>
  </si>
  <si>
    <t>204:232992</t>
  </si>
  <si>
    <t>204:139</t>
  </si>
  <si>
    <t>204:233283</t>
  </si>
  <si>
    <t>204:638</t>
  </si>
  <si>
    <t>300:58899</t>
  </si>
  <si>
    <t>300:57453</t>
  </si>
  <si>
    <t>204:1058</t>
  </si>
  <si>
    <t>204:1376</t>
  </si>
  <si>
    <t>300:58589</t>
  </si>
  <si>
    <t>204:941</t>
  </si>
  <si>
    <t>204:1240</t>
  </si>
  <si>
    <t>204:888</t>
  </si>
  <si>
    <t>204:1006</t>
  </si>
  <si>
    <t>300:24068</t>
  </si>
  <si>
    <t>Started init at DIA… but then looks like they purposefully drove all the way to 61stPena before finishing init (Onboard was in "Submit Consist" state the entire time). Any insights from ops?</t>
  </si>
  <si>
    <t>Inefficient dispatching @ DUS 2N</t>
  </si>
  <si>
    <t>Improper execution of bulletin (stopped 650 ft from crossing edge)</t>
  </si>
  <si>
    <t>Departure delay due to initial failed departure test</t>
  </si>
  <si>
    <t>Comms issues at DIA, re-inited at 40th</t>
  </si>
  <si>
    <t>Inefficient dispatching at Pena 4S</t>
  </si>
  <si>
    <t>Overspeed on restricting aspect (when first initializing)</t>
  </si>
  <si>
    <t>Inefficient dispatching @ 40th 4S</t>
  </si>
  <si>
    <t>Onboard comparator issue caused comm outage</t>
  </si>
  <si>
    <t>Premature downgrade at NW0109XH (BNSF FUEL CROSSING) 11-1T 1S</t>
  </si>
  <si>
    <t>Inefficient dispatching at NW0137RH (38TH &amp; 41ST AVE) Signal 6S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</si>
</sst>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h:mm:ss;@"/>
    <numFmt numFmtId="165" formatCode="0.0%"/>
    <numFmt numFmtId="166" formatCode="yyyy\-mm\-dd"/>
    <numFmt numFmtId="167" formatCode="yyyy\-mm\-dd\ hh:mm:ss"/>
    <numFmt numFmtId="168" formatCode="m/d/yy\ h:mm;@"/>
  </numFmts>
  <fonts count="11"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0"/>
      <color theme="1"/>
      <name val="Calibri"/>
      <family val="2"/>
      <scheme val="minor"/>
    </font>
    <font>
      <sz val="11"/>
      <color theme="0" tint="-0.14999847407452621"/>
      <name val="Calibri"/>
      <family val="2"/>
      <scheme val="minor"/>
    </font>
    <font>
      <sz val="11"/>
      <color theme="3" tint="0.39997558519241921"/>
      <name val="Calibri"/>
      <family val="2"/>
      <scheme val="minor"/>
    </font>
    <font>
      <sz val="11"/>
      <color theme="0" tint="-0.34998626667073579"/>
      <name val="Calibri"/>
      <family val="2"/>
      <scheme val="minor"/>
    </font>
    <font>
      <b/>
      <sz val="11"/>
      <color theme="0" tint="-0.34998626667073579"/>
      <name val="Calibri"/>
      <family val="2"/>
      <scheme val="minor"/>
    </font>
    <font>
      <sz val="10"/>
      <color indexed="8"/>
      <name val="Arial"/>
      <family val="2"/>
    </font>
    <font>
      <sz val="11"/>
      <color indexed="8"/>
      <name val="Calibri"/>
      <family val="2"/>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indexed="22"/>
        <bgColor indexed="0"/>
      </patternFill>
    </fill>
  </fills>
  <borders count="19">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right/>
      <top/>
      <bottom style="medium">
        <color rgb="FFECF0F1"/>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9" fillId="0" borderId="0"/>
  </cellStyleXfs>
  <cellXfs count="106">
    <xf numFmtId="0" fontId="0" fillId="0" borderId="0" xfId="0"/>
    <xf numFmtId="0" fontId="0" fillId="0" borderId="0" xfId="0" applyFill="1"/>
    <xf numFmtId="1" fontId="0" fillId="0" borderId="0" xfId="0" applyNumberFormat="1"/>
    <xf numFmtId="1" fontId="0" fillId="0" borderId="2" xfId="0" applyNumberFormat="1" applyBorder="1" applyAlignment="1">
      <alignment horizontal="center" vertical="center"/>
    </xf>
    <xf numFmtId="0" fontId="0" fillId="0" borderId="0" xfId="0" applyBorder="1" applyAlignment="1">
      <alignment horizontal="center" vertical="center" wrapText="1"/>
    </xf>
    <xf numFmtId="0" fontId="0" fillId="0" borderId="4" xfId="0" applyBorder="1" applyAlignment="1">
      <alignment horizontal="center" vertical="center" wrapText="1"/>
    </xf>
    <xf numFmtId="164" fontId="0" fillId="0" borderId="5" xfId="0" applyNumberFormat="1" applyFill="1" applyBorder="1" applyAlignment="1">
      <alignment horizontal="left"/>
    </xf>
    <xf numFmtId="1" fontId="0" fillId="0" borderId="5" xfId="0" applyNumberFormat="1" applyFill="1" applyBorder="1" applyAlignment="1">
      <alignment horizontal="left"/>
    </xf>
    <xf numFmtId="167" fontId="0" fillId="0" borderId="0" xfId="0" applyNumberFormat="1"/>
    <xf numFmtId="0" fontId="0" fillId="0" borderId="0" xfId="0" applyFill="1" applyAlignment="1"/>
    <xf numFmtId="0" fontId="0" fillId="0" borderId="5" xfId="0" applyFill="1" applyBorder="1" applyAlignment="1"/>
    <xf numFmtId="0" fontId="0" fillId="0" borderId="5" xfId="0" applyFill="1" applyBorder="1" applyAlignment="1">
      <alignment vertical="center"/>
    </xf>
    <xf numFmtId="0" fontId="0" fillId="0" borderId="5" xfId="0" applyBorder="1" applyAlignment="1">
      <alignment vertical="center"/>
    </xf>
    <xf numFmtId="167" fontId="0" fillId="0" borderId="5" xfId="0" applyNumberFormat="1" applyBorder="1" applyAlignment="1">
      <alignment vertical="center"/>
    </xf>
    <xf numFmtId="0" fontId="1" fillId="0" borderId="5" xfId="0" applyFont="1" applyFill="1" applyBorder="1" applyAlignment="1">
      <alignment horizontal="center" vertical="center" wrapText="1"/>
    </xf>
    <xf numFmtId="167" fontId="1" fillId="0" borderId="5" xfId="0" applyNumberFormat="1" applyFont="1" applyFill="1" applyBorder="1" applyAlignment="1">
      <alignment horizontal="center" vertical="center" wrapText="1"/>
    </xf>
    <xf numFmtId="0" fontId="0" fillId="0" borderId="0" xfId="0" applyAlignment="1">
      <alignment horizontal="center" vertical="center"/>
    </xf>
    <xf numFmtId="1" fontId="0" fillId="0" borderId="0" xfId="0" applyNumberFormat="1" applyAlignment="1">
      <alignment horizontal="center" vertical="center"/>
    </xf>
    <xf numFmtId="0" fontId="3" fillId="0" borderId="6" xfId="0" applyFont="1" applyBorder="1" applyAlignment="1">
      <alignment horizontal="center" wrapText="1"/>
    </xf>
    <xf numFmtId="166" fontId="4" fillId="0" borderId="7" xfId="0" applyNumberFormat="1" applyFont="1" applyBorder="1" applyAlignment="1">
      <alignment horizontal="center" vertical="center" wrapText="1"/>
    </xf>
    <xf numFmtId="167" fontId="0" fillId="0" borderId="5" xfId="0" applyNumberFormat="1" applyFill="1" applyBorder="1" applyAlignment="1">
      <alignment horizontal="left"/>
    </xf>
    <xf numFmtId="0" fontId="1" fillId="0" borderId="6" xfId="0" applyFont="1" applyFill="1" applyBorder="1" applyAlignment="1">
      <alignment horizontal="center" wrapText="1"/>
    </xf>
    <xf numFmtId="0" fontId="1" fillId="0" borderId="7" xfId="0" applyFont="1" applyFill="1" applyBorder="1" applyAlignment="1">
      <alignment horizontal="center" vertical="center"/>
    </xf>
    <xf numFmtId="2" fontId="0" fillId="0" borderId="5" xfId="0" applyNumberFormat="1" applyFill="1" applyBorder="1" applyAlignment="1">
      <alignment horizontal="left"/>
    </xf>
    <xf numFmtId="0" fontId="1" fillId="0" borderId="5" xfId="0" applyFont="1" applyFill="1" applyBorder="1" applyAlignment="1">
      <alignment horizontal="left" vertical="center" wrapText="1"/>
    </xf>
    <xf numFmtId="0" fontId="1" fillId="0" borderId="5" xfId="0" applyFont="1" applyBorder="1" applyAlignment="1">
      <alignment horizontal="left" vertical="center" wrapText="1"/>
    </xf>
    <xf numFmtId="167" fontId="1" fillId="0" borderId="5" xfId="0" applyNumberFormat="1" applyFont="1" applyBorder="1" applyAlignment="1">
      <alignment horizontal="left" vertical="center" wrapText="1"/>
    </xf>
    <xf numFmtId="2" fontId="1" fillId="0" borderId="5" xfId="0" applyNumberFormat="1" applyFont="1" applyBorder="1" applyAlignment="1">
      <alignment horizontal="left" vertical="center" wrapText="1"/>
    </xf>
    <xf numFmtId="20" fontId="1" fillId="0" borderId="5" xfId="0" applyNumberFormat="1" applyFont="1" applyFill="1" applyBorder="1" applyAlignment="1">
      <alignment horizontal="left" vertical="center" wrapText="1"/>
    </xf>
    <xf numFmtId="1" fontId="1" fillId="0" borderId="5" xfId="0" applyNumberFormat="1" applyFont="1" applyBorder="1" applyAlignment="1">
      <alignment horizontal="left" vertical="center" wrapText="1"/>
    </xf>
    <xf numFmtId="0" fontId="1" fillId="0" borderId="5" xfId="0" applyFont="1" applyBorder="1" applyAlignment="1">
      <alignment horizontal="center" vertical="center" wrapText="1"/>
    </xf>
    <xf numFmtId="0" fontId="5" fillId="0" borderId="0" xfId="0" applyFont="1"/>
    <xf numFmtId="0" fontId="5" fillId="0" borderId="0" xfId="0" applyFont="1" applyAlignment="1">
      <alignment horizontal="left"/>
    </xf>
    <xf numFmtId="0" fontId="0" fillId="0" borderId="0" xfId="0"/>
    <xf numFmtId="0" fontId="0" fillId="0" borderId="5" xfId="0" applyFill="1" applyBorder="1" applyAlignment="1">
      <alignment horizontal="left"/>
    </xf>
    <xf numFmtId="1" fontId="0" fillId="0" borderId="5" xfId="0" applyNumberFormat="1" applyFill="1" applyBorder="1"/>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0" fontId="6" fillId="0" borderId="0" xfId="0" applyFont="1" applyFill="1" applyBorder="1"/>
    <xf numFmtId="0" fontId="6" fillId="0" borderId="0" xfId="0" applyFont="1" applyFill="1" applyBorder="1" applyAlignment="1">
      <alignment horizontal="left"/>
    </xf>
    <xf numFmtId="0" fontId="1" fillId="0" borderId="0" xfId="0" applyFont="1" applyBorder="1"/>
    <xf numFmtId="0" fontId="0" fillId="0" borderId="0" xfId="0" applyBorder="1"/>
    <xf numFmtId="0" fontId="7" fillId="0" borderId="0" xfId="0" applyFont="1" applyAlignment="1">
      <alignment horizontal="center" vertical="center"/>
    </xf>
    <xf numFmtId="0" fontId="7" fillId="0" borderId="0" xfId="0" applyFont="1" applyFill="1" applyAlignment="1"/>
    <xf numFmtId="0" fontId="7" fillId="0" borderId="0" xfId="0" applyFont="1"/>
    <xf numFmtId="0" fontId="8" fillId="0" borderId="0" xfId="0" applyFont="1" applyFill="1" applyBorder="1" applyAlignment="1">
      <alignment horizontal="center" vertical="center" wrapText="1"/>
    </xf>
    <xf numFmtId="167" fontId="0" fillId="0" borderId="9" xfId="0" applyNumberFormat="1" applyBorder="1"/>
    <xf numFmtId="17" fontId="0" fillId="0" borderId="0" xfId="0" applyNumberFormat="1"/>
    <xf numFmtId="167" fontId="0" fillId="0" borderId="0" xfId="0" applyNumberFormat="1" applyBorder="1"/>
    <xf numFmtId="0" fontId="0" fillId="0" borderId="0" xfId="0" applyAlignment="1">
      <alignment horizontal="center"/>
    </xf>
    <xf numFmtId="0" fontId="1" fillId="0" borderId="0" xfId="0" applyFont="1" applyBorder="1" applyAlignment="1">
      <alignment horizontal="left" wrapText="1"/>
    </xf>
    <xf numFmtId="0" fontId="0" fillId="0" borderId="0" xfId="0" applyAlignment="1">
      <alignment horizontal="left"/>
    </xf>
    <xf numFmtId="0" fontId="1" fillId="0" borderId="0" xfId="0" applyFont="1" applyBorder="1" applyAlignment="1">
      <alignment horizontal="center" wrapText="1"/>
    </xf>
    <xf numFmtId="0" fontId="0" fillId="0" borderId="0" xfId="0" applyFill="1" applyBorder="1"/>
    <xf numFmtId="168" fontId="0" fillId="0" borderId="5" xfId="0" applyNumberFormat="1" applyFill="1" applyBorder="1" applyAlignment="1">
      <alignment horizontal="left"/>
    </xf>
    <xf numFmtId="0" fontId="0" fillId="0" borderId="5" xfId="0" applyBorder="1"/>
    <xf numFmtId="0" fontId="10" fillId="4" borderId="10" xfId="1" applyFont="1" applyFill="1" applyBorder="1" applyAlignment="1">
      <alignment horizontal="center"/>
    </xf>
    <xf numFmtId="0" fontId="10" fillId="0" borderId="11" xfId="1" applyFont="1" applyFill="1" applyBorder="1" applyAlignment="1">
      <alignment wrapText="1"/>
    </xf>
    <xf numFmtId="0" fontId="10" fillId="0" borderId="11" xfId="1" applyFont="1" applyFill="1" applyBorder="1" applyAlignment="1">
      <alignment horizontal="right" wrapText="1"/>
    </xf>
    <xf numFmtId="9" fontId="0" fillId="0" borderId="5" xfId="0" applyNumberFormat="1" applyFill="1" applyBorder="1"/>
    <xf numFmtId="0" fontId="0" fillId="2" borderId="12" xfId="0" applyFill="1" applyBorder="1" applyAlignment="1">
      <alignment vertical="center" wrapText="1"/>
    </xf>
    <xf numFmtId="0" fontId="0" fillId="2" borderId="13" xfId="0" applyFill="1" applyBorder="1" applyAlignment="1">
      <alignment vertical="center" wrapText="1"/>
    </xf>
    <xf numFmtId="0" fontId="0" fillId="2" borderId="14" xfId="0" applyFill="1" applyBorder="1"/>
    <xf numFmtId="0" fontId="0" fillId="0" borderId="15" xfId="0" applyBorder="1" applyAlignment="1">
      <alignment vertical="center" wrapText="1"/>
    </xf>
    <xf numFmtId="0" fontId="0" fillId="0" borderId="16" xfId="0" applyBorder="1" applyAlignment="1">
      <alignment vertical="center" wrapText="1"/>
    </xf>
    <xf numFmtId="0" fontId="0" fillId="0" borderId="17" xfId="0" applyBorder="1"/>
    <xf numFmtId="167" fontId="0" fillId="0" borderId="5" xfId="0" applyNumberFormat="1" applyBorder="1"/>
    <xf numFmtId="22" fontId="0" fillId="0" borderId="5" xfId="0" applyNumberFormat="1" applyFill="1" applyBorder="1" applyAlignment="1">
      <alignment horizontal="left"/>
    </xf>
    <xf numFmtId="167" fontId="0" fillId="0" borderId="0" xfId="0" applyNumberFormat="1" applyBorder="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0" fillId="0" borderId="0" xfId="0" applyFill="1" applyBorder="1" applyAlignment="1"/>
    <xf numFmtId="0" fontId="0" fillId="0" borderId="5" xfId="0" applyBorder="1" applyAlignment="1">
      <alignment horizontal="left"/>
    </xf>
    <xf numFmtId="0" fontId="0" fillId="0" borderId="18" xfId="0" applyFill="1" applyBorder="1" applyAlignment="1">
      <alignment horizontal="left"/>
    </xf>
    <xf numFmtId="164" fontId="0" fillId="0" borderId="18" xfId="0" applyNumberFormat="1" applyFill="1" applyBorder="1" applyAlignment="1">
      <alignment horizontal="left"/>
    </xf>
    <xf numFmtId="1" fontId="0" fillId="0" borderId="18" xfId="0" applyNumberFormat="1" applyFill="1" applyBorder="1" applyAlignment="1">
      <alignment horizontal="left"/>
    </xf>
    <xf numFmtId="1" fontId="0" fillId="0" borderId="18" xfId="0" applyNumberFormat="1" applyFill="1" applyBorder="1"/>
    <xf numFmtId="9" fontId="0" fillId="0" borderId="18" xfId="0" applyNumberFormat="1" applyFill="1" applyBorder="1"/>
    <xf numFmtId="167" fontId="0" fillId="0" borderId="0" xfId="0" applyNumberFormat="1" applyAlignment="1">
      <alignment horizontal="left"/>
    </xf>
    <xf numFmtId="2" fontId="0" fillId="0" borderId="0" xfId="0" applyNumberFormat="1" applyAlignment="1">
      <alignment horizontal="left"/>
    </xf>
    <xf numFmtId="167" fontId="0" fillId="0" borderId="3" xfId="0" applyNumberFormat="1" applyBorder="1" applyAlignment="1">
      <alignment horizontal="left" vertical="center" wrapText="1"/>
    </xf>
    <xf numFmtId="167" fontId="0" fillId="2" borderId="3" xfId="0" applyNumberFormat="1" applyFill="1" applyBorder="1" applyAlignment="1">
      <alignment horizontal="left" vertical="center" wrapText="1"/>
    </xf>
    <xf numFmtId="167" fontId="0" fillId="3" borderId="3" xfId="0" applyNumberFormat="1" applyFill="1" applyBorder="1" applyAlignment="1">
      <alignment horizontal="left" vertical="center" wrapText="1"/>
    </xf>
    <xf numFmtId="167" fontId="0" fillId="0" borderId="5" xfId="0" applyNumberFormat="1" applyBorder="1" applyAlignment="1">
      <alignment horizontal="left"/>
    </xf>
    <xf numFmtId="2" fontId="0" fillId="0" borderId="5" xfId="0" applyNumberFormat="1" applyBorder="1" applyAlignment="1">
      <alignment horizontal="left"/>
    </xf>
    <xf numFmtId="0" fontId="0" fillId="0" borderId="0" xfId="0" applyFill="1" applyAlignment="1">
      <alignment horizontal="left"/>
    </xf>
    <xf numFmtId="20" fontId="0" fillId="0" borderId="0" xfId="0" applyNumberFormat="1" applyFill="1" applyAlignment="1">
      <alignment horizontal="left" wrapText="1"/>
    </xf>
    <xf numFmtId="1" fontId="0" fillId="0" borderId="0" xfId="0" applyNumberFormat="1" applyAlignment="1">
      <alignment horizontal="left"/>
    </xf>
    <xf numFmtId="166" fontId="0" fillId="0" borderId="4" xfId="0" applyNumberFormat="1" applyBorder="1" applyAlignment="1">
      <alignment horizontal="left" wrapText="1"/>
    </xf>
    <xf numFmtId="20" fontId="0" fillId="0" borderId="2" xfId="0" applyNumberFormat="1" applyBorder="1" applyAlignment="1">
      <alignment horizontal="left" vertical="center" wrapText="1"/>
    </xf>
    <xf numFmtId="0" fontId="0" fillId="0" borderId="3" xfId="0" applyFill="1" applyBorder="1" applyAlignment="1">
      <alignment horizontal="left" vertical="center"/>
    </xf>
    <xf numFmtId="1" fontId="0" fillId="0" borderId="3" xfId="0" applyNumberFormat="1" applyBorder="1" applyAlignment="1">
      <alignment horizontal="left" vertical="center"/>
    </xf>
    <xf numFmtId="0" fontId="0" fillId="0" borderId="4" xfId="0" applyBorder="1" applyAlignment="1">
      <alignment horizontal="left" vertical="center"/>
    </xf>
    <xf numFmtId="1" fontId="0" fillId="0" borderId="3" xfId="0" applyNumberFormat="1" applyFill="1" applyBorder="1" applyAlignment="1">
      <alignment horizontal="left" vertical="center"/>
    </xf>
    <xf numFmtId="165" fontId="0" fillId="0" borderId="0" xfId="0" applyNumberFormat="1" applyAlignment="1">
      <alignment horizontal="left"/>
    </xf>
    <xf numFmtId="22" fontId="0" fillId="0" borderId="5" xfId="0" applyNumberFormat="1" applyBorder="1" applyAlignment="1">
      <alignment horizontal="left"/>
    </xf>
    <xf numFmtId="0" fontId="2" fillId="0" borderId="0" xfId="0" applyFont="1" applyBorder="1" applyAlignment="1">
      <alignment horizontal="center" vertical="center"/>
    </xf>
    <xf numFmtId="166" fontId="0" fillId="0" borderId="1" xfId="0" applyNumberFormat="1" applyBorder="1" applyAlignment="1">
      <alignment horizontal="left" wrapText="1"/>
    </xf>
    <xf numFmtId="166" fontId="0" fillId="0" borderId="2" xfId="0" applyNumberFormat="1" applyBorder="1" applyAlignment="1">
      <alignment horizontal="left" wrapText="1"/>
    </xf>
    <xf numFmtId="0" fontId="1" fillId="0" borderId="1"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20" fontId="0" fillId="0" borderId="1" xfId="0" applyNumberFormat="1" applyBorder="1" applyAlignment="1">
      <alignment horizontal="left" vertical="center" wrapText="1"/>
    </xf>
    <xf numFmtId="20" fontId="0" fillId="0" borderId="2" xfId="0" applyNumberFormat="1" applyBorder="1" applyAlignment="1">
      <alignment horizontal="left" vertical="center" wrapText="1"/>
    </xf>
    <xf numFmtId="0" fontId="2" fillId="0" borderId="8" xfId="0" applyFont="1" applyBorder="1" applyAlignment="1">
      <alignment horizontal="center" vertical="center"/>
    </xf>
    <xf numFmtId="0" fontId="1" fillId="0" borderId="0" xfId="0" applyFont="1" applyBorder="1" applyAlignment="1">
      <alignment horizontal="center"/>
    </xf>
  </cellXfs>
  <cellStyles count="2">
    <cellStyle name="Normal" xfId="0" builtinId="0"/>
    <cellStyle name="Normal_XINGS" xfId="1"/>
  </cellStyles>
  <dxfs count="16">
    <dxf>
      <font>
        <color rgb="FF9C6500"/>
      </font>
      <fill>
        <patternFill>
          <bgColor rgb="FFFFEB9C"/>
        </patternFill>
      </fill>
    </dxf>
    <dxf>
      <font>
        <color rgb="FF9C6500"/>
      </font>
      <fill>
        <patternFill>
          <bgColor rgb="FFFFEB9C"/>
        </patternFill>
      </fill>
    </dxf>
    <dxf>
      <fill>
        <patternFill>
          <bgColor rgb="FFFFFF00"/>
        </patternFill>
      </fill>
    </dxf>
    <dxf>
      <font>
        <color rgb="FF9C6500"/>
      </font>
      <fill>
        <patternFill>
          <bgColor rgb="FFFFEB9C"/>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abtec/Documents/GitHub/eaglep3-reporting/EC/Train%20Runs%20and%20Enforcements%202016-06-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 Runs"/>
      <sheetName val="Enforcements"/>
      <sheetName val="Missing Trips"/>
      <sheetName val="Trips&amp;Operators"/>
      <sheetName val="Variables"/>
    </sheetNames>
    <sheetDataSet>
      <sheetData sheetId="0"/>
      <sheetData sheetId="1"/>
      <sheetData sheetId="2"/>
      <sheetData sheetId="3"/>
      <sheetData sheetId="4"/>
    </sheetDataSet>
  </externalBook>
</externalLink>
</file>

<file path=xl/queryTables/queryTable1.xml><?xml version="1.0" encoding="utf-8"?>
<queryTable xmlns="http://schemas.openxmlformats.org/spreadsheetml/2006/main" name="Denver Train Runs 04122016"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209"/>
  <sheetViews>
    <sheetView showGridLines="0" zoomScale="85" zoomScaleNormal="85" workbookViewId="0">
      <selection activeCell="R43" sqref="R43"/>
    </sheetView>
  </sheetViews>
  <sheetFormatPr defaultRowHeight="15" x14ac:dyDescent="0.25"/>
  <cols>
    <col min="1" max="1" width="10.5703125" style="85" customWidth="1"/>
    <col min="2" max="2" width="10.7109375" style="51" customWidth="1"/>
    <col min="3" max="3" width="13.5703125" style="51" hidden="1" customWidth="1"/>
    <col min="4" max="4" width="16.140625" style="51" hidden="1" customWidth="1"/>
    <col min="5" max="5" width="19.5703125" style="78" hidden="1" customWidth="1"/>
    <col min="6" max="6" width="20.140625" style="78" customWidth="1"/>
    <col min="7" max="7" width="18.42578125" style="79" hidden="1" customWidth="1"/>
    <col min="8" max="8" width="22.140625" style="78" hidden="1" customWidth="1"/>
    <col min="9" max="9" width="19.7109375" style="78" customWidth="1"/>
    <col min="10" max="10" width="7.7109375" style="51" bestFit="1" customWidth="1"/>
    <col min="11" max="12" width="13.28515625" style="51" customWidth="1"/>
    <col min="13" max="13" width="9.5703125" style="86" customWidth="1"/>
    <col min="14" max="14" width="8.85546875" style="87" customWidth="1"/>
    <col min="15" max="15" width="9.140625" style="2"/>
    <col min="16" max="16" width="6" style="2" customWidth="1"/>
    <col min="17" max="17" width="13.5703125" customWidth="1"/>
    <col min="18" max="18" width="34.85546875" customWidth="1"/>
    <col min="19" max="19" width="11.85546875" style="33" customWidth="1"/>
    <col min="20" max="20" width="12.42578125" bestFit="1" customWidth="1"/>
    <col min="21" max="21" width="4.28515625" style="33" customWidth="1"/>
    <col min="22" max="22" width="9.5703125" style="31" customWidth="1"/>
    <col min="23" max="23" width="10.140625" style="31" customWidth="1"/>
    <col min="24" max="24" width="14.140625" style="31" customWidth="1"/>
    <col min="25" max="27" width="9.140625" style="31"/>
    <col min="28" max="28" width="10.7109375" style="32" bestFit="1" customWidth="1"/>
    <col min="29" max="29" width="17.42578125" style="32" customWidth="1"/>
  </cols>
  <sheetData>
    <row r="1" spans="1:91" s="33" customFormat="1" ht="15.75" thickBot="1" x14ac:dyDescent="0.3">
      <c r="A1" s="85"/>
      <c r="B1" s="51"/>
      <c r="C1" s="51"/>
      <c r="D1" s="51"/>
      <c r="E1" s="78"/>
      <c r="F1" s="78"/>
      <c r="G1" s="79"/>
      <c r="H1" s="78"/>
      <c r="I1" s="78"/>
      <c r="J1" s="51"/>
      <c r="K1" s="51"/>
      <c r="L1" s="51"/>
      <c r="M1" s="86"/>
      <c r="N1" s="87"/>
      <c r="O1" s="2"/>
      <c r="P1" s="2"/>
      <c r="V1" s="31"/>
      <c r="W1" s="31"/>
      <c r="X1" s="31"/>
      <c r="Y1" s="31"/>
      <c r="Z1" s="31"/>
      <c r="AA1" s="31"/>
      <c r="AB1" s="32"/>
      <c r="AC1" s="32"/>
    </row>
    <row r="2" spans="1:91" s="33" customFormat="1" ht="15.75" thickBot="1" x14ac:dyDescent="0.3">
      <c r="A2" s="85"/>
      <c r="B2" s="51"/>
      <c r="C2" s="51"/>
      <c r="D2" s="51"/>
      <c r="E2" s="78"/>
      <c r="F2" s="78"/>
      <c r="G2" s="79"/>
      <c r="H2" s="78"/>
      <c r="I2" s="97">
        <f>Variables!A2</f>
        <v>42550</v>
      </c>
      <c r="J2" s="98"/>
      <c r="K2" s="88"/>
      <c r="L2" s="88"/>
      <c r="M2" s="99" t="s">
        <v>8</v>
      </c>
      <c r="N2" s="100"/>
      <c r="O2" s="101"/>
      <c r="P2" s="2"/>
      <c r="V2" s="31"/>
      <c r="W2" s="31"/>
      <c r="X2" s="31"/>
      <c r="Y2" s="31"/>
      <c r="Z2" s="31"/>
      <c r="AA2" s="31"/>
      <c r="AB2" s="32"/>
      <c r="AC2" s="32"/>
    </row>
    <row r="3" spans="1:91" s="33" customFormat="1" ht="15.75" thickBot="1" x14ac:dyDescent="0.3">
      <c r="A3" s="85"/>
      <c r="B3" s="51"/>
      <c r="C3" s="51"/>
      <c r="D3" s="51"/>
      <c r="E3" s="78"/>
      <c r="F3" s="78"/>
      <c r="G3" s="79"/>
      <c r="H3" s="78"/>
      <c r="I3" s="102" t="s">
        <v>10</v>
      </c>
      <c r="J3" s="103"/>
      <c r="K3" s="89"/>
      <c r="L3" s="89"/>
      <c r="M3" s="90" t="s">
        <v>11</v>
      </c>
      <c r="N3" s="91" t="s">
        <v>12</v>
      </c>
      <c r="O3" s="3" t="s">
        <v>13</v>
      </c>
      <c r="P3" s="2"/>
      <c r="V3" s="31"/>
      <c r="W3" s="31"/>
      <c r="X3" s="31"/>
      <c r="Y3" s="31"/>
      <c r="Z3" s="31"/>
      <c r="AA3" s="31"/>
      <c r="AB3" s="32"/>
      <c r="AC3" s="32"/>
    </row>
    <row r="4" spans="1:91" s="33" customFormat="1" ht="15.75" thickBot="1" x14ac:dyDescent="0.3">
      <c r="A4" s="85"/>
      <c r="B4" s="51"/>
      <c r="C4" s="51"/>
      <c r="D4" s="51"/>
      <c r="E4" s="78"/>
      <c r="F4" s="78"/>
      <c r="G4" s="79"/>
      <c r="H4" s="78"/>
      <c r="I4" s="80" t="s">
        <v>14</v>
      </c>
      <c r="J4" s="92">
        <f>COUNT($N$13:$P$1857)</f>
        <v>143</v>
      </c>
      <c r="K4" s="92"/>
      <c r="L4" s="92"/>
      <c r="M4" s="93" t="s">
        <v>15</v>
      </c>
      <c r="N4" s="91" t="s">
        <v>15</v>
      </c>
      <c r="O4" s="3" t="s">
        <v>15</v>
      </c>
      <c r="P4" s="2"/>
      <c r="V4" s="31"/>
      <c r="W4" s="31"/>
      <c r="X4" s="31"/>
      <c r="Y4" s="31"/>
      <c r="Z4" s="31"/>
      <c r="AA4" s="31"/>
      <c r="AB4" s="32"/>
      <c r="AC4" s="32"/>
    </row>
    <row r="5" spans="1:91" s="33" customFormat="1" ht="15.75" thickBot="1" x14ac:dyDescent="0.3">
      <c r="A5" s="85"/>
      <c r="B5" s="51"/>
      <c r="C5" s="51"/>
      <c r="D5" s="51"/>
      <c r="E5" s="78"/>
      <c r="F5" s="78"/>
      <c r="G5" s="79"/>
      <c r="H5" s="78"/>
      <c r="I5" s="80" t="s">
        <v>17</v>
      </c>
      <c r="J5" s="92">
        <f>COUNT($N$13:$N$1857)</f>
        <v>131</v>
      </c>
      <c r="K5" s="92"/>
      <c r="L5" s="92"/>
      <c r="M5" s="93">
        <f>AVERAGE($N$13:$N$857)</f>
        <v>69.240966920673358</v>
      </c>
      <c r="N5" s="91">
        <f>MIN($N$13:$N$857)</f>
        <v>36.149999995250255</v>
      </c>
      <c r="O5" s="3">
        <f>MAX($N$13:$N$857)</f>
        <v>999.93333332939073</v>
      </c>
      <c r="P5" s="2"/>
      <c r="V5" s="31"/>
      <c r="W5" s="31"/>
      <c r="X5" s="31"/>
      <c r="Y5" s="31"/>
      <c r="Z5" s="31"/>
      <c r="AA5" s="31"/>
      <c r="AB5" s="32"/>
      <c r="AC5" s="32"/>
    </row>
    <row r="6" spans="1:91" s="33" customFormat="1" ht="15.75" thickBot="1" x14ac:dyDescent="0.3">
      <c r="A6" s="85"/>
      <c r="B6" s="51"/>
      <c r="C6" s="51"/>
      <c r="D6" s="51"/>
      <c r="E6" s="78"/>
      <c r="F6" s="78"/>
      <c r="G6" s="79"/>
      <c r="H6" s="78"/>
      <c r="I6" s="81" t="s">
        <v>43</v>
      </c>
      <c r="J6" s="92">
        <f>COUNT($O$13:$O$857)</f>
        <v>0</v>
      </c>
      <c r="K6" s="92"/>
      <c r="L6" s="92"/>
      <c r="M6" s="93">
        <f>IFERROR(AVERAGE($O$13:$O$857),0)</f>
        <v>0</v>
      </c>
      <c r="N6" s="91">
        <f>MIN($O$13:$O$857)</f>
        <v>0</v>
      </c>
      <c r="O6" s="3">
        <f>MAX($O$13:$O$857)</f>
        <v>0</v>
      </c>
      <c r="P6" s="2"/>
      <c r="V6" s="31"/>
      <c r="W6" s="31"/>
      <c r="X6" s="31"/>
      <c r="Y6" s="31"/>
      <c r="Z6" s="31"/>
      <c r="AA6" s="31"/>
      <c r="AB6" s="32"/>
      <c r="AC6" s="32"/>
    </row>
    <row r="7" spans="1:91" s="33" customFormat="1" ht="15.75" thickBot="1" x14ac:dyDescent="0.3">
      <c r="A7" s="85"/>
      <c r="B7" s="51"/>
      <c r="C7" s="51"/>
      <c r="D7" s="51"/>
      <c r="E7" s="78"/>
      <c r="F7" s="78"/>
      <c r="G7" s="79"/>
      <c r="H7" s="78"/>
      <c r="I7" s="82" t="s">
        <v>9</v>
      </c>
      <c r="J7" s="92">
        <f>COUNT($P$13:$P$857)</f>
        <v>12</v>
      </c>
      <c r="K7" s="92"/>
      <c r="L7" s="92"/>
      <c r="M7" s="93" t="s">
        <v>15</v>
      </c>
      <c r="N7" s="91" t="s">
        <v>15</v>
      </c>
      <c r="O7" s="3" t="s">
        <v>15</v>
      </c>
      <c r="P7" s="2"/>
      <c r="V7" s="31"/>
      <c r="W7" s="31"/>
      <c r="X7" s="31"/>
      <c r="Y7" s="31"/>
      <c r="Z7" s="31"/>
      <c r="AA7" s="31"/>
      <c r="AB7" s="32"/>
      <c r="AC7" s="32"/>
    </row>
    <row r="8" spans="1:91" s="33" customFormat="1" ht="30.75" thickBot="1" x14ac:dyDescent="0.3">
      <c r="A8" s="85"/>
      <c r="B8" s="51"/>
      <c r="C8" s="51"/>
      <c r="D8" s="51"/>
      <c r="E8" s="78"/>
      <c r="F8" s="78"/>
      <c r="G8" s="79"/>
      <c r="H8" s="78"/>
      <c r="I8" s="80" t="s">
        <v>16</v>
      </c>
      <c r="J8" s="92">
        <f>COUNT($N$13:$O$857)</f>
        <v>131</v>
      </c>
      <c r="K8" s="92"/>
      <c r="L8" s="92"/>
      <c r="M8" s="93">
        <f>AVERAGE($N$13:$P$857)</f>
        <v>65.802214451791997</v>
      </c>
      <c r="N8" s="91">
        <f>MIN($N$13:$O$857)</f>
        <v>36.149999995250255</v>
      </c>
      <c r="O8" s="3">
        <f>MAX($N$13:$O$857)</f>
        <v>999.93333332939073</v>
      </c>
      <c r="P8" s="2"/>
      <c r="V8" s="31"/>
      <c r="W8" s="31"/>
      <c r="X8" s="31"/>
      <c r="Y8" s="31"/>
      <c r="Z8" s="31"/>
      <c r="AA8" s="31"/>
      <c r="AB8" s="32"/>
      <c r="AC8" s="32"/>
    </row>
    <row r="9" spans="1:91" s="33" customFormat="1" ht="30.75" thickBot="1" x14ac:dyDescent="0.3">
      <c r="A9" s="85"/>
      <c r="B9" s="51"/>
      <c r="C9" s="51"/>
      <c r="D9" s="51"/>
      <c r="E9" s="78"/>
      <c r="F9" s="78"/>
      <c r="G9" s="79"/>
      <c r="H9" s="78"/>
      <c r="I9" s="80" t="s">
        <v>19</v>
      </c>
      <c r="J9" s="94">
        <f>J8/J4</f>
        <v>0.91608391608391604</v>
      </c>
      <c r="K9" s="94"/>
      <c r="L9" s="94"/>
      <c r="M9" s="86"/>
      <c r="N9" s="87"/>
      <c r="O9" s="2"/>
      <c r="P9" s="2"/>
      <c r="V9" s="31"/>
      <c r="W9" s="31"/>
      <c r="X9" s="31"/>
      <c r="Y9" s="31"/>
      <c r="Z9" s="31"/>
      <c r="AA9" s="31"/>
      <c r="AB9" s="32"/>
      <c r="AC9" s="32"/>
    </row>
    <row r="10" spans="1:91" s="33" customFormat="1" x14ac:dyDescent="0.25">
      <c r="A10" s="85"/>
      <c r="B10" s="51"/>
      <c r="C10" s="51"/>
      <c r="D10" s="51"/>
      <c r="E10" s="78"/>
      <c r="F10" s="78"/>
      <c r="G10" s="79"/>
      <c r="H10" s="78"/>
      <c r="I10" s="78"/>
      <c r="J10" s="51"/>
      <c r="K10" s="51"/>
      <c r="L10" s="51"/>
      <c r="M10" s="86"/>
      <c r="N10" s="87"/>
      <c r="O10" s="2"/>
      <c r="P10" s="2"/>
      <c r="V10" s="31"/>
      <c r="W10" s="31"/>
      <c r="X10" s="31"/>
      <c r="Y10" s="31"/>
      <c r="Z10" s="31"/>
      <c r="AA10" s="31"/>
      <c r="AB10" s="32"/>
      <c r="AC10" s="32"/>
    </row>
    <row r="11" spans="1:91" ht="57.75" customHeight="1" thickBot="1" x14ac:dyDescent="0.3">
      <c r="A11" s="96" t="str">
        <f>"Eagle P3 System Performance - "&amp;TEXT(Variables!A2,"yyyy-mm-dd")</f>
        <v>Eagle P3 System Performance - 2016-06-29</v>
      </c>
      <c r="B11" s="96"/>
      <c r="C11" s="96"/>
      <c r="D11" s="96"/>
      <c r="E11" s="96"/>
      <c r="F11" s="96"/>
      <c r="G11" s="96"/>
      <c r="H11" s="96"/>
      <c r="I11" s="96"/>
      <c r="J11" s="96"/>
      <c r="K11" s="96"/>
      <c r="L11" s="96"/>
      <c r="M11" s="96"/>
      <c r="N11" s="96"/>
      <c r="O11" s="96"/>
      <c r="P11" s="96"/>
    </row>
    <row r="12" spans="1:91" s="5" customFormat="1" ht="69" customHeight="1" thickBot="1" x14ac:dyDescent="0.3">
      <c r="A12" s="24" t="s">
        <v>0</v>
      </c>
      <c r="B12" s="25" t="s">
        <v>44</v>
      </c>
      <c r="C12" s="25" t="s">
        <v>26</v>
      </c>
      <c r="D12" s="25" t="s">
        <v>1</v>
      </c>
      <c r="E12" s="26" t="s">
        <v>2</v>
      </c>
      <c r="F12" s="26" t="s">
        <v>3</v>
      </c>
      <c r="G12" s="27" t="s">
        <v>4</v>
      </c>
      <c r="H12" s="26" t="s">
        <v>5</v>
      </c>
      <c r="I12" s="26" t="s">
        <v>6</v>
      </c>
      <c r="J12" s="25" t="s">
        <v>7</v>
      </c>
      <c r="K12" s="25" t="s">
        <v>66</v>
      </c>
      <c r="L12" s="25" t="s">
        <v>48</v>
      </c>
      <c r="M12" s="28" t="s">
        <v>8</v>
      </c>
      <c r="N12" s="25" t="s">
        <v>41</v>
      </c>
      <c r="O12" s="29" t="s">
        <v>42</v>
      </c>
      <c r="P12" s="29" t="s">
        <v>18</v>
      </c>
      <c r="Q12" s="30" t="s">
        <v>47</v>
      </c>
      <c r="R12" s="30" t="s">
        <v>24</v>
      </c>
      <c r="S12" s="30" t="s">
        <v>107</v>
      </c>
      <c r="T12" s="4" t="s">
        <v>108</v>
      </c>
      <c r="U12" s="4" t="s">
        <v>109</v>
      </c>
      <c r="V12" s="36" t="s">
        <v>45</v>
      </c>
      <c r="W12" s="36" t="s">
        <v>23</v>
      </c>
      <c r="X12" s="36" t="s">
        <v>49</v>
      </c>
      <c r="Y12" s="36" t="s">
        <v>20</v>
      </c>
      <c r="Z12" s="36" t="s">
        <v>21</v>
      </c>
      <c r="AA12" s="36" t="s">
        <v>22</v>
      </c>
      <c r="AB12" s="37" t="s">
        <v>39</v>
      </c>
      <c r="AC12" s="37" t="s">
        <v>40</v>
      </c>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row>
    <row r="13" spans="1:91" s="1" customFormat="1" x14ac:dyDescent="0.25">
      <c r="A13" s="67" t="s">
        <v>225</v>
      </c>
      <c r="B13" s="34">
        <v>4011</v>
      </c>
      <c r="C13" s="34" t="s">
        <v>60</v>
      </c>
      <c r="D13" s="34" t="s">
        <v>226</v>
      </c>
      <c r="E13" s="20">
        <v>42550.138993055552</v>
      </c>
      <c r="F13" s="20">
        <v>42550.139606481483</v>
      </c>
      <c r="G13" s="23">
        <v>0</v>
      </c>
      <c r="H13" s="20" t="s">
        <v>99</v>
      </c>
      <c r="I13" s="20">
        <v>42550.165879629632</v>
      </c>
      <c r="J13" s="34">
        <v>0</v>
      </c>
      <c r="K13" s="34" t="str">
        <f>IF(ISEVEN(B13),(B13-1)&amp;"/"&amp;B13,B13&amp;"/"&amp;(B13+1))</f>
        <v>4011/4012</v>
      </c>
      <c r="L13" s="34" t="str">
        <f>VLOOKUP(A13,'Trips&amp;Operators'!$C$1:$E$10000,3,FALSE)</f>
        <v>YORK</v>
      </c>
      <c r="M13" s="6">
        <f t="shared" ref="M13:M44" si="0">I13-F13</f>
        <v>2.6273148148902692E-2</v>
      </c>
      <c r="N13" s="7">
        <f t="shared" ref="N13:P76" si="1">24*60*SUM($M13:$M13)</f>
        <v>37.833333334419876</v>
      </c>
      <c r="O13" s="7"/>
      <c r="P13" s="7"/>
      <c r="Q13" s="35"/>
      <c r="R13" s="35"/>
      <c r="S13" s="59">
        <f>SUM(U13:U13)/12</f>
        <v>1</v>
      </c>
      <c r="T13" s="1" t="str">
        <f t="shared" ref="T13:T14" si="2">IF(ISEVEN(LEFT(A13,3)),"Southbound","NorthBound")</f>
        <v>NorthBound</v>
      </c>
      <c r="U13" s="1">
        <f>COUNTIFS(Variables!$M$2:$M$19,IF(T13="NorthBound","&gt;=","&lt;=")&amp;Y13,Variables!$M$2:$M$19,IF(T13="NorthBound","&lt;=","&gt;=")&amp;Z13)</f>
        <v>12</v>
      </c>
      <c r="V13" s="38" t="str">
        <f t="shared" ref="V13:V14" si="3">"https://search-rtdc-monitor-bjffxe2xuh6vdkpspy63sjmuny.us-east-1.es.amazonaws.com/_plugin/kibana/#/discover/Steve-Slow-Train-Analysis-(2080s-and-2083s)?_g=(refreshInterval:(display:Off,section:0,value:0),time:(from:'"&amp;TEXT(E13-1/24/60,"yyyy-MM-DD hh:mm:ss")&amp;"-0600',mode:absolute,to:'"&amp;TEXT(I13+1/24/60,"yyyy-MM-DD hh:mm:ss")&amp;"-0600'))&amp;_a=(columns:!(Source,'Data.Head%20End%20Milepost',Data.Speed,'Data.Locomotive%20State','Data.Train%20ID','Data.Warning%2FEnforcement%20Type','Data.Target%20Start%20Milepost','Data.Target%20Description','Data.Target%20Speed',"&amp;"'Data.Enforcement%20Train%20Speed','Data.Enforcement%20Start%20Milepost','Data.Target%20Type','Data.Enforcement%20Direction%20of%20Travel','Message%20ID','Data.Body%20of%20Summary%20Text'),filters:!(),index:'emp_*',interval:auto,query:"&amp;"(query_string:(analyze_wildcard:!t,query:'Message%5C%20ID:(2083%20OR%202080%20OR%201041)%20AND%20%22rtdc.l.rtdc."&amp;B13&amp;"%22')),sort:!(Time,asc))"</f>
        <v>https://search-rtdc-monitor-bjffxe2xuh6vdkpspy63sjmuny.us-east-1.es.amazonaws.com/_plugin/kibana/#/discover/Steve-Slow-Train-Analysis-(2080s-and-2083s)?_g=(refreshInterval:(display:Off,section:0,value:0),time:(from:'2016-06-29 03:19:09-0600',mode:absolute,to:'2016-06-29 03:59:52-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13" s="38" t="str">
        <f t="shared" ref="W13:W14" si="4">IF(AA13&lt;23,"Y","N")</f>
        <v>N</v>
      </c>
      <c r="X13" s="38" t="e">
        <f t="shared" ref="X13:X14" si="5">VALUE(LEFT(A13,3))-VALUE(LEFT(A12,3))</f>
        <v>#VALUE!</v>
      </c>
      <c r="Y13" s="38">
        <f t="shared" ref="Y13:Y14" si="6">RIGHT(D13,LEN(D13)-4)/10000</f>
        <v>7.7700000000000005E-2</v>
      </c>
      <c r="Z13" s="38">
        <f>RIGHT(H13,LEN(H13)-4)/10000</f>
        <v>23.3291</v>
      </c>
      <c r="AA13" s="38">
        <f t="shared" ref="AA13:AA14" si="7">ABS(Z13-Y13)</f>
        <v>23.2514</v>
      </c>
      <c r="AB13" s="39" t="e">
        <f>VLOOKUP(A13,Enforcements!$C$7:$J$32,8,0)</f>
        <v>#N/A</v>
      </c>
      <c r="AC13" s="39" t="e">
        <f>VLOOKUP(A13,Enforcements!$C$7:$E$32,3,0)</f>
        <v>#N/A</v>
      </c>
    </row>
    <row r="14" spans="1:91" s="1" customFormat="1" x14ac:dyDescent="0.25">
      <c r="A14" s="67" t="s">
        <v>227</v>
      </c>
      <c r="B14" s="34">
        <v>4015</v>
      </c>
      <c r="C14" s="34" t="s">
        <v>60</v>
      </c>
      <c r="D14" s="34" t="s">
        <v>228</v>
      </c>
      <c r="E14" s="20">
        <v>42550.167743055557</v>
      </c>
      <c r="F14" s="20">
        <v>42550.168553240743</v>
      </c>
      <c r="G14" s="23">
        <v>1</v>
      </c>
      <c r="H14" s="20" t="s">
        <v>229</v>
      </c>
      <c r="I14" s="20">
        <v>42550.199895833335</v>
      </c>
      <c r="J14" s="34">
        <v>0</v>
      </c>
      <c r="K14" s="34" t="str">
        <f t="shared" ref="K14:K75" si="8">IF(ISEVEN(B14),(B14-1)&amp;"/"&amp;B14,B14&amp;"/"&amp;(B14+1))</f>
        <v>4015/4016</v>
      </c>
      <c r="L14" s="34" t="str">
        <f>VLOOKUP(A14,'Trips&amp;Operators'!$C$1:$E$10000,3,FALSE)</f>
        <v>YORK</v>
      </c>
      <c r="M14" s="6">
        <f t="shared" si="0"/>
        <v>3.1342592592409346E-2</v>
      </c>
      <c r="N14" s="7">
        <f t="shared" si="1"/>
        <v>45.133333333069459</v>
      </c>
      <c r="O14" s="7"/>
      <c r="P14" s="7"/>
      <c r="Q14" s="35"/>
      <c r="R14" s="35"/>
      <c r="S14" s="59">
        <f t="shared" ref="S14" si="9">SUM(U14:U14)/12</f>
        <v>1</v>
      </c>
      <c r="T14" s="1" t="str">
        <f t="shared" si="2"/>
        <v>Southbound</v>
      </c>
      <c r="U14" s="1">
        <f>COUNTIFS(Variables!$M$2:$M$19,IF(T14="NorthBound","&gt;=","&lt;=")&amp;Y14,Variables!$M$2:$M$19,IF(T14="NorthBound","&lt;=","&gt;=")&amp;Z14)</f>
        <v>12</v>
      </c>
      <c r="V14" s="38" t="str">
        <f t="shared" si="3"/>
        <v>https://search-rtdc-monitor-bjffxe2xuh6vdkpspy63sjmuny.us-east-1.es.amazonaws.com/_plugin/kibana/#/discover/Steve-Slow-Train-Analysis-(2080s-and-2083s)?_g=(refreshInterval:(display:Off,section:0,value:0),time:(from:'2016-06-29 04:00:33-0600',mode:absolute,to:'2016-06-29 04:48:51-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14" s="38" t="str">
        <f t="shared" si="4"/>
        <v>N</v>
      </c>
      <c r="X14" s="38">
        <f t="shared" si="5"/>
        <v>1</v>
      </c>
      <c r="Y14" s="38">
        <f t="shared" si="6"/>
        <v>23.265000000000001</v>
      </c>
      <c r="Z14" s="38">
        <f t="shared" ref="Z14" si="10">RIGHT(H14,LEN(H14)-4)/10000</f>
        <v>1.32E-2</v>
      </c>
      <c r="AA14" s="38">
        <f t="shared" si="7"/>
        <v>23.251799999999999</v>
      </c>
      <c r="AB14" s="39" t="e">
        <f>VLOOKUP(A14,Enforcements!$C$7:$J$32,8,0)</f>
        <v>#N/A</v>
      </c>
      <c r="AC14" s="39" t="e">
        <f>VLOOKUP(A14,Enforcements!$C$7:$E$32,3,0)</f>
        <v>#N/A</v>
      </c>
    </row>
    <row r="15" spans="1:91" s="1" customFormat="1" x14ac:dyDescent="0.25">
      <c r="A15" s="67" t="s">
        <v>230</v>
      </c>
      <c r="B15" s="34">
        <v>4024</v>
      </c>
      <c r="C15" s="34" t="s">
        <v>60</v>
      </c>
      <c r="D15" s="34" t="s">
        <v>231</v>
      </c>
      <c r="E15" s="20">
        <v>42550.158935185187</v>
      </c>
      <c r="F15" s="20">
        <v>42550.159826388888</v>
      </c>
      <c r="G15" s="23">
        <v>1</v>
      </c>
      <c r="H15" s="20" t="s">
        <v>99</v>
      </c>
      <c r="I15" s="20">
        <v>42550.188819444447</v>
      </c>
      <c r="J15" s="34">
        <v>1</v>
      </c>
      <c r="K15" s="34" t="str">
        <f t="shared" si="8"/>
        <v>4023/4024</v>
      </c>
      <c r="L15" s="34" t="str">
        <f>VLOOKUP(A15,'Trips&amp;Operators'!$C$1:$E$10000,3,FALSE)</f>
        <v>STARKS</v>
      </c>
      <c r="M15" s="6">
        <f t="shared" si="0"/>
        <v>2.899305555911269E-2</v>
      </c>
      <c r="N15" s="7">
        <f t="shared" si="1"/>
        <v>41.750000005122274</v>
      </c>
      <c r="O15" s="7"/>
      <c r="P15" s="7"/>
      <c r="Q15" s="35"/>
      <c r="R15" s="35"/>
      <c r="S15" s="59">
        <f t="shared" ref="S15:S77" si="11">SUM(U15:U15)/12</f>
        <v>1</v>
      </c>
      <c r="T15" s="1" t="str">
        <f t="shared" ref="T15:T77" si="12">IF(ISEVEN(LEFT(A15,3)),"Southbound","NorthBound")</f>
        <v>NorthBound</v>
      </c>
      <c r="U15" s="1">
        <f>COUNTIFS(Variables!$M$2:$M$19,IF(T15="NorthBound","&gt;=","&lt;=")&amp;Y15,Variables!$M$2:$M$19,IF(T15="NorthBound","&lt;=","&gt;=")&amp;Z15)</f>
        <v>12</v>
      </c>
      <c r="V15" s="38" t="str">
        <f t="shared" ref="V15:V77" si="13">"https://search-rtdc-monitor-bjffxe2xuh6vdkpspy63sjmuny.us-east-1.es.amazonaws.com/_plugin/kibana/#/discover/Steve-Slow-Train-Analysis-(2080s-and-2083s)?_g=(refreshInterval:(display:Off,section:0,value:0),time:(from:'"&amp;TEXT(E15-1/24/60,"yyyy-MM-DD hh:mm:ss")&amp;"-0600',mode:absolute,to:'"&amp;TEXT(I15+1/24/60,"yyyy-MM-DD hh:mm:ss")&amp;"-0600'))&amp;_a=(columns:!(Source,'Data.Head%20End%20Milepost',Data.Speed,'Data.Locomotive%20State','Data.Train%20ID','Data.Warning%2FEnforcement%20Type','Data.Target%20Start%20Milepost','Data.Target%20Description','Data.Target%20Speed',"&amp;"'Data.Enforcement%20Train%20Speed','Data.Enforcement%20Start%20Milepost','Data.Target%20Type','Data.Enforcement%20Direction%20of%20Travel','Message%20ID','Data.Body%20of%20Summary%20Text'),filters:!(),index:'emp_*',interval:auto,query:"&amp;"(query_string:(analyze_wildcard:!t,query:'Message%5C%20ID:(2083%20OR%202080%20OR%201041)%20AND%20%22rtdc.l.rtdc."&amp;B15&amp;"%22')),sort:!(Time,asc))"</f>
        <v>https://search-rtdc-monitor-bjffxe2xuh6vdkpspy63sjmuny.us-east-1.es.amazonaws.com/_plugin/kibana/#/discover/Steve-Slow-Train-Analysis-(2080s-and-2083s)?_g=(refreshInterval:(display:Off,section:0,value:0),time:(from:'2016-06-29 03:47:52-0600',mode:absolute,to:'2016-06-29 04:32:54-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15" s="38" t="str">
        <f t="shared" ref="W15:W77" si="14">IF(AA15&lt;23,"Y","N")</f>
        <v>N</v>
      </c>
      <c r="X15" s="38">
        <f t="shared" ref="X15:X78" si="15">VALUE(LEFT(A15,3))-VALUE(LEFT(A14,3))</f>
        <v>1</v>
      </c>
      <c r="Y15" s="38">
        <f t="shared" ref="Y15:Y77" si="16">RIGHT(D15,LEN(D15)-4)/10000</f>
        <v>7.3700000000000002E-2</v>
      </c>
      <c r="Z15" s="38">
        <f t="shared" ref="Z15:Z77" si="17">RIGHT(H15,LEN(H15)-4)/10000</f>
        <v>23.3291</v>
      </c>
      <c r="AA15" s="38">
        <f t="shared" ref="AA15:AA77" si="18">ABS(Z15-Y15)</f>
        <v>23.255400000000002</v>
      </c>
      <c r="AB15" s="39">
        <f>VLOOKUP(A15,Enforcements!$C$7:$J$32,8,0)</f>
        <v>183829</v>
      </c>
      <c r="AC15" s="39" t="str">
        <f>VLOOKUP(A15,Enforcements!$C$7:$E$32,3,0)</f>
        <v>PERMANENT SPEED RESTRICTION</v>
      </c>
    </row>
    <row r="16" spans="1:91" s="1" customFormat="1" x14ac:dyDescent="0.25">
      <c r="A16" s="67" t="s">
        <v>232</v>
      </c>
      <c r="B16" s="34">
        <v>4032</v>
      </c>
      <c r="C16" s="34" t="s">
        <v>60</v>
      </c>
      <c r="D16" s="34" t="s">
        <v>233</v>
      </c>
      <c r="E16" s="20">
        <v>42550.194224537037</v>
      </c>
      <c r="F16" s="20">
        <v>42550.195196759261</v>
      </c>
      <c r="G16" s="23">
        <v>1</v>
      </c>
      <c r="H16" s="20" t="s">
        <v>89</v>
      </c>
      <c r="I16" s="20">
        <v>42550.223634259259</v>
      </c>
      <c r="J16" s="34">
        <v>1</v>
      </c>
      <c r="K16" s="34" t="str">
        <f t="shared" si="8"/>
        <v>4031/4032</v>
      </c>
      <c r="L16" s="34" t="str">
        <f>VLOOKUP(A16,'Trips&amp;Operators'!$C$1:$E$10000,3,FALSE)</f>
        <v>STARKS</v>
      </c>
      <c r="M16" s="6">
        <f t="shared" si="0"/>
        <v>2.8437499997380655E-2</v>
      </c>
      <c r="N16" s="7">
        <f t="shared" si="1"/>
        <v>40.949999996228144</v>
      </c>
      <c r="O16" s="7"/>
      <c r="P16" s="7"/>
      <c r="Q16" s="35"/>
      <c r="R16" s="35"/>
      <c r="S16" s="59">
        <f t="shared" si="11"/>
        <v>1</v>
      </c>
      <c r="T16" s="1" t="str">
        <f t="shared" si="12"/>
        <v>Southbound</v>
      </c>
      <c r="U16" s="1">
        <f>COUNTIFS(Variables!$M$2:$M$19,IF(T16="NorthBound","&gt;=","&lt;=")&amp;Y16,Variables!$M$2:$M$19,IF(T16="NorthBound","&lt;=","&gt;=")&amp;Z16)</f>
        <v>12</v>
      </c>
      <c r="V16" s="38" t="str">
        <f t="shared" si="13"/>
        <v>https://search-rtdc-monitor-bjffxe2xuh6vdkpspy63sjmuny.us-east-1.es.amazonaws.com/_plugin/kibana/#/discover/Steve-Slow-Train-Analysis-(2080s-and-2083s)?_g=(refreshInterval:(display:Off,section:0,value:0),time:(from:'2016-06-29 04:38:41-0600',mode:absolute,to:'2016-06-29 05:23:02-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16" s="38" t="str">
        <f t="shared" si="14"/>
        <v>N</v>
      </c>
      <c r="X16" s="38">
        <f t="shared" si="15"/>
        <v>1</v>
      </c>
      <c r="Y16" s="38">
        <f t="shared" si="16"/>
        <v>23.264399999999998</v>
      </c>
      <c r="Z16" s="38">
        <f t="shared" si="17"/>
        <v>1.61E-2</v>
      </c>
      <c r="AA16" s="38">
        <f t="shared" si="18"/>
        <v>23.248299999999997</v>
      </c>
      <c r="AB16" s="39">
        <f>VLOOKUP(A16,Enforcements!$C$7:$J$32,8,0)</f>
        <v>63309</v>
      </c>
      <c r="AC16" s="39" t="str">
        <f>VLOOKUP(A16,Enforcements!$C$7:$E$32,3,0)</f>
        <v>GRADE CROSSING</v>
      </c>
    </row>
    <row r="17" spans="1:29" s="1" customFormat="1" x14ac:dyDescent="0.25">
      <c r="A17" s="67" t="s">
        <v>234</v>
      </c>
      <c r="B17" s="34">
        <v>4042</v>
      </c>
      <c r="C17" s="34" t="s">
        <v>60</v>
      </c>
      <c r="D17" s="34" t="s">
        <v>235</v>
      </c>
      <c r="E17" s="20">
        <v>42550.177789351852</v>
      </c>
      <c r="F17" s="20">
        <v>42550.179537037038</v>
      </c>
      <c r="G17" s="23">
        <v>2</v>
      </c>
      <c r="H17" s="20" t="s">
        <v>236</v>
      </c>
      <c r="I17" s="20">
        <v>42550.209502314814</v>
      </c>
      <c r="J17" s="34">
        <v>0</v>
      </c>
      <c r="K17" s="34" t="str">
        <f t="shared" si="8"/>
        <v>4041/4042</v>
      </c>
      <c r="L17" s="34" t="str">
        <f>VLOOKUP(A17,'Trips&amp;Operators'!$C$1:$E$10000,3,FALSE)</f>
        <v>MAELZER</v>
      </c>
      <c r="M17" s="6">
        <f t="shared" si="0"/>
        <v>2.9965277775772847E-2</v>
      </c>
      <c r="N17" s="7">
        <f t="shared" si="1"/>
        <v>43.1499999971129</v>
      </c>
      <c r="O17" s="7"/>
      <c r="P17" s="7"/>
      <c r="Q17" s="35"/>
      <c r="R17" s="35"/>
      <c r="S17" s="59">
        <f t="shared" si="11"/>
        <v>1</v>
      </c>
      <c r="T17" s="1" t="str">
        <f t="shared" si="12"/>
        <v>NorthBound</v>
      </c>
      <c r="U17" s="1">
        <f>COUNTIFS(Variables!$M$2:$M$19,IF(T17="NorthBound","&gt;=","&lt;=")&amp;Y17,Variables!$M$2:$M$19,IF(T17="NorthBound","&lt;=","&gt;=")&amp;Z17)</f>
        <v>12</v>
      </c>
      <c r="V17" s="38" t="str">
        <f t="shared" si="13"/>
        <v>https://search-rtdc-monitor-bjffxe2xuh6vdkpspy63sjmuny.us-east-1.es.amazonaws.com/_plugin/kibana/#/discover/Steve-Slow-Train-Analysis-(2080s-and-2083s)?_g=(refreshInterval:(display:Off,section:0,value:0),time:(from:'2016-06-29 04:15:01-0600',mode:absolute,to:'2016-06-29 05:02:41-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7" s="38" t="str">
        <f t="shared" si="14"/>
        <v>N</v>
      </c>
      <c r="X17" s="38">
        <f t="shared" si="15"/>
        <v>1</v>
      </c>
      <c r="Y17" s="38">
        <f t="shared" si="16"/>
        <v>7.2999999999999995E-2</v>
      </c>
      <c r="Z17" s="38">
        <f t="shared" si="17"/>
        <v>23.3309</v>
      </c>
      <c r="AA17" s="38">
        <f t="shared" si="18"/>
        <v>23.257899999999999</v>
      </c>
      <c r="AB17" s="39" t="e">
        <f>VLOOKUP(A17,Enforcements!$C$7:$J$32,8,0)</f>
        <v>#N/A</v>
      </c>
      <c r="AC17" s="39" t="e">
        <f>VLOOKUP(A17,Enforcements!$C$7:$E$32,3,0)</f>
        <v>#N/A</v>
      </c>
    </row>
    <row r="18" spans="1:29" s="1" customFormat="1" x14ac:dyDescent="0.25">
      <c r="A18" s="67" t="s">
        <v>237</v>
      </c>
      <c r="B18" s="34">
        <v>4013</v>
      </c>
      <c r="C18" s="34" t="s">
        <v>60</v>
      </c>
      <c r="D18" s="34" t="s">
        <v>238</v>
      </c>
      <c r="E18" s="20">
        <v>42550.211527777778</v>
      </c>
      <c r="F18" s="20">
        <v>42550.213368055556</v>
      </c>
      <c r="G18" s="23">
        <v>2</v>
      </c>
      <c r="H18" s="20" t="s">
        <v>67</v>
      </c>
      <c r="I18" s="20">
        <v>42550.243483796294</v>
      </c>
      <c r="J18" s="34">
        <v>1</v>
      </c>
      <c r="K18" s="34" t="str">
        <f t="shared" si="8"/>
        <v>4013/4014</v>
      </c>
      <c r="L18" s="34" t="str">
        <f>VLOOKUP(A18,'Trips&amp;Operators'!$C$1:$E$10000,3,FALSE)</f>
        <v>MAELZER</v>
      </c>
      <c r="M18" s="6">
        <f t="shared" si="0"/>
        <v>3.011574073752854E-2</v>
      </c>
      <c r="N18" s="7">
        <f t="shared" si="1"/>
        <v>43.366666662041098</v>
      </c>
      <c r="O18" s="7"/>
      <c r="P18" s="7"/>
      <c r="Q18" s="35"/>
      <c r="R18" s="35"/>
      <c r="S18" s="59">
        <f t="shared" si="11"/>
        <v>1</v>
      </c>
      <c r="T18" s="1" t="str">
        <f t="shared" si="12"/>
        <v>Southbound</v>
      </c>
      <c r="U18" s="1">
        <f>COUNTIFS(Variables!$M$2:$M$19,IF(T18="NorthBound","&gt;=","&lt;=")&amp;Y18,Variables!$M$2:$M$19,IF(T18="NorthBound","&lt;=","&gt;=")&amp;Z18)</f>
        <v>12</v>
      </c>
      <c r="V18" s="38" t="str">
        <f t="shared" si="13"/>
        <v>https://search-rtdc-monitor-bjffxe2xuh6vdkpspy63sjmuny.us-east-1.es.amazonaws.com/_plugin/kibana/#/discover/Steve-Slow-Train-Analysis-(2080s-and-2083s)?_g=(refreshInterval:(display:Off,section:0,value:0),time:(from:'2016-06-29 05:03:36-0600',mode:absolute,to:'2016-06-29 05:51: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4013%22')),sort:!(Time,asc))</v>
      </c>
      <c r="W18" s="38" t="str">
        <f t="shared" si="14"/>
        <v>N</v>
      </c>
      <c r="X18" s="38">
        <f t="shared" si="15"/>
        <v>1</v>
      </c>
      <c r="Y18" s="38">
        <f t="shared" si="16"/>
        <v>23.266400000000001</v>
      </c>
      <c r="Z18" s="38">
        <f t="shared" si="17"/>
        <v>1.47E-2</v>
      </c>
      <c r="AA18" s="38">
        <f t="shared" si="18"/>
        <v>23.2517</v>
      </c>
      <c r="AB18" s="39" t="e">
        <f>VLOOKUP(A18,Enforcements!$C$7:$J$32,8,0)</f>
        <v>#N/A</v>
      </c>
      <c r="AC18" s="39" t="e">
        <f>VLOOKUP(A18,Enforcements!$C$7:$E$32,3,0)</f>
        <v>#N/A</v>
      </c>
    </row>
    <row r="19" spans="1:29" s="1" customFormat="1" x14ac:dyDescent="0.25">
      <c r="A19" s="67" t="s">
        <v>239</v>
      </c>
      <c r="B19" s="34">
        <v>4040</v>
      </c>
      <c r="C19" s="34" t="s">
        <v>60</v>
      </c>
      <c r="D19" s="34" t="s">
        <v>100</v>
      </c>
      <c r="E19" s="20">
        <v>42550.181516203702</v>
      </c>
      <c r="F19" s="20">
        <v>42550.182847222219</v>
      </c>
      <c r="G19" s="23">
        <v>1</v>
      </c>
      <c r="H19" s="20" t="s">
        <v>144</v>
      </c>
      <c r="I19" s="20">
        <v>42550.215601851851</v>
      </c>
      <c r="J19" s="34">
        <v>1</v>
      </c>
      <c r="K19" s="34" t="str">
        <f t="shared" si="8"/>
        <v>4039/4040</v>
      </c>
      <c r="L19" s="34" t="str">
        <f>VLOOKUP(A19,'Trips&amp;Operators'!$C$1:$E$10000,3,FALSE)</f>
        <v>KILLION</v>
      </c>
      <c r="M19" s="6">
        <f t="shared" si="0"/>
        <v>3.2754629632108845E-2</v>
      </c>
      <c r="N19" s="7">
        <f t="shared" si="1"/>
        <v>47.166666670236737</v>
      </c>
      <c r="O19" s="7"/>
      <c r="P19" s="7"/>
      <c r="Q19" s="35"/>
      <c r="R19" s="35"/>
      <c r="S19" s="59">
        <f t="shared" si="11"/>
        <v>1</v>
      </c>
      <c r="T19" s="1" t="str">
        <f t="shared" si="12"/>
        <v>NorthBound</v>
      </c>
      <c r="U19" s="1">
        <f>COUNTIFS(Variables!$M$2:$M$19,IF(T19="NorthBound","&gt;=","&lt;=")&amp;Y19,Variables!$M$2:$M$19,IF(T19="NorthBound","&lt;=","&gt;=")&amp;Z19)</f>
        <v>12</v>
      </c>
      <c r="V19" s="38" t="str">
        <f t="shared" si="13"/>
        <v>https://search-rtdc-monitor-bjffxe2xuh6vdkpspy63sjmuny.us-east-1.es.amazonaws.com/_plugin/kibana/#/discover/Steve-Slow-Train-Analysis-(2080s-and-2083s)?_g=(refreshInterval:(display:Off,section:0,value:0),time:(from:'2016-06-29 04:20:23-0600',mode:absolute,to:'2016-06-29 05:11:28-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9" s="38" t="str">
        <f t="shared" si="14"/>
        <v>N</v>
      </c>
      <c r="X19" s="38">
        <f t="shared" si="15"/>
        <v>1</v>
      </c>
      <c r="Y19" s="38">
        <f t="shared" si="16"/>
        <v>4.5499999999999999E-2</v>
      </c>
      <c r="Z19" s="38">
        <f t="shared" si="17"/>
        <v>23.3293</v>
      </c>
      <c r="AA19" s="38">
        <f t="shared" si="18"/>
        <v>23.283799999999999</v>
      </c>
      <c r="AB19" s="39">
        <f>VLOOKUP(A19,Enforcements!$C$7:$J$32,8,0)</f>
        <v>27333</v>
      </c>
      <c r="AC19" s="39" t="str">
        <f>VLOOKUP(A19,Enforcements!$C$7:$E$32,3,0)</f>
        <v>PERMANENT SPEED RESTRICTION</v>
      </c>
    </row>
    <row r="20" spans="1:29" s="1" customFormat="1" x14ac:dyDescent="0.25">
      <c r="A20" s="67" t="s">
        <v>240</v>
      </c>
      <c r="B20" s="34">
        <v>4039</v>
      </c>
      <c r="C20" s="34" t="s">
        <v>60</v>
      </c>
      <c r="D20" s="34" t="s">
        <v>196</v>
      </c>
      <c r="E20" s="20">
        <v>42550.220173611109</v>
      </c>
      <c r="F20" s="20">
        <v>42550.221354166664</v>
      </c>
      <c r="G20" s="23">
        <v>1</v>
      </c>
      <c r="H20" s="20" t="s">
        <v>241</v>
      </c>
      <c r="I20" s="20">
        <v>42550.246365740742</v>
      </c>
      <c r="J20" s="34">
        <v>0</v>
      </c>
      <c r="K20" s="34" t="str">
        <f t="shared" si="8"/>
        <v>4039/4040</v>
      </c>
      <c r="L20" s="34" t="str">
        <f>VLOOKUP(A20,'Trips&amp;Operators'!$C$1:$E$10000,3,FALSE)</f>
        <v>KILLION</v>
      </c>
      <c r="M20" s="6">
        <f t="shared" si="0"/>
        <v>2.5011574078234844E-2</v>
      </c>
      <c r="N20" s="7"/>
      <c r="O20" s="7"/>
      <c r="P20" s="7">
        <f t="shared" si="1"/>
        <v>36.016666672658175</v>
      </c>
      <c r="Q20" s="35"/>
      <c r="R20" s="35" t="s">
        <v>221</v>
      </c>
      <c r="S20" s="59">
        <f t="shared" si="11"/>
        <v>0.75</v>
      </c>
      <c r="T20" s="1" t="str">
        <f t="shared" si="12"/>
        <v>Southbound</v>
      </c>
      <c r="U20" s="1">
        <f>COUNTIFS(Variables!$M$2:$M$19,IF(T20="NorthBound","&gt;=","&lt;=")&amp;Y20,Variables!$M$2:$M$19,IF(T20="NorthBound","&lt;=","&gt;=")&amp;Z20)</f>
        <v>9</v>
      </c>
      <c r="V20" s="38" t="str">
        <f t="shared" si="13"/>
        <v>https://search-rtdc-monitor-bjffxe2xuh6vdkpspy63sjmuny.us-east-1.es.amazonaws.com/_plugin/kibana/#/discover/Steve-Slow-Train-Analysis-(2080s-and-2083s)?_g=(refreshInterval:(display:Off,section:0,value:0),time:(from:'2016-06-29 05:16:03-0600',mode:absolute,to:'2016-06-29 05:55:46-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20" s="38" t="str">
        <f t="shared" si="14"/>
        <v>Y</v>
      </c>
      <c r="X20" s="38">
        <f t="shared" si="15"/>
        <v>1</v>
      </c>
      <c r="Y20" s="38">
        <f t="shared" si="16"/>
        <v>23.297899999999998</v>
      </c>
      <c r="Z20" s="38">
        <f t="shared" si="17"/>
        <v>4.2553999999999998</v>
      </c>
      <c r="AA20" s="38">
        <f t="shared" si="18"/>
        <v>19.042499999999997</v>
      </c>
      <c r="AB20" s="39" t="e">
        <f>VLOOKUP(A20,Enforcements!$C$7:$J$32,8,0)</f>
        <v>#N/A</v>
      </c>
      <c r="AC20" s="39" t="e">
        <f>VLOOKUP(A20,Enforcements!$C$7:$E$32,3,0)</f>
        <v>#N/A</v>
      </c>
    </row>
    <row r="21" spans="1:29" s="1" customFormat="1" x14ac:dyDescent="0.25">
      <c r="A21" s="67" t="s">
        <v>242</v>
      </c>
      <c r="B21" s="34">
        <v>4044</v>
      </c>
      <c r="C21" s="34" t="s">
        <v>60</v>
      </c>
      <c r="D21" s="34" t="s">
        <v>151</v>
      </c>
      <c r="E21" s="20">
        <v>42550.194155092591</v>
      </c>
      <c r="F21" s="20">
        <v>42550.195393518516</v>
      </c>
      <c r="G21" s="23">
        <v>1</v>
      </c>
      <c r="H21" s="20" t="s">
        <v>198</v>
      </c>
      <c r="I21" s="20">
        <v>42550.224074074074</v>
      </c>
      <c r="J21" s="34">
        <v>0</v>
      </c>
      <c r="K21" s="34" t="str">
        <f t="shared" si="8"/>
        <v>4043/4044</v>
      </c>
      <c r="L21" s="34" t="str">
        <f>VLOOKUP(A21,'Trips&amp;Operators'!$C$1:$E$10000,3,FALSE)</f>
        <v>ACKERMAN</v>
      </c>
      <c r="M21" s="6">
        <f t="shared" si="0"/>
        <v>2.8680555558821652E-2</v>
      </c>
      <c r="N21" s="7">
        <f t="shared" si="1"/>
        <v>41.300000004703179</v>
      </c>
      <c r="O21" s="7"/>
      <c r="P21" s="7"/>
      <c r="Q21" s="35"/>
      <c r="R21" s="35"/>
      <c r="S21" s="59">
        <f t="shared" si="11"/>
        <v>1</v>
      </c>
      <c r="T21" s="1" t="str">
        <f t="shared" si="12"/>
        <v>NorthBound</v>
      </c>
      <c r="U21" s="1">
        <f>COUNTIFS(Variables!$M$2:$M$19,IF(T21="NorthBound","&gt;=","&lt;=")&amp;Y21,Variables!$M$2:$M$19,IF(T21="NorthBound","&lt;=","&gt;=")&amp;Z21)</f>
        <v>12</v>
      </c>
      <c r="V21" s="38" t="str">
        <f t="shared" si="13"/>
        <v>https://search-rtdc-monitor-bjffxe2xuh6vdkpspy63sjmuny.us-east-1.es.amazonaws.com/_plugin/kibana/#/discover/Steve-Slow-Train-Analysis-(2080s-and-2083s)?_g=(refreshInterval:(display:Off,section:0,value:0),time:(from:'2016-06-29 04:38:35-0600',mode:absolute,to:'2016-06-29 05:23:40-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21" s="38" t="str">
        <f t="shared" si="14"/>
        <v>N</v>
      </c>
      <c r="X21" s="38">
        <f t="shared" si="15"/>
        <v>1</v>
      </c>
      <c r="Y21" s="38">
        <f t="shared" si="16"/>
        <v>4.4400000000000002E-2</v>
      </c>
      <c r="Z21" s="38">
        <f t="shared" si="17"/>
        <v>23.329899999999999</v>
      </c>
      <c r="AA21" s="38">
        <f t="shared" si="18"/>
        <v>23.285499999999999</v>
      </c>
      <c r="AB21" s="39" t="e">
        <f>VLOOKUP(A21,Enforcements!$C$7:$J$32,8,0)</f>
        <v>#N/A</v>
      </c>
      <c r="AC21" s="39" t="e">
        <f>VLOOKUP(A21,Enforcements!$C$7:$E$32,3,0)</f>
        <v>#N/A</v>
      </c>
    </row>
    <row r="22" spans="1:29" s="1" customFormat="1" x14ac:dyDescent="0.25">
      <c r="A22" s="67" t="s">
        <v>243</v>
      </c>
      <c r="B22" s="34">
        <v>4043</v>
      </c>
      <c r="C22" s="34" t="s">
        <v>60</v>
      </c>
      <c r="D22" s="34" t="s">
        <v>155</v>
      </c>
      <c r="E22" s="20">
        <v>42550.232187499998</v>
      </c>
      <c r="F22" s="20">
        <v>42550.233564814815</v>
      </c>
      <c r="G22" s="23">
        <v>1</v>
      </c>
      <c r="H22" s="20" t="s">
        <v>75</v>
      </c>
      <c r="I22" s="20">
        <v>42550.26363425926</v>
      </c>
      <c r="J22" s="34">
        <v>0</v>
      </c>
      <c r="K22" s="34" t="str">
        <f t="shared" si="8"/>
        <v>4043/4044</v>
      </c>
      <c r="L22" s="34" t="str">
        <f>VLOOKUP(A22,'Trips&amp;Operators'!$C$1:$E$10000,3,FALSE)</f>
        <v>ACKERMAN</v>
      </c>
      <c r="M22" s="6">
        <f t="shared" si="0"/>
        <v>3.0069444444961846E-2</v>
      </c>
      <c r="N22" s="7">
        <f t="shared" si="1"/>
        <v>43.300000000745058</v>
      </c>
      <c r="O22" s="7"/>
      <c r="P22" s="7"/>
      <c r="Q22" s="35"/>
      <c r="R22" s="35"/>
      <c r="S22" s="59">
        <f t="shared" si="11"/>
        <v>1</v>
      </c>
      <c r="T22" s="1" t="str">
        <f t="shared" si="12"/>
        <v>Southbound</v>
      </c>
      <c r="U22" s="1">
        <f>COUNTIFS(Variables!$M$2:$M$19,IF(T22="NorthBound","&gt;=","&lt;=")&amp;Y22,Variables!$M$2:$M$19,IF(T22="NorthBound","&lt;=","&gt;=")&amp;Z22)</f>
        <v>12</v>
      </c>
      <c r="V22" s="38" t="str">
        <f t="shared" si="13"/>
        <v>https://search-rtdc-monitor-bjffxe2xuh6vdkpspy63sjmuny.us-east-1.es.amazonaws.com/_plugin/kibana/#/discover/Steve-Slow-Train-Analysis-(2080s-and-2083s)?_g=(refreshInterval:(display:Off,section:0,value:0),time:(from:'2016-06-29 05:33:21-0600',mode:absolute,to:'2016-06-29 06:20:38-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22" s="38" t="str">
        <f t="shared" si="14"/>
        <v>N</v>
      </c>
      <c r="X22" s="38">
        <f t="shared" si="15"/>
        <v>1</v>
      </c>
      <c r="Y22" s="38">
        <f t="shared" si="16"/>
        <v>23.299399999999999</v>
      </c>
      <c r="Z22" s="38">
        <f t="shared" si="17"/>
        <v>1.49E-2</v>
      </c>
      <c r="AA22" s="38">
        <f t="shared" si="18"/>
        <v>23.284499999999998</v>
      </c>
      <c r="AB22" s="39" t="e">
        <f>VLOOKUP(A22,Enforcements!$C$7:$J$32,8,0)</f>
        <v>#N/A</v>
      </c>
      <c r="AC22" s="39" t="e">
        <f>VLOOKUP(A22,Enforcements!$C$7:$E$32,3,0)</f>
        <v>#N/A</v>
      </c>
    </row>
    <row r="23" spans="1:29" s="1" customFormat="1" x14ac:dyDescent="0.25">
      <c r="A23" s="67" t="s">
        <v>244</v>
      </c>
      <c r="B23" s="34">
        <v>4011</v>
      </c>
      <c r="C23" s="34" t="s">
        <v>60</v>
      </c>
      <c r="D23" s="34" t="s">
        <v>245</v>
      </c>
      <c r="E23" s="20">
        <v>42550.202743055554</v>
      </c>
      <c r="F23" s="20">
        <v>42550.204444444447</v>
      </c>
      <c r="G23" s="23">
        <v>2</v>
      </c>
      <c r="H23" s="20" t="s">
        <v>99</v>
      </c>
      <c r="I23" s="20">
        <v>42550.235879629632</v>
      </c>
      <c r="J23" s="34">
        <v>1</v>
      </c>
      <c r="K23" s="34" t="str">
        <f t="shared" si="8"/>
        <v>4011/4012</v>
      </c>
      <c r="L23" s="34" t="str">
        <f>VLOOKUP(A23,'Trips&amp;Operators'!$C$1:$E$10000,3,FALSE)</f>
        <v>SANTIZO</v>
      </c>
      <c r="M23" s="6">
        <f t="shared" si="0"/>
        <v>3.1435185184818693E-2</v>
      </c>
      <c r="N23" s="7">
        <f t="shared" si="1"/>
        <v>45.266666666138917</v>
      </c>
      <c r="O23" s="7"/>
      <c r="P23" s="7"/>
      <c r="Q23" s="35"/>
      <c r="R23" s="35"/>
      <c r="S23" s="59">
        <f t="shared" si="11"/>
        <v>1</v>
      </c>
      <c r="T23" s="1" t="str">
        <f t="shared" si="12"/>
        <v>NorthBound</v>
      </c>
      <c r="U23" s="1">
        <f>COUNTIFS(Variables!$M$2:$M$19,IF(T23="NorthBound","&gt;=","&lt;=")&amp;Y23,Variables!$M$2:$M$19,IF(T23="NorthBound","&lt;=","&gt;=")&amp;Z23)</f>
        <v>12</v>
      </c>
      <c r="V23" s="38" t="str">
        <f t="shared" si="13"/>
        <v>https://search-rtdc-monitor-bjffxe2xuh6vdkpspy63sjmuny.us-east-1.es.amazonaws.com/_plugin/kibana/#/discover/Steve-Slow-Train-Analysis-(2080s-and-2083s)?_g=(refreshInterval:(display:Off,section:0,value:0),time:(from:'2016-06-29 04:50:57-0600',mode:absolute,to:'2016-06-29 05:40:40-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23" s="38" t="str">
        <f t="shared" si="14"/>
        <v>N</v>
      </c>
      <c r="X23" s="38">
        <f t="shared" si="15"/>
        <v>1</v>
      </c>
      <c r="Y23" s="38">
        <f t="shared" si="16"/>
        <v>7.2599999999999998E-2</v>
      </c>
      <c r="Z23" s="38">
        <f t="shared" si="17"/>
        <v>23.3291</v>
      </c>
      <c r="AA23" s="38">
        <f t="shared" si="18"/>
        <v>23.256499999999999</v>
      </c>
      <c r="AB23" s="39" t="e">
        <f>VLOOKUP(A23,Enforcements!$C$7:$J$32,8,0)</f>
        <v>#N/A</v>
      </c>
      <c r="AC23" s="39" t="e">
        <f>VLOOKUP(A23,Enforcements!$C$7:$E$32,3,0)</f>
        <v>#N/A</v>
      </c>
    </row>
    <row r="24" spans="1:29" s="1" customFormat="1" x14ac:dyDescent="0.25">
      <c r="A24" s="67" t="s">
        <v>246</v>
      </c>
      <c r="B24" s="34">
        <v>4012</v>
      </c>
      <c r="C24" s="34" t="s">
        <v>60</v>
      </c>
      <c r="D24" s="34" t="s">
        <v>247</v>
      </c>
      <c r="E24" s="20">
        <v>42550.237187500003</v>
      </c>
      <c r="F24" s="20">
        <v>42550.254976851851</v>
      </c>
      <c r="G24" s="23">
        <v>25</v>
      </c>
      <c r="H24" s="20" t="s">
        <v>248</v>
      </c>
      <c r="I24" s="20">
        <v>42550.272627314815</v>
      </c>
      <c r="J24" s="34">
        <v>0</v>
      </c>
      <c r="K24" s="34" t="str">
        <f t="shared" si="8"/>
        <v>4011/4012</v>
      </c>
      <c r="L24" s="34" t="str">
        <f>VLOOKUP(A24,'Trips&amp;Operators'!$C$1:$E$10000,3,FALSE)</f>
        <v>SANTIZO</v>
      </c>
      <c r="M24" s="6">
        <f t="shared" si="0"/>
        <v>1.7650462963501923E-2</v>
      </c>
      <c r="N24" s="7"/>
      <c r="O24" s="7"/>
      <c r="P24" s="7">
        <f t="shared" si="1"/>
        <v>25.416666667442769</v>
      </c>
      <c r="Q24" s="35"/>
      <c r="R24" s="35" t="s">
        <v>670</v>
      </c>
      <c r="S24" s="59">
        <f t="shared" si="11"/>
        <v>1</v>
      </c>
      <c r="T24" s="1" t="str">
        <f t="shared" si="12"/>
        <v>Southbound</v>
      </c>
      <c r="U24" s="1">
        <f>COUNTIFS(Variables!$M$2:$M$19,IF(T24="NorthBound","&gt;=","&lt;=")&amp;Y24,Variables!$M$2:$M$19,IF(T24="NorthBound","&lt;=","&gt;=")&amp;Z24)</f>
        <v>12</v>
      </c>
      <c r="V24" s="38" t="str">
        <f t="shared" si="13"/>
        <v>https://search-rtdc-monitor-bjffxe2xuh6vdkpspy63sjmuny.us-east-1.es.amazonaws.com/_plugin/kibana/#/discover/Steve-Slow-Train-Analysis-(2080s-and-2083s)?_g=(refreshInterval:(display:Off,section:0,value:0),time:(from:'2016-06-29 05:40:33-0600',mode:absolute,to:'2016-06-29 06:33:35-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24" s="38" t="str">
        <f t="shared" si="14"/>
        <v>Y</v>
      </c>
      <c r="X24" s="38">
        <f t="shared" si="15"/>
        <v>1</v>
      </c>
      <c r="Y24" s="38">
        <f t="shared" si="16"/>
        <v>15.399100000000001</v>
      </c>
      <c r="Z24" s="38">
        <f t="shared" si="17"/>
        <v>0.73970000000000002</v>
      </c>
      <c r="AA24" s="38">
        <f t="shared" si="18"/>
        <v>14.659400000000002</v>
      </c>
      <c r="AB24" s="39" t="e">
        <f>VLOOKUP(A24,Enforcements!$C$7:$J$32,8,0)</f>
        <v>#N/A</v>
      </c>
      <c r="AC24" s="39" t="e">
        <f>VLOOKUP(A24,Enforcements!$C$7:$E$32,3,0)</f>
        <v>#N/A</v>
      </c>
    </row>
    <row r="25" spans="1:29" s="1" customFormat="1" x14ac:dyDescent="0.25">
      <c r="A25" s="67" t="s">
        <v>249</v>
      </c>
      <c r="B25" s="34">
        <v>4016</v>
      </c>
      <c r="C25" s="34" t="s">
        <v>60</v>
      </c>
      <c r="D25" s="34" t="s">
        <v>250</v>
      </c>
      <c r="E25" s="20">
        <v>42550.206458333334</v>
      </c>
      <c r="F25" s="20">
        <v>42550.207511574074</v>
      </c>
      <c r="G25" s="23">
        <v>1</v>
      </c>
      <c r="H25" s="20" t="s">
        <v>195</v>
      </c>
      <c r="I25" s="20">
        <v>42550.244432870371</v>
      </c>
      <c r="J25" s="34">
        <v>0</v>
      </c>
      <c r="K25" s="34" t="str">
        <f t="shared" si="8"/>
        <v>4015/4016</v>
      </c>
      <c r="L25" s="34" t="str">
        <f>VLOOKUP(A25,'Trips&amp;Operators'!$C$1:$E$10000,3,FALSE)</f>
        <v>YORK</v>
      </c>
      <c r="M25" s="6">
        <f t="shared" si="0"/>
        <v>3.6921296297805384E-2</v>
      </c>
      <c r="N25" s="7">
        <f t="shared" si="1"/>
        <v>53.166666668839753</v>
      </c>
      <c r="O25" s="7"/>
      <c r="P25" s="7"/>
      <c r="Q25" s="35"/>
      <c r="R25" s="35"/>
      <c r="S25" s="59">
        <f t="shared" si="11"/>
        <v>1</v>
      </c>
      <c r="T25" s="1" t="str">
        <f t="shared" si="12"/>
        <v>NorthBound</v>
      </c>
      <c r="U25" s="1">
        <f>COUNTIFS(Variables!$M$2:$M$19,IF(T25="NorthBound","&gt;=","&lt;=")&amp;Y25,Variables!$M$2:$M$19,IF(T25="NorthBound","&lt;=","&gt;=")&amp;Z25)</f>
        <v>12</v>
      </c>
      <c r="V25" s="38" t="str">
        <f t="shared" si="13"/>
        <v>https://search-rtdc-monitor-bjffxe2xuh6vdkpspy63sjmuny.us-east-1.es.amazonaws.com/_plugin/kibana/#/discover/Steve-Slow-Train-Analysis-(2080s-and-2083s)?_g=(refreshInterval:(display:Off,section:0,value:0),time:(from:'2016-06-29 04:56:18-0600',mode:absolute,to:'2016-06-29 05:52:59-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25" s="38" t="str">
        <f t="shared" si="14"/>
        <v>N</v>
      </c>
      <c r="X25" s="38">
        <f t="shared" si="15"/>
        <v>1</v>
      </c>
      <c r="Y25" s="38">
        <f t="shared" si="16"/>
        <v>4.3799999999999999E-2</v>
      </c>
      <c r="Z25" s="38">
        <f t="shared" si="17"/>
        <v>23.327999999999999</v>
      </c>
      <c r="AA25" s="38">
        <f t="shared" si="18"/>
        <v>23.284199999999998</v>
      </c>
      <c r="AB25" s="39" t="e">
        <f>VLOOKUP(A25,Enforcements!$C$7:$J$32,8,0)</f>
        <v>#N/A</v>
      </c>
      <c r="AC25" s="39" t="e">
        <f>VLOOKUP(A25,Enforcements!$C$7:$E$32,3,0)</f>
        <v>#N/A</v>
      </c>
    </row>
    <row r="26" spans="1:29" s="1" customFormat="1" x14ac:dyDescent="0.25">
      <c r="A26" s="67" t="s">
        <v>251</v>
      </c>
      <c r="B26" s="34">
        <v>4015</v>
      </c>
      <c r="C26" s="34" t="s">
        <v>60</v>
      </c>
      <c r="D26" s="34" t="s">
        <v>125</v>
      </c>
      <c r="E26" s="20">
        <v>42550.24659722222</v>
      </c>
      <c r="F26" s="20">
        <v>42550.24796296296</v>
      </c>
      <c r="G26" s="23">
        <v>1</v>
      </c>
      <c r="H26" s="20" t="s">
        <v>135</v>
      </c>
      <c r="I26" s="20">
        <v>42550.28328703704</v>
      </c>
      <c r="J26" s="34">
        <v>0</v>
      </c>
      <c r="K26" s="34" t="str">
        <f t="shared" si="8"/>
        <v>4015/4016</v>
      </c>
      <c r="L26" s="34" t="str">
        <f>VLOOKUP(A26,'Trips&amp;Operators'!$C$1:$E$10000,3,FALSE)</f>
        <v>YORK</v>
      </c>
      <c r="M26" s="6">
        <f t="shared" si="0"/>
        <v>3.532407408056315E-2</v>
      </c>
      <c r="N26" s="7">
        <f t="shared" si="1"/>
        <v>50.866666676010936</v>
      </c>
      <c r="O26" s="7"/>
      <c r="P26" s="7"/>
      <c r="Q26" s="35"/>
      <c r="R26" s="35"/>
      <c r="S26" s="59">
        <f t="shared" si="11"/>
        <v>1</v>
      </c>
      <c r="T26" s="1" t="str">
        <f t="shared" si="12"/>
        <v>Southbound</v>
      </c>
      <c r="U26" s="1">
        <f>COUNTIFS(Variables!$M$2:$M$19,IF(T26="NorthBound","&gt;=","&lt;=")&amp;Y26,Variables!$M$2:$M$19,IF(T26="NorthBound","&lt;=","&gt;=")&amp;Z26)</f>
        <v>12</v>
      </c>
      <c r="V26" s="38" t="str">
        <f t="shared" si="13"/>
        <v>https://search-rtdc-monitor-bjffxe2xuh6vdkpspy63sjmuny.us-east-1.es.amazonaws.com/_plugin/kibana/#/discover/Steve-Slow-Train-Analysis-(2080s-and-2083s)?_g=(refreshInterval:(display:Off,section:0,value:0),time:(from:'2016-06-29 05:54:06-0600',mode:absolute,to:'2016-06-29 06:48:56-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26" s="38" t="str">
        <f t="shared" si="14"/>
        <v>N</v>
      </c>
      <c r="X26" s="38">
        <f t="shared" si="15"/>
        <v>1</v>
      </c>
      <c r="Y26" s="38">
        <f t="shared" si="16"/>
        <v>23.298200000000001</v>
      </c>
      <c r="Z26" s="38">
        <f t="shared" si="17"/>
        <v>1.43E-2</v>
      </c>
      <c r="AA26" s="38">
        <f t="shared" si="18"/>
        <v>23.283900000000003</v>
      </c>
      <c r="AB26" s="39" t="e">
        <f>VLOOKUP(A26,Enforcements!$C$7:$J$32,8,0)</f>
        <v>#N/A</v>
      </c>
      <c r="AC26" s="39" t="e">
        <f>VLOOKUP(A26,Enforcements!$C$7:$E$32,3,0)</f>
        <v>#N/A</v>
      </c>
    </row>
    <row r="27" spans="1:29" s="1" customFormat="1" x14ac:dyDescent="0.25">
      <c r="A27" s="67" t="s">
        <v>252</v>
      </c>
      <c r="B27" s="34">
        <v>4024</v>
      </c>
      <c r="C27" s="34" t="s">
        <v>60</v>
      </c>
      <c r="D27" s="34" t="s">
        <v>253</v>
      </c>
      <c r="E27" s="20">
        <v>42550.226064814815</v>
      </c>
      <c r="F27" s="20">
        <v>42550.227199074077</v>
      </c>
      <c r="G27" s="23">
        <v>1</v>
      </c>
      <c r="H27" s="20" t="s">
        <v>99</v>
      </c>
      <c r="I27" s="20">
        <v>42550.261620370373</v>
      </c>
      <c r="J27" s="34">
        <v>0</v>
      </c>
      <c r="K27" s="34" t="str">
        <f t="shared" si="8"/>
        <v>4023/4024</v>
      </c>
      <c r="L27" s="34" t="str">
        <f>VLOOKUP(A27,'Trips&amp;Operators'!$C$1:$E$10000,3,FALSE)</f>
        <v>ROCHA</v>
      </c>
      <c r="M27" s="6">
        <f t="shared" si="0"/>
        <v>3.4421296295477077E-2</v>
      </c>
      <c r="N27" s="7">
        <f t="shared" si="1"/>
        <v>49.566666665486991</v>
      </c>
      <c r="O27" s="7"/>
      <c r="P27" s="7"/>
      <c r="Q27" s="35"/>
      <c r="R27" s="35"/>
      <c r="S27" s="59">
        <f t="shared" si="11"/>
        <v>1</v>
      </c>
      <c r="T27" s="1" t="str">
        <f t="shared" si="12"/>
        <v>NorthBound</v>
      </c>
      <c r="U27" s="1">
        <f>COUNTIFS(Variables!$M$2:$M$19,IF(T27="NorthBound","&gt;=","&lt;=")&amp;Y27,Variables!$M$2:$M$19,IF(T27="NorthBound","&lt;=","&gt;=")&amp;Z27)</f>
        <v>12</v>
      </c>
      <c r="V27" s="38" t="str">
        <f t="shared" si="13"/>
        <v>https://search-rtdc-monitor-bjffxe2xuh6vdkpspy63sjmuny.us-east-1.es.amazonaws.com/_plugin/kibana/#/discover/Steve-Slow-Train-Analysis-(2080s-and-2083s)?_g=(refreshInterval:(display:Off,section:0,value:0),time:(from:'2016-06-29 05:24:32-0600',mode:absolute,to:'2016-06-29 06:17:44-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27" s="38" t="str">
        <f t="shared" si="14"/>
        <v>N</v>
      </c>
      <c r="X27" s="38">
        <f t="shared" si="15"/>
        <v>1</v>
      </c>
      <c r="Y27" s="38">
        <f t="shared" si="16"/>
        <v>7.3400000000000007E-2</v>
      </c>
      <c r="Z27" s="38">
        <f t="shared" si="17"/>
        <v>23.3291</v>
      </c>
      <c r="AA27" s="38">
        <f t="shared" si="18"/>
        <v>23.255700000000001</v>
      </c>
      <c r="AB27" s="39" t="e">
        <f>VLOOKUP(A27,Enforcements!$C$7:$J$32,8,0)</f>
        <v>#N/A</v>
      </c>
      <c r="AC27" s="39" t="e">
        <f>VLOOKUP(A27,Enforcements!$C$7:$E$32,3,0)</f>
        <v>#N/A</v>
      </c>
    </row>
    <row r="28" spans="1:29" s="1" customFormat="1" x14ac:dyDescent="0.25">
      <c r="A28" s="67" t="s">
        <v>254</v>
      </c>
      <c r="B28" s="34">
        <v>4023</v>
      </c>
      <c r="C28" s="34" t="s">
        <v>60</v>
      </c>
      <c r="D28" s="34" t="s">
        <v>181</v>
      </c>
      <c r="E28" s="20">
        <v>42550.267245370371</v>
      </c>
      <c r="F28" s="20">
        <v>42550.268067129633</v>
      </c>
      <c r="G28" s="23">
        <v>1</v>
      </c>
      <c r="H28" s="20" t="s">
        <v>135</v>
      </c>
      <c r="I28" s="20">
        <v>42550.293194444443</v>
      </c>
      <c r="J28" s="34">
        <v>0</v>
      </c>
      <c r="K28" s="34" t="str">
        <f t="shared" si="8"/>
        <v>4023/4024</v>
      </c>
      <c r="L28" s="34" t="str">
        <f>VLOOKUP(A28,'Trips&amp;Operators'!$C$1:$E$10000,3,FALSE)</f>
        <v>ROCHA</v>
      </c>
      <c r="M28" s="6">
        <f t="shared" si="0"/>
        <v>2.512731480965158E-2</v>
      </c>
      <c r="N28" s="7">
        <f t="shared" si="1"/>
        <v>36.183333325898275</v>
      </c>
      <c r="O28" s="7"/>
      <c r="P28" s="7"/>
      <c r="Q28" s="35"/>
      <c r="R28" s="35"/>
      <c r="S28" s="59">
        <f t="shared" si="11"/>
        <v>1</v>
      </c>
      <c r="T28" s="1" t="str">
        <f t="shared" si="12"/>
        <v>Southbound</v>
      </c>
      <c r="U28" s="1">
        <f>COUNTIFS(Variables!$M$2:$M$19,IF(T28="NorthBound","&gt;=","&lt;=")&amp;Y28,Variables!$M$2:$M$19,IF(T28="NorthBound","&lt;=","&gt;=")&amp;Z28)</f>
        <v>12</v>
      </c>
      <c r="V28" s="38" t="str">
        <f t="shared" si="13"/>
        <v>https://search-rtdc-monitor-bjffxe2xuh6vdkpspy63sjmuny.us-east-1.es.amazonaws.com/_plugin/kibana/#/discover/Steve-Slow-Train-Analysis-(2080s-and-2083s)?_g=(refreshInterval:(display:Off,section:0,value:0),time:(from:'2016-06-29 06:23:50-0600',mode:absolute,to:'2016-06-29 07:03:12-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28" s="38" t="str">
        <f t="shared" si="14"/>
        <v>N</v>
      </c>
      <c r="X28" s="38">
        <f t="shared" si="15"/>
        <v>1</v>
      </c>
      <c r="Y28" s="38">
        <f t="shared" si="16"/>
        <v>23.299600000000002</v>
      </c>
      <c r="Z28" s="38">
        <f t="shared" si="17"/>
        <v>1.43E-2</v>
      </c>
      <c r="AA28" s="38">
        <f t="shared" si="18"/>
        <v>23.285300000000003</v>
      </c>
      <c r="AB28" s="39" t="e">
        <f>VLOOKUP(A28,Enforcements!$C$7:$J$32,8,0)</f>
        <v>#N/A</v>
      </c>
      <c r="AC28" s="39" t="e">
        <f>VLOOKUP(A28,Enforcements!$C$7:$E$32,3,0)</f>
        <v>#N/A</v>
      </c>
    </row>
    <row r="29" spans="1:29" s="1" customFormat="1" x14ac:dyDescent="0.25">
      <c r="A29" s="67" t="s">
        <v>255</v>
      </c>
      <c r="B29" s="34">
        <v>4031</v>
      </c>
      <c r="C29" s="34" t="s">
        <v>60</v>
      </c>
      <c r="D29" s="34" t="s">
        <v>81</v>
      </c>
      <c r="E29" s="20">
        <v>42550.230740740742</v>
      </c>
      <c r="F29" s="20">
        <v>42550.231990740744</v>
      </c>
      <c r="G29" s="23">
        <v>1</v>
      </c>
      <c r="H29" s="20" t="s">
        <v>95</v>
      </c>
      <c r="I29" s="20">
        <v>42550.265138888892</v>
      </c>
      <c r="J29" s="34">
        <v>0</v>
      </c>
      <c r="K29" s="34" t="str">
        <f t="shared" si="8"/>
        <v>4031/4032</v>
      </c>
      <c r="L29" s="34" t="str">
        <f>VLOOKUP(A29,'Trips&amp;Operators'!$C$1:$E$10000,3,FALSE)</f>
        <v>STARKS</v>
      </c>
      <c r="M29" s="6">
        <f t="shared" si="0"/>
        <v>3.3148148148029577E-2</v>
      </c>
      <c r="N29" s="7">
        <f t="shared" si="1"/>
        <v>47.733333333162591</v>
      </c>
      <c r="O29" s="7"/>
      <c r="P29" s="7"/>
      <c r="Q29" s="35"/>
      <c r="R29" s="35"/>
      <c r="S29" s="59">
        <f t="shared" si="11"/>
        <v>1</v>
      </c>
      <c r="T29" s="1" t="str">
        <f t="shared" si="12"/>
        <v>NorthBound</v>
      </c>
      <c r="U29" s="1">
        <f>COUNTIFS(Variables!$M$2:$M$19,IF(T29="NorthBound","&gt;=","&lt;=")&amp;Y29,Variables!$M$2:$M$19,IF(T29="NorthBound","&lt;=","&gt;=")&amp;Z29)</f>
        <v>12</v>
      </c>
      <c r="V29" s="38" t="str">
        <f t="shared" si="13"/>
        <v>https://search-rtdc-monitor-bjffxe2xuh6vdkpspy63sjmuny.us-east-1.es.amazonaws.com/_plugin/kibana/#/discover/Steve-Slow-Train-Analysis-(2080s-and-2083s)?_g=(refreshInterval:(display:Off,section:0,value:0),time:(from:'2016-06-29 05:31:16-0600',mode:absolute,to:'2016-06-29 06:22:48-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29" s="38" t="str">
        <f t="shared" si="14"/>
        <v>N</v>
      </c>
      <c r="X29" s="38">
        <f t="shared" si="15"/>
        <v>1</v>
      </c>
      <c r="Y29" s="38">
        <f t="shared" si="16"/>
        <v>4.58E-2</v>
      </c>
      <c r="Z29" s="38">
        <f t="shared" si="17"/>
        <v>23.329499999999999</v>
      </c>
      <c r="AA29" s="38">
        <f t="shared" si="18"/>
        <v>23.2837</v>
      </c>
      <c r="AB29" s="39" t="e">
        <f>VLOOKUP(A29,Enforcements!$C$7:$J$32,8,0)</f>
        <v>#N/A</v>
      </c>
      <c r="AC29" s="39" t="e">
        <f>VLOOKUP(A29,Enforcements!$C$7:$E$32,3,0)</f>
        <v>#N/A</v>
      </c>
    </row>
    <row r="30" spans="1:29" s="1" customFormat="1" x14ac:dyDescent="0.25">
      <c r="A30" s="67" t="s">
        <v>256</v>
      </c>
      <c r="B30" s="34">
        <v>4032</v>
      </c>
      <c r="C30" s="34" t="s">
        <v>60</v>
      </c>
      <c r="D30" s="34" t="s">
        <v>150</v>
      </c>
      <c r="E30" s="20">
        <v>42550.27684027778</v>
      </c>
      <c r="F30" s="20">
        <v>42550.277858796297</v>
      </c>
      <c r="G30" s="23">
        <v>1</v>
      </c>
      <c r="H30" s="20" t="s">
        <v>168</v>
      </c>
      <c r="I30" s="20">
        <v>42550.304965277777</v>
      </c>
      <c r="J30" s="34">
        <v>0</v>
      </c>
      <c r="K30" s="34" t="str">
        <f t="shared" si="8"/>
        <v>4031/4032</v>
      </c>
      <c r="L30" s="34" t="str">
        <f>VLOOKUP(A30,'Trips&amp;Operators'!$C$1:$E$10000,3,FALSE)</f>
        <v>STARKS</v>
      </c>
      <c r="M30" s="6">
        <f t="shared" si="0"/>
        <v>2.7106481480586808E-2</v>
      </c>
      <c r="N30" s="7">
        <f t="shared" si="1"/>
        <v>39.033333332045004</v>
      </c>
      <c r="O30" s="7"/>
      <c r="P30" s="7"/>
      <c r="Q30" s="35"/>
      <c r="R30" s="35"/>
      <c r="S30" s="59">
        <f t="shared" si="11"/>
        <v>1</v>
      </c>
      <c r="T30" s="1" t="str">
        <f t="shared" si="12"/>
        <v>Southbound</v>
      </c>
      <c r="U30" s="1">
        <f>COUNTIFS(Variables!$M$2:$M$19,IF(T30="NorthBound","&gt;=","&lt;=")&amp;Y30,Variables!$M$2:$M$19,IF(T30="NorthBound","&lt;=","&gt;=")&amp;Z30)</f>
        <v>12</v>
      </c>
      <c r="V30" s="38" t="str">
        <f t="shared" si="13"/>
        <v>https://search-rtdc-monitor-bjffxe2xuh6vdkpspy63sjmuny.us-east-1.es.amazonaws.com/_plugin/kibana/#/discover/Steve-Slow-Train-Analysis-(2080s-and-2083s)?_g=(refreshInterval:(display:Off,section:0,value:0),time:(from:'2016-06-29 06:37:39-0600',mode:absolute,to:'2016-06-29 07:20:09-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30" s="38" t="str">
        <f t="shared" si="14"/>
        <v>N</v>
      </c>
      <c r="X30" s="38">
        <f t="shared" si="15"/>
        <v>1</v>
      </c>
      <c r="Y30" s="38">
        <f t="shared" si="16"/>
        <v>23.2973</v>
      </c>
      <c r="Z30" s="38">
        <f t="shared" si="17"/>
        <v>1.54E-2</v>
      </c>
      <c r="AA30" s="38">
        <f t="shared" si="18"/>
        <v>23.2819</v>
      </c>
      <c r="AB30" s="39" t="e">
        <f>VLOOKUP(A30,Enforcements!$C$7:$J$32,8,0)</f>
        <v>#N/A</v>
      </c>
      <c r="AC30" s="39" t="e">
        <f>VLOOKUP(A30,Enforcements!$C$7:$E$32,3,0)</f>
        <v>#N/A</v>
      </c>
    </row>
    <row r="31" spans="1:29" s="1" customFormat="1" x14ac:dyDescent="0.25">
      <c r="A31" s="67" t="s">
        <v>257</v>
      </c>
      <c r="B31" s="34">
        <v>4042</v>
      </c>
      <c r="C31" s="34" t="s">
        <v>60</v>
      </c>
      <c r="D31" s="34" t="s">
        <v>258</v>
      </c>
      <c r="E31" s="20">
        <v>42550.24827546296</v>
      </c>
      <c r="F31" s="20">
        <v>42550.250127314815</v>
      </c>
      <c r="G31" s="23">
        <v>2</v>
      </c>
      <c r="H31" s="20" t="s">
        <v>99</v>
      </c>
      <c r="I31" s="20">
        <v>42550.276203703703</v>
      </c>
      <c r="J31" s="34">
        <v>0</v>
      </c>
      <c r="K31" s="34" t="str">
        <f t="shared" si="8"/>
        <v>4041/4042</v>
      </c>
      <c r="L31" s="34" t="str">
        <f>VLOOKUP(A31,'Trips&amp;Operators'!$C$1:$E$10000,3,FALSE)</f>
        <v>MAELZER</v>
      </c>
      <c r="M31" s="6">
        <f t="shared" si="0"/>
        <v>2.6076388887304347E-2</v>
      </c>
      <c r="N31" s="7">
        <f t="shared" si="1"/>
        <v>37.54999999771826</v>
      </c>
      <c r="O31" s="7"/>
      <c r="P31" s="7"/>
      <c r="Q31" s="35"/>
      <c r="R31" s="35"/>
      <c r="S31" s="59">
        <f t="shared" si="11"/>
        <v>1</v>
      </c>
      <c r="T31" s="1" t="str">
        <f t="shared" si="12"/>
        <v>NorthBound</v>
      </c>
      <c r="U31" s="1">
        <f>COUNTIFS(Variables!$M$2:$M$19,IF(T31="NorthBound","&gt;=","&lt;=")&amp;Y31,Variables!$M$2:$M$19,IF(T31="NorthBound","&lt;=","&gt;=")&amp;Z31)</f>
        <v>12</v>
      </c>
      <c r="V31" s="38" t="str">
        <f t="shared" si="13"/>
        <v>https://search-rtdc-monitor-bjffxe2xuh6vdkpspy63sjmuny.us-east-1.es.amazonaws.com/_plugin/kibana/#/discover/Steve-Slow-Train-Analysis-(2080s-and-2083s)?_g=(refreshInterval:(display:Off,section:0,value:0),time:(from:'2016-06-29 05:56:31-0600',mode:absolute,to:'2016-06-29 06:38:44-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31" s="38" t="str">
        <f t="shared" si="14"/>
        <v>N</v>
      </c>
      <c r="X31" s="38">
        <f t="shared" si="15"/>
        <v>1</v>
      </c>
      <c r="Y31" s="38">
        <f t="shared" si="16"/>
        <v>7.46E-2</v>
      </c>
      <c r="Z31" s="38">
        <f t="shared" si="17"/>
        <v>23.3291</v>
      </c>
      <c r="AA31" s="38">
        <f t="shared" si="18"/>
        <v>23.2545</v>
      </c>
      <c r="AB31" s="39" t="e">
        <f>VLOOKUP(A31,Enforcements!$C$7:$J$32,8,0)</f>
        <v>#N/A</v>
      </c>
      <c r="AC31" s="39" t="e">
        <f>VLOOKUP(A31,Enforcements!$C$7:$E$32,3,0)</f>
        <v>#N/A</v>
      </c>
    </row>
    <row r="32" spans="1:29" s="1" customFormat="1" x14ac:dyDescent="0.25">
      <c r="A32" s="67" t="s">
        <v>259</v>
      </c>
      <c r="B32" s="34">
        <v>4041</v>
      </c>
      <c r="C32" s="34" t="s">
        <v>60</v>
      </c>
      <c r="D32" s="34" t="s">
        <v>209</v>
      </c>
      <c r="E32" s="20">
        <v>42550.284687500003</v>
      </c>
      <c r="F32" s="20">
        <v>42550.285891203705</v>
      </c>
      <c r="G32" s="23">
        <v>1</v>
      </c>
      <c r="H32" s="20" t="s">
        <v>62</v>
      </c>
      <c r="I32" s="20">
        <v>42550.315289351849</v>
      </c>
      <c r="J32" s="34">
        <v>0</v>
      </c>
      <c r="K32" s="34" t="str">
        <f t="shared" si="8"/>
        <v>4041/4042</v>
      </c>
      <c r="L32" s="34" t="str">
        <f>VLOOKUP(A32,'Trips&amp;Operators'!$C$1:$E$10000,3,FALSE)</f>
        <v>MAELZER</v>
      </c>
      <c r="M32" s="6">
        <f t="shared" si="0"/>
        <v>2.9398148144537117E-2</v>
      </c>
      <c r="N32" s="7">
        <f t="shared" si="1"/>
        <v>42.333333328133449</v>
      </c>
      <c r="O32" s="7"/>
      <c r="P32" s="7"/>
      <c r="Q32" s="35"/>
      <c r="R32" s="35"/>
      <c r="S32" s="59">
        <f t="shared" si="11"/>
        <v>1</v>
      </c>
      <c r="T32" s="1" t="str">
        <f t="shared" si="12"/>
        <v>Southbound</v>
      </c>
      <c r="U32" s="1">
        <f>COUNTIFS(Variables!$M$2:$M$19,IF(T32="NorthBound","&gt;=","&lt;=")&amp;Y32,Variables!$M$2:$M$19,IF(T32="NorthBound","&lt;=","&gt;=")&amp;Z32)</f>
        <v>12</v>
      </c>
      <c r="V32" s="38" t="str">
        <f t="shared" si="13"/>
        <v>https://search-rtdc-monitor-bjffxe2xuh6vdkpspy63sjmuny.us-east-1.es.amazonaws.com/_plugin/kibana/#/discover/Steve-Slow-Train-Analysis-(2080s-and-2083s)?_g=(refreshInterval:(display:Off,section:0,value:0),time:(from:'2016-06-29 06:48:57-0600',mode:absolute,to:'2016-06-29 07:35:01-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32" s="38" t="str">
        <f t="shared" si="14"/>
        <v>N</v>
      </c>
      <c r="X32" s="38">
        <f t="shared" si="15"/>
        <v>1</v>
      </c>
      <c r="Y32" s="38">
        <f t="shared" si="16"/>
        <v>23.296800000000001</v>
      </c>
      <c r="Z32" s="38">
        <f t="shared" si="17"/>
        <v>1.52E-2</v>
      </c>
      <c r="AA32" s="38">
        <f t="shared" si="18"/>
        <v>23.281600000000001</v>
      </c>
      <c r="AB32" s="39" t="e">
        <f>VLOOKUP(A32,Enforcements!$C$7:$J$32,8,0)</f>
        <v>#N/A</v>
      </c>
      <c r="AC32" s="39" t="e">
        <f>VLOOKUP(A32,Enforcements!$C$7:$E$32,3,0)</f>
        <v>#N/A</v>
      </c>
    </row>
    <row r="33" spans="1:29" s="1" customFormat="1" x14ac:dyDescent="0.25">
      <c r="A33" s="67" t="s">
        <v>260</v>
      </c>
      <c r="B33" s="34">
        <v>4040</v>
      </c>
      <c r="C33" s="34" t="s">
        <v>60</v>
      </c>
      <c r="D33" s="34" t="s">
        <v>85</v>
      </c>
      <c r="E33" s="20">
        <v>42550.257986111108</v>
      </c>
      <c r="F33" s="20">
        <v>42550.258912037039</v>
      </c>
      <c r="G33" s="23">
        <v>1</v>
      </c>
      <c r="H33" s="20" t="s">
        <v>104</v>
      </c>
      <c r="I33" s="20">
        <v>42550.285462962966</v>
      </c>
      <c r="J33" s="34">
        <v>0</v>
      </c>
      <c r="K33" s="34" t="str">
        <f t="shared" si="8"/>
        <v>4039/4040</v>
      </c>
      <c r="L33" s="34" t="str">
        <f>VLOOKUP(A33,'Trips&amp;Operators'!$C$1:$E$10000,3,FALSE)</f>
        <v>KILLION</v>
      </c>
      <c r="M33" s="6">
        <f t="shared" si="0"/>
        <v>2.6550925926130731E-2</v>
      </c>
      <c r="N33" s="7">
        <f t="shared" si="1"/>
        <v>38.233333333628252</v>
      </c>
      <c r="O33" s="7"/>
      <c r="P33" s="7"/>
      <c r="Q33" s="35"/>
      <c r="R33" s="35"/>
      <c r="S33" s="59">
        <f t="shared" si="11"/>
        <v>1</v>
      </c>
      <c r="T33" s="1" t="str">
        <f t="shared" si="12"/>
        <v>NorthBound</v>
      </c>
      <c r="U33" s="1">
        <f>COUNTIFS(Variables!$M$2:$M$19,IF(T33="NorthBound","&gt;=","&lt;=")&amp;Y33,Variables!$M$2:$M$19,IF(T33="NorthBound","&lt;=","&gt;=")&amp;Z33)</f>
        <v>12</v>
      </c>
      <c r="V33" s="38" t="str">
        <f t="shared" si="13"/>
        <v>https://search-rtdc-monitor-bjffxe2xuh6vdkpspy63sjmuny.us-east-1.es.amazonaws.com/_plugin/kibana/#/discover/Steve-Slow-Train-Analysis-(2080s-and-2083s)?_g=(refreshInterval:(display:Off,section:0,value:0),time:(from:'2016-06-29 06:10:30-0600',mode:absolute,to:'2016-06-29 06:52:04-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33" s="38" t="str">
        <f t="shared" si="14"/>
        <v>N</v>
      </c>
      <c r="X33" s="38">
        <f t="shared" si="15"/>
        <v>1</v>
      </c>
      <c r="Y33" s="38">
        <f t="shared" si="16"/>
        <v>4.6399999999999997E-2</v>
      </c>
      <c r="Z33" s="38">
        <f t="shared" si="17"/>
        <v>23.3307</v>
      </c>
      <c r="AA33" s="38">
        <f t="shared" si="18"/>
        <v>23.284300000000002</v>
      </c>
      <c r="AB33" s="39" t="e">
        <f>VLOOKUP(A33,Enforcements!$C$7:$J$32,8,0)</f>
        <v>#N/A</v>
      </c>
      <c r="AC33" s="39" t="e">
        <f>VLOOKUP(A33,Enforcements!$C$7:$E$32,3,0)</f>
        <v>#N/A</v>
      </c>
    </row>
    <row r="34" spans="1:29" s="1" customFormat="1" x14ac:dyDescent="0.25">
      <c r="A34" s="67" t="s">
        <v>261</v>
      </c>
      <c r="B34" s="34">
        <v>4039</v>
      </c>
      <c r="C34" s="34" t="s">
        <v>60</v>
      </c>
      <c r="D34" s="34" t="s">
        <v>155</v>
      </c>
      <c r="E34" s="20">
        <v>42550.297303240739</v>
      </c>
      <c r="F34" s="20">
        <v>42550.298472222225</v>
      </c>
      <c r="G34" s="23">
        <v>1</v>
      </c>
      <c r="H34" s="20" t="s">
        <v>208</v>
      </c>
      <c r="I34" s="20">
        <v>42550.325254629628</v>
      </c>
      <c r="J34" s="34">
        <v>0</v>
      </c>
      <c r="K34" s="34" t="str">
        <f t="shared" si="8"/>
        <v>4039/4040</v>
      </c>
      <c r="L34" s="34" t="str">
        <f>VLOOKUP(A34,'Trips&amp;Operators'!$C$1:$E$10000,3,FALSE)</f>
        <v>KILLION</v>
      </c>
      <c r="M34" s="6">
        <f t="shared" si="0"/>
        <v>2.6782407403516117E-2</v>
      </c>
      <c r="N34" s="7">
        <f t="shared" si="1"/>
        <v>38.566666661063209</v>
      </c>
      <c r="O34" s="7"/>
      <c r="P34" s="7"/>
      <c r="Q34" s="35"/>
      <c r="R34" s="35"/>
      <c r="S34" s="59">
        <f t="shared" si="11"/>
        <v>1</v>
      </c>
      <c r="T34" s="1" t="str">
        <f t="shared" si="12"/>
        <v>Southbound</v>
      </c>
      <c r="U34" s="1">
        <f>COUNTIFS(Variables!$M$2:$M$19,IF(T34="NorthBound","&gt;=","&lt;=")&amp;Y34,Variables!$M$2:$M$19,IF(T34="NorthBound","&lt;=","&gt;=")&amp;Z34)</f>
        <v>12</v>
      </c>
      <c r="V34" s="38" t="str">
        <f t="shared" si="13"/>
        <v>https://search-rtdc-monitor-bjffxe2xuh6vdkpspy63sjmuny.us-east-1.es.amazonaws.com/_plugin/kibana/#/discover/Steve-Slow-Train-Analysis-(2080s-and-2083s)?_g=(refreshInterval:(display:Off,section:0,value:0),time:(from:'2016-06-29 07:07:07-0600',mode:absolute,to:'2016-06-29 07:49:22-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34" s="38" t="str">
        <f t="shared" si="14"/>
        <v>N</v>
      </c>
      <c r="X34" s="38">
        <f t="shared" si="15"/>
        <v>1</v>
      </c>
      <c r="Y34" s="38">
        <f t="shared" si="16"/>
        <v>23.299399999999999</v>
      </c>
      <c r="Z34" s="38">
        <f t="shared" si="17"/>
        <v>1.34E-2</v>
      </c>
      <c r="AA34" s="38">
        <f t="shared" si="18"/>
        <v>23.285999999999998</v>
      </c>
      <c r="AB34" s="39" t="e">
        <f>VLOOKUP(A34,Enforcements!$C$7:$J$32,8,0)</f>
        <v>#N/A</v>
      </c>
      <c r="AC34" s="39" t="e">
        <f>VLOOKUP(A34,Enforcements!$C$7:$E$32,3,0)</f>
        <v>#N/A</v>
      </c>
    </row>
    <row r="35" spans="1:29" s="1" customFormat="1" x14ac:dyDescent="0.25">
      <c r="A35" s="67" t="s">
        <v>262</v>
      </c>
      <c r="B35" s="34">
        <v>4044</v>
      </c>
      <c r="C35" s="34" t="s">
        <v>60</v>
      </c>
      <c r="D35" s="34" t="s">
        <v>164</v>
      </c>
      <c r="E35" s="20">
        <v>42550.265127314815</v>
      </c>
      <c r="F35" s="20">
        <v>42550.266076388885</v>
      </c>
      <c r="G35" s="23">
        <v>1</v>
      </c>
      <c r="H35" s="20" t="s">
        <v>263</v>
      </c>
      <c r="I35" s="20">
        <v>42550.296805555554</v>
      </c>
      <c r="J35" s="34">
        <v>0</v>
      </c>
      <c r="K35" s="34" t="str">
        <f t="shared" si="8"/>
        <v>4043/4044</v>
      </c>
      <c r="L35" s="34" t="str">
        <f>VLOOKUP(A35,'Trips&amp;Operators'!$C$1:$E$10000,3,FALSE)</f>
        <v>ACKERMAN</v>
      </c>
      <c r="M35" s="6">
        <f t="shared" si="0"/>
        <v>3.0729166668606922E-2</v>
      </c>
      <c r="N35" s="7">
        <f t="shared" si="1"/>
        <v>44.250000002793968</v>
      </c>
      <c r="O35" s="7"/>
      <c r="P35" s="7"/>
      <c r="Q35" s="35"/>
      <c r="R35" s="35"/>
      <c r="S35" s="59">
        <f t="shared" si="11"/>
        <v>1</v>
      </c>
      <c r="T35" s="1" t="str">
        <f t="shared" si="12"/>
        <v>NorthBound</v>
      </c>
      <c r="U35" s="1">
        <f>COUNTIFS(Variables!$M$2:$M$19,IF(T35="NorthBound","&gt;=","&lt;=")&amp;Y35,Variables!$M$2:$M$19,IF(T35="NorthBound","&lt;=","&gt;=")&amp;Z35)</f>
        <v>12</v>
      </c>
      <c r="V35" s="38" t="str">
        <f t="shared" si="13"/>
        <v>https://search-rtdc-monitor-bjffxe2xuh6vdkpspy63sjmuny.us-east-1.es.amazonaws.com/_plugin/kibana/#/discover/Steve-Slow-Train-Analysis-(2080s-and-2083s)?_g=(refreshInterval:(display:Off,section:0,value:0),time:(from:'2016-06-29 06:20:47-0600',mode:absolute,to:'2016-06-29 07:08: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35" s="38" t="str">
        <f t="shared" si="14"/>
        <v>N</v>
      </c>
      <c r="X35" s="38">
        <f t="shared" si="15"/>
        <v>1</v>
      </c>
      <c r="Y35" s="38">
        <f t="shared" si="16"/>
        <v>4.6600000000000003E-2</v>
      </c>
      <c r="Z35" s="38">
        <f t="shared" si="17"/>
        <v>23.331499999999998</v>
      </c>
      <c r="AA35" s="38">
        <f t="shared" si="18"/>
        <v>23.284899999999997</v>
      </c>
      <c r="AB35" s="39" t="e">
        <f>VLOOKUP(A35,Enforcements!$C$7:$J$32,8,0)</f>
        <v>#N/A</v>
      </c>
      <c r="AC35" s="39" t="e">
        <f>VLOOKUP(A35,Enforcements!$C$7:$E$32,3,0)</f>
        <v>#N/A</v>
      </c>
    </row>
    <row r="36" spans="1:29" s="1" customFormat="1" x14ac:dyDescent="0.25">
      <c r="A36" s="67" t="s">
        <v>264</v>
      </c>
      <c r="B36" s="34">
        <v>4043</v>
      </c>
      <c r="C36" s="34" t="s">
        <v>60</v>
      </c>
      <c r="D36" s="34" t="s">
        <v>170</v>
      </c>
      <c r="E36" s="20">
        <v>42550.302418981482</v>
      </c>
      <c r="F36" s="20">
        <v>42550.30332175926</v>
      </c>
      <c r="G36" s="23">
        <v>1</v>
      </c>
      <c r="H36" s="20" t="s">
        <v>74</v>
      </c>
      <c r="I36" s="20">
        <v>42550.336400462962</v>
      </c>
      <c r="J36" s="34">
        <v>0</v>
      </c>
      <c r="K36" s="34" t="str">
        <f t="shared" si="8"/>
        <v>4043/4044</v>
      </c>
      <c r="L36" s="34" t="str">
        <f>VLOOKUP(A36,'Trips&amp;Operators'!$C$1:$E$10000,3,FALSE)</f>
        <v>ACKERMAN</v>
      </c>
      <c r="M36" s="6">
        <f t="shared" si="0"/>
        <v>3.3078703701903578E-2</v>
      </c>
      <c r="N36" s="7">
        <f t="shared" si="1"/>
        <v>47.633333330741152</v>
      </c>
      <c r="O36" s="7"/>
      <c r="P36" s="7"/>
      <c r="Q36" s="35"/>
      <c r="R36" s="35"/>
      <c r="S36" s="59">
        <f t="shared" si="11"/>
        <v>1</v>
      </c>
      <c r="T36" s="1" t="str">
        <f t="shared" si="12"/>
        <v>Southbound</v>
      </c>
      <c r="U36" s="1">
        <f>COUNTIFS(Variables!$M$2:$M$19,IF(T36="NorthBound","&gt;=","&lt;=")&amp;Y36,Variables!$M$2:$M$19,IF(T36="NorthBound","&lt;=","&gt;=")&amp;Z36)</f>
        <v>12</v>
      </c>
      <c r="V36" s="38" t="str">
        <f t="shared" si="13"/>
        <v>https://search-rtdc-monitor-bjffxe2xuh6vdkpspy63sjmuny.us-east-1.es.amazonaws.com/_plugin/kibana/#/discover/Steve-Slow-Train-Analysis-(2080s-and-2083s)?_g=(refreshInterval:(display:Off,section:0,value:0),time:(from:'2016-06-29 07:14:29-0600',mode:absolute,to:'2016-06-29 08:05:25-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36" s="38" t="str">
        <f t="shared" si="14"/>
        <v>N</v>
      </c>
      <c r="X36" s="38">
        <f t="shared" si="15"/>
        <v>1</v>
      </c>
      <c r="Y36" s="38">
        <f t="shared" si="16"/>
        <v>23.299099999999999</v>
      </c>
      <c r="Z36" s="38">
        <f t="shared" si="17"/>
        <v>1.41E-2</v>
      </c>
      <c r="AA36" s="38">
        <f t="shared" si="18"/>
        <v>23.285</v>
      </c>
      <c r="AB36" s="39" t="e">
        <f>VLOOKUP(A36,Enforcements!$C$7:$J$32,8,0)</f>
        <v>#N/A</v>
      </c>
      <c r="AC36" s="39" t="e">
        <f>VLOOKUP(A36,Enforcements!$C$7:$E$32,3,0)</f>
        <v>#N/A</v>
      </c>
    </row>
    <row r="37" spans="1:29" s="1" customFormat="1" x14ac:dyDescent="0.25">
      <c r="A37" s="67" t="s">
        <v>265</v>
      </c>
      <c r="B37" s="34">
        <v>4011</v>
      </c>
      <c r="C37" s="34" t="s">
        <v>60</v>
      </c>
      <c r="D37" s="34" t="s">
        <v>199</v>
      </c>
      <c r="E37" s="20">
        <v>42550.276678240742</v>
      </c>
      <c r="F37" s="20">
        <v>42550.277604166666</v>
      </c>
      <c r="G37" s="23">
        <v>1</v>
      </c>
      <c r="H37" s="20" t="s">
        <v>266</v>
      </c>
      <c r="I37" s="20">
        <v>42550.305659722224</v>
      </c>
      <c r="J37" s="34">
        <v>0</v>
      </c>
      <c r="K37" s="34" t="str">
        <f t="shared" si="8"/>
        <v>4011/4012</v>
      </c>
      <c r="L37" s="34" t="str">
        <f>VLOOKUP(A37,'Trips&amp;Operators'!$C$1:$E$10000,3,FALSE)</f>
        <v>SANTIZO</v>
      </c>
      <c r="M37" s="6">
        <f t="shared" si="0"/>
        <v>2.8055555558239575E-2</v>
      </c>
      <c r="N37" s="7">
        <f t="shared" si="1"/>
        <v>40.400000003864989</v>
      </c>
      <c r="O37" s="7"/>
      <c r="P37" s="7"/>
      <c r="Q37" s="35"/>
      <c r="R37" s="35"/>
      <c r="S37" s="59">
        <f t="shared" si="11"/>
        <v>1</v>
      </c>
      <c r="T37" s="1" t="str">
        <f t="shared" si="12"/>
        <v>NorthBound</v>
      </c>
      <c r="U37" s="1">
        <f>COUNTIFS(Variables!$M$2:$M$19,IF(T37="NorthBound","&gt;=","&lt;=")&amp;Y37,Variables!$M$2:$M$19,IF(T37="NorthBound","&lt;=","&gt;=")&amp;Z37)</f>
        <v>12</v>
      </c>
      <c r="V37" s="38" t="str">
        <f t="shared" si="13"/>
        <v>https://search-rtdc-monitor-bjffxe2xuh6vdkpspy63sjmuny.us-east-1.es.amazonaws.com/_plugin/kibana/#/discover/Steve-Slow-Train-Analysis-(2080s-and-2083s)?_g=(refreshInterval:(display:Off,section:0,value:0),time:(from:'2016-06-29 06:37:25-0600',mode:absolute,to:'2016-06-29 07:21:09-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37" s="38" t="str">
        <f t="shared" si="14"/>
        <v>N</v>
      </c>
      <c r="X37" s="38">
        <f t="shared" si="15"/>
        <v>1</v>
      </c>
      <c r="Y37" s="38">
        <f t="shared" si="16"/>
        <v>4.4600000000000001E-2</v>
      </c>
      <c r="Z37" s="38">
        <f t="shared" si="17"/>
        <v>23.145600000000002</v>
      </c>
      <c r="AA37" s="38">
        <f t="shared" si="18"/>
        <v>23.101000000000003</v>
      </c>
      <c r="AB37" s="39" t="e">
        <f>VLOOKUP(A37,Enforcements!$C$7:$J$32,8,0)</f>
        <v>#N/A</v>
      </c>
      <c r="AC37" s="39" t="e">
        <f>VLOOKUP(A37,Enforcements!$C$7:$E$32,3,0)</f>
        <v>#N/A</v>
      </c>
    </row>
    <row r="38" spans="1:29" s="1" customFormat="1" x14ac:dyDescent="0.25">
      <c r="A38" s="67" t="s">
        <v>267</v>
      </c>
      <c r="B38" s="34">
        <v>4012</v>
      </c>
      <c r="C38" s="34" t="s">
        <v>60</v>
      </c>
      <c r="D38" s="34" t="s">
        <v>148</v>
      </c>
      <c r="E38" s="20">
        <v>42550.307800925926</v>
      </c>
      <c r="F38" s="20">
        <v>42550.308657407404</v>
      </c>
      <c r="G38" s="23">
        <v>1</v>
      </c>
      <c r="H38" s="20" t="s">
        <v>268</v>
      </c>
      <c r="I38" s="20">
        <v>42550.342511574076</v>
      </c>
      <c r="J38" s="34">
        <v>1</v>
      </c>
      <c r="K38" s="34" t="str">
        <f t="shared" si="8"/>
        <v>4011/4012</v>
      </c>
      <c r="L38" s="34" t="str">
        <f>VLOOKUP(A38,'Trips&amp;Operators'!$C$1:$E$10000,3,FALSE)</f>
        <v>SANTIZO</v>
      </c>
      <c r="M38" s="6">
        <f t="shared" si="0"/>
        <v>3.3854166671517305E-2</v>
      </c>
      <c r="N38" s="7"/>
      <c r="O38" s="7"/>
      <c r="P38" s="7">
        <f t="shared" si="1"/>
        <v>48.750000006984919</v>
      </c>
      <c r="Q38" s="35"/>
      <c r="R38" s="35" t="s">
        <v>221</v>
      </c>
      <c r="S38" s="59">
        <f t="shared" si="11"/>
        <v>1</v>
      </c>
      <c r="T38" s="1" t="str">
        <f t="shared" si="12"/>
        <v>Southbound</v>
      </c>
      <c r="U38" s="1">
        <f>COUNTIFS(Variables!$M$2:$M$19,IF(T38="NorthBound","&gt;=","&lt;=")&amp;Y38,Variables!$M$2:$M$19,IF(T38="NorthBound","&lt;=","&gt;=")&amp;Z38)</f>
        <v>12</v>
      </c>
      <c r="V38" s="38" t="str">
        <f t="shared" si="13"/>
        <v>https://search-rtdc-monitor-bjffxe2xuh6vdkpspy63sjmuny.us-east-1.es.amazonaws.com/_plugin/kibana/#/discover/Steve-Slow-Train-Analysis-(2080s-and-2083s)?_g=(refreshInterval:(display:Off,section:0,value:0),time:(from:'2016-06-29 07:22:14-0600',mode:absolute,to:'2016-06-29 08:14: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38" s="38" t="str">
        <f t="shared" si="14"/>
        <v>Y</v>
      </c>
      <c r="X38" s="38">
        <f t="shared" si="15"/>
        <v>1</v>
      </c>
      <c r="Y38" s="38">
        <f t="shared" si="16"/>
        <v>23.298999999999999</v>
      </c>
      <c r="Z38" s="38">
        <f t="shared" si="17"/>
        <v>2.2189999999999999</v>
      </c>
      <c r="AA38" s="38">
        <f t="shared" si="18"/>
        <v>21.08</v>
      </c>
      <c r="AB38" s="39">
        <f>VLOOKUP(A38,Enforcements!$C$7:$J$32,8,0)</f>
        <v>21848</v>
      </c>
      <c r="AC38" s="39" t="str">
        <f>VLOOKUP(A38,Enforcements!$C$7:$E$32,3,0)</f>
        <v>PERMANENT SPEED RESTRICTION</v>
      </c>
    </row>
    <row r="39" spans="1:29" s="1" customFormat="1" x14ac:dyDescent="0.25">
      <c r="A39" s="95" t="s">
        <v>269</v>
      </c>
      <c r="B39" s="34">
        <v>4016</v>
      </c>
      <c r="C39" s="34" t="s">
        <v>60</v>
      </c>
      <c r="D39" s="34" t="s">
        <v>73</v>
      </c>
      <c r="E39" s="20">
        <v>42550.286608796298</v>
      </c>
      <c r="F39" s="20">
        <v>42550.288587962961</v>
      </c>
      <c r="G39" s="23">
        <v>2</v>
      </c>
      <c r="H39" s="20" t="s">
        <v>270</v>
      </c>
      <c r="I39" s="20">
        <v>42550.316388888888</v>
      </c>
      <c r="J39" s="34">
        <v>1</v>
      </c>
      <c r="K39" s="34" t="str">
        <f t="shared" si="8"/>
        <v>4015/4016</v>
      </c>
      <c r="L39" s="34" t="str">
        <f>VLOOKUP(A39,'Trips&amp;Operators'!$C$1:$E$10000,3,FALSE)</f>
        <v>YORK</v>
      </c>
      <c r="M39" s="6">
        <f t="shared" si="0"/>
        <v>2.7800925927294884E-2</v>
      </c>
      <c r="N39" s="7">
        <f t="shared" si="1"/>
        <v>40.033333335304633</v>
      </c>
      <c r="O39" s="7"/>
      <c r="P39" s="7"/>
      <c r="Q39" s="35"/>
      <c r="R39" s="35"/>
      <c r="S39" s="59">
        <f t="shared" si="11"/>
        <v>1</v>
      </c>
      <c r="T39" s="1" t="str">
        <f t="shared" si="12"/>
        <v>NorthBound</v>
      </c>
      <c r="U39" s="1">
        <f>COUNTIFS(Variables!$M$2:$M$19,IF(T39="NorthBound","&gt;=","&lt;=")&amp;Y39,Variables!$M$2:$M$19,IF(T39="NorthBound","&lt;=","&gt;=")&amp;Z39)</f>
        <v>12</v>
      </c>
      <c r="V39" s="38" t="str">
        <f t="shared" si="13"/>
        <v>https://search-rtdc-monitor-bjffxe2xuh6vdkpspy63sjmuny.us-east-1.es.amazonaws.com/_plugin/kibana/#/discover/Steve-Slow-Train-Analysis-(2080s-and-2083s)?_g=(refreshInterval:(display:Off,section:0,value:0),time:(from:'2016-06-29 06:51:43-0600',mode:absolute,to:'2016-06-29 07:36:36-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39" s="38" t="str">
        <f t="shared" si="14"/>
        <v>N</v>
      </c>
      <c r="X39" s="38">
        <f t="shared" si="15"/>
        <v>1</v>
      </c>
      <c r="Y39" s="38">
        <f t="shared" si="16"/>
        <v>4.5699999999999998E-2</v>
      </c>
      <c r="Z39" s="38">
        <f t="shared" si="17"/>
        <v>23.328700000000001</v>
      </c>
      <c r="AA39" s="38">
        <f t="shared" si="18"/>
        <v>23.283000000000001</v>
      </c>
      <c r="AB39" s="39" t="e">
        <f>VLOOKUP(A39,Enforcements!$C$7:$J$32,8,0)</f>
        <v>#N/A</v>
      </c>
      <c r="AC39" s="39" t="e">
        <f>VLOOKUP(A39,Enforcements!$C$7:$E$32,3,0)</f>
        <v>#N/A</v>
      </c>
    </row>
    <row r="40" spans="1:29" s="1" customFormat="1" x14ac:dyDescent="0.25">
      <c r="A40" s="67" t="s">
        <v>271</v>
      </c>
      <c r="B40" s="34">
        <v>4015</v>
      </c>
      <c r="C40" s="34" t="s">
        <v>60</v>
      </c>
      <c r="D40" s="34" t="s">
        <v>204</v>
      </c>
      <c r="E40" s="20">
        <v>42550.319074074076</v>
      </c>
      <c r="F40" s="20">
        <v>42550.319849537038</v>
      </c>
      <c r="G40" s="23">
        <v>1</v>
      </c>
      <c r="H40" s="20" t="s">
        <v>105</v>
      </c>
      <c r="I40" s="20">
        <v>42550.357523148145</v>
      </c>
      <c r="J40" s="34">
        <v>0</v>
      </c>
      <c r="K40" s="34" t="str">
        <f t="shared" si="8"/>
        <v>4015/4016</v>
      </c>
      <c r="L40" s="34" t="str">
        <f>VLOOKUP(A40,'Trips&amp;Operators'!$C$1:$E$10000,3,FALSE)</f>
        <v>YORK</v>
      </c>
      <c r="M40" s="6">
        <f t="shared" si="0"/>
        <v>3.7673611106583849E-2</v>
      </c>
      <c r="N40" s="7">
        <f t="shared" si="1"/>
        <v>54.249999993480742</v>
      </c>
      <c r="O40" s="7"/>
      <c r="P40" s="7"/>
      <c r="Q40" s="35"/>
      <c r="R40" s="35"/>
      <c r="S40" s="59">
        <f t="shared" si="11"/>
        <v>1</v>
      </c>
      <c r="T40" s="1" t="str">
        <f t="shared" si="12"/>
        <v>Southbound</v>
      </c>
      <c r="U40" s="1">
        <f>COUNTIFS(Variables!$M$2:$M$19,IF(T40="NorthBound","&gt;=","&lt;=")&amp;Y40,Variables!$M$2:$M$19,IF(T40="NorthBound","&lt;=","&gt;=")&amp;Z40)</f>
        <v>12</v>
      </c>
      <c r="V40" s="38" t="str">
        <f t="shared" si="13"/>
        <v>https://search-rtdc-monitor-bjffxe2xuh6vdkpspy63sjmuny.us-east-1.es.amazonaws.com/_plugin/kibana/#/discover/Steve-Slow-Train-Analysis-(2080s-and-2083s)?_g=(refreshInterval:(display:Off,section:0,value:0),time:(from:'2016-06-29 07:38:28-0600',mode:absolute,to:'2016-06-29 08:35: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40" s="38" t="str">
        <f t="shared" si="14"/>
        <v>N</v>
      </c>
      <c r="X40" s="38">
        <f t="shared" si="15"/>
        <v>1</v>
      </c>
      <c r="Y40" s="38">
        <f t="shared" si="16"/>
        <v>23.2989</v>
      </c>
      <c r="Z40" s="38">
        <f t="shared" si="17"/>
        <v>1.4999999999999999E-2</v>
      </c>
      <c r="AA40" s="38">
        <f t="shared" si="18"/>
        <v>23.283899999999999</v>
      </c>
      <c r="AB40" s="39" t="e">
        <f>VLOOKUP(A40,Enforcements!$C$7:$J$32,8,0)</f>
        <v>#N/A</v>
      </c>
      <c r="AC40" s="39" t="e">
        <f>VLOOKUP(A40,Enforcements!$C$7:$E$32,3,0)</f>
        <v>#N/A</v>
      </c>
    </row>
    <row r="41" spans="1:29" s="1" customFormat="1" x14ac:dyDescent="0.25">
      <c r="A41" s="67" t="s">
        <v>272</v>
      </c>
      <c r="B41" s="34">
        <v>4024</v>
      </c>
      <c r="C41" s="34" t="s">
        <v>60</v>
      </c>
      <c r="D41" s="34" t="s">
        <v>136</v>
      </c>
      <c r="E41" s="20">
        <v>42550.300625000003</v>
      </c>
      <c r="F41" s="20">
        <v>42550.301307870373</v>
      </c>
      <c r="G41" s="23">
        <v>0</v>
      </c>
      <c r="H41" s="20" t="s">
        <v>273</v>
      </c>
      <c r="I41" s="20">
        <v>42550.326597222222</v>
      </c>
      <c r="J41" s="34">
        <v>0</v>
      </c>
      <c r="K41" s="34" t="str">
        <f t="shared" si="8"/>
        <v>4023/4024</v>
      </c>
      <c r="L41" s="34" t="str">
        <f>VLOOKUP(A41,'Trips&amp;Operators'!$C$1:$E$10000,3,FALSE)</f>
        <v>ROCHA</v>
      </c>
      <c r="M41" s="6">
        <f t="shared" si="0"/>
        <v>2.5289351848186925E-2</v>
      </c>
      <c r="N41" s="7">
        <f t="shared" si="1"/>
        <v>36.416666661389172</v>
      </c>
      <c r="O41" s="7"/>
      <c r="P41" s="7"/>
      <c r="Q41" s="35"/>
      <c r="R41" s="35"/>
      <c r="S41" s="59">
        <f t="shared" si="11"/>
        <v>1</v>
      </c>
      <c r="T41" s="1" t="str">
        <f t="shared" si="12"/>
        <v>NorthBound</v>
      </c>
      <c r="U41" s="1">
        <f>COUNTIFS(Variables!$M$2:$M$19,IF(T41="NorthBound","&gt;=","&lt;=")&amp;Y41,Variables!$M$2:$M$19,IF(T41="NorthBound","&lt;=","&gt;=")&amp;Z41)</f>
        <v>12</v>
      </c>
      <c r="V41" s="38" t="str">
        <f t="shared" si="13"/>
        <v>https://search-rtdc-monitor-bjffxe2xuh6vdkpspy63sjmuny.us-east-1.es.amazonaws.com/_plugin/kibana/#/discover/Steve-Slow-Train-Analysis-(2080s-and-2083s)?_g=(refreshInterval:(display:Off,section:0,value:0),time:(from:'2016-06-29 07:11:54-0600',mode:absolute,to:'2016-06-29 07:51:18-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41" s="38" t="str">
        <f t="shared" si="14"/>
        <v>N</v>
      </c>
      <c r="X41" s="38">
        <f t="shared" si="15"/>
        <v>1</v>
      </c>
      <c r="Y41" s="38">
        <f t="shared" si="16"/>
        <v>4.7500000000000001E-2</v>
      </c>
      <c r="Z41" s="38">
        <f t="shared" si="17"/>
        <v>23.331800000000001</v>
      </c>
      <c r="AA41" s="38">
        <f t="shared" si="18"/>
        <v>23.284300000000002</v>
      </c>
      <c r="AB41" s="39" t="e">
        <f>VLOOKUP(A41,Enforcements!$C$7:$J$32,8,0)</f>
        <v>#N/A</v>
      </c>
      <c r="AC41" s="39" t="e">
        <f>VLOOKUP(A41,Enforcements!$C$7:$E$32,3,0)</f>
        <v>#N/A</v>
      </c>
    </row>
    <row r="42" spans="1:29" s="1" customFormat="1" x14ac:dyDescent="0.25">
      <c r="A42" s="67" t="s">
        <v>274</v>
      </c>
      <c r="B42" s="34">
        <v>4023</v>
      </c>
      <c r="C42" s="34" t="s">
        <v>60</v>
      </c>
      <c r="D42" s="34" t="s">
        <v>145</v>
      </c>
      <c r="E42" s="20">
        <v>42550.338148148148</v>
      </c>
      <c r="F42" s="20">
        <v>42550.339178240742</v>
      </c>
      <c r="G42" s="23">
        <v>1</v>
      </c>
      <c r="H42" s="20" t="s">
        <v>74</v>
      </c>
      <c r="I42" s="20">
        <v>42550.368136574078</v>
      </c>
      <c r="J42" s="34">
        <v>2</v>
      </c>
      <c r="K42" s="34" t="str">
        <f t="shared" si="8"/>
        <v>4023/4024</v>
      </c>
      <c r="L42" s="34" t="str">
        <f>VLOOKUP(A42,'Trips&amp;Operators'!$C$1:$E$10000,3,FALSE)</f>
        <v>ROCHA</v>
      </c>
      <c r="M42" s="6">
        <f t="shared" si="0"/>
        <v>2.8958333336049691E-2</v>
      </c>
      <c r="N42" s="7">
        <f t="shared" si="1"/>
        <v>41.700000003911555</v>
      </c>
      <c r="O42" s="7"/>
      <c r="P42" s="7"/>
      <c r="Q42" s="35"/>
      <c r="R42" s="35"/>
      <c r="S42" s="59">
        <f t="shared" si="11"/>
        <v>1</v>
      </c>
      <c r="T42" s="1" t="str">
        <f t="shared" si="12"/>
        <v>Southbound</v>
      </c>
      <c r="U42" s="1">
        <f>COUNTIFS(Variables!$M$2:$M$19,IF(T42="NorthBound","&gt;=","&lt;=")&amp;Y42,Variables!$M$2:$M$19,IF(T42="NorthBound","&lt;=","&gt;=")&amp;Z42)</f>
        <v>12</v>
      </c>
      <c r="V42" s="38" t="str">
        <f t="shared" si="13"/>
        <v>https://search-rtdc-monitor-bjffxe2xuh6vdkpspy63sjmuny.us-east-1.es.amazonaws.com/_plugin/kibana/#/discover/Steve-Slow-Train-Analysis-(2080s-and-2083s)?_g=(refreshInterval:(display:Off,section:0,value:0),time:(from:'2016-06-29 08:05:56-0600',mode:absolute,to:'2016-06-29 08:51:07-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42" s="38" t="str">
        <f t="shared" si="14"/>
        <v>N</v>
      </c>
      <c r="X42" s="38">
        <f t="shared" si="15"/>
        <v>1</v>
      </c>
      <c r="Y42" s="38">
        <f t="shared" si="16"/>
        <v>23.2971</v>
      </c>
      <c r="Z42" s="38">
        <f t="shared" si="17"/>
        <v>1.41E-2</v>
      </c>
      <c r="AA42" s="38">
        <f t="shared" si="18"/>
        <v>23.283000000000001</v>
      </c>
      <c r="AB42" s="39" t="e">
        <f>VLOOKUP(A42,Enforcements!$C$7:$J$32,8,0)</f>
        <v>#N/A</v>
      </c>
      <c r="AC42" s="39" t="e">
        <f>VLOOKUP(A42,Enforcements!$C$7:$E$32,3,0)</f>
        <v>#N/A</v>
      </c>
    </row>
    <row r="43" spans="1:29" s="1" customFormat="1" x14ac:dyDescent="0.25">
      <c r="A43" s="67" t="s">
        <v>275</v>
      </c>
      <c r="B43" s="34">
        <v>4031</v>
      </c>
      <c r="C43" s="34" t="s">
        <v>60</v>
      </c>
      <c r="D43" s="34" t="s">
        <v>276</v>
      </c>
      <c r="E43" s="20">
        <v>42550.319687499999</v>
      </c>
      <c r="F43" s="20">
        <v>42550.320185185185</v>
      </c>
      <c r="G43" s="23">
        <v>0</v>
      </c>
      <c r="H43" s="20" t="s">
        <v>277</v>
      </c>
      <c r="I43" s="20">
        <v>42550.340011574073</v>
      </c>
      <c r="J43" s="34">
        <v>1</v>
      </c>
      <c r="K43" s="34" t="str">
        <f t="shared" si="8"/>
        <v>4031/4032</v>
      </c>
      <c r="L43" s="34" t="str">
        <f>VLOOKUP(A43,'Trips&amp;Operators'!$C$1:$E$10000,3,FALSE)</f>
        <v>STARKS</v>
      </c>
      <c r="M43" s="6">
        <f t="shared" si="0"/>
        <v>1.9826388888759539E-2</v>
      </c>
      <c r="N43" s="7"/>
      <c r="O43" s="7"/>
      <c r="P43" s="7">
        <f>24*60*SUM($M43:$M44)</f>
        <v>34.366666664136574</v>
      </c>
      <c r="Q43" s="35"/>
      <c r="R43" s="35" t="s">
        <v>671</v>
      </c>
      <c r="S43" s="59">
        <f t="shared" si="11"/>
        <v>0.75</v>
      </c>
      <c r="T43" s="1" t="str">
        <f t="shared" si="12"/>
        <v>NorthBound</v>
      </c>
      <c r="U43" s="1">
        <f>COUNTIFS(Variables!$M$2:$M$19,IF(T43="NorthBound","&gt;=","&lt;=")&amp;Y43,Variables!$M$2:$M$19,IF(T43="NorthBound","&lt;=","&gt;=")&amp;Z43)</f>
        <v>9</v>
      </c>
      <c r="V43" s="38" t="str">
        <f t="shared" si="13"/>
        <v>https://search-rtdc-monitor-bjffxe2xuh6vdkpspy63sjmuny.us-east-1.es.amazonaws.com/_plugin/kibana/#/discover/Steve-Slow-Train-Analysis-(2080s-and-2083s)?_g=(refreshInterval:(display:Off,section:0,value:0),time:(from:'2016-06-29 07:39:21-0600',mode:absolute,to:'2016-06-29 08:10: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43" s="38" t="str">
        <f t="shared" si="14"/>
        <v>Y</v>
      </c>
      <c r="X43" s="38">
        <f t="shared" si="15"/>
        <v>1</v>
      </c>
      <c r="Y43" s="38">
        <f t="shared" si="16"/>
        <v>3.7204999999999999</v>
      </c>
      <c r="Z43" s="38">
        <f t="shared" si="17"/>
        <v>23.320599999999999</v>
      </c>
      <c r="AA43" s="38">
        <f t="shared" si="18"/>
        <v>19.600099999999998</v>
      </c>
      <c r="AB43" s="39" t="e">
        <f>VLOOKUP(A43,Enforcements!$C$7:$J$32,8,0)</f>
        <v>#N/A</v>
      </c>
      <c r="AC43" s="39" t="e">
        <f>VLOOKUP(A43,Enforcements!$C$7:$E$32,3,0)</f>
        <v>#N/A</v>
      </c>
    </row>
    <row r="44" spans="1:29" s="1" customFormat="1" x14ac:dyDescent="0.25">
      <c r="A44" s="67" t="s">
        <v>275</v>
      </c>
      <c r="B44" s="34">
        <v>4031</v>
      </c>
      <c r="C44" s="34" t="s">
        <v>60</v>
      </c>
      <c r="D44" s="34" t="s">
        <v>126</v>
      </c>
      <c r="E44" s="20">
        <v>42550.308923611112</v>
      </c>
      <c r="F44" s="20">
        <v>42550.309733796297</v>
      </c>
      <c r="G44" s="23">
        <v>1</v>
      </c>
      <c r="H44" s="20" t="s">
        <v>278</v>
      </c>
      <c r="I44" s="20">
        <v>42550.313773148147</v>
      </c>
      <c r="J44" s="34">
        <v>1</v>
      </c>
      <c r="K44" s="34" t="str">
        <f t="shared" si="8"/>
        <v>4031/4032</v>
      </c>
      <c r="L44" s="34" t="str">
        <f>VLOOKUP(A44,'Trips&amp;Operators'!$C$1:$E$10000,3,FALSE)</f>
        <v>STARKS</v>
      </c>
      <c r="M44" s="6">
        <f t="shared" si="0"/>
        <v>4.0393518502241932E-3</v>
      </c>
      <c r="N44" s="7"/>
      <c r="O44" s="7"/>
      <c r="P44" s="7"/>
      <c r="Q44" s="35"/>
      <c r="R44" s="35"/>
      <c r="S44" s="59">
        <f t="shared" si="11"/>
        <v>0</v>
      </c>
      <c r="T44" s="1" t="str">
        <f t="shared" si="12"/>
        <v>NorthBound</v>
      </c>
      <c r="U44" s="1">
        <f>COUNTIFS(Variables!$M$2:$M$19,IF(T44="NorthBound","&gt;=","&lt;=")&amp;Y44,Variables!$M$2:$M$19,IF(T44="NorthBound","&lt;=","&gt;=")&amp;Z44)</f>
        <v>0</v>
      </c>
      <c r="V44" s="38" t="str">
        <f t="shared" si="13"/>
        <v>https://search-rtdc-monitor-bjffxe2xuh6vdkpspy63sjmuny.us-east-1.es.amazonaws.com/_plugin/kibana/#/discover/Steve-Slow-Train-Analysis-(2080s-and-2083s)?_g=(refreshInterval:(display:Off,section:0,value:0),time:(from:'2016-06-29 07:23:51-0600',mode:absolute,to:'2016-06-29 07:32: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44" s="38" t="str">
        <f t="shared" si="14"/>
        <v>Y</v>
      </c>
      <c r="X44" s="38">
        <f t="shared" si="15"/>
        <v>0</v>
      </c>
      <c r="Y44" s="38">
        <f t="shared" si="16"/>
        <v>4.7300000000000002E-2</v>
      </c>
      <c r="Z44" s="38">
        <f t="shared" si="17"/>
        <v>0.15040000000000001</v>
      </c>
      <c r="AA44" s="38">
        <f t="shared" si="18"/>
        <v>0.1031</v>
      </c>
      <c r="AB44" s="39" t="e">
        <f>VLOOKUP(A44,Enforcements!$C$7:$J$32,8,0)</f>
        <v>#N/A</v>
      </c>
      <c r="AC44" s="39" t="e">
        <f>VLOOKUP(A44,Enforcements!$C$7:$E$32,3,0)</f>
        <v>#N/A</v>
      </c>
    </row>
    <row r="45" spans="1:29" s="1" customFormat="1" x14ac:dyDescent="0.25">
      <c r="A45" s="67" t="s">
        <v>527</v>
      </c>
      <c r="B45" s="34">
        <v>4032</v>
      </c>
      <c r="C45" s="34" t="s">
        <v>60</v>
      </c>
      <c r="D45" s="34" t="s">
        <v>651</v>
      </c>
      <c r="E45" s="20">
        <v>42550.349606481483</v>
      </c>
      <c r="F45" s="20">
        <v>42550.350543981483</v>
      </c>
      <c r="G45" s="23">
        <v>1</v>
      </c>
      <c r="H45" s="20" t="s">
        <v>62</v>
      </c>
      <c r="I45" s="20">
        <v>42550.381805555553</v>
      </c>
      <c r="J45" s="34">
        <v>1</v>
      </c>
      <c r="K45" s="34" t="str">
        <f t="shared" si="8"/>
        <v>4031/4032</v>
      </c>
      <c r="L45" s="34" t="str">
        <f>VLOOKUP(A45,'Trips&amp;Operators'!$C$1:$E$10000,3,FALSE)</f>
        <v>STARKS</v>
      </c>
      <c r="M45" s="6">
        <f t="shared" ref="M45:M75" si="19">I45-F45</f>
        <v>3.1261574069503695E-2</v>
      </c>
      <c r="N45" s="7">
        <f t="shared" si="1"/>
        <v>45.01666666008532</v>
      </c>
      <c r="O45" s="7"/>
      <c r="P45" s="7"/>
      <c r="Q45" s="35"/>
      <c r="R45" s="35"/>
      <c r="S45" s="59">
        <f t="shared" si="11"/>
        <v>1</v>
      </c>
      <c r="T45" s="1" t="str">
        <f t="shared" si="12"/>
        <v>Southbound</v>
      </c>
      <c r="U45" s="1">
        <f>COUNTIFS(Variables!$M$2:$M$19,IF(T45="NorthBound","&gt;=","&lt;=")&amp;Y45,Variables!$M$2:$M$19,IF(T45="NorthBound","&lt;=","&gt;=")&amp;Z45)</f>
        <v>12</v>
      </c>
      <c r="V45" s="38" t="str">
        <f t="shared" si="13"/>
        <v>https://search-rtdc-monitor-bjffxe2xuh6vdkpspy63sjmuny.us-east-1.es.amazonaws.com/_plugin/kibana/#/discover/Steve-Slow-Train-Analysis-(2080s-and-2083s)?_g=(refreshInterval:(display:Off,section:0,value:0),time:(from:'2016-06-29 08:22:26-0600',mode:absolute,to:'2016-06-29 09:10:48-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45" s="38" t="str">
        <f t="shared" si="14"/>
        <v>N</v>
      </c>
      <c r="X45" s="38">
        <f t="shared" si="15"/>
        <v>1</v>
      </c>
      <c r="Y45" s="38">
        <f t="shared" si="16"/>
        <v>23.2896</v>
      </c>
      <c r="Z45" s="38">
        <f t="shared" si="17"/>
        <v>1.52E-2</v>
      </c>
      <c r="AA45" s="38">
        <f t="shared" si="18"/>
        <v>23.2744</v>
      </c>
      <c r="AB45" s="39" t="e">
        <f>VLOOKUP(A45,Enforcements!$C$7:$J$32,8,0)</f>
        <v>#N/A</v>
      </c>
      <c r="AC45" s="39" t="e">
        <f>VLOOKUP(A45,Enforcements!$C$7:$E$32,3,0)</f>
        <v>#N/A</v>
      </c>
    </row>
    <row r="46" spans="1:29" s="1" customFormat="1" x14ac:dyDescent="0.25">
      <c r="A46" s="67" t="s">
        <v>279</v>
      </c>
      <c r="B46" s="34">
        <v>4042</v>
      </c>
      <c r="C46" s="34" t="s">
        <v>60</v>
      </c>
      <c r="D46" s="34" t="s">
        <v>250</v>
      </c>
      <c r="E46" s="20">
        <v>42550.317523148151</v>
      </c>
      <c r="F46" s="20">
        <v>42550.318831018521</v>
      </c>
      <c r="G46" s="23">
        <v>1</v>
      </c>
      <c r="H46" s="20" t="s">
        <v>280</v>
      </c>
      <c r="I46" s="20">
        <v>42550.348530092589</v>
      </c>
      <c r="J46" s="34">
        <v>0</v>
      </c>
      <c r="K46" s="34" t="str">
        <f t="shared" si="8"/>
        <v>4041/4042</v>
      </c>
      <c r="L46" s="34" t="str">
        <f>VLOOKUP(A46,'Trips&amp;Operators'!$C$1:$E$10000,3,FALSE)</f>
        <v>MAELZER</v>
      </c>
      <c r="M46" s="6">
        <f t="shared" si="19"/>
        <v>2.9699074068048503E-2</v>
      </c>
      <c r="N46" s="7">
        <f t="shared" si="1"/>
        <v>42.766666657989845</v>
      </c>
      <c r="O46" s="7"/>
      <c r="P46" s="7"/>
      <c r="Q46" s="35"/>
      <c r="R46" s="35"/>
      <c r="S46" s="59">
        <f t="shared" si="11"/>
        <v>1</v>
      </c>
      <c r="T46" s="1" t="str">
        <f t="shared" si="12"/>
        <v>NorthBound</v>
      </c>
      <c r="U46" s="1">
        <f>COUNTIFS(Variables!$M$2:$M$19,IF(T46="NorthBound","&gt;=","&lt;=")&amp;Y46,Variables!$M$2:$M$19,IF(T46="NorthBound","&lt;=","&gt;=")&amp;Z46)</f>
        <v>12</v>
      </c>
      <c r="V46" s="38" t="str">
        <f t="shared" si="13"/>
        <v>https://search-rtdc-monitor-bjffxe2xuh6vdkpspy63sjmuny.us-east-1.es.amazonaws.com/_plugin/kibana/#/discover/Steve-Slow-Train-Analysis-(2080s-and-2083s)?_g=(refreshInterval:(display:Off,section:0,value:0),time:(from:'2016-06-29 07:36:14-0600',mode:absolute,to:'2016-06-29 08:22:53-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46" s="38" t="str">
        <f t="shared" si="14"/>
        <v>N</v>
      </c>
      <c r="X46" s="38">
        <f t="shared" si="15"/>
        <v>1</v>
      </c>
      <c r="Y46" s="38">
        <f t="shared" si="16"/>
        <v>4.3799999999999999E-2</v>
      </c>
      <c r="Z46" s="38">
        <f t="shared" si="17"/>
        <v>23.328800000000001</v>
      </c>
      <c r="AA46" s="38">
        <f t="shared" si="18"/>
        <v>23.285</v>
      </c>
      <c r="AB46" s="39" t="e">
        <f>VLOOKUP(A46,Enforcements!$C$7:$J$32,8,0)</f>
        <v>#N/A</v>
      </c>
      <c r="AC46" s="39" t="e">
        <f>VLOOKUP(A46,Enforcements!$C$7:$E$32,3,0)</f>
        <v>#N/A</v>
      </c>
    </row>
    <row r="47" spans="1:29" s="1" customFormat="1" x14ac:dyDescent="0.25">
      <c r="A47" s="67" t="s">
        <v>617</v>
      </c>
      <c r="B47" s="34">
        <v>4041</v>
      </c>
      <c r="C47" s="34" t="s">
        <v>60</v>
      </c>
      <c r="D47" s="34" t="s">
        <v>288</v>
      </c>
      <c r="E47" s="20">
        <v>42550.357604166667</v>
      </c>
      <c r="F47" s="20">
        <v>42550.358495370368</v>
      </c>
      <c r="G47" s="23">
        <v>1</v>
      </c>
      <c r="H47" s="20" t="s">
        <v>61</v>
      </c>
      <c r="I47" s="20">
        <v>42550.38790509259</v>
      </c>
      <c r="J47" s="34">
        <v>0</v>
      </c>
      <c r="K47" s="34" t="str">
        <f t="shared" si="8"/>
        <v>4041/4042</v>
      </c>
      <c r="L47" s="34" t="str">
        <f>VLOOKUP(A47,'Trips&amp;Operators'!$C$1:$E$10000,3,FALSE)</f>
        <v>MAELZER</v>
      </c>
      <c r="M47" s="6">
        <f t="shared" si="19"/>
        <v>2.940972222131677E-2</v>
      </c>
      <c r="N47" s="7">
        <f t="shared" si="1"/>
        <v>42.349999998696148</v>
      </c>
      <c r="O47" s="7"/>
      <c r="P47" s="7"/>
      <c r="Q47" s="35"/>
      <c r="R47" s="35"/>
      <c r="S47" s="59">
        <f t="shared" si="11"/>
        <v>1</v>
      </c>
      <c r="T47" s="1" t="str">
        <f t="shared" si="12"/>
        <v>Southbound</v>
      </c>
      <c r="U47" s="1">
        <f>COUNTIFS(Variables!$M$2:$M$19,IF(T47="NorthBound","&gt;=","&lt;=")&amp;Y47,Variables!$M$2:$M$19,IF(T47="NorthBound","&lt;=","&gt;=")&amp;Z47)</f>
        <v>12</v>
      </c>
      <c r="V47" s="38" t="str">
        <f t="shared" si="13"/>
        <v>https://search-rtdc-monitor-bjffxe2xuh6vdkpspy63sjmuny.us-east-1.es.amazonaws.com/_plugin/kibana/#/discover/Steve-Slow-Train-Analysis-(2080s-and-2083s)?_g=(refreshInterval:(display:Off,section:0,value:0),time:(from:'2016-06-29 08:33:57-0600',mode:absolute,to:'2016-06-29 09:19:35-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47" s="38" t="str">
        <f t="shared" si="14"/>
        <v>N</v>
      </c>
      <c r="X47" s="38">
        <f t="shared" si="15"/>
        <v>1</v>
      </c>
      <c r="Y47" s="38">
        <f t="shared" si="16"/>
        <v>23.296299999999999</v>
      </c>
      <c r="Z47" s="38">
        <f t="shared" si="17"/>
        <v>1.4500000000000001E-2</v>
      </c>
      <c r="AA47" s="38">
        <f t="shared" si="18"/>
        <v>23.281799999999997</v>
      </c>
      <c r="AB47" s="39" t="e">
        <f>VLOOKUP(A47,Enforcements!$C$7:$J$32,8,0)</f>
        <v>#N/A</v>
      </c>
      <c r="AC47" s="39" t="e">
        <f>VLOOKUP(A47,Enforcements!$C$7:$E$32,3,0)</f>
        <v>#N/A</v>
      </c>
    </row>
    <row r="48" spans="1:29" s="1" customFormat="1" x14ac:dyDescent="0.25">
      <c r="A48" s="67" t="s">
        <v>281</v>
      </c>
      <c r="B48" s="34">
        <v>4040</v>
      </c>
      <c r="C48" s="34" t="s">
        <v>60</v>
      </c>
      <c r="D48" s="34" t="s">
        <v>250</v>
      </c>
      <c r="E48" s="20">
        <v>42550.328310185185</v>
      </c>
      <c r="F48" s="20">
        <v>42550.329282407409</v>
      </c>
      <c r="G48" s="23">
        <v>1</v>
      </c>
      <c r="H48" s="20" t="s">
        <v>282</v>
      </c>
      <c r="I48" s="20">
        <v>42550.361354166664</v>
      </c>
      <c r="J48" s="34">
        <v>0</v>
      </c>
      <c r="K48" s="34" t="str">
        <f t="shared" si="8"/>
        <v>4039/4040</v>
      </c>
      <c r="L48" s="34" t="str">
        <f>VLOOKUP(A48,'Trips&amp;Operators'!$C$1:$E$10000,3,FALSE)</f>
        <v>KILLION</v>
      </c>
      <c r="M48" s="6">
        <f t="shared" si="19"/>
        <v>3.2071759254904464E-2</v>
      </c>
      <c r="N48" s="7">
        <f t="shared" si="1"/>
        <v>46.183333327062428</v>
      </c>
      <c r="O48" s="7"/>
      <c r="P48" s="7"/>
      <c r="Q48" s="35"/>
      <c r="R48" s="35"/>
      <c r="S48" s="59">
        <f t="shared" si="11"/>
        <v>1</v>
      </c>
      <c r="T48" s="1" t="str">
        <f t="shared" si="12"/>
        <v>NorthBound</v>
      </c>
      <c r="U48" s="1">
        <f>COUNTIFS(Variables!$M$2:$M$19,IF(T48="NorthBound","&gt;=","&lt;=")&amp;Y48,Variables!$M$2:$M$19,IF(T48="NorthBound","&lt;=","&gt;=")&amp;Z48)</f>
        <v>12</v>
      </c>
      <c r="V48" s="38" t="str">
        <f t="shared" si="13"/>
        <v>https://search-rtdc-monitor-bjffxe2xuh6vdkpspy63sjmuny.us-east-1.es.amazonaws.com/_plugin/kibana/#/discover/Steve-Slow-Train-Analysis-(2080s-and-2083s)?_g=(refreshInterval:(display:Off,section:0,value:0),time:(from:'2016-06-29 07:51:46-0600',mode:absolute,to:'2016-06-29 08:41:21-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48" s="38" t="str">
        <f t="shared" si="14"/>
        <v>N</v>
      </c>
      <c r="X48" s="38">
        <f t="shared" si="15"/>
        <v>1</v>
      </c>
      <c r="Y48" s="38">
        <f t="shared" si="16"/>
        <v>4.3799999999999999E-2</v>
      </c>
      <c r="Z48" s="38">
        <f t="shared" si="17"/>
        <v>23.3264</v>
      </c>
      <c r="AA48" s="38">
        <f t="shared" si="18"/>
        <v>23.282599999999999</v>
      </c>
      <c r="AB48" s="39" t="e">
        <f>VLOOKUP(A48,Enforcements!$C$7:$J$32,8,0)</f>
        <v>#N/A</v>
      </c>
      <c r="AC48" s="39" t="e">
        <f>VLOOKUP(A48,Enforcements!$C$7:$E$32,3,0)</f>
        <v>#N/A</v>
      </c>
    </row>
    <row r="49" spans="1:29" s="1" customFormat="1" x14ac:dyDescent="0.25">
      <c r="A49" s="67" t="s">
        <v>642</v>
      </c>
      <c r="B49" s="34">
        <v>4039</v>
      </c>
      <c r="C49" s="34" t="s">
        <v>60</v>
      </c>
      <c r="D49" s="34" t="s">
        <v>200</v>
      </c>
      <c r="E49" s="20">
        <v>42550.368831018517</v>
      </c>
      <c r="F49" s="20">
        <v>42550.370046296295</v>
      </c>
      <c r="G49" s="23">
        <v>1</v>
      </c>
      <c r="H49" s="20" t="s">
        <v>202</v>
      </c>
      <c r="I49" s="20">
        <v>42550.399328703701</v>
      </c>
      <c r="J49" s="34">
        <v>0</v>
      </c>
      <c r="K49" s="34" t="str">
        <f t="shared" si="8"/>
        <v>4039/4040</v>
      </c>
      <c r="L49" s="34" t="str">
        <f>VLOOKUP(A49,'Trips&amp;Operators'!$C$1:$E$10000,3,FALSE)</f>
        <v>KILLION</v>
      </c>
      <c r="M49" s="6">
        <f t="shared" si="19"/>
        <v>2.9282407405844424E-2</v>
      </c>
      <c r="N49" s="7">
        <f t="shared" si="1"/>
        <v>42.16666666441597</v>
      </c>
      <c r="O49" s="7"/>
      <c r="P49" s="7"/>
      <c r="Q49" s="35"/>
      <c r="R49" s="35"/>
      <c r="S49" s="59">
        <f t="shared" si="11"/>
        <v>1</v>
      </c>
      <c r="T49" s="1" t="str">
        <f t="shared" si="12"/>
        <v>Southbound</v>
      </c>
      <c r="U49" s="1">
        <f>COUNTIFS(Variables!$M$2:$M$19,IF(T49="NorthBound","&gt;=","&lt;=")&amp;Y49,Variables!$M$2:$M$19,IF(T49="NorthBound","&lt;=","&gt;=")&amp;Z49)</f>
        <v>12</v>
      </c>
      <c r="V49" s="38" t="str">
        <f t="shared" si="13"/>
        <v>https://search-rtdc-monitor-bjffxe2xuh6vdkpspy63sjmuny.us-east-1.es.amazonaws.com/_plugin/kibana/#/discover/Steve-Slow-Train-Analysis-(2080s-and-2083s)?_g=(refreshInterval:(display:Off,section:0,value:0),time:(from:'2016-06-29 08:50:07-0600',mode:absolute,to:'2016-06-29 09:36:02-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49" s="38" t="str">
        <f t="shared" si="14"/>
        <v>N</v>
      </c>
      <c r="X49" s="38">
        <f t="shared" si="15"/>
        <v>1</v>
      </c>
      <c r="Y49" s="38">
        <f t="shared" si="16"/>
        <v>23.294499999999999</v>
      </c>
      <c r="Z49" s="38">
        <f t="shared" si="17"/>
        <v>1.5599999999999999E-2</v>
      </c>
      <c r="AA49" s="38">
        <f t="shared" si="18"/>
        <v>23.2789</v>
      </c>
      <c r="AB49" s="39" t="e">
        <f>VLOOKUP(A49,Enforcements!$C$7:$J$32,8,0)</f>
        <v>#N/A</v>
      </c>
      <c r="AC49" s="39" t="e">
        <f>VLOOKUP(A49,Enforcements!$C$7:$E$32,3,0)</f>
        <v>#N/A</v>
      </c>
    </row>
    <row r="50" spans="1:29" s="1" customFormat="1" x14ac:dyDescent="0.25">
      <c r="A50" s="67" t="s">
        <v>283</v>
      </c>
      <c r="B50" s="34">
        <v>4044</v>
      </c>
      <c r="C50" s="34" t="s">
        <v>60</v>
      </c>
      <c r="D50" s="34" t="s">
        <v>179</v>
      </c>
      <c r="E50" s="20">
        <v>42550.338287037041</v>
      </c>
      <c r="F50" s="20">
        <v>42550.339097222219</v>
      </c>
      <c r="G50" s="23">
        <v>1</v>
      </c>
      <c r="H50" s="20" t="s">
        <v>236</v>
      </c>
      <c r="I50" s="20">
        <v>42550.369363425925</v>
      </c>
      <c r="J50" s="34">
        <v>0</v>
      </c>
      <c r="K50" s="34" t="str">
        <f t="shared" si="8"/>
        <v>4043/4044</v>
      </c>
      <c r="L50" s="34" t="str">
        <f>VLOOKUP(A50,'Trips&amp;Operators'!$C$1:$E$10000,3,FALSE)</f>
        <v>ACKERMAN</v>
      </c>
      <c r="M50" s="6">
        <f t="shared" si="19"/>
        <v>3.0266203706560191E-2</v>
      </c>
      <c r="N50" s="7">
        <f t="shared" si="1"/>
        <v>43.583333337446675</v>
      </c>
      <c r="O50" s="7"/>
      <c r="P50" s="7"/>
      <c r="Q50" s="35"/>
      <c r="R50" s="35"/>
      <c r="S50" s="59">
        <f t="shared" si="11"/>
        <v>1</v>
      </c>
      <c r="T50" s="1" t="str">
        <f t="shared" si="12"/>
        <v>NorthBound</v>
      </c>
      <c r="U50" s="1">
        <f>COUNTIFS(Variables!$M$2:$M$19,IF(T50="NorthBound","&gt;=","&lt;=")&amp;Y50,Variables!$M$2:$M$19,IF(T50="NorthBound","&lt;=","&gt;=")&amp;Z50)</f>
        <v>12</v>
      </c>
      <c r="V50" s="38" t="str">
        <f t="shared" si="13"/>
        <v>https://search-rtdc-monitor-bjffxe2xuh6vdkpspy63sjmuny.us-east-1.es.amazonaws.com/_plugin/kibana/#/discover/Steve-Slow-Train-Analysis-(2080s-and-2083s)?_g=(refreshInterval:(display:Off,section:0,value:0),time:(from:'2016-06-29 08:06:08-0600',mode:absolute,to:'2016-06-29 08:52:53-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50" s="38" t="str">
        <f t="shared" si="14"/>
        <v>N</v>
      </c>
      <c r="X50" s="38">
        <f t="shared" si="15"/>
        <v>1</v>
      </c>
      <c r="Y50" s="38">
        <f t="shared" si="16"/>
        <v>4.4900000000000002E-2</v>
      </c>
      <c r="Z50" s="38">
        <f t="shared" si="17"/>
        <v>23.3309</v>
      </c>
      <c r="AA50" s="38">
        <f t="shared" si="18"/>
        <v>23.286000000000001</v>
      </c>
      <c r="AB50" s="39" t="e">
        <f>VLOOKUP(A50,Enforcements!$C$7:$J$32,8,0)</f>
        <v>#N/A</v>
      </c>
      <c r="AC50" s="39" t="e">
        <f>VLOOKUP(A50,Enforcements!$C$7:$E$32,3,0)</f>
        <v>#N/A</v>
      </c>
    </row>
    <row r="51" spans="1:29" s="1" customFormat="1" x14ac:dyDescent="0.25">
      <c r="A51" s="67" t="s">
        <v>608</v>
      </c>
      <c r="B51" s="34">
        <v>4043</v>
      </c>
      <c r="C51" s="34" t="s">
        <v>60</v>
      </c>
      <c r="D51" s="34" t="s">
        <v>125</v>
      </c>
      <c r="E51" s="20">
        <v>42550.376307870371</v>
      </c>
      <c r="F51" s="20">
        <v>42550.377129629633</v>
      </c>
      <c r="G51" s="23">
        <v>1</v>
      </c>
      <c r="H51" s="20" t="s">
        <v>135</v>
      </c>
      <c r="I51" s="20">
        <v>42550.409467592595</v>
      </c>
      <c r="J51" s="34">
        <v>0</v>
      </c>
      <c r="K51" s="34" t="str">
        <f t="shared" si="8"/>
        <v>4043/4044</v>
      </c>
      <c r="L51" s="34" t="str">
        <f>VLOOKUP(A51,'Trips&amp;Operators'!$C$1:$E$10000,3,FALSE)</f>
        <v>ACKERMAN</v>
      </c>
      <c r="M51" s="6">
        <f t="shared" si="19"/>
        <v>3.2337962962628808E-2</v>
      </c>
      <c r="N51" s="7">
        <f t="shared" si="1"/>
        <v>46.566666666185483</v>
      </c>
      <c r="O51" s="7"/>
      <c r="P51" s="7"/>
      <c r="Q51" s="35"/>
      <c r="R51" s="35"/>
      <c r="S51" s="59">
        <f t="shared" si="11"/>
        <v>1</v>
      </c>
      <c r="T51" s="1" t="str">
        <f t="shared" si="12"/>
        <v>Southbound</v>
      </c>
      <c r="U51" s="1">
        <f>COUNTIFS(Variables!$M$2:$M$19,IF(T51="NorthBound","&gt;=","&lt;=")&amp;Y51,Variables!$M$2:$M$19,IF(T51="NorthBound","&lt;=","&gt;=")&amp;Z51)</f>
        <v>12</v>
      </c>
      <c r="V51" s="38" t="str">
        <f t="shared" si="13"/>
        <v>https://search-rtdc-monitor-bjffxe2xuh6vdkpspy63sjmuny.us-east-1.es.amazonaws.com/_plugin/kibana/#/discover/Steve-Slow-Train-Analysis-(2080s-and-2083s)?_g=(refreshInterval:(display:Off,section:0,value:0),time:(from:'2016-06-29 09:00:53-0600',mode:absolute,to:'2016-06-29 09:50:38-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51" s="38" t="str">
        <f t="shared" si="14"/>
        <v>N</v>
      </c>
      <c r="X51" s="38">
        <f t="shared" si="15"/>
        <v>1</v>
      </c>
      <c r="Y51" s="38">
        <f t="shared" si="16"/>
        <v>23.298200000000001</v>
      </c>
      <c r="Z51" s="38">
        <f t="shared" si="17"/>
        <v>1.43E-2</v>
      </c>
      <c r="AA51" s="38">
        <f t="shared" si="18"/>
        <v>23.283900000000003</v>
      </c>
      <c r="AB51" s="39" t="e">
        <f>VLOOKUP(A51,Enforcements!$C$7:$J$32,8,0)</f>
        <v>#N/A</v>
      </c>
      <c r="AC51" s="39" t="e">
        <f>VLOOKUP(A51,Enforcements!$C$7:$E$32,3,0)</f>
        <v>#N/A</v>
      </c>
    </row>
    <row r="52" spans="1:29" s="1" customFormat="1" x14ac:dyDescent="0.25">
      <c r="A52" s="67" t="s">
        <v>526</v>
      </c>
      <c r="B52" s="34">
        <v>4011</v>
      </c>
      <c r="C52" s="34" t="s">
        <v>60</v>
      </c>
      <c r="D52" s="34" t="s">
        <v>250</v>
      </c>
      <c r="E52" s="20">
        <v>42550.35019675926</v>
      </c>
      <c r="F52" s="20">
        <v>42550.351643518516</v>
      </c>
      <c r="G52" s="23">
        <v>2</v>
      </c>
      <c r="H52" s="20" t="s">
        <v>652</v>
      </c>
      <c r="I52" s="20">
        <v>42550.379641203705</v>
      </c>
      <c r="J52" s="34">
        <v>1</v>
      </c>
      <c r="K52" s="34" t="str">
        <f t="shared" si="8"/>
        <v>4011/4012</v>
      </c>
      <c r="L52" s="34" t="str">
        <f>VLOOKUP(A52,'Trips&amp;Operators'!$C$1:$E$10000,3,FALSE)</f>
        <v>SANTIZO</v>
      </c>
      <c r="M52" s="6">
        <f t="shared" si="19"/>
        <v>2.7997685188893229E-2</v>
      </c>
      <c r="N52" s="7">
        <f t="shared" si="1"/>
        <v>40.316666672006249</v>
      </c>
      <c r="O52" s="7"/>
      <c r="P52" s="7"/>
      <c r="Q52" s="35"/>
      <c r="R52" s="35"/>
      <c r="S52" s="59">
        <f t="shared" si="11"/>
        <v>1</v>
      </c>
      <c r="T52" s="1" t="str">
        <f t="shared" si="12"/>
        <v>NorthBound</v>
      </c>
      <c r="U52" s="1">
        <f>COUNTIFS(Variables!$M$2:$M$19,IF(T52="NorthBound","&gt;=","&lt;=")&amp;Y52,Variables!$M$2:$M$19,IF(T52="NorthBound","&lt;=","&gt;=")&amp;Z52)</f>
        <v>12</v>
      </c>
      <c r="V52" s="38" t="str">
        <f t="shared" si="13"/>
        <v>https://search-rtdc-monitor-bjffxe2xuh6vdkpspy63sjmuny.us-east-1.es.amazonaws.com/_plugin/kibana/#/discover/Steve-Slow-Train-Analysis-(2080s-and-2083s)?_g=(refreshInterval:(display:Off,section:0,value:0),time:(from:'2016-06-29 08:23:17-0600',mode:absolute,to:'2016-06-29 09:07:41-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52" s="38" t="str">
        <f t="shared" si="14"/>
        <v>N</v>
      </c>
      <c r="X52" s="38">
        <f t="shared" si="15"/>
        <v>1</v>
      </c>
      <c r="Y52" s="38">
        <f t="shared" si="16"/>
        <v>4.3799999999999999E-2</v>
      </c>
      <c r="Z52" s="38">
        <f t="shared" si="17"/>
        <v>23.329799999999999</v>
      </c>
      <c r="AA52" s="38">
        <f t="shared" si="18"/>
        <v>23.285999999999998</v>
      </c>
      <c r="AB52" s="39">
        <f>VLOOKUP(A52,Enforcements!$C$7:$J$32,8,0)</f>
        <v>20338</v>
      </c>
      <c r="AC52" s="39" t="str">
        <f>VLOOKUP(A52,Enforcements!$C$7:$E$32,3,0)</f>
        <v>PERMANENT SPEED RESTRICTION</v>
      </c>
    </row>
    <row r="53" spans="1:29" s="1" customFormat="1" x14ac:dyDescent="0.25">
      <c r="A53" s="67" t="s">
        <v>532</v>
      </c>
      <c r="B53" s="34">
        <v>4012</v>
      </c>
      <c r="C53" s="34" t="s">
        <v>60</v>
      </c>
      <c r="D53" s="34" t="s">
        <v>170</v>
      </c>
      <c r="E53" s="20">
        <v>42550.381736111114</v>
      </c>
      <c r="F53" s="20">
        <v>42550.382685185185</v>
      </c>
      <c r="G53" s="23">
        <v>1</v>
      </c>
      <c r="H53" s="20" t="s">
        <v>146</v>
      </c>
      <c r="I53" s="20">
        <v>42550.419328703705</v>
      </c>
      <c r="J53" s="34">
        <v>1</v>
      </c>
      <c r="K53" s="34" t="str">
        <f t="shared" si="8"/>
        <v>4011/4012</v>
      </c>
      <c r="L53" s="34" t="str">
        <f>VLOOKUP(A53,'Trips&amp;Operators'!$C$1:$E$10000,3,FALSE)</f>
        <v>SANTIZO</v>
      </c>
      <c r="M53" s="6">
        <f t="shared" si="19"/>
        <v>3.6643518520577345E-2</v>
      </c>
      <c r="N53" s="7">
        <f t="shared" si="1"/>
        <v>52.766666669631377</v>
      </c>
      <c r="O53" s="7"/>
      <c r="P53" s="7"/>
      <c r="Q53" s="35"/>
      <c r="R53" s="35"/>
      <c r="S53" s="59">
        <f t="shared" si="11"/>
        <v>1</v>
      </c>
      <c r="T53" s="1" t="str">
        <f t="shared" si="12"/>
        <v>Southbound</v>
      </c>
      <c r="U53" s="1">
        <f>COUNTIFS(Variables!$M$2:$M$19,IF(T53="NorthBound","&gt;=","&lt;=")&amp;Y53,Variables!$M$2:$M$19,IF(T53="NorthBound","&lt;=","&gt;=")&amp;Z53)</f>
        <v>12</v>
      </c>
      <c r="V53" s="38" t="str">
        <f t="shared" si="13"/>
        <v>https://search-rtdc-monitor-bjffxe2xuh6vdkpspy63sjmuny.us-east-1.es.amazonaws.com/_plugin/kibana/#/discover/Steve-Slow-Train-Analysis-(2080s-and-2083s)?_g=(refreshInterval:(display:Off,section:0,value:0),time:(from:'2016-06-29 09:08:42-0600',mode:absolute,to:'2016-06-29 10:04: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53" s="38" t="str">
        <f t="shared" si="14"/>
        <v>N</v>
      </c>
      <c r="X53" s="38">
        <f t="shared" si="15"/>
        <v>1</v>
      </c>
      <c r="Y53" s="38">
        <f t="shared" si="16"/>
        <v>23.299099999999999</v>
      </c>
      <c r="Z53" s="38">
        <f t="shared" si="17"/>
        <v>1.3599999999999999E-2</v>
      </c>
      <c r="AA53" s="38">
        <f t="shared" si="18"/>
        <v>23.285499999999999</v>
      </c>
      <c r="AB53" s="39">
        <f>VLOOKUP(A53,Enforcements!$C$7:$J$32,8,0)</f>
        <v>4677</v>
      </c>
      <c r="AC53" s="39" t="str">
        <f>VLOOKUP(A53,Enforcements!$C$7:$E$32,3,0)</f>
        <v>PERMANENT SPEED RESTRICTION</v>
      </c>
    </row>
    <row r="54" spans="1:29" s="1" customFormat="1" x14ac:dyDescent="0.25">
      <c r="A54" s="67" t="s">
        <v>574</v>
      </c>
      <c r="B54" s="34">
        <v>4016</v>
      </c>
      <c r="C54" s="34" t="s">
        <v>60</v>
      </c>
      <c r="D54" s="34" t="s">
        <v>295</v>
      </c>
      <c r="E54" s="20">
        <v>42550.36215277778</v>
      </c>
      <c r="F54" s="20">
        <v>42550.363182870373</v>
      </c>
      <c r="G54" s="23">
        <v>1</v>
      </c>
      <c r="H54" s="20" t="s">
        <v>653</v>
      </c>
      <c r="I54" s="20">
        <v>42550.374050925922</v>
      </c>
      <c r="J54" s="34">
        <v>0</v>
      </c>
      <c r="K54" s="34" t="str">
        <f t="shared" si="8"/>
        <v>4015/4016</v>
      </c>
      <c r="L54" s="34" t="str">
        <f>VLOOKUP(A54,'Trips&amp;Operators'!$C$1:$E$10000,3,FALSE)</f>
        <v>YORK</v>
      </c>
      <c r="M54" s="6">
        <f t="shared" si="19"/>
        <v>1.0868055549508426E-2</v>
      </c>
      <c r="N54" s="7"/>
      <c r="O54" s="7"/>
      <c r="P54" s="7">
        <f t="shared" si="1"/>
        <v>15.649999991292134</v>
      </c>
      <c r="Q54" s="35"/>
      <c r="R54" s="35" t="s">
        <v>672</v>
      </c>
      <c r="S54" s="59">
        <f t="shared" si="11"/>
        <v>0.66666666666666663</v>
      </c>
      <c r="T54" s="1" t="str">
        <f t="shared" si="12"/>
        <v>NorthBound</v>
      </c>
      <c r="U54" s="1">
        <f>COUNTIFS(Variables!$M$2:$M$19,IF(T54="NorthBound","&gt;=","&lt;=")&amp;Y54,Variables!$M$2:$M$19,IF(T54="NorthBound","&lt;=","&gt;=")&amp;Z54)</f>
        <v>8</v>
      </c>
      <c r="V54" s="38" t="str">
        <f t="shared" si="13"/>
        <v>https://search-rtdc-monitor-bjffxe2xuh6vdkpspy63sjmuny.us-east-1.es.amazonaws.com/_plugin/kibana/#/discover/Steve-Slow-Train-Analysis-(2080s-and-2083s)?_g=(refreshInterval:(display:Off,section:0,value:0),time:(from:'2016-06-29 08:40:30-0600',mode:absolute,to:'2016-06-29 08:59:38-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54" s="38" t="str">
        <f t="shared" si="14"/>
        <v>Y</v>
      </c>
      <c r="X54" s="38">
        <f t="shared" si="15"/>
        <v>1</v>
      </c>
      <c r="Y54" s="38">
        <f t="shared" si="16"/>
        <v>4.3999999999999997E-2</v>
      </c>
      <c r="Z54" s="38">
        <f t="shared" si="17"/>
        <v>6.1841999999999997</v>
      </c>
      <c r="AA54" s="38">
        <f t="shared" si="18"/>
        <v>6.1402000000000001</v>
      </c>
      <c r="AB54" s="39" t="e">
        <f>VLOOKUP(A54,Enforcements!$C$7:$J$32,8,0)</f>
        <v>#N/A</v>
      </c>
      <c r="AC54" s="39" t="e">
        <f>VLOOKUP(A54,Enforcements!$C$7:$E$32,3,0)</f>
        <v>#N/A</v>
      </c>
    </row>
    <row r="55" spans="1:29" s="1" customFormat="1" x14ac:dyDescent="0.25">
      <c r="A55" s="67" t="s">
        <v>531</v>
      </c>
      <c r="B55" s="34">
        <v>4015</v>
      </c>
      <c r="C55" s="34" t="s">
        <v>60</v>
      </c>
      <c r="D55" s="34" t="s">
        <v>154</v>
      </c>
      <c r="E55" s="20">
        <v>42550.391863425924</v>
      </c>
      <c r="F55" s="20">
        <v>42550.392731481479</v>
      </c>
      <c r="G55" s="23">
        <v>1</v>
      </c>
      <c r="H55" s="20" t="s">
        <v>105</v>
      </c>
      <c r="I55" s="20">
        <v>42550.428831018522</v>
      </c>
      <c r="J55" s="34">
        <v>1</v>
      </c>
      <c r="K55" s="34" t="str">
        <f t="shared" si="8"/>
        <v>4015/4016</v>
      </c>
      <c r="L55" s="34" t="str">
        <f>VLOOKUP(A55,'Trips&amp;Operators'!$C$1:$E$10000,3,FALSE)</f>
        <v>YORK</v>
      </c>
      <c r="M55" s="6">
        <f t="shared" si="19"/>
        <v>3.609953704290092E-2</v>
      </c>
      <c r="N55" s="7">
        <f t="shared" si="1"/>
        <v>51.983333341777325</v>
      </c>
      <c r="O55" s="7"/>
      <c r="P55" s="7"/>
      <c r="Q55" s="35"/>
      <c r="R55" s="35"/>
      <c r="S55" s="59">
        <f t="shared" si="11"/>
        <v>1</v>
      </c>
      <c r="T55" s="1" t="str">
        <f t="shared" si="12"/>
        <v>Southbound</v>
      </c>
      <c r="U55" s="1">
        <f>COUNTIFS(Variables!$M$2:$M$19,IF(T55="NorthBound","&gt;=","&lt;=")&amp;Y55,Variables!$M$2:$M$19,IF(T55="NorthBound","&lt;=","&gt;=")&amp;Z55)</f>
        <v>12</v>
      </c>
      <c r="V55" s="38" t="str">
        <f t="shared" si="13"/>
        <v>https://search-rtdc-monitor-bjffxe2xuh6vdkpspy63sjmuny.us-east-1.es.amazonaws.com/_plugin/kibana/#/discover/Steve-Slow-Train-Analysis-(2080s-and-2083s)?_g=(refreshInterval:(display:Off,section:0,value:0),time:(from:'2016-06-29 09:23:17-0600',mode:absolute,to:'2016-06-29 10:18:31-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55" s="38" t="str">
        <f t="shared" si="14"/>
        <v>N</v>
      </c>
      <c r="X55" s="38">
        <f t="shared" si="15"/>
        <v>1</v>
      </c>
      <c r="Y55" s="38">
        <f t="shared" si="16"/>
        <v>23.298400000000001</v>
      </c>
      <c r="Z55" s="38">
        <f t="shared" si="17"/>
        <v>1.4999999999999999E-2</v>
      </c>
      <c r="AA55" s="38">
        <f t="shared" si="18"/>
        <v>23.2834</v>
      </c>
      <c r="AB55" s="39" t="e">
        <f>VLOOKUP(A55,Enforcements!$C$7:$J$32,8,0)</f>
        <v>#N/A</v>
      </c>
      <c r="AC55" s="39" t="e">
        <f>VLOOKUP(A55,Enforcements!$C$7:$E$32,3,0)</f>
        <v>#N/A</v>
      </c>
    </row>
    <row r="56" spans="1:29" s="1" customFormat="1" x14ac:dyDescent="0.25">
      <c r="A56" s="95" t="s">
        <v>647</v>
      </c>
      <c r="B56" s="34">
        <v>4024</v>
      </c>
      <c r="C56" s="34" t="s">
        <v>60</v>
      </c>
      <c r="D56" s="34" t="s">
        <v>179</v>
      </c>
      <c r="E56" s="20">
        <v>42550.37400462963</v>
      </c>
      <c r="F56" s="20">
        <v>42550.374791666669</v>
      </c>
      <c r="G56" s="23">
        <v>1</v>
      </c>
      <c r="H56" s="20" t="s">
        <v>654</v>
      </c>
      <c r="I56" s="20">
        <v>42550.399895833332</v>
      </c>
      <c r="J56" s="34">
        <v>0</v>
      </c>
      <c r="K56" s="34" t="str">
        <f t="shared" si="8"/>
        <v>4023/4024</v>
      </c>
      <c r="L56" s="34" t="str">
        <f>VLOOKUP(A56,'Trips&amp;Operators'!$C$1:$E$10000,3,FALSE)</f>
        <v>ROCHA</v>
      </c>
      <c r="M56" s="6">
        <f t="shared" si="19"/>
        <v>2.5104166663368233E-2</v>
      </c>
      <c r="N56" s="7">
        <f t="shared" si="1"/>
        <v>36.149999995250255</v>
      </c>
      <c r="O56" s="7"/>
      <c r="P56" s="7"/>
      <c r="Q56" s="35"/>
      <c r="R56" s="35"/>
      <c r="S56" s="59">
        <f t="shared" si="11"/>
        <v>1</v>
      </c>
      <c r="T56" s="1" t="str">
        <f t="shared" si="12"/>
        <v>NorthBound</v>
      </c>
      <c r="U56" s="1">
        <f>COUNTIFS(Variables!$M$2:$M$19,IF(T56="NorthBound","&gt;=","&lt;=")&amp;Y56,Variables!$M$2:$M$19,IF(T56="NorthBound","&lt;=","&gt;=")&amp;Z56)</f>
        <v>12</v>
      </c>
      <c r="V56" s="38" t="str">
        <f t="shared" si="13"/>
        <v>https://search-rtdc-monitor-bjffxe2xuh6vdkpspy63sjmuny.us-east-1.es.amazonaws.com/_plugin/kibana/#/discover/Steve-Slow-Train-Analysis-(2080s-and-2083s)?_g=(refreshInterval:(display:Off,section:0,value:0),time:(from:'2016-06-29 08:57:34-0600',mode:absolute,to:'2016-06-29 09:36:51-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56" s="38" t="str">
        <f t="shared" si="14"/>
        <v>N</v>
      </c>
      <c r="X56" s="38">
        <f t="shared" si="15"/>
        <v>1</v>
      </c>
      <c r="Y56" s="38">
        <f t="shared" si="16"/>
        <v>4.4900000000000002E-2</v>
      </c>
      <c r="Z56" s="38">
        <f t="shared" si="17"/>
        <v>23.330400000000001</v>
      </c>
      <c r="AA56" s="38">
        <f t="shared" si="18"/>
        <v>23.285500000000003</v>
      </c>
      <c r="AB56" s="39" t="e">
        <f>VLOOKUP(A56,Enforcements!$C$7:$J$32,8,0)</f>
        <v>#N/A</v>
      </c>
      <c r="AC56" s="39" t="e">
        <f>VLOOKUP(A56,Enforcements!$C$7:$E$32,3,0)</f>
        <v>#N/A</v>
      </c>
    </row>
    <row r="57" spans="1:29" s="1" customFormat="1" x14ac:dyDescent="0.25">
      <c r="A57" s="67" t="s">
        <v>621</v>
      </c>
      <c r="B57" s="34">
        <v>4023</v>
      </c>
      <c r="C57" s="34" t="s">
        <v>60</v>
      </c>
      <c r="D57" s="34" t="s">
        <v>181</v>
      </c>
      <c r="E57" s="20">
        <v>42550.412974537037</v>
      </c>
      <c r="F57" s="20">
        <v>42550.413888888892</v>
      </c>
      <c r="G57" s="23">
        <v>1</v>
      </c>
      <c r="H57" s="20" t="s">
        <v>105</v>
      </c>
      <c r="I57" s="20">
        <v>42550.439756944441</v>
      </c>
      <c r="J57" s="34">
        <v>0</v>
      </c>
      <c r="K57" s="34" t="str">
        <f t="shared" si="8"/>
        <v>4023/4024</v>
      </c>
      <c r="L57" s="34" t="str">
        <f>VLOOKUP(A57,'Trips&amp;Operators'!$C$1:$E$10000,3,FALSE)</f>
        <v>ROCHA</v>
      </c>
      <c r="M57" s="6">
        <f t="shared" si="19"/>
        <v>2.586805554892635E-2</v>
      </c>
      <c r="N57" s="7">
        <f t="shared" si="1"/>
        <v>37.249999990453944</v>
      </c>
      <c r="O57" s="7"/>
      <c r="P57" s="7"/>
      <c r="Q57" s="35"/>
      <c r="R57" s="35"/>
      <c r="S57" s="59">
        <f t="shared" si="11"/>
        <v>1</v>
      </c>
      <c r="T57" s="1" t="str">
        <f t="shared" si="12"/>
        <v>Southbound</v>
      </c>
      <c r="U57" s="1">
        <f>COUNTIFS(Variables!$M$2:$M$19,IF(T57="NorthBound","&gt;=","&lt;=")&amp;Y57,Variables!$M$2:$M$19,IF(T57="NorthBound","&lt;=","&gt;=")&amp;Z57)</f>
        <v>12</v>
      </c>
      <c r="V57" s="38" t="str">
        <f t="shared" si="13"/>
        <v>https://search-rtdc-monitor-bjffxe2xuh6vdkpspy63sjmuny.us-east-1.es.amazonaws.com/_plugin/kibana/#/discover/Steve-Slow-Train-Analysis-(2080s-and-2083s)?_g=(refreshInterval:(display:Off,section:0,value:0),time:(from:'2016-06-29 09:53:41-0600',mode:absolute,to:'2016-06-29 10:34:15-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57" s="38" t="str">
        <f t="shared" si="14"/>
        <v>N</v>
      </c>
      <c r="X57" s="38">
        <f t="shared" si="15"/>
        <v>1</v>
      </c>
      <c r="Y57" s="38">
        <f t="shared" si="16"/>
        <v>23.299600000000002</v>
      </c>
      <c r="Z57" s="38">
        <f t="shared" si="17"/>
        <v>1.4999999999999999E-2</v>
      </c>
      <c r="AA57" s="38">
        <f t="shared" si="18"/>
        <v>23.284600000000001</v>
      </c>
      <c r="AB57" s="39" t="e">
        <f>VLOOKUP(A57,Enforcements!$C$7:$J$32,8,0)</f>
        <v>#N/A</v>
      </c>
      <c r="AC57" s="39" t="e">
        <f>VLOOKUP(A57,Enforcements!$C$7:$E$32,3,0)</f>
        <v>#N/A</v>
      </c>
    </row>
    <row r="58" spans="1:29" s="1" customFormat="1" x14ac:dyDescent="0.25">
      <c r="A58" s="67" t="s">
        <v>594</v>
      </c>
      <c r="B58" s="34">
        <v>4031</v>
      </c>
      <c r="C58" s="34" t="s">
        <v>60</v>
      </c>
      <c r="D58" s="34" t="s">
        <v>199</v>
      </c>
      <c r="E58" s="20">
        <v>42550.383692129632</v>
      </c>
      <c r="F58" s="20">
        <v>42550.384629629632</v>
      </c>
      <c r="G58" s="23">
        <v>1</v>
      </c>
      <c r="H58" s="20" t="s">
        <v>280</v>
      </c>
      <c r="I58" s="20">
        <v>42550.411562499998</v>
      </c>
      <c r="J58" s="34">
        <v>0</v>
      </c>
      <c r="K58" s="34" t="str">
        <f t="shared" si="8"/>
        <v>4031/4032</v>
      </c>
      <c r="L58" s="34" t="str">
        <f>VLOOKUP(A58,'Trips&amp;Operators'!$C$1:$E$10000,3,FALSE)</f>
        <v>STARKS</v>
      </c>
      <c r="M58" s="6">
        <f t="shared" si="19"/>
        <v>2.693287036527181E-2</v>
      </c>
      <c r="N58" s="7">
        <f t="shared" si="1"/>
        <v>38.783333325991407</v>
      </c>
      <c r="O58" s="7"/>
      <c r="P58" s="7"/>
      <c r="Q58" s="35"/>
      <c r="R58" s="35"/>
      <c r="S58" s="59">
        <f t="shared" si="11"/>
        <v>1</v>
      </c>
      <c r="T58" s="1" t="str">
        <f t="shared" si="12"/>
        <v>NorthBound</v>
      </c>
      <c r="U58" s="1">
        <f>COUNTIFS(Variables!$M$2:$M$19,IF(T58="NorthBound","&gt;=","&lt;=")&amp;Y58,Variables!$M$2:$M$19,IF(T58="NorthBound","&lt;=","&gt;=")&amp;Z58)</f>
        <v>12</v>
      </c>
      <c r="V58" s="38" t="str">
        <f t="shared" si="13"/>
        <v>https://search-rtdc-monitor-bjffxe2xuh6vdkpspy63sjmuny.us-east-1.es.amazonaws.com/_plugin/kibana/#/discover/Steve-Slow-Train-Analysis-(2080s-and-2083s)?_g=(refreshInterval:(display:Off,section:0,value:0),time:(from:'2016-06-29 09:11:31-0600',mode:absolute,to:'2016-06-29 09:53:39-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58" s="38" t="str">
        <f t="shared" si="14"/>
        <v>N</v>
      </c>
      <c r="X58" s="38">
        <f t="shared" si="15"/>
        <v>1</v>
      </c>
      <c r="Y58" s="38">
        <f t="shared" si="16"/>
        <v>4.4600000000000001E-2</v>
      </c>
      <c r="Z58" s="38">
        <f t="shared" si="17"/>
        <v>23.328800000000001</v>
      </c>
      <c r="AA58" s="38">
        <f t="shared" si="18"/>
        <v>23.284200000000002</v>
      </c>
      <c r="AB58" s="39" t="e">
        <f>VLOOKUP(A58,Enforcements!$C$7:$J$32,8,0)</f>
        <v>#N/A</v>
      </c>
      <c r="AC58" s="39" t="e">
        <f>VLOOKUP(A58,Enforcements!$C$7:$E$32,3,0)</f>
        <v>#N/A</v>
      </c>
    </row>
    <row r="59" spans="1:29" s="1" customFormat="1" x14ac:dyDescent="0.25">
      <c r="A59" s="67" t="s">
        <v>535</v>
      </c>
      <c r="B59" s="34">
        <v>4032</v>
      </c>
      <c r="C59" s="34" t="s">
        <v>60</v>
      </c>
      <c r="D59" s="34" t="s">
        <v>106</v>
      </c>
      <c r="E59" s="20">
        <v>42550.423368055555</v>
      </c>
      <c r="F59" s="20">
        <v>42550.424490740741</v>
      </c>
      <c r="G59" s="23">
        <v>1</v>
      </c>
      <c r="H59" s="20" t="s">
        <v>168</v>
      </c>
      <c r="I59" s="20">
        <v>42550.451724537037</v>
      </c>
      <c r="J59" s="34">
        <v>1</v>
      </c>
      <c r="K59" s="34" t="str">
        <f t="shared" si="8"/>
        <v>4031/4032</v>
      </c>
      <c r="L59" s="34" t="str">
        <f>VLOOKUP(A59,'Trips&amp;Operators'!$C$1:$E$10000,3,FALSE)</f>
        <v>STARKS</v>
      </c>
      <c r="M59" s="6">
        <f t="shared" si="19"/>
        <v>2.7233796296059154E-2</v>
      </c>
      <c r="N59" s="7">
        <f t="shared" si="1"/>
        <v>39.216666666325182</v>
      </c>
      <c r="O59" s="7"/>
      <c r="P59" s="7"/>
      <c r="Q59" s="35"/>
      <c r="R59" s="35"/>
      <c r="S59" s="59">
        <f t="shared" si="11"/>
        <v>1</v>
      </c>
      <c r="T59" s="1" t="str">
        <f t="shared" si="12"/>
        <v>Southbound</v>
      </c>
      <c r="U59" s="1">
        <f>COUNTIFS(Variables!$M$2:$M$19,IF(T59="NorthBound","&gt;=","&lt;=")&amp;Y59,Variables!$M$2:$M$19,IF(T59="NorthBound","&lt;=","&gt;=")&amp;Z59)</f>
        <v>12</v>
      </c>
      <c r="V59" s="38" t="str">
        <f t="shared" si="13"/>
        <v>https://search-rtdc-monitor-bjffxe2xuh6vdkpspy63sjmuny.us-east-1.es.amazonaws.com/_plugin/kibana/#/discover/Steve-Slow-Train-Analysis-(2080s-and-2083s)?_g=(refreshInterval:(display:Off,section:0,value:0),time:(from:'2016-06-29 10:08:39-0600',mode:absolute,to:'2016-06-29 10:51:29-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59" s="38" t="str">
        <f t="shared" si="14"/>
        <v>N</v>
      </c>
      <c r="X59" s="38">
        <f t="shared" si="15"/>
        <v>1</v>
      </c>
      <c r="Y59" s="38">
        <f t="shared" si="16"/>
        <v>23.2986</v>
      </c>
      <c r="Z59" s="38">
        <f t="shared" si="17"/>
        <v>1.54E-2</v>
      </c>
      <c r="AA59" s="38">
        <f t="shared" si="18"/>
        <v>23.283200000000001</v>
      </c>
      <c r="AB59" s="39">
        <f>VLOOKUP(A59,Enforcements!$C$7:$J$32,8,0)</f>
        <v>156300</v>
      </c>
      <c r="AC59" s="39" t="str">
        <f>VLOOKUP(A59,Enforcements!$C$7:$E$32,3,0)</f>
        <v>PERMANENT SPEED RESTRICTION</v>
      </c>
    </row>
    <row r="60" spans="1:29" s="1" customFormat="1" x14ac:dyDescent="0.25">
      <c r="A60" s="67" t="s">
        <v>619</v>
      </c>
      <c r="B60" s="34">
        <v>4042</v>
      </c>
      <c r="C60" s="34" t="s">
        <v>60</v>
      </c>
      <c r="D60" s="34" t="s">
        <v>179</v>
      </c>
      <c r="E60" s="20">
        <v>42550.390752314815</v>
      </c>
      <c r="F60" s="20">
        <v>42550.392152777778</v>
      </c>
      <c r="G60" s="23">
        <v>2</v>
      </c>
      <c r="H60" s="20" t="s">
        <v>652</v>
      </c>
      <c r="I60" s="20">
        <v>42550.421215277776</v>
      </c>
      <c r="J60" s="34">
        <v>0</v>
      </c>
      <c r="K60" s="34" t="str">
        <f t="shared" si="8"/>
        <v>4041/4042</v>
      </c>
      <c r="L60" s="34" t="str">
        <f>VLOOKUP(A60,'Trips&amp;Operators'!$C$1:$E$10000,3,FALSE)</f>
        <v>MAELZER</v>
      </c>
      <c r="M60" s="6">
        <f t="shared" si="19"/>
        <v>2.9062499997962732E-2</v>
      </c>
      <c r="N60" s="7">
        <f t="shared" si="1"/>
        <v>41.849999997066334</v>
      </c>
      <c r="O60" s="7"/>
      <c r="P60" s="7"/>
      <c r="Q60" s="35"/>
      <c r="R60" s="35"/>
      <c r="S60" s="59">
        <f t="shared" si="11"/>
        <v>1</v>
      </c>
      <c r="T60" s="1" t="str">
        <f t="shared" si="12"/>
        <v>NorthBound</v>
      </c>
      <c r="U60" s="1">
        <f>COUNTIFS(Variables!$M$2:$M$19,IF(T60="NorthBound","&gt;=","&lt;=")&amp;Y60,Variables!$M$2:$M$19,IF(T60="NorthBound","&lt;=","&gt;=")&amp;Z60)</f>
        <v>12</v>
      </c>
      <c r="V60" s="38" t="str">
        <f t="shared" si="13"/>
        <v>https://search-rtdc-monitor-bjffxe2xuh6vdkpspy63sjmuny.us-east-1.es.amazonaws.com/_plugin/kibana/#/discover/Steve-Slow-Train-Analysis-(2080s-and-2083s)?_g=(refreshInterval:(display:Off,section:0,value:0),time:(from:'2016-06-29 09:21:41-0600',mode:absolute,to:'2016-06-29 10:07:33-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60" s="38" t="str">
        <f t="shared" si="14"/>
        <v>N</v>
      </c>
      <c r="X60" s="38">
        <f t="shared" si="15"/>
        <v>1</v>
      </c>
      <c r="Y60" s="38">
        <f t="shared" si="16"/>
        <v>4.4900000000000002E-2</v>
      </c>
      <c r="Z60" s="38">
        <f t="shared" si="17"/>
        <v>23.329799999999999</v>
      </c>
      <c r="AA60" s="38">
        <f t="shared" si="18"/>
        <v>23.2849</v>
      </c>
      <c r="AB60" s="39" t="e">
        <f>VLOOKUP(A60,Enforcements!$C$7:$J$32,8,0)</f>
        <v>#N/A</v>
      </c>
      <c r="AC60" s="39" t="e">
        <f>VLOOKUP(A60,Enforcements!$C$7:$E$32,3,0)</f>
        <v>#N/A</v>
      </c>
    </row>
    <row r="61" spans="1:29" s="1" customFormat="1" x14ac:dyDescent="0.25">
      <c r="A61" s="67" t="s">
        <v>581</v>
      </c>
      <c r="B61" s="34">
        <v>4041</v>
      </c>
      <c r="C61" s="34" t="s">
        <v>60</v>
      </c>
      <c r="D61" s="34" t="s">
        <v>286</v>
      </c>
      <c r="E61" s="20">
        <v>42550.430543981478</v>
      </c>
      <c r="F61" s="20">
        <v>42550.431597222225</v>
      </c>
      <c r="G61" s="23">
        <v>1</v>
      </c>
      <c r="H61" s="20" t="s">
        <v>96</v>
      </c>
      <c r="I61" s="20">
        <v>42550.462071759262</v>
      </c>
      <c r="J61" s="34">
        <v>0</v>
      </c>
      <c r="K61" s="34" t="str">
        <f t="shared" si="8"/>
        <v>4041/4042</v>
      </c>
      <c r="L61" s="34" t="str">
        <f>VLOOKUP(A61,'Trips&amp;Operators'!$C$1:$E$10000,3,FALSE)</f>
        <v>MAELZER</v>
      </c>
      <c r="M61" s="6">
        <f t="shared" si="19"/>
        <v>3.047453703766223E-2</v>
      </c>
      <c r="N61" s="7">
        <f t="shared" si="1"/>
        <v>43.883333334233612</v>
      </c>
      <c r="O61" s="7"/>
      <c r="P61" s="7"/>
      <c r="Q61" s="35"/>
      <c r="R61" s="35"/>
      <c r="S61" s="59">
        <f t="shared" si="11"/>
        <v>1</v>
      </c>
      <c r="T61" s="1" t="str">
        <f t="shared" si="12"/>
        <v>Southbound</v>
      </c>
      <c r="U61" s="1">
        <f>COUNTIFS(Variables!$M$2:$M$19,IF(T61="NorthBound","&gt;=","&lt;=")&amp;Y61,Variables!$M$2:$M$19,IF(T61="NorthBound","&lt;=","&gt;=")&amp;Z61)</f>
        <v>12</v>
      </c>
      <c r="V61" s="38" t="str">
        <f t="shared" si="13"/>
        <v>https://search-rtdc-monitor-bjffxe2xuh6vdkpspy63sjmuny.us-east-1.es.amazonaws.com/_plugin/kibana/#/discover/Steve-Slow-Train-Analysis-(2080s-and-2083s)?_g=(refreshInterval:(display:Off,section:0,value:0),time:(from:'2016-06-29 10:18:59-0600',mode:absolute,to:'2016-06-29 11:06:23-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61" s="38" t="str">
        <f t="shared" si="14"/>
        <v>N</v>
      </c>
      <c r="X61" s="38">
        <f t="shared" si="15"/>
        <v>1</v>
      </c>
      <c r="Y61" s="38">
        <f t="shared" si="16"/>
        <v>23.297599999999999</v>
      </c>
      <c r="Z61" s="38">
        <f t="shared" si="17"/>
        <v>1.5800000000000002E-2</v>
      </c>
      <c r="AA61" s="38">
        <f t="shared" si="18"/>
        <v>23.2818</v>
      </c>
      <c r="AB61" s="39" t="e">
        <f>VLOOKUP(A61,Enforcements!$C$7:$J$32,8,0)</f>
        <v>#N/A</v>
      </c>
      <c r="AC61" s="39" t="e">
        <f>VLOOKUP(A61,Enforcements!$C$7:$E$32,3,0)</f>
        <v>#N/A</v>
      </c>
    </row>
    <row r="62" spans="1:29" s="1" customFormat="1" x14ac:dyDescent="0.25">
      <c r="A62" s="67" t="s">
        <v>534</v>
      </c>
      <c r="B62" s="34">
        <v>4040</v>
      </c>
      <c r="C62" s="34" t="s">
        <v>60</v>
      </c>
      <c r="D62" s="34" t="s">
        <v>78</v>
      </c>
      <c r="E62" s="20">
        <v>42550.40525462963</v>
      </c>
      <c r="F62" s="20">
        <v>42550.405960648146</v>
      </c>
      <c r="G62" s="23">
        <v>1</v>
      </c>
      <c r="H62" s="20" t="s">
        <v>655</v>
      </c>
      <c r="I62" s="20">
        <v>42550.428263888891</v>
      </c>
      <c r="J62" s="34">
        <v>1</v>
      </c>
      <c r="K62" s="34" t="str">
        <f t="shared" si="8"/>
        <v>4039/4040</v>
      </c>
      <c r="L62" s="34" t="str">
        <f>VLOOKUP(A62,'Trips&amp;Operators'!$C$1:$E$10000,3,FALSE)</f>
        <v>KILLION</v>
      </c>
      <c r="M62" s="6">
        <f t="shared" si="19"/>
        <v>2.2303240744804498E-2</v>
      </c>
      <c r="N62" s="7"/>
      <c r="O62" s="7"/>
      <c r="P62" s="7">
        <f t="shared" si="1"/>
        <v>32.116666672518477</v>
      </c>
      <c r="Q62" s="35"/>
      <c r="R62" s="35" t="s">
        <v>223</v>
      </c>
      <c r="S62" s="59">
        <f t="shared" si="11"/>
        <v>1</v>
      </c>
      <c r="T62" s="1" t="str">
        <f t="shared" si="12"/>
        <v>NorthBound</v>
      </c>
      <c r="U62" s="1">
        <f>COUNTIFS(Variables!$M$2:$M$19,IF(T62="NorthBound","&gt;=","&lt;=")&amp;Y62,Variables!$M$2:$M$19,IF(T62="NorthBound","&lt;=","&gt;=")&amp;Z62)</f>
        <v>12</v>
      </c>
      <c r="V62" s="38" t="str">
        <f t="shared" si="13"/>
        <v>https://search-rtdc-monitor-bjffxe2xuh6vdkpspy63sjmuny.us-east-1.es.amazonaws.com/_plugin/kibana/#/discover/Steve-Slow-Train-Analysis-(2080s-and-2083s)?_g=(refreshInterval:(display:Off,section:0,value:0),time:(from:'2016-06-29 09:42:34-0600',mode:absolute,to:'2016-06-29 10:17:42-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62" s="38" t="str">
        <f t="shared" si="14"/>
        <v>Y</v>
      </c>
      <c r="X62" s="38">
        <f t="shared" si="15"/>
        <v>1</v>
      </c>
      <c r="Y62" s="38">
        <f t="shared" si="16"/>
        <v>4.53E-2</v>
      </c>
      <c r="Z62" s="38">
        <f t="shared" si="17"/>
        <v>20.0077</v>
      </c>
      <c r="AA62" s="38">
        <f t="shared" si="18"/>
        <v>19.962399999999999</v>
      </c>
      <c r="AB62" s="39" t="e">
        <f>VLOOKUP(A62,Enforcements!$C$7:$J$32,8,0)</f>
        <v>#N/A</v>
      </c>
      <c r="AC62" s="39" t="e">
        <f>VLOOKUP(A62,Enforcements!$C$7:$E$32,3,0)</f>
        <v>#N/A</v>
      </c>
    </row>
    <row r="63" spans="1:29" s="1" customFormat="1" x14ac:dyDescent="0.25">
      <c r="A63" s="67" t="s">
        <v>575</v>
      </c>
      <c r="B63" s="34">
        <v>4039</v>
      </c>
      <c r="C63" s="34" t="s">
        <v>60</v>
      </c>
      <c r="D63" s="34" t="s">
        <v>656</v>
      </c>
      <c r="E63" s="20">
        <v>42550.442800925928</v>
      </c>
      <c r="F63" s="20">
        <v>42550.443599537037</v>
      </c>
      <c r="G63" s="23">
        <v>1</v>
      </c>
      <c r="H63" s="20" t="s">
        <v>657</v>
      </c>
      <c r="I63" s="20">
        <v>42550.473136574074</v>
      </c>
      <c r="J63" s="34">
        <v>0</v>
      </c>
      <c r="K63" s="34" t="str">
        <f t="shared" si="8"/>
        <v>4039/4040</v>
      </c>
      <c r="L63" s="34" t="str">
        <f>VLOOKUP(A63,'Trips&amp;Operators'!$C$1:$E$10000,3,FALSE)</f>
        <v>KILLION</v>
      </c>
      <c r="M63" s="6">
        <f t="shared" si="19"/>
        <v>2.9537037036789116E-2</v>
      </c>
      <c r="N63" s="7">
        <f t="shared" si="1"/>
        <v>42.533333332976326</v>
      </c>
      <c r="O63" s="7"/>
      <c r="P63" s="7"/>
      <c r="Q63" s="35"/>
      <c r="R63" s="35"/>
      <c r="S63" s="59">
        <f t="shared" si="11"/>
        <v>1</v>
      </c>
      <c r="T63" s="1" t="str">
        <f t="shared" si="12"/>
        <v>Southbound</v>
      </c>
      <c r="U63" s="1">
        <f>COUNTIFS(Variables!$M$2:$M$19,IF(T63="NorthBound","&gt;=","&lt;=")&amp;Y63,Variables!$M$2:$M$19,IF(T63="NorthBound","&lt;=","&gt;=")&amp;Z63)</f>
        <v>12</v>
      </c>
      <c r="V63" s="38" t="str">
        <f t="shared" si="13"/>
        <v>https://search-rtdc-monitor-bjffxe2xuh6vdkpspy63sjmuny.us-east-1.es.amazonaws.com/_plugin/kibana/#/discover/Steve-Slow-Train-Analysis-(2080s-and-2083s)?_g=(refreshInterval:(display:Off,section:0,value:0),time:(from:'2016-06-29 10:36:38-0600',mode:absolute,to:'2016-06-29 11:22: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63" s="38" t="str">
        <f t="shared" si="14"/>
        <v>N</v>
      </c>
      <c r="X63" s="38">
        <f t="shared" si="15"/>
        <v>1</v>
      </c>
      <c r="Y63" s="38">
        <f t="shared" si="16"/>
        <v>23.299199999999999</v>
      </c>
      <c r="Z63" s="38">
        <f t="shared" si="17"/>
        <v>1.3899999999999999E-2</v>
      </c>
      <c r="AA63" s="38">
        <f t="shared" si="18"/>
        <v>23.285299999999999</v>
      </c>
      <c r="AB63" s="39" t="e">
        <f>VLOOKUP(A63,Enforcements!$C$7:$J$32,8,0)</f>
        <v>#N/A</v>
      </c>
      <c r="AC63" s="39" t="e">
        <f>VLOOKUP(A63,Enforcements!$C$7:$E$32,3,0)</f>
        <v>#N/A</v>
      </c>
    </row>
    <row r="64" spans="1:29" s="1" customFormat="1" x14ac:dyDescent="0.25">
      <c r="A64" s="67" t="s">
        <v>533</v>
      </c>
      <c r="B64" s="34">
        <v>4044</v>
      </c>
      <c r="C64" s="34" t="s">
        <v>60</v>
      </c>
      <c r="D64" s="34" t="s">
        <v>81</v>
      </c>
      <c r="E64" s="20">
        <v>42550.411724537036</v>
      </c>
      <c r="F64" s="20">
        <v>42550.41302083333</v>
      </c>
      <c r="G64" s="23">
        <v>1</v>
      </c>
      <c r="H64" s="20" t="s">
        <v>161</v>
      </c>
      <c r="I64" s="20">
        <v>42550.443020833336</v>
      </c>
      <c r="J64" s="34">
        <v>1</v>
      </c>
      <c r="K64" s="34" t="str">
        <f t="shared" si="8"/>
        <v>4043/4044</v>
      </c>
      <c r="L64" s="34" t="str">
        <f>VLOOKUP(A64,'Trips&amp;Operators'!$C$1:$E$10000,3,FALSE)</f>
        <v>ACKERMAN</v>
      </c>
      <c r="M64" s="6">
        <f t="shared" si="19"/>
        <v>3.0000000006111804E-2</v>
      </c>
      <c r="N64" s="7">
        <f t="shared" si="1"/>
        <v>43.200000008800998</v>
      </c>
      <c r="O64" s="7"/>
      <c r="P64" s="7"/>
      <c r="Q64" s="35"/>
      <c r="R64" s="35"/>
      <c r="S64" s="59">
        <f t="shared" si="11"/>
        <v>1</v>
      </c>
      <c r="T64" s="1" t="str">
        <f t="shared" si="12"/>
        <v>NorthBound</v>
      </c>
      <c r="U64" s="1">
        <f>COUNTIFS(Variables!$M$2:$M$19,IF(T64="NorthBound","&gt;=","&lt;=")&amp;Y64,Variables!$M$2:$M$19,IF(T64="NorthBound","&lt;=","&gt;=")&amp;Z64)</f>
        <v>12</v>
      </c>
      <c r="V64" s="38" t="str">
        <f t="shared" si="13"/>
        <v>https://search-rtdc-monitor-bjffxe2xuh6vdkpspy63sjmuny.us-east-1.es.amazonaws.com/_plugin/kibana/#/discover/Steve-Slow-Train-Analysis-(2080s-and-2083s)?_g=(refreshInterval:(display:Off,section:0,value:0),time:(from:'2016-06-29 09:51:53-0600',mode:absolute,to:'2016-06-29 10:38:57-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64" s="38" t="str">
        <f t="shared" si="14"/>
        <v>N</v>
      </c>
      <c r="X64" s="38">
        <f t="shared" si="15"/>
        <v>1</v>
      </c>
      <c r="Y64" s="38">
        <f t="shared" si="16"/>
        <v>4.58E-2</v>
      </c>
      <c r="Z64" s="38">
        <f t="shared" si="17"/>
        <v>23.331399999999999</v>
      </c>
      <c r="AA64" s="38">
        <f t="shared" si="18"/>
        <v>23.285599999999999</v>
      </c>
      <c r="AB64" s="39">
        <f>VLOOKUP(A64,Enforcements!$C$7:$J$32,8,0)</f>
        <v>18602</v>
      </c>
      <c r="AC64" s="39" t="str">
        <f>VLOOKUP(A64,Enforcements!$C$7:$E$32,3,0)</f>
        <v>GRADE CROSSING</v>
      </c>
    </row>
    <row r="65" spans="1:29" s="1" customFormat="1" x14ac:dyDescent="0.25">
      <c r="A65" s="95" t="s">
        <v>547</v>
      </c>
      <c r="B65" s="34">
        <v>4043</v>
      </c>
      <c r="C65" s="34" t="s">
        <v>60</v>
      </c>
      <c r="D65" s="34" t="s">
        <v>181</v>
      </c>
      <c r="E65" s="20">
        <v>42550.450601851851</v>
      </c>
      <c r="F65" s="20">
        <v>42550.451527777775</v>
      </c>
      <c r="G65" s="23">
        <v>1</v>
      </c>
      <c r="H65" s="20" t="s">
        <v>168</v>
      </c>
      <c r="I65" s="20">
        <v>42550.484884259262</v>
      </c>
      <c r="J65" s="34">
        <v>0</v>
      </c>
      <c r="K65" s="34" t="str">
        <f t="shared" si="8"/>
        <v>4043/4044</v>
      </c>
      <c r="L65" s="34" t="str">
        <f>VLOOKUP(A65,'Trips&amp;Operators'!$C$1:$E$10000,3,FALSE)</f>
        <v>ACKERMAN</v>
      </c>
      <c r="M65" s="6">
        <f t="shared" si="19"/>
        <v>3.3356481486407574E-2</v>
      </c>
      <c r="N65" s="7">
        <f t="shared" si="1"/>
        <v>48.033333340426907</v>
      </c>
      <c r="O65" s="7"/>
      <c r="P65" s="7"/>
      <c r="Q65" s="35"/>
      <c r="R65" s="35"/>
      <c r="S65" s="59">
        <f t="shared" si="11"/>
        <v>1</v>
      </c>
      <c r="T65" s="1" t="str">
        <f t="shared" si="12"/>
        <v>Southbound</v>
      </c>
      <c r="U65" s="1">
        <f>COUNTIFS(Variables!$M$2:$M$19,IF(T65="NorthBound","&gt;=","&lt;=")&amp;Y65,Variables!$M$2:$M$19,IF(T65="NorthBound","&lt;=","&gt;=")&amp;Z65)</f>
        <v>12</v>
      </c>
      <c r="V65" s="38" t="str">
        <f t="shared" si="13"/>
        <v>https://search-rtdc-monitor-bjffxe2xuh6vdkpspy63sjmuny.us-east-1.es.amazonaws.com/_plugin/kibana/#/discover/Steve-Slow-Train-Analysis-(2080s-and-2083s)?_g=(refreshInterval:(display:Off,section:0,value:0),time:(from:'2016-06-29 10:47:52-0600',mode:absolute,to:'2016-06-29 11:39: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65" s="38" t="str">
        <f t="shared" si="14"/>
        <v>N</v>
      </c>
      <c r="X65" s="38">
        <f t="shared" si="15"/>
        <v>1</v>
      </c>
      <c r="Y65" s="38">
        <f t="shared" si="16"/>
        <v>23.299600000000002</v>
      </c>
      <c r="Z65" s="38">
        <f t="shared" si="17"/>
        <v>1.54E-2</v>
      </c>
      <c r="AA65" s="38">
        <f t="shared" si="18"/>
        <v>23.284200000000002</v>
      </c>
      <c r="AB65" s="39" t="e">
        <f>VLOOKUP(A65,Enforcements!$C$7:$J$32,8,0)</f>
        <v>#N/A</v>
      </c>
      <c r="AC65" s="39" t="e">
        <f>VLOOKUP(A65,Enforcements!$C$7:$E$32,3,0)</f>
        <v>#N/A</v>
      </c>
    </row>
    <row r="66" spans="1:29" s="1" customFormat="1" x14ac:dyDescent="0.25">
      <c r="A66" s="67" t="s">
        <v>622</v>
      </c>
      <c r="B66" s="34">
        <v>4011</v>
      </c>
      <c r="C66" s="34" t="s">
        <v>60</v>
      </c>
      <c r="D66" s="34" t="s">
        <v>73</v>
      </c>
      <c r="E66" s="20">
        <v>42550.422384259262</v>
      </c>
      <c r="F66" s="20">
        <v>42550.423449074071</v>
      </c>
      <c r="G66" s="23">
        <v>1</v>
      </c>
      <c r="H66" s="20" t="s">
        <v>152</v>
      </c>
      <c r="I66" s="20">
        <v>42550.453530092593</v>
      </c>
      <c r="J66" s="34">
        <v>0</v>
      </c>
      <c r="K66" s="34" t="str">
        <f t="shared" si="8"/>
        <v>4011/4012</v>
      </c>
      <c r="L66" s="34" t="str">
        <f>VLOOKUP(A66,'Trips&amp;Operators'!$C$1:$E$10000,3,FALSE)</f>
        <v>SPECTOR</v>
      </c>
      <c r="M66" s="6">
        <f t="shared" si="19"/>
        <v>3.0081018521741498E-2</v>
      </c>
      <c r="N66" s="7">
        <f t="shared" si="1"/>
        <v>43.316666671307757</v>
      </c>
      <c r="O66" s="7"/>
      <c r="P66" s="7"/>
      <c r="Q66" s="35"/>
      <c r="R66" s="35"/>
      <c r="S66" s="59">
        <f t="shared" si="11"/>
        <v>1</v>
      </c>
      <c r="T66" s="1" t="str">
        <f t="shared" si="12"/>
        <v>NorthBound</v>
      </c>
      <c r="U66" s="1">
        <f>COUNTIFS(Variables!$M$2:$M$19,IF(T66="NorthBound","&gt;=","&lt;=")&amp;Y66,Variables!$M$2:$M$19,IF(T66="NorthBound","&lt;=","&gt;=")&amp;Z66)</f>
        <v>12</v>
      </c>
      <c r="V66" s="38" t="str">
        <f t="shared" si="13"/>
        <v>https://search-rtdc-monitor-bjffxe2xuh6vdkpspy63sjmuny.us-east-1.es.amazonaws.com/_plugin/kibana/#/discover/Steve-Slow-Train-Analysis-(2080s-and-2083s)?_g=(refreshInterval:(display:Off,section:0,value:0),time:(from:'2016-06-29 10:07:14-0600',mode:absolute,to:'2016-06-29 10:54: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66" s="38" t="str">
        <f t="shared" si="14"/>
        <v>N</v>
      </c>
      <c r="X66" s="38">
        <f t="shared" si="15"/>
        <v>1</v>
      </c>
      <c r="Y66" s="38">
        <f t="shared" si="16"/>
        <v>4.5699999999999998E-2</v>
      </c>
      <c r="Z66" s="38">
        <f t="shared" si="17"/>
        <v>23.331199999999999</v>
      </c>
      <c r="AA66" s="38">
        <f t="shared" si="18"/>
        <v>23.285499999999999</v>
      </c>
      <c r="AB66" s="39" t="e">
        <f>VLOOKUP(A66,Enforcements!$C$7:$J$32,8,0)</f>
        <v>#N/A</v>
      </c>
      <c r="AC66" s="39" t="e">
        <f>VLOOKUP(A66,Enforcements!$C$7:$E$32,3,0)</f>
        <v>#N/A</v>
      </c>
    </row>
    <row r="67" spans="1:29" s="1" customFormat="1" x14ac:dyDescent="0.25">
      <c r="A67" s="67" t="s">
        <v>284</v>
      </c>
      <c r="B67" s="34">
        <v>4012</v>
      </c>
      <c r="C67" s="34" t="s">
        <v>60</v>
      </c>
      <c r="D67" s="34" t="s">
        <v>125</v>
      </c>
      <c r="E67" s="20">
        <v>42550.460057870368</v>
      </c>
      <c r="F67" s="20">
        <v>42550.46130787037</v>
      </c>
      <c r="G67" s="23">
        <v>1</v>
      </c>
      <c r="H67" s="20" t="s">
        <v>162</v>
      </c>
      <c r="I67" s="20">
        <v>42550.497430555559</v>
      </c>
      <c r="J67" s="34">
        <v>0</v>
      </c>
      <c r="K67" s="34" t="str">
        <f t="shared" si="8"/>
        <v>4011/4012</v>
      </c>
      <c r="L67" s="34" t="str">
        <f>VLOOKUP(A67,'Trips&amp;Operators'!$C$1:$E$10000,3,FALSE)</f>
        <v>SPECTOR</v>
      </c>
      <c r="M67" s="6">
        <f t="shared" si="19"/>
        <v>3.6122685189184267E-2</v>
      </c>
      <c r="N67" s="7">
        <f t="shared" si="1"/>
        <v>52.016666672425345</v>
      </c>
      <c r="O67" s="7"/>
      <c r="P67" s="7"/>
      <c r="Q67" s="35"/>
      <c r="R67" s="35"/>
      <c r="S67" s="59">
        <f t="shared" si="11"/>
        <v>1</v>
      </c>
      <c r="T67" s="1" t="str">
        <f t="shared" si="12"/>
        <v>Southbound</v>
      </c>
      <c r="U67" s="1">
        <f>COUNTIFS(Variables!$M$2:$M$19,IF(T67="NorthBound","&gt;=","&lt;=")&amp;Y67,Variables!$M$2:$M$19,IF(T67="NorthBound","&lt;=","&gt;=")&amp;Z67)</f>
        <v>12</v>
      </c>
      <c r="V67" s="38" t="str">
        <f t="shared" si="13"/>
        <v>https://search-rtdc-monitor-bjffxe2xuh6vdkpspy63sjmuny.us-east-1.es.amazonaws.com/_plugin/kibana/#/discover/Steve-Slow-Train-Analysis-(2080s-and-2083s)?_g=(refreshInterval:(display:Off,section:0,value:0),time:(from:'2016-06-29 11:01:29-0600',mode:absolute,to:'2016-06-29 11:57:18-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67" s="38" t="str">
        <f t="shared" si="14"/>
        <v>N</v>
      </c>
      <c r="X67" s="38">
        <f t="shared" si="15"/>
        <v>1</v>
      </c>
      <c r="Y67" s="38">
        <f t="shared" si="16"/>
        <v>23.298200000000001</v>
      </c>
      <c r="Z67" s="38">
        <f t="shared" si="17"/>
        <v>1.38E-2</v>
      </c>
      <c r="AA67" s="38">
        <f t="shared" si="18"/>
        <v>23.284400000000002</v>
      </c>
      <c r="AB67" s="39" t="e">
        <f>VLOOKUP(A67,Enforcements!$C$7:$J$32,8,0)</f>
        <v>#N/A</v>
      </c>
      <c r="AC67" s="39" t="e">
        <f>VLOOKUP(A67,Enforcements!$C$7:$E$32,3,0)</f>
        <v>#N/A</v>
      </c>
    </row>
    <row r="68" spans="1:29" s="1" customFormat="1" x14ac:dyDescent="0.25">
      <c r="A68" s="67" t="s">
        <v>537</v>
      </c>
      <c r="B68" s="34">
        <v>4016</v>
      </c>
      <c r="C68" s="34" t="s">
        <v>60</v>
      </c>
      <c r="D68" s="34" t="s">
        <v>134</v>
      </c>
      <c r="E68" s="20">
        <v>42550.431319444448</v>
      </c>
      <c r="F68" s="20">
        <v>42550.436053240737</v>
      </c>
      <c r="G68" s="23">
        <v>6</v>
      </c>
      <c r="H68" s="20" t="s">
        <v>658</v>
      </c>
      <c r="I68" s="20">
        <v>42550.46303240741</v>
      </c>
      <c r="J68" s="34">
        <v>1</v>
      </c>
      <c r="K68" s="34" t="str">
        <f t="shared" si="8"/>
        <v>4015/4016</v>
      </c>
      <c r="L68" s="34" t="str">
        <f>VLOOKUP(A68,'Trips&amp;Operators'!$C$1:$E$10000,3,FALSE)</f>
        <v>SANTIZO</v>
      </c>
      <c r="M68" s="6">
        <f t="shared" si="19"/>
        <v>2.697916667239042E-2</v>
      </c>
      <c r="N68" s="7">
        <f t="shared" si="1"/>
        <v>38.850000008242205</v>
      </c>
      <c r="O68" s="7"/>
      <c r="P68" s="7"/>
      <c r="Q68" s="35"/>
      <c r="R68" s="35"/>
      <c r="S68" s="59">
        <f t="shared" si="11"/>
        <v>1</v>
      </c>
      <c r="T68" s="1" t="str">
        <f t="shared" si="12"/>
        <v>NorthBound</v>
      </c>
      <c r="U68" s="1">
        <f>COUNTIFS(Variables!$M$2:$M$19,IF(T68="NorthBound","&gt;=","&lt;=")&amp;Y68,Variables!$M$2:$M$19,IF(T68="NorthBound","&lt;=","&gt;=")&amp;Z68)</f>
        <v>12</v>
      </c>
      <c r="V68" s="38" t="str">
        <f t="shared" si="13"/>
        <v>https://search-rtdc-monitor-bjffxe2xuh6vdkpspy63sjmuny.us-east-1.es.amazonaws.com/_plugin/kibana/#/discover/Steve-Slow-Train-Analysis-(2080s-and-2083s)?_g=(refreshInterval:(display:Off,section:0,value:0),time:(from:'2016-06-29 10:20:06-0600',mode:absolute,to:'2016-06-29 11:07:46-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68" s="38" t="str">
        <f t="shared" si="14"/>
        <v>N</v>
      </c>
      <c r="X68" s="38">
        <f t="shared" si="15"/>
        <v>1</v>
      </c>
      <c r="Y68" s="38">
        <f t="shared" si="16"/>
        <v>4.7100000000000003E-2</v>
      </c>
      <c r="Z68" s="38">
        <f t="shared" si="17"/>
        <v>23.328299999999999</v>
      </c>
      <c r="AA68" s="38">
        <f t="shared" si="18"/>
        <v>23.281199999999998</v>
      </c>
      <c r="AB68" s="39" t="e">
        <f>VLOOKUP(A68,Enforcements!$C$7:$J$32,8,0)</f>
        <v>#N/A</v>
      </c>
      <c r="AC68" s="39" t="e">
        <f>VLOOKUP(A68,Enforcements!$C$7:$E$32,3,0)</f>
        <v>#N/A</v>
      </c>
    </row>
    <row r="69" spans="1:29" s="1" customFormat="1" x14ac:dyDescent="0.25">
      <c r="A69" s="67" t="s">
        <v>285</v>
      </c>
      <c r="B69" s="34">
        <v>4015</v>
      </c>
      <c r="C69" s="34" t="s">
        <v>60</v>
      </c>
      <c r="D69" s="34" t="s">
        <v>286</v>
      </c>
      <c r="E69" s="20">
        <v>42550.464479166665</v>
      </c>
      <c r="F69" s="20">
        <v>42550.465648148151</v>
      </c>
      <c r="G69" s="23">
        <v>1</v>
      </c>
      <c r="H69" s="20" t="s">
        <v>89</v>
      </c>
      <c r="I69" s="20">
        <v>42550.507777777777</v>
      </c>
      <c r="J69" s="34">
        <v>0</v>
      </c>
      <c r="K69" s="34" t="str">
        <f t="shared" si="8"/>
        <v>4015/4016</v>
      </c>
      <c r="L69" s="34" t="str">
        <f>VLOOKUP(A69,'Trips&amp;Operators'!$C$1:$E$10000,3,FALSE)</f>
        <v>SANTIZO</v>
      </c>
      <c r="M69" s="6">
        <f t="shared" si="19"/>
        <v>4.2129629626288079E-2</v>
      </c>
      <c r="N69" s="7">
        <f t="shared" si="1"/>
        <v>60.666666661854833</v>
      </c>
      <c r="O69" s="7"/>
      <c r="P69" s="7"/>
      <c r="Q69" s="35"/>
      <c r="R69" s="35"/>
      <c r="S69" s="59">
        <f t="shared" si="11"/>
        <v>1</v>
      </c>
      <c r="T69" s="1" t="str">
        <f t="shared" si="12"/>
        <v>Southbound</v>
      </c>
      <c r="U69" s="1">
        <f>COUNTIFS(Variables!$M$2:$M$19,IF(T69="NorthBound","&gt;=","&lt;=")&amp;Y69,Variables!$M$2:$M$19,IF(T69="NorthBound","&lt;=","&gt;=")&amp;Z69)</f>
        <v>12</v>
      </c>
      <c r="V69" s="38" t="str">
        <f t="shared" si="13"/>
        <v>https://search-rtdc-monitor-bjffxe2xuh6vdkpspy63sjmuny.us-east-1.es.amazonaws.com/_plugin/kibana/#/discover/Steve-Slow-Train-Analysis-(2080s-and-2083s)?_g=(refreshInterval:(display:Off,section:0,value:0),time:(from:'2016-06-29 11:07:51-0600',mode:absolute,to:'2016-06-29 12:12:12-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69" s="38" t="str">
        <f t="shared" si="14"/>
        <v>N</v>
      </c>
      <c r="X69" s="38">
        <f t="shared" si="15"/>
        <v>1</v>
      </c>
      <c r="Y69" s="38">
        <f t="shared" si="16"/>
        <v>23.297599999999999</v>
      </c>
      <c r="Z69" s="38">
        <f t="shared" si="17"/>
        <v>1.61E-2</v>
      </c>
      <c r="AA69" s="38">
        <f t="shared" si="18"/>
        <v>23.281499999999998</v>
      </c>
      <c r="AB69" s="39" t="e">
        <f>VLOOKUP(A69,Enforcements!$C$7:$J$32,8,0)</f>
        <v>#N/A</v>
      </c>
      <c r="AC69" s="39" t="e">
        <f>VLOOKUP(A69,Enforcements!$C$7:$E$32,3,0)</f>
        <v>#N/A</v>
      </c>
    </row>
    <row r="70" spans="1:29" s="1" customFormat="1" x14ac:dyDescent="0.25">
      <c r="A70" s="67" t="s">
        <v>604</v>
      </c>
      <c r="B70" s="34">
        <v>4024</v>
      </c>
      <c r="C70" s="34" t="s">
        <v>60</v>
      </c>
      <c r="D70" s="34" t="s">
        <v>78</v>
      </c>
      <c r="E70" s="20">
        <v>42550.443622685183</v>
      </c>
      <c r="F70" s="20">
        <v>42550.444594907407</v>
      </c>
      <c r="G70" s="23">
        <v>1</v>
      </c>
      <c r="H70" s="20" t="s">
        <v>185</v>
      </c>
      <c r="I70" s="20">
        <v>42550.475752314815</v>
      </c>
      <c r="J70" s="34">
        <v>0</v>
      </c>
      <c r="K70" s="34" t="str">
        <f t="shared" si="8"/>
        <v>4023/4024</v>
      </c>
      <c r="L70" s="34" t="str">
        <f>VLOOKUP(A70,'Trips&amp;Operators'!$C$1:$E$10000,3,FALSE)</f>
        <v>STAMBAUGH</v>
      </c>
      <c r="M70" s="6">
        <f t="shared" si="19"/>
        <v>3.1157407407590654E-2</v>
      </c>
      <c r="N70" s="7">
        <f t="shared" si="1"/>
        <v>44.866666666930541</v>
      </c>
      <c r="O70" s="7"/>
      <c r="P70" s="7"/>
      <c r="Q70" s="35"/>
      <c r="R70" s="35"/>
      <c r="S70" s="59">
        <f t="shared" si="11"/>
        <v>1</v>
      </c>
      <c r="T70" s="1" t="str">
        <f t="shared" si="12"/>
        <v>NorthBound</v>
      </c>
      <c r="U70" s="1">
        <f>COUNTIFS(Variables!$M$2:$M$19,IF(T70="NorthBound","&gt;=","&lt;=")&amp;Y70,Variables!$M$2:$M$19,IF(T70="NorthBound","&lt;=","&gt;=")&amp;Z70)</f>
        <v>12</v>
      </c>
      <c r="V70" s="38" t="str">
        <f t="shared" si="13"/>
        <v>https://search-rtdc-monitor-bjffxe2xuh6vdkpspy63sjmuny.us-east-1.es.amazonaws.com/_plugin/kibana/#/discover/Steve-Slow-Train-Analysis-(2080s-and-2083s)?_g=(refreshInterval:(display:Off,section:0,value:0),time:(from:'2016-06-29 10:37:49-0600',mode:absolute,to:'2016-06-29 11:26: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70" s="38" t="str">
        <f t="shared" si="14"/>
        <v>N</v>
      </c>
      <c r="X70" s="38">
        <f t="shared" si="15"/>
        <v>1</v>
      </c>
      <c r="Y70" s="38">
        <f t="shared" si="16"/>
        <v>4.53E-2</v>
      </c>
      <c r="Z70" s="38">
        <f t="shared" si="17"/>
        <v>23.328199999999999</v>
      </c>
      <c r="AA70" s="38">
        <f t="shared" si="18"/>
        <v>23.282899999999998</v>
      </c>
      <c r="AB70" s="39" t="e">
        <f>VLOOKUP(A70,Enforcements!$C$7:$J$32,8,0)</f>
        <v>#N/A</v>
      </c>
      <c r="AC70" s="39" t="e">
        <f>VLOOKUP(A70,Enforcements!$C$7:$E$32,3,0)</f>
        <v>#N/A</v>
      </c>
    </row>
    <row r="71" spans="1:29" s="1" customFormat="1" x14ac:dyDescent="0.25">
      <c r="A71" s="67" t="s">
        <v>287</v>
      </c>
      <c r="B71" s="34">
        <v>4023</v>
      </c>
      <c r="C71" s="34" t="s">
        <v>60</v>
      </c>
      <c r="D71" s="34" t="s">
        <v>288</v>
      </c>
      <c r="E71" s="20">
        <v>42550.483472222222</v>
      </c>
      <c r="F71" s="20">
        <v>42550.485439814816</v>
      </c>
      <c r="G71" s="23">
        <v>2</v>
      </c>
      <c r="H71" s="20" t="s">
        <v>105</v>
      </c>
      <c r="I71" s="20">
        <v>42550.518796296295</v>
      </c>
      <c r="J71" s="34">
        <v>1</v>
      </c>
      <c r="K71" s="34" t="str">
        <f t="shared" si="8"/>
        <v>4023/4024</v>
      </c>
      <c r="L71" s="34" t="str">
        <f>VLOOKUP(A71,'Trips&amp;Operators'!$C$1:$E$10000,3,FALSE)</f>
        <v>STAMBAUGH</v>
      </c>
      <c r="M71" s="6">
        <f t="shared" si="19"/>
        <v>3.3356481479131617E-2</v>
      </c>
      <c r="N71" s="7">
        <f t="shared" si="1"/>
        <v>48.033333329949528</v>
      </c>
      <c r="O71" s="7"/>
      <c r="P71" s="7"/>
      <c r="Q71" s="35"/>
      <c r="R71" s="35"/>
      <c r="S71" s="59">
        <f t="shared" si="11"/>
        <v>1</v>
      </c>
      <c r="T71" s="1" t="str">
        <f t="shared" si="12"/>
        <v>Southbound</v>
      </c>
      <c r="U71" s="1">
        <f>COUNTIFS(Variables!$M$2:$M$19,IF(T71="NorthBound","&gt;=","&lt;=")&amp;Y71,Variables!$M$2:$M$19,IF(T71="NorthBound","&lt;=","&gt;=")&amp;Z71)</f>
        <v>12</v>
      </c>
      <c r="V71" s="38" t="str">
        <f t="shared" si="13"/>
        <v>https://search-rtdc-monitor-bjffxe2xuh6vdkpspy63sjmuny.us-east-1.es.amazonaws.com/_plugin/kibana/#/discover/Steve-Slow-Train-Analysis-(2080s-and-2083s)?_g=(refreshInterval:(display:Off,section:0,value:0),time:(from:'2016-06-29 11:35:12-0600',mode:absolute,to:'2016-06-29 12:28:04-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71" s="38" t="str">
        <f t="shared" si="14"/>
        <v>N</v>
      </c>
      <c r="X71" s="38">
        <f t="shared" si="15"/>
        <v>1</v>
      </c>
      <c r="Y71" s="38">
        <f t="shared" si="16"/>
        <v>23.296299999999999</v>
      </c>
      <c r="Z71" s="38">
        <f t="shared" si="17"/>
        <v>1.4999999999999999E-2</v>
      </c>
      <c r="AA71" s="38">
        <f t="shared" si="18"/>
        <v>23.281299999999998</v>
      </c>
      <c r="AB71" s="39" t="e">
        <f>VLOOKUP(A71,Enforcements!$C$7:$J$32,8,0)</f>
        <v>#N/A</v>
      </c>
      <c r="AC71" s="39" t="e">
        <f>VLOOKUP(A71,Enforcements!$C$7:$E$32,3,0)</f>
        <v>#N/A</v>
      </c>
    </row>
    <row r="72" spans="1:29" s="1" customFormat="1" x14ac:dyDescent="0.25">
      <c r="A72" s="67" t="s">
        <v>633</v>
      </c>
      <c r="B72" s="34">
        <v>4031</v>
      </c>
      <c r="C72" s="34" t="s">
        <v>60</v>
      </c>
      <c r="D72" s="34" t="s">
        <v>165</v>
      </c>
      <c r="E72" s="20">
        <v>42550.455000000002</v>
      </c>
      <c r="F72" s="20">
        <v>42550.455879629626</v>
      </c>
      <c r="G72" s="23">
        <v>1</v>
      </c>
      <c r="H72" s="20" t="s">
        <v>99</v>
      </c>
      <c r="I72" s="20">
        <v>42550.484571759262</v>
      </c>
      <c r="J72" s="34">
        <v>0</v>
      </c>
      <c r="K72" s="34" t="str">
        <f t="shared" si="8"/>
        <v>4031/4032</v>
      </c>
      <c r="L72" s="34" t="str">
        <f>VLOOKUP(A72,'Trips&amp;Operators'!$C$1:$E$10000,3,FALSE)</f>
        <v>ROCHA</v>
      </c>
      <c r="M72" s="6">
        <f t="shared" si="19"/>
        <v>2.8692129635601304E-2</v>
      </c>
      <c r="N72" s="7">
        <f t="shared" si="1"/>
        <v>41.316666675265878</v>
      </c>
      <c r="O72" s="7"/>
      <c r="P72" s="7"/>
      <c r="Q72" s="35"/>
      <c r="R72" s="35"/>
      <c r="S72" s="59">
        <f t="shared" si="11"/>
        <v>1</v>
      </c>
      <c r="T72" s="1" t="str">
        <f t="shared" si="12"/>
        <v>NorthBound</v>
      </c>
      <c r="U72" s="1">
        <f>COUNTIFS(Variables!$M$2:$M$19,IF(T72="NorthBound","&gt;=","&lt;=")&amp;Y72,Variables!$M$2:$M$19,IF(T72="NorthBound","&lt;=","&gt;=")&amp;Z72)</f>
        <v>12</v>
      </c>
      <c r="V72" s="38" t="str">
        <f t="shared" si="13"/>
        <v>https://search-rtdc-monitor-bjffxe2xuh6vdkpspy63sjmuny.us-east-1.es.amazonaws.com/_plugin/kibana/#/discover/Steve-Slow-Train-Analysis-(2080s-and-2083s)?_g=(refreshInterval:(display:Off,section:0,value:0),time:(from:'2016-06-29 10:54:12-0600',mode:absolute,to:'2016-06-29 11:38:47-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72" s="38" t="str">
        <f t="shared" si="14"/>
        <v>N</v>
      </c>
      <c r="X72" s="38">
        <f t="shared" si="15"/>
        <v>1</v>
      </c>
      <c r="Y72" s="38">
        <f t="shared" si="16"/>
        <v>4.4200000000000003E-2</v>
      </c>
      <c r="Z72" s="38">
        <f t="shared" si="17"/>
        <v>23.3291</v>
      </c>
      <c r="AA72" s="38">
        <f t="shared" si="18"/>
        <v>23.2849</v>
      </c>
      <c r="AB72" s="39" t="e">
        <f>VLOOKUP(A72,Enforcements!$C$7:$J$32,8,0)</f>
        <v>#N/A</v>
      </c>
      <c r="AC72" s="39" t="e">
        <f>VLOOKUP(A72,Enforcements!$C$7:$E$32,3,0)</f>
        <v>#N/A</v>
      </c>
    </row>
    <row r="73" spans="1:29" s="1" customFormat="1" x14ac:dyDescent="0.25">
      <c r="A73" s="67" t="s">
        <v>289</v>
      </c>
      <c r="B73" s="34">
        <v>4032</v>
      </c>
      <c r="C73" s="34" t="s">
        <v>60</v>
      </c>
      <c r="D73" s="34" t="s">
        <v>143</v>
      </c>
      <c r="E73" s="20">
        <v>42550.493194444447</v>
      </c>
      <c r="F73" s="20">
        <v>42550.494386574072</v>
      </c>
      <c r="G73" s="23">
        <v>1</v>
      </c>
      <c r="H73" s="20" t="s">
        <v>67</v>
      </c>
      <c r="I73" s="20">
        <v>42550.526412037034</v>
      </c>
      <c r="J73" s="34">
        <v>0</v>
      </c>
      <c r="K73" s="34" t="str">
        <f t="shared" si="8"/>
        <v>4031/4032</v>
      </c>
      <c r="L73" s="34" t="str">
        <f>VLOOKUP(A73,'Trips&amp;Operators'!$C$1:$E$10000,3,FALSE)</f>
        <v>ROCHA</v>
      </c>
      <c r="M73" s="6">
        <f t="shared" si="19"/>
        <v>3.202546296233777E-2</v>
      </c>
      <c r="N73" s="7">
        <f t="shared" si="1"/>
        <v>46.116666665766388</v>
      </c>
      <c r="O73" s="7"/>
      <c r="P73" s="7"/>
      <c r="Q73" s="35"/>
      <c r="R73" s="35"/>
      <c r="S73" s="59">
        <f t="shared" si="11"/>
        <v>1</v>
      </c>
      <c r="T73" s="1" t="str">
        <f t="shared" si="12"/>
        <v>Southbound</v>
      </c>
      <c r="U73" s="1">
        <f>COUNTIFS(Variables!$M$2:$M$19,IF(T73="NorthBound","&gt;=","&lt;=")&amp;Y73,Variables!$M$2:$M$19,IF(T73="NorthBound","&lt;=","&gt;=")&amp;Z73)</f>
        <v>12</v>
      </c>
      <c r="V73" s="38" t="str">
        <f t="shared" si="13"/>
        <v>https://search-rtdc-monitor-bjffxe2xuh6vdkpspy63sjmuny.us-east-1.es.amazonaws.com/_plugin/kibana/#/discover/Steve-Slow-Train-Analysis-(2080s-and-2083s)?_g=(refreshInterval:(display:Off,section:0,value:0),time:(from:'2016-06-29 11:49:12-0600',mode:absolute,to:'2016-06-29 12:39:02-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73" s="38" t="str">
        <f t="shared" si="14"/>
        <v>N</v>
      </c>
      <c r="X73" s="38">
        <f t="shared" si="15"/>
        <v>1</v>
      </c>
      <c r="Y73" s="38">
        <f t="shared" si="16"/>
        <v>23.298500000000001</v>
      </c>
      <c r="Z73" s="38">
        <f t="shared" si="17"/>
        <v>1.47E-2</v>
      </c>
      <c r="AA73" s="38">
        <f t="shared" si="18"/>
        <v>23.283799999999999</v>
      </c>
      <c r="AB73" s="39" t="e">
        <f>VLOOKUP(A73,Enforcements!$C$7:$J$32,8,0)</f>
        <v>#N/A</v>
      </c>
      <c r="AC73" s="39" t="e">
        <f>VLOOKUP(A73,Enforcements!$C$7:$E$32,3,0)</f>
        <v>#N/A</v>
      </c>
    </row>
    <row r="74" spans="1:29" s="1" customFormat="1" x14ac:dyDescent="0.25">
      <c r="A74" s="67" t="s">
        <v>290</v>
      </c>
      <c r="B74" s="34">
        <v>4042</v>
      </c>
      <c r="C74" s="34" t="s">
        <v>60</v>
      </c>
      <c r="D74" s="34" t="s">
        <v>141</v>
      </c>
      <c r="E74" s="20">
        <v>42550.465856481482</v>
      </c>
      <c r="F74" s="20">
        <v>42550.467268518521</v>
      </c>
      <c r="G74" s="23">
        <v>2</v>
      </c>
      <c r="H74" s="20" t="s">
        <v>291</v>
      </c>
      <c r="I74" s="20">
        <v>42550.500277777777</v>
      </c>
      <c r="J74" s="34">
        <v>2</v>
      </c>
      <c r="K74" s="34" t="str">
        <f t="shared" si="8"/>
        <v>4041/4042</v>
      </c>
      <c r="L74" s="34" t="str">
        <f>VLOOKUP(A74,'Trips&amp;Operators'!$C$1:$E$10000,3,FALSE)</f>
        <v>SHOOK</v>
      </c>
      <c r="M74" s="6">
        <f t="shared" si="19"/>
        <v>3.3009259255777579E-2</v>
      </c>
      <c r="N74" s="7">
        <f t="shared" si="1"/>
        <v>47.533333328319713</v>
      </c>
      <c r="O74" s="7"/>
      <c r="P74" s="7"/>
      <c r="Q74" s="35"/>
      <c r="R74" s="35"/>
      <c r="S74" s="59">
        <f t="shared" si="11"/>
        <v>1</v>
      </c>
      <c r="T74" s="1" t="str">
        <f t="shared" si="12"/>
        <v>NorthBound</v>
      </c>
      <c r="U74" s="1">
        <f>COUNTIFS(Variables!$M$2:$M$19,IF(T74="NorthBound","&gt;=","&lt;=")&amp;Y74,Variables!$M$2:$M$19,IF(T74="NorthBound","&lt;=","&gt;=")&amp;Z74)</f>
        <v>12</v>
      </c>
      <c r="V74" s="38" t="str">
        <f t="shared" si="13"/>
        <v>https://search-rtdc-monitor-bjffxe2xuh6vdkpspy63sjmuny.us-east-1.es.amazonaws.com/_plugin/kibana/#/discover/Steve-Slow-Train-Analysis-(2080s-and-2083s)?_g=(refreshInterval:(display:Off,section:0,value:0),time:(from:'2016-06-29 11:09:50-0600',mode:absolute,to:'2016-06-29 12:01: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74" s="38" t="str">
        <f t="shared" si="14"/>
        <v>N</v>
      </c>
      <c r="X74" s="38">
        <f t="shared" si="15"/>
        <v>1</v>
      </c>
      <c r="Y74" s="38">
        <f t="shared" si="16"/>
        <v>4.7699999999999999E-2</v>
      </c>
      <c r="Z74" s="38">
        <f t="shared" si="17"/>
        <v>23.3019</v>
      </c>
      <c r="AA74" s="38">
        <f t="shared" si="18"/>
        <v>23.254200000000001</v>
      </c>
      <c r="AB74" s="39" t="e">
        <f>VLOOKUP(A74,Enforcements!$C$7:$J$32,8,0)</f>
        <v>#N/A</v>
      </c>
      <c r="AC74" s="39" t="e">
        <f>VLOOKUP(A74,Enforcements!$C$7:$E$32,3,0)</f>
        <v>#N/A</v>
      </c>
    </row>
    <row r="75" spans="1:29" s="1" customFormat="1" x14ac:dyDescent="0.25">
      <c r="A75" s="67" t="s">
        <v>292</v>
      </c>
      <c r="B75" s="34">
        <v>4041</v>
      </c>
      <c r="C75" s="34" t="s">
        <v>60</v>
      </c>
      <c r="D75" s="34" t="s">
        <v>293</v>
      </c>
      <c r="E75" s="20">
        <v>42550.507268518515</v>
      </c>
      <c r="F75" s="20">
        <v>42550.508657407408</v>
      </c>
      <c r="G75" s="23">
        <v>2</v>
      </c>
      <c r="H75" s="20" t="s">
        <v>96</v>
      </c>
      <c r="I75" s="20">
        <v>42550.536932870367</v>
      </c>
      <c r="J75" s="34">
        <v>0</v>
      </c>
      <c r="K75" s="34" t="str">
        <f t="shared" si="8"/>
        <v>4041/4042</v>
      </c>
      <c r="L75" s="34" t="str">
        <f>VLOOKUP(A75,'Trips&amp;Operators'!$C$1:$E$10000,3,FALSE)</f>
        <v>SHOOK</v>
      </c>
      <c r="M75" s="6">
        <f t="shared" si="19"/>
        <v>2.827546295884531E-2</v>
      </c>
      <c r="N75" s="7">
        <f t="shared" si="1"/>
        <v>40.716666660737246</v>
      </c>
      <c r="O75" s="7"/>
      <c r="P75" s="7"/>
      <c r="Q75" s="35"/>
      <c r="R75" s="35"/>
      <c r="S75" s="59">
        <f t="shared" si="11"/>
        <v>1</v>
      </c>
      <c r="T75" s="1" t="str">
        <f t="shared" si="12"/>
        <v>Southbound</v>
      </c>
      <c r="U75" s="1">
        <f>COUNTIFS(Variables!$M$2:$M$19,IF(T75="NorthBound","&gt;=","&lt;=")&amp;Y75,Variables!$M$2:$M$19,IF(T75="NorthBound","&lt;=","&gt;=")&amp;Z75)</f>
        <v>12</v>
      </c>
      <c r="V75" s="38" t="str">
        <f t="shared" si="13"/>
        <v>https://search-rtdc-monitor-bjffxe2xuh6vdkpspy63sjmuny.us-east-1.es.amazonaws.com/_plugin/kibana/#/discover/Steve-Slow-Train-Analysis-(2080s-and-2083s)?_g=(refreshInterval:(display:Off,section:0,value:0),time:(from:'2016-06-29 12:09:28-0600',mode:absolute,to:'2016-06-29 12:54:11-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75" s="38" t="str">
        <f t="shared" si="14"/>
        <v>N</v>
      </c>
      <c r="X75" s="38">
        <f t="shared" si="15"/>
        <v>1</v>
      </c>
      <c r="Y75" s="38">
        <f t="shared" si="16"/>
        <v>23.269200000000001</v>
      </c>
      <c r="Z75" s="38">
        <f t="shared" si="17"/>
        <v>1.5800000000000002E-2</v>
      </c>
      <c r="AA75" s="38">
        <f t="shared" si="18"/>
        <v>23.253400000000003</v>
      </c>
      <c r="AB75" s="39" t="e">
        <f>VLOOKUP(A75,Enforcements!$C$7:$J$32,8,0)</f>
        <v>#N/A</v>
      </c>
      <c r="AC75" s="39" t="e">
        <f>VLOOKUP(A75,Enforcements!$C$7:$E$32,3,0)</f>
        <v>#N/A</v>
      </c>
    </row>
    <row r="76" spans="1:29" s="1" customFormat="1" ht="16.5" customHeight="1" x14ac:dyDescent="0.25">
      <c r="A76" s="95" t="s">
        <v>294</v>
      </c>
      <c r="B76" s="34">
        <v>4040</v>
      </c>
      <c r="C76" s="34" t="s">
        <v>60</v>
      </c>
      <c r="D76" s="34" t="s">
        <v>81</v>
      </c>
      <c r="E76" s="20">
        <v>42550.476990740739</v>
      </c>
      <c r="F76" s="20">
        <v>42550.478321759256</v>
      </c>
      <c r="G76" s="20">
        <v>1</v>
      </c>
      <c r="H76" s="20" t="s">
        <v>296</v>
      </c>
      <c r="I76" s="20">
        <v>42550.508159722223</v>
      </c>
      <c r="J76" s="34">
        <v>0</v>
      </c>
      <c r="K76" s="34" t="str">
        <f t="shared" ref="K76:K139" si="20">IF(ISEVEN(B76),(B76-1)&amp;"/"&amp;B76,B76&amp;"/"&amp;(B76+1))</f>
        <v>4039/4040</v>
      </c>
      <c r="L76" s="34" t="str">
        <f>VLOOKUP(A76,'Trips&amp;Operators'!$C$1:$E$10000,3,FALSE)</f>
        <v>BONDS</v>
      </c>
      <c r="M76" s="6">
        <f t="shared" ref="M76:M106" si="21">I76-F76</f>
        <v>2.9837962967576459E-2</v>
      </c>
      <c r="N76" s="7">
        <f t="shared" si="1"/>
        <v>42.966666673310101</v>
      </c>
      <c r="O76" s="7"/>
      <c r="P76" s="7"/>
      <c r="Q76" s="35"/>
      <c r="R76" s="35" t="s">
        <v>673</v>
      </c>
      <c r="S76" s="59">
        <f t="shared" si="11"/>
        <v>1</v>
      </c>
      <c r="T76" s="1" t="str">
        <f t="shared" si="12"/>
        <v>NorthBound</v>
      </c>
      <c r="U76" s="1">
        <f>COUNTIFS(Variables!$M$2:$M$19,IF(T76="NorthBound","&gt;=","&lt;=")&amp;Y76,Variables!$M$2:$M$19,IF(T76="NorthBound","&lt;=","&gt;=")&amp;Z76)</f>
        <v>12</v>
      </c>
      <c r="V76" s="38" t="str">
        <f t="shared" si="13"/>
        <v>https://search-rtdc-monitor-bjffxe2xuh6vdkpspy63sjmuny.us-east-1.es.amazonaws.com/_plugin/kibana/#/discover/Steve-Slow-Train-Analysis-(2080s-and-2083s)?_g=(refreshInterval:(display:Off,section:0,value:0),time:(from:'2016-06-29 11:25:52-0600',mode:absolute,to:'2016-06-29 12:12:45-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76" s="38" t="str">
        <f t="shared" si="14"/>
        <v>N</v>
      </c>
      <c r="X76" s="38">
        <f t="shared" si="15"/>
        <v>1</v>
      </c>
      <c r="Y76" s="38">
        <f t="shared" si="16"/>
        <v>4.58E-2</v>
      </c>
      <c r="Z76" s="38">
        <f t="shared" si="17"/>
        <v>23.334599999999998</v>
      </c>
      <c r="AA76" s="38">
        <f t="shared" si="18"/>
        <v>23.288799999999998</v>
      </c>
      <c r="AB76" s="39" t="e">
        <f>VLOOKUP(A76,Enforcements!$C$7:$J$32,8,0)</f>
        <v>#N/A</v>
      </c>
      <c r="AC76" s="39" t="e">
        <f>VLOOKUP(A76,Enforcements!$C$7:$E$32,3,0)</f>
        <v>#N/A</v>
      </c>
    </row>
    <row r="77" spans="1:29" s="1" customFormat="1" x14ac:dyDescent="0.25">
      <c r="A77" s="67" t="s">
        <v>297</v>
      </c>
      <c r="B77" s="34">
        <v>4039</v>
      </c>
      <c r="C77" s="34" t="s">
        <v>60</v>
      </c>
      <c r="D77" s="34" t="s">
        <v>298</v>
      </c>
      <c r="E77" s="20">
        <v>42550.512037037035</v>
      </c>
      <c r="F77" s="20">
        <v>42550.513298611113</v>
      </c>
      <c r="G77" s="23">
        <v>1</v>
      </c>
      <c r="H77" s="20" t="s">
        <v>229</v>
      </c>
      <c r="I77" s="20">
        <v>42550.54414351852</v>
      </c>
      <c r="J77" s="34">
        <v>0</v>
      </c>
      <c r="K77" s="34" t="str">
        <f t="shared" si="20"/>
        <v>4039/4040</v>
      </c>
      <c r="L77" s="34" t="str">
        <f>VLOOKUP(A77,'Trips&amp;Operators'!$C$1:$E$10000,3,FALSE)</f>
        <v>BONDS</v>
      </c>
      <c r="M77" s="6">
        <f t="shared" si="21"/>
        <v>3.0844907407299615E-2</v>
      </c>
      <c r="N77" s="7">
        <f t="shared" ref="N77:P138" si="22">24*60*SUM($M77:$M77)</f>
        <v>44.416666666511446</v>
      </c>
      <c r="O77" s="7"/>
      <c r="P77" s="7"/>
      <c r="Q77" s="35"/>
      <c r="R77" s="35"/>
      <c r="S77" s="59">
        <f t="shared" si="11"/>
        <v>1</v>
      </c>
      <c r="T77" s="1" t="str">
        <f t="shared" si="12"/>
        <v>Southbound</v>
      </c>
      <c r="U77" s="1">
        <f>COUNTIFS(Variables!$M$2:$M$19,IF(T77="NorthBound","&gt;=","&lt;=")&amp;Y77,Variables!$M$2:$M$19,IF(T77="NorthBound","&lt;=","&gt;=")&amp;Z77)</f>
        <v>12</v>
      </c>
      <c r="V77" s="38" t="str">
        <f t="shared" si="13"/>
        <v>https://search-rtdc-monitor-bjffxe2xuh6vdkpspy63sjmuny.us-east-1.es.amazonaws.com/_plugin/kibana/#/discover/Steve-Slow-Train-Analysis-(2080s-and-2083s)?_g=(refreshInterval:(display:Off,section:0,value:0),time:(from:'2016-06-29 12:16:20-0600',mode:absolute,to:'2016-06-29 13:04:34-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77" s="38" t="str">
        <f t="shared" si="14"/>
        <v>N</v>
      </c>
      <c r="X77" s="38">
        <f t="shared" si="15"/>
        <v>1</v>
      </c>
      <c r="Y77" s="38">
        <f t="shared" si="16"/>
        <v>23.300799999999999</v>
      </c>
      <c r="Z77" s="38">
        <f t="shared" si="17"/>
        <v>1.32E-2</v>
      </c>
      <c r="AA77" s="38">
        <f t="shared" si="18"/>
        <v>23.287599999999998</v>
      </c>
      <c r="AB77" s="39" t="e">
        <f>VLOOKUP(A77,Enforcements!$C$7:$J$32,8,0)</f>
        <v>#N/A</v>
      </c>
      <c r="AC77" s="39" t="e">
        <f>VLOOKUP(A77,Enforcements!$C$7:$E$32,3,0)</f>
        <v>#N/A</v>
      </c>
    </row>
    <row r="78" spans="1:29" s="1" customFormat="1" x14ac:dyDescent="0.25">
      <c r="A78" s="67" t="s">
        <v>299</v>
      </c>
      <c r="B78" s="34">
        <v>4044</v>
      </c>
      <c r="C78" s="34" t="s">
        <v>60</v>
      </c>
      <c r="D78" s="34" t="s">
        <v>179</v>
      </c>
      <c r="E78" s="20">
        <v>42550.486921296295</v>
      </c>
      <c r="F78" s="20">
        <v>42550.488425925927</v>
      </c>
      <c r="G78" s="23">
        <v>2</v>
      </c>
      <c r="H78" s="20" t="s">
        <v>152</v>
      </c>
      <c r="I78" s="20">
        <v>42550.51834490741</v>
      </c>
      <c r="J78" s="34">
        <v>0</v>
      </c>
      <c r="K78" s="34" t="str">
        <f t="shared" si="20"/>
        <v>4043/4044</v>
      </c>
      <c r="L78" s="34" t="str">
        <f>VLOOKUP(A78,'Trips&amp;Operators'!$C$1:$E$10000,3,FALSE)</f>
        <v>REBOLETTI</v>
      </c>
      <c r="M78" s="6">
        <f t="shared" si="21"/>
        <v>2.9918981483206153E-2</v>
      </c>
      <c r="N78" s="7">
        <f t="shared" si="22"/>
        <v>43.08333333581686</v>
      </c>
      <c r="O78" s="7"/>
      <c r="P78" s="7"/>
      <c r="Q78" s="35"/>
      <c r="R78" s="35"/>
      <c r="S78" s="59">
        <f t="shared" ref="S78:S135" si="23">SUM(U78:U78)/12</f>
        <v>1</v>
      </c>
      <c r="T78" s="1" t="str">
        <f t="shared" ref="T78:T135" si="24">IF(ISEVEN(LEFT(A78,3)),"Southbound","NorthBound")</f>
        <v>NorthBound</v>
      </c>
      <c r="U78" s="1">
        <f>COUNTIFS(Variables!$M$2:$M$19,IF(T78="NorthBound","&gt;=","&lt;=")&amp;Y78,Variables!$M$2:$M$19,IF(T78="NorthBound","&lt;=","&gt;=")&amp;Z78)</f>
        <v>12</v>
      </c>
      <c r="V78" s="38" t="str">
        <f t="shared" ref="V78:V135" si="25">"https://search-rtdc-monitor-bjffxe2xuh6vdkpspy63sjmuny.us-east-1.es.amazonaws.com/_plugin/kibana/#/discover/Steve-Slow-Train-Analysis-(2080s-and-2083s)?_g=(refreshInterval:(display:Off,section:0,value:0),time:(from:'"&amp;TEXT(E78-1/24/60,"yyyy-MM-DD hh:mm:ss")&amp;"-0600',mode:absolute,to:'"&amp;TEXT(I78+1/24/60,"yyyy-MM-DD hh:mm:ss")&amp;"-0600'))&amp;_a=(columns:!(Source,'Data.Head%20End%20Milepost',Data.Speed,'Data.Locomotive%20State','Data.Train%20ID','Data.Warning%2FEnforcement%20Type','Data.Target%20Start%20Milepost','Data.Target%20Description','Data.Target%20Speed',"&amp;"'Data.Enforcement%20Train%20Speed','Data.Enforcement%20Start%20Milepost','Data.Target%20Type','Data.Enforcement%20Direction%20of%20Travel','Message%20ID','Data.Body%20of%20Summary%20Text'),filters:!(),index:'emp_*',interval:auto,query:"&amp;"(query_string:(analyze_wildcard:!t,query:'Message%5C%20ID:(2083%20OR%202080%20OR%201041)%20AND%20%22rtdc.l.rtdc."&amp;B78&amp;"%22')),sort:!(Time,asc))"</f>
        <v>https://search-rtdc-monitor-bjffxe2xuh6vdkpspy63sjmuny.us-east-1.es.amazonaws.com/_plugin/kibana/#/discover/Steve-Slow-Train-Analysis-(2080s-and-2083s)?_g=(refreshInterval:(display:Off,section:0,value:0),time:(from:'2016-06-29 11:40:10-0600',mode:absolute,to:'2016-06-29 12:27:25-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78" s="38" t="str">
        <f t="shared" ref="W78:W135" si="26">IF(AA78&lt;23,"Y","N")</f>
        <v>N</v>
      </c>
      <c r="X78" s="38">
        <f t="shared" si="15"/>
        <v>1</v>
      </c>
      <c r="Y78" s="38">
        <f t="shared" ref="Y78:Y135" si="27">RIGHT(D78,LEN(D78)-4)/10000</f>
        <v>4.4900000000000002E-2</v>
      </c>
      <c r="Z78" s="38">
        <f t="shared" ref="Z78:Z135" si="28">RIGHT(H78,LEN(H78)-4)/10000</f>
        <v>23.331199999999999</v>
      </c>
      <c r="AA78" s="38">
        <f t="shared" ref="AA78:AA135" si="29">ABS(Z78-Y78)</f>
        <v>23.286300000000001</v>
      </c>
      <c r="AB78" s="39" t="e">
        <f>VLOOKUP(A78,Enforcements!$C$7:$J$32,8,0)</f>
        <v>#N/A</v>
      </c>
      <c r="AC78" s="39" t="e">
        <f>VLOOKUP(A78,Enforcements!$C$7:$E$32,3,0)</f>
        <v>#N/A</v>
      </c>
    </row>
    <row r="79" spans="1:29" s="1" customFormat="1" x14ac:dyDescent="0.25">
      <c r="A79" s="67" t="s">
        <v>300</v>
      </c>
      <c r="B79" s="34">
        <v>4011</v>
      </c>
      <c r="C79" s="34" t="s">
        <v>60</v>
      </c>
      <c r="D79" s="34" t="s">
        <v>165</v>
      </c>
      <c r="E79" s="20">
        <v>42550.500983796293</v>
      </c>
      <c r="F79" s="20">
        <v>42550.501967592594</v>
      </c>
      <c r="G79" s="23">
        <v>1</v>
      </c>
      <c r="H79" s="20" t="s">
        <v>152</v>
      </c>
      <c r="I79" s="20">
        <v>42550.531990740739</v>
      </c>
      <c r="J79" s="34">
        <v>1</v>
      </c>
      <c r="K79" s="34" t="str">
        <f t="shared" si="20"/>
        <v>4011/4012</v>
      </c>
      <c r="L79" s="34" t="str">
        <f>VLOOKUP(A79,'Trips&amp;Operators'!$C$1:$E$10000,3,FALSE)</f>
        <v>SPECTOR</v>
      </c>
      <c r="M79" s="6">
        <f t="shared" si="21"/>
        <v>3.0023148145119194E-2</v>
      </c>
      <c r="N79" s="7">
        <f t="shared" si="22"/>
        <v>43.233333328971639</v>
      </c>
      <c r="O79" s="7"/>
      <c r="P79" s="7"/>
      <c r="Q79" s="35"/>
      <c r="R79" s="35"/>
      <c r="S79" s="59">
        <f t="shared" si="23"/>
        <v>1</v>
      </c>
      <c r="T79" s="1" t="str">
        <f t="shared" si="24"/>
        <v>NorthBound</v>
      </c>
      <c r="U79" s="1">
        <f>COUNTIFS(Variables!$M$2:$M$19,IF(T79="NorthBound","&gt;=","&lt;=")&amp;Y79,Variables!$M$2:$M$19,IF(T79="NorthBound","&lt;=","&gt;=")&amp;Z79)</f>
        <v>12</v>
      </c>
      <c r="V79" s="38" t="str">
        <f t="shared" si="25"/>
        <v>https://search-rtdc-monitor-bjffxe2xuh6vdkpspy63sjmuny.us-east-1.es.amazonaws.com/_plugin/kibana/#/discover/Steve-Slow-Train-Analysis-(2080s-and-2083s)?_g=(refreshInterval:(display:Off,section:0,value:0),time:(from:'2016-06-29 12:00:25-0600',mode:absolute,to:'2016-06-29 12:47:04-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79" s="38" t="str">
        <f t="shared" si="26"/>
        <v>N</v>
      </c>
      <c r="X79" s="38">
        <f t="shared" ref="X79:X135" si="30">VALUE(LEFT(A79,3))-VALUE(LEFT(A78,3))</f>
        <v>2</v>
      </c>
      <c r="Y79" s="38">
        <f t="shared" si="27"/>
        <v>4.4200000000000003E-2</v>
      </c>
      <c r="Z79" s="38">
        <f t="shared" si="28"/>
        <v>23.331199999999999</v>
      </c>
      <c r="AA79" s="38">
        <f t="shared" si="29"/>
        <v>23.286999999999999</v>
      </c>
      <c r="AB79" s="39">
        <f>VLOOKUP(A79,Enforcements!$C$7:$J$32,8,0)</f>
        <v>230436</v>
      </c>
      <c r="AC79" s="39" t="str">
        <f>VLOOKUP(A79,Enforcements!$C$7:$E$32,3,0)</f>
        <v>PERMANENT SPEED RESTRICTION</v>
      </c>
    </row>
    <row r="80" spans="1:29" s="1" customFormat="1" x14ac:dyDescent="0.25">
      <c r="A80" s="67" t="s">
        <v>301</v>
      </c>
      <c r="B80" s="34">
        <v>4012</v>
      </c>
      <c r="C80" s="34" t="s">
        <v>60</v>
      </c>
      <c r="D80" s="34" t="s">
        <v>163</v>
      </c>
      <c r="E80" s="20">
        <v>42550.537037037036</v>
      </c>
      <c r="F80" s="20">
        <v>42550.540243055555</v>
      </c>
      <c r="G80" s="23">
        <v>4</v>
      </c>
      <c r="H80" s="20" t="s">
        <v>166</v>
      </c>
      <c r="I80" s="20">
        <v>42550.569687499999</v>
      </c>
      <c r="J80" s="34">
        <v>1</v>
      </c>
      <c r="K80" s="34" t="str">
        <f t="shared" si="20"/>
        <v>4011/4012</v>
      </c>
      <c r="L80" s="34" t="str">
        <f>VLOOKUP(A80,'Trips&amp;Operators'!$C$1:$E$10000,3,FALSE)</f>
        <v>SPECTOR</v>
      </c>
      <c r="M80" s="6">
        <f t="shared" si="21"/>
        <v>2.9444444444379769E-2</v>
      </c>
      <c r="N80" s="7">
        <f t="shared" si="22"/>
        <v>42.399999999906868</v>
      </c>
      <c r="O80" s="7"/>
      <c r="P80" s="7"/>
      <c r="Q80" s="35"/>
      <c r="R80" s="35"/>
      <c r="S80" s="59">
        <f t="shared" si="23"/>
        <v>1</v>
      </c>
      <c r="T80" s="1" t="str">
        <f t="shared" si="24"/>
        <v>Southbound</v>
      </c>
      <c r="U80" s="1">
        <f>COUNTIFS(Variables!$M$2:$M$19,IF(T80="NorthBound","&gt;=","&lt;=")&amp;Y80,Variables!$M$2:$M$19,IF(T80="NorthBound","&lt;=","&gt;=")&amp;Z80)</f>
        <v>12</v>
      </c>
      <c r="V80" s="38" t="str">
        <f t="shared" si="25"/>
        <v>https://search-rtdc-monitor-bjffxe2xuh6vdkpspy63sjmuny.us-east-1.es.amazonaws.com/_plugin/kibana/#/discover/Steve-Slow-Train-Analysis-(2080s-and-2083s)?_g=(refreshInterval:(display:Off,section:0,value:0),time:(from:'2016-06-29 12:52:20-0600',mode:absolute,to:'2016-06-29 13:41:21-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80" s="38" t="str">
        <f t="shared" si="26"/>
        <v>N</v>
      </c>
      <c r="X80" s="38">
        <f t="shared" si="30"/>
        <v>1</v>
      </c>
      <c r="Y80" s="38">
        <f t="shared" si="27"/>
        <v>23.299299999999999</v>
      </c>
      <c r="Z80" s="38">
        <f t="shared" si="28"/>
        <v>1.6500000000000001E-2</v>
      </c>
      <c r="AA80" s="38">
        <f t="shared" si="29"/>
        <v>23.282799999999998</v>
      </c>
      <c r="AB80" s="39" t="e">
        <f>VLOOKUP(A80,Enforcements!$C$7:$J$32,8,0)</f>
        <v>#N/A</v>
      </c>
      <c r="AC80" s="39" t="e">
        <f>VLOOKUP(A80,Enforcements!$C$7:$E$32,3,0)</f>
        <v>#N/A</v>
      </c>
    </row>
    <row r="81" spans="1:29" s="53" customFormat="1" x14ac:dyDescent="0.25">
      <c r="A81" s="67" t="s">
        <v>302</v>
      </c>
      <c r="B81" s="34">
        <v>4016</v>
      </c>
      <c r="C81" s="34" t="s">
        <v>60</v>
      </c>
      <c r="D81" s="34" t="s">
        <v>303</v>
      </c>
      <c r="E81" s="20">
        <v>42550.510115740741</v>
      </c>
      <c r="F81" s="20">
        <v>42550.511458333334</v>
      </c>
      <c r="G81" s="23">
        <v>1</v>
      </c>
      <c r="H81" s="20" t="s">
        <v>183</v>
      </c>
      <c r="I81" s="20">
        <v>42550.542384259257</v>
      </c>
      <c r="J81" s="34">
        <v>0</v>
      </c>
      <c r="K81" s="34" t="str">
        <f t="shared" si="20"/>
        <v>4015/4016</v>
      </c>
      <c r="L81" s="34" t="str">
        <f>VLOOKUP(A81,'Trips&amp;Operators'!$C$1:$E$10000,3,FALSE)</f>
        <v>STEWART</v>
      </c>
      <c r="M81" s="6">
        <f t="shared" si="21"/>
        <v>3.0925925922929309E-2</v>
      </c>
      <c r="N81" s="7">
        <f t="shared" si="22"/>
        <v>44.533333329018205</v>
      </c>
      <c r="O81" s="7"/>
      <c r="P81" s="7"/>
      <c r="Q81" s="35"/>
      <c r="R81" s="35"/>
      <c r="S81" s="59">
        <f t="shared" si="23"/>
        <v>1</v>
      </c>
      <c r="T81" s="1" t="str">
        <f t="shared" si="24"/>
        <v>NorthBound</v>
      </c>
      <c r="U81" s="1">
        <f>COUNTIFS(Variables!$M$2:$M$19,IF(T81="NorthBound","&gt;=","&lt;=")&amp;Y81,Variables!$M$2:$M$19,IF(T81="NorthBound","&lt;=","&gt;=")&amp;Z81)</f>
        <v>12</v>
      </c>
      <c r="V81" s="38" t="str">
        <f t="shared" si="25"/>
        <v>https://search-rtdc-monitor-bjffxe2xuh6vdkpspy63sjmuny.us-east-1.es.amazonaws.com/_plugin/kibana/#/discover/Steve-Slow-Train-Analysis-(2080s-and-2083s)?_g=(refreshInterval:(display:Off,section:0,value:0),time:(from:'2016-06-29 12:13:34-0600',mode:absolute,to:'2016-06-29 13:02:02-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81" s="38" t="str">
        <f t="shared" si="26"/>
        <v>N</v>
      </c>
      <c r="X81" s="38">
        <f t="shared" si="30"/>
        <v>1</v>
      </c>
      <c r="Y81" s="38">
        <f t="shared" si="27"/>
        <v>4.6899999999999997E-2</v>
      </c>
      <c r="Z81" s="38">
        <f t="shared" si="28"/>
        <v>23.330300000000001</v>
      </c>
      <c r="AA81" s="38">
        <f t="shared" si="29"/>
        <v>23.2834</v>
      </c>
      <c r="AB81" s="39" t="e">
        <f>VLOOKUP(A81,Enforcements!$C$7:$J$32,8,0)</f>
        <v>#N/A</v>
      </c>
      <c r="AC81" s="39" t="e">
        <f>VLOOKUP(A81,Enforcements!$C$7:$E$32,3,0)</f>
        <v>#N/A</v>
      </c>
    </row>
    <row r="82" spans="1:29" s="1" customFormat="1" x14ac:dyDescent="0.25">
      <c r="A82" s="67" t="s">
        <v>304</v>
      </c>
      <c r="B82" s="34">
        <v>4015</v>
      </c>
      <c r="C82" s="34" t="s">
        <v>60</v>
      </c>
      <c r="D82" s="34" t="s">
        <v>205</v>
      </c>
      <c r="E82" s="20">
        <v>42550.545185185183</v>
      </c>
      <c r="F82" s="20">
        <v>42550.546284722222</v>
      </c>
      <c r="G82" s="23">
        <v>1</v>
      </c>
      <c r="H82" s="20" t="s">
        <v>105</v>
      </c>
      <c r="I82" s="20">
        <v>42550.577777777777</v>
      </c>
      <c r="J82" s="34">
        <v>3</v>
      </c>
      <c r="K82" s="34" t="str">
        <f t="shared" si="20"/>
        <v>4015/4016</v>
      </c>
      <c r="L82" s="34" t="str">
        <f>VLOOKUP(A82,'Trips&amp;Operators'!$C$1:$E$10000,3,FALSE)</f>
        <v>STEWART</v>
      </c>
      <c r="M82" s="6">
        <f t="shared" si="21"/>
        <v>3.1493055554165039E-2</v>
      </c>
      <c r="N82" s="7">
        <f t="shared" si="22"/>
        <v>45.349999997997656</v>
      </c>
      <c r="O82" s="7"/>
      <c r="P82" s="7"/>
      <c r="Q82" s="35"/>
      <c r="R82" s="35"/>
      <c r="S82" s="59">
        <f t="shared" si="23"/>
        <v>1</v>
      </c>
      <c r="T82" s="1" t="str">
        <f t="shared" si="24"/>
        <v>Southbound</v>
      </c>
      <c r="U82" s="1">
        <f>COUNTIFS(Variables!$M$2:$M$19,IF(T82="NorthBound","&gt;=","&lt;=")&amp;Y82,Variables!$M$2:$M$19,IF(T82="NorthBound","&lt;=","&gt;=")&amp;Z82)</f>
        <v>12</v>
      </c>
      <c r="V82" s="38" t="str">
        <f t="shared" si="25"/>
        <v>https://search-rtdc-monitor-bjffxe2xuh6vdkpspy63sjmuny.us-east-1.es.amazonaws.com/_plugin/kibana/#/discover/Steve-Slow-Train-Analysis-(2080s-and-2083s)?_g=(refreshInterval:(display:Off,section:0,value:0),time:(from:'2016-06-29 13:04:04-0600',mode:absolute,to:'2016-06-29 13:53:00-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82" s="38" t="str">
        <f t="shared" si="26"/>
        <v>N</v>
      </c>
      <c r="X82" s="38">
        <f t="shared" si="30"/>
        <v>1</v>
      </c>
      <c r="Y82" s="38">
        <f t="shared" si="27"/>
        <v>23.297999999999998</v>
      </c>
      <c r="Z82" s="38">
        <f t="shared" si="28"/>
        <v>1.4999999999999999E-2</v>
      </c>
      <c r="AA82" s="38">
        <f t="shared" si="29"/>
        <v>23.282999999999998</v>
      </c>
      <c r="AB82" s="39">
        <f>VLOOKUP(A82,Enforcements!$C$7:$J$32,8,0)</f>
        <v>63309</v>
      </c>
      <c r="AC82" s="39" t="str">
        <f>VLOOKUP(A82,Enforcements!$C$7:$E$32,3,0)</f>
        <v>GRADE CROSSING</v>
      </c>
    </row>
    <row r="83" spans="1:29" s="1" customFormat="1" ht="14.25" customHeight="1" x14ac:dyDescent="0.25">
      <c r="A83" s="67" t="s">
        <v>305</v>
      </c>
      <c r="B83" s="34">
        <v>4024</v>
      </c>
      <c r="C83" s="34" t="s">
        <v>60</v>
      </c>
      <c r="D83" s="34" t="s">
        <v>250</v>
      </c>
      <c r="E83" s="20">
        <v>42550.520127314812</v>
      </c>
      <c r="F83" s="20">
        <v>42550.521122685182</v>
      </c>
      <c r="G83" s="23">
        <v>1</v>
      </c>
      <c r="H83" s="20" t="s">
        <v>210</v>
      </c>
      <c r="I83" s="20">
        <v>42550.553888888891</v>
      </c>
      <c r="J83" s="34">
        <v>1</v>
      </c>
      <c r="K83" s="34" t="str">
        <f t="shared" si="20"/>
        <v>4023/4024</v>
      </c>
      <c r="L83" s="34" t="str">
        <f>VLOOKUP(A83,'Trips&amp;Operators'!$C$1:$E$10000,3,FALSE)</f>
        <v>STAMBAUGH</v>
      </c>
      <c r="M83" s="6">
        <f t="shared" si="21"/>
        <v>3.2766203708888497E-2</v>
      </c>
      <c r="N83" s="7">
        <f t="shared" si="22"/>
        <v>47.183333340799436</v>
      </c>
      <c r="O83" s="7"/>
      <c r="P83" s="7"/>
      <c r="Q83" s="35"/>
      <c r="R83" s="35"/>
      <c r="S83" s="59">
        <f t="shared" si="23"/>
        <v>1</v>
      </c>
      <c r="T83" s="1" t="str">
        <f t="shared" si="24"/>
        <v>NorthBound</v>
      </c>
      <c r="U83" s="1">
        <f>COUNTIFS(Variables!$M$2:$M$19,IF(T83="NorthBound","&gt;=","&lt;=")&amp;Y83,Variables!$M$2:$M$19,IF(T83="NorthBound","&lt;=","&gt;=")&amp;Z83)</f>
        <v>12</v>
      </c>
      <c r="V83" s="38" t="str">
        <f t="shared" si="25"/>
        <v>https://search-rtdc-monitor-bjffxe2xuh6vdkpspy63sjmuny.us-east-1.es.amazonaws.com/_plugin/kibana/#/discover/Steve-Slow-Train-Analysis-(2080s-and-2083s)?_g=(refreshInterval:(display:Off,section:0,value:0),time:(from:'2016-06-29 12:27:59-0600',mode:absolute,to:'2016-06-29 13:18:36-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83" s="38" t="str">
        <f t="shared" si="26"/>
        <v>N</v>
      </c>
      <c r="X83" s="38">
        <f t="shared" si="30"/>
        <v>1</v>
      </c>
      <c r="Y83" s="38">
        <f t="shared" si="27"/>
        <v>4.3799999999999999E-2</v>
      </c>
      <c r="Z83" s="38">
        <f t="shared" si="28"/>
        <v>23.330200000000001</v>
      </c>
      <c r="AA83" s="38">
        <f t="shared" si="29"/>
        <v>23.2864</v>
      </c>
      <c r="AB83" s="39">
        <f>VLOOKUP(A83,Enforcements!$C$7:$J$32,8,0)</f>
        <v>20338</v>
      </c>
      <c r="AC83" s="39" t="str">
        <f>VLOOKUP(A83,Enforcements!$C$7:$E$32,3,0)</f>
        <v>PERMANENT SPEED RESTRICTION</v>
      </c>
    </row>
    <row r="84" spans="1:29" s="1" customFormat="1" x14ac:dyDescent="0.25">
      <c r="A84" s="67" t="s">
        <v>306</v>
      </c>
      <c r="B84" s="34">
        <v>4023</v>
      </c>
      <c r="C84" s="34" t="s">
        <v>60</v>
      </c>
      <c r="D84" s="34" t="s">
        <v>182</v>
      </c>
      <c r="E84" s="20">
        <v>42550.558125000003</v>
      </c>
      <c r="F84" s="20">
        <v>42550.559317129628</v>
      </c>
      <c r="G84" s="23">
        <v>1</v>
      </c>
      <c r="H84" s="20" t="s">
        <v>307</v>
      </c>
      <c r="I84" s="20">
        <v>42550.589571759258</v>
      </c>
      <c r="J84" s="34">
        <v>0</v>
      </c>
      <c r="K84" s="34" t="str">
        <f t="shared" si="20"/>
        <v>4023/4024</v>
      </c>
      <c r="L84" s="34" t="str">
        <f>VLOOKUP(A84,'Trips&amp;Operators'!$C$1:$E$10000,3,FALSE)</f>
        <v>STAMBAUGH</v>
      </c>
      <c r="M84" s="6">
        <f t="shared" si="21"/>
        <v>3.0254629629780538E-2</v>
      </c>
      <c r="N84" s="7">
        <f t="shared" si="22"/>
        <v>43.566666666883975</v>
      </c>
      <c r="O84" s="7"/>
      <c r="P84" s="7"/>
      <c r="Q84" s="35"/>
      <c r="R84" s="35"/>
      <c r="S84" s="59">
        <f t="shared" si="23"/>
        <v>1</v>
      </c>
      <c r="T84" s="1" t="str">
        <f t="shared" si="24"/>
        <v>Southbound</v>
      </c>
      <c r="U84" s="1">
        <f>COUNTIFS(Variables!$M$2:$M$19,IF(T84="NorthBound","&gt;=","&lt;=")&amp;Y84,Variables!$M$2:$M$19,IF(T84="NorthBound","&lt;=","&gt;=")&amp;Z84)</f>
        <v>12</v>
      </c>
      <c r="V84" s="38" t="str">
        <f t="shared" si="25"/>
        <v>https://search-rtdc-monitor-bjffxe2xuh6vdkpspy63sjmuny.us-east-1.es.amazonaws.com/_plugin/kibana/#/discover/Steve-Slow-Train-Analysis-(2080s-and-2083s)?_g=(refreshInterval:(display:Off,section:0,value:0),time:(from:'2016-06-29 13:22:42-0600',mode:absolute,to:'2016-06-29 14:09:59-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84" s="38" t="str">
        <f t="shared" si="26"/>
        <v>N</v>
      </c>
      <c r="X84" s="38">
        <f t="shared" si="30"/>
        <v>1</v>
      </c>
      <c r="Y84" s="38">
        <f t="shared" si="27"/>
        <v>23.298100000000002</v>
      </c>
      <c r="Z84" s="38">
        <f t="shared" si="28"/>
        <v>1.6299999999999999E-2</v>
      </c>
      <c r="AA84" s="38">
        <f t="shared" si="29"/>
        <v>23.2818</v>
      </c>
      <c r="AB84" s="39" t="e">
        <f>VLOOKUP(A84,Enforcements!$C$7:$J$32,8,0)</f>
        <v>#N/A</v>
      </c>
      <c r="AC84" s="39" t="e">
        <f>VLOOKUP(A84,Enforcements!$C$7:$E$32,3,0)</f>
        <v>#N/A</v>
      </c>
    </row>
    <row r="85" spans="1:29" s="1" customFormat="1" x14ac:dyDescent="0.25">
      <c r="A85" s="67" t="s">
        <v>308</v>
      </c>
      <c r="B85" s="34">
        <v>4031</v>
      </c>
      <c r="C85" s="34" t="s">
        <v>60</v>
      </c>
      <c r="D85" s="34" t="s">
        <v>73</v>
      </c>
      <c r="E85" s="20">
        <v>42550.530798611115</v>
      </c>
      <c r="F85" s="20">
        <v>42550.532071759262</v>
      </c>
      <c r="G85" s="23">
        <v>1</v>
      </c>
      <c r="H85" s="20" t="s">
        <v>236</v>
      </c>
      <c r="I85" s="20">
        <v>42550.564143518517</v>
      </c>
      <c r="J85" s="34">
        <v>0</v>
      </c>
      <c r="K85" s="34" t="str">
        <f t="shared" si="20"/>
        <v>4031/4032</v>
      </c>
      <c r="L85" s="34" t="str">
        <f>VLOOKUP(A85,'Trips&amp;Operators'!$C$1:$E$10000,3,FALSE)</f>
        <v>YOUNG</v>
      </c>
      <c r="M85" s="6">
        <f t="shared" si="21"/>
        <v>3.2071759254904464E-2</v>
      </c>
      <c r="N85" s="7">
        <f t="shared" si="22"/>
        <v>46.183333327062428</v>
      </c>
      <c r="O85" s="7"/>
      <c r="P85" s="7"/>
      <c r="Q85" s="35"/>
      <c r="R85" s="35"/>
      <c r="S85" s="59">
        <f t="shared" si="23"/>
        <v>1</v>
      </c>
      <c r="T85" s="1" t="str">
        <f t="shared" si="24"/>
        <v>NorthBound</v>
      </c>
      <c r="U85" s="1">
        <f>COUNTIFS(Variables!$M$2:$M$19,IF(T85="NorthBound","&gt;=","&lt;=")&amp;Y85,Variables!$M$2:$M$19,IF(T85="NorthBound","&lt;=","&gt;=")&amp;Z85)</f>
        <v>12</v>
      </c>
      <c r="V85" s="38" t="str">
        <f t="shared" si="25"/>
        <v>https://search-rtdc-monitor-bjffxe2xuh6vdkpspy63sjmuny.us-east-1.es.amazonaws.com/_plugin/kibana/#/discover/Steve-Slow-Train-Analysis-(2080s-and-2083s)?_g=(refreshInterval:(display:Off,section:0,value:0),time:(from:'2016-06-29 12:43:21-0600',mode:absolute,to:'2016-06-29 13:33:22-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85" s="38" t="str">
        <f t="shared" si="26"/>
        <v>N</v>
      </c>
      <c r="X85" s="38">
        <f t="shared" si="30"/>
        <v>1</v>
      </c>
      <c r="Y85" s="38">
        <f t="shared" si="27"/>
        <v>4.5699999999999998E-2</v>
      </c>
      <c r="Z85" s="38">
        <f t="shared" si="28"/>
        <v>23.3309</v>
      </c>
      <c r="AA85" s="38">
        <f t="shared" si="29"/>
        <v>23.2852</v>
      </c>
      <c r="AB85" s="39" t="e">
        <f>VLOOKUP(A85,Enforcements!$C$7:$J$32,8,0)</f>
        <v>#N/A</v>
      </c>
      <c r="AC85" s="39" t="e">
        <f>VLOOKUP(A85,Enforcements!$C$7:$E$32,3,0)</f>
        <v>#N/A</v>
      </c>
    </row>
    <row r="86" spans="1:29" s="1" customFormat="1" x14ac:dyDescent="0.25">
      <c r="A86" s="67" t="s">
        <v>309</v>
      </c>
      <c r="B86" s="34">
        <v>4032</v>
      </c>
      <c r="C86" s="34" t="s">
        <v>60</v>
      </c>
      <c r="D86" s="34" t="s">
        <v>310</v>
      </c>
      <c r="E86" s="20">
        <v>42550.566631944443</v>
      </c>
      <c r="F86" s="20">
        <v>42550.569016203706</v>
      </c>
      <c r="G86" s="23">
        <v>3</v>
      </c>
      <c r="H86" s="20" t="s">
        <v>311</v>
      </c>
      <c r="I86" s="20">
        <v>42550.602303240739</v>
      </c>
      <c r="J86" s="34">
        <v>0</v>
      </c>
      <c r="K86" s="34" t="str">
        <f t="shared" si="20"/>
        <v>4031/4032</v>
      </c>
      <c r="L86" s="34" t="str">
        <f>VLOOKUP(A86,'Trips&amp;Operators'!$C$1:$E$10000,3,FALSE)</f>
        <v>YOUNG</v>
      </c>
      <c r="M86" s="6">
        <f t="shared" si="21"/>
        <v>3.3287037033005618E-2</v>
      </c>
      <c r="N86" s="7">
        <f t="shared" si="22"/>
        <v>47.933333327528089</v>
      </c>
      <c r="O86" s="7"/>
      <c r="P86" s="7"/>
      <c r="Q86" s="35"/>
      <c r="R86" s="35"/>
      <c r="S86" s="59">
        <f t="shared" si="23"/>
        <v>1</v>
      </c>
      <c r="T86" s="1" t="str">
        <f t="shared" si="24"/>
        <v>Southbound</v>
      </c>
      <c r="U86" s="1">
        <f>COUNTIFS(Variables!$M$2:$M$19,IF(T86="NorthBound","&gt;=","&lt;=")&amp;Y86,Variables!$M$2:$M$19,IF(T86="NorthBound","&lt;=","&gt;=")&amp;Z86)</f>
        <v>12</v>
      </c>
      <c r="V86" s="38" t="str">
        <f t="shared" si="25"/>
        <v>https://search-rtdc-monitor-bjffxe2xuh6vdkpspy63sjmuny.us-east-1.es.amazonaws.com/_plugin/kibana/#/discover/Steve-Slow-Train-Analysis-(2080s-and-2083s)?_g=(refreshInterval:(display:Off,section:0,value:0),time:(from:'2016-06-29 13:34:57-0600',mode:absolute,to:'2016-06-29 14:28: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86" s="38" t="str">
        <f t="shared" si="26"/>
        <v>N</v>
      </c>
      <c r="X86" s="38">
        <f t="shared" si="30"/>
        <v>1</v>
      </c>
      <c r="Y86" s="38">
        <f t="shared" si="27"/>
        <v>23.301500000000001</v>
      </c>
      <c r="Z86" s="38">
        <f t="shared" si="28"/>
        <v>2.3800000000000002E-2</v>
      </c>
      <c r="AA86" s="38">
        <f t="shared" si="29"/>
        <v>23.277699999999999</v>
      </c>
      <c r="AB86" s="39" t="e">
        <f>VLOOKUP(A86,Enforcements!$C$7:$J$32,8,0)</f>
        <v>#N/A</v>
      </c>
      <c r="AC86" s="39" t="e">
        <f>VLOOKUP(A86,Enforcements!$C$7:$E$32,3,0)</f>
        <v>#N/A</v>
      </c>
    </row>
    <row r="87" spans="1:29" s="1" customFormat="1" x14ac:dyDescent="0.25">
      <c r="A87" s="67" t="s">
        <v>312</v>
      </c>
      <c r="B87" s="34">
        <v>4042</v>
      </c>
      <c r="C87" s="34" t="s">
        <v>60</v>
      </c>
      <c r="D87" s="34" t="s">
        <v>313</v>
      </c>
      <c r="E87" s="20">
        <v>42550.538564814815</v>
      </c>
      <c r="F87" s="20">
        <v>42550.539525462962</v>
      </c>
      <c r="G87" s="23">
        <v>1</v>
      </c>
      <c r="H87" s="20" t="s">
        <v>314</v>
      </c>
      <c r="I87" s="20">
        <v>42550.552511574075</v>
      </c>
      <c r="J87" s="34">
        <v>1</v>
      </c>
      <c r="K87" s="34" t="str">
        <f t="shared" si="20"/>
        <v>4041/4042</v>
      </c>
      <c r="L87" s="34" t="str">
        <f>VLOOKUP(A87,'Trips&amp;Operators'!$C$1:$E$10000,3,FALSE)</f>
        <v>SHOOK</v>
      </c>
      <c r="M87" s="6">
        <f t="shared" si="21"/>
        <v>1.2986111112695653E-2</v>
      </c>
      <c r="N87" s="7"/>
      <c r="O87" s="7"/>
      <c r="P87" s="7">
        <f t="shared" si="22"/>
        <v>18.70000000228174</v>
      </c>
      <c r="Q87" s="35"/>
      <c r="R87" s="35" t="s">
        <v>221</v>
      </c>
      <c r="S87" s="59">
        <f t="shared" si="23"/>
        <v>0.66666666666666663</v>
      </c>
      <c r="T87" s="1" t="str">
        <f t="shared" si="24"/>
        <v>NorthBound</v>
      </c>
      <c r="U87" s="1">
        <f>COUNTIFS(Variables!$M$2:$M$19,IF(T87="NorthBound","&gt;=","&lt;=")&amp;Y87,Variables!$M$2:$M$19,IF(T87="NorthBound","&lt;=","&gt;=")&amp;Z87)</f>
        <v>8</v>
      </c>
      <c r="V87" s="38" t="str">
        <f t="shared" si="25"/>
        <v>https://search-rtdc-monitor-bjffxe2xuh6vdkpspy63sjmuny.us-east-1.es.amazonaws.com/_plugin/kibana/#/discover/Steve-Slow-Train-Analysis-(2080s-and-2083s)?_g=(refreshInterval:(display:Off,section:0,value:0),time:(from:'2016-06-29 12:54:32-0600',mode:absolute,to:'2016-06-29 13:16: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87" s="38" t="str">
        <f t="shared" si="26"/>
        <v>Y</v>
      </c>
      <c r="X87" s="38">
        <f t="shared" si="30"/>
        <v>1</v>
      </c>
      <c r="Y87" s="38">
        <f t="shared" si="27"/>
        <v>4.3499999999999997E-2</v>
      </c>
      <c r="Z87" s="38">
        <f t="shared" si="28"/>
        <v>5.9391999999999996</v>
      </c>
      <c r="AA87" s="38">
        <f t="shared" si="29"/>
        <v>5.8956999999999997</v>
      </c>
      <c r="AB87" s="39">
        <f>VLOOKUP(A87,Enforcements!$C$7:$J$32,8,0)</f>
        <v>20338</v>
      </c>
      <c r="AC87" s="39" t="str">
        <f>VLOOKUP(A87,Enforcements!$C$7:$E$32,3,0)</f>
        <v>PERMANENT SPEED RESTRICTION</v>
      </c>
    </row>
    <row r="88" spans="1:29" s="1" customFormat="1" x14ac:dyDescent="0.25">
      <c r="A88" s="67" t="s">
        <v>315</v>
      </c>
      <c r="B88" s="34">
        <v>4041</v>
      </c>
      <c r="C88" s="34" t="s">
        <v>60</v>
      </c>
      <c r="D88" s="34" t="s">
        <v>316</v>
      </c>
      <c r="E88" s="20">
        <v>42550.592187499999</v>
      </c>
      <c r="F88" s="20">
        <v>42550.592997685184</v>
      </c>
      <c r="G88" s="23">
        <v>1</v>
      </c>
      <c r="H88" s="20" t="s">
        <v>67</v>
      </c>
      <c r="I88" s="20">
        <v>42550.611215277779</v>
      </c>
      <c r="J88" s="34">
        <v>0</v>
      </c>
      <c r="K88" s="34" t="str">
        <f t="shared" si="20"/>
        <v>4041/4042</v>
      </c>
      <c r="L88" s="34" t="str">
        <f>VLOOKUP(A88,'Trips&amp;Operators'!$C$1:$E$10000,3,FALSE)</f>
        <v>SHOOK</v>
      </c>
      <c r="M88" s="6">
        <f t="shared" si="21"/>
        <v>1.8217592594737653E-2</v>
      </c>
      <c r="N88" s="7"/>
      <c r="O88" s="7"/>
      <c r="P88" s="7">
        <f>24*60*SUM($M88:$M89)</f>
        <v>29.98333333292976</v>
      </c>
      <c r="Q88" s="35"/>
      <c r="R88" s="35" t="s">
        <v>674</v>
      </c>
      <c r="S88" s="59">
        <f t="shared" si="23"/>
        <v>1</v>
      </c>
      <c r="T88" s="1" t="str">
        <f t="shared" si="24"/>
        <v>Southbound</v>
      </c>
      <c r="U88" s="1">
        <f>COUNTIFS(Variables!$M$2:$M$19,IF(T88="NorthBound","&gt;=","&lt;=")&amp;Y88,Variables!$M$2:$M$19,IF(T88="NorthBound","&lt;=","&gt;=")&amp;Z88)</f>
        <v>12</v>
      </c>
      <c r="V88" s="38" t="str">
        <f t="shared" si="25"/>
        <v>https://search-rtdc-monitor-bjffxe2xuh6vdkpspy63sjmuny.us-east-1.es.amazonaws.com/_plugin/kibana/#/discover/Steve-Slow-Train-Analysis-(2080s-and-2083s)?_g=(refreshInterval:(display:Off,section:0,value:0),time:(from:'2016-06-29 14:11:45-0600',mode:absolute,to:'2016-06-29 14:41:09-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88" s="38" t="str">
        <f t="shared" si="26"/>
        <v>Y</v>
      </c>
      <c r="X88" s="38">
        <f t="shared" si="30"/>
        <v>1</v>
      </c>
      <c r="Y88" s="38">
        <f t="shared" si="27"/>
        <v>12.7866</v>
      </c>
      <c r="Z88" s="38">
        <f t="shared" si="28"/>
        <v>1.47E-2</v>
      </c>
      <c r="AA88" s="38">
        <f t="shared" si="29"/>
        <v>12.7719</v>
      </c>
      <c r="AB88" s="39" t="e">
        <f>VLOOKUP(A88,Enforcements!$C$7:$J$32,8,0)</f>
        <v>#N/A</v>
      </c>
      <c r="AC88" s="39" t="e">
        <f>VLOOKUP(A88,Enforcements!$C$7:$E$32,3,0)</f>
        <v>#N/A</v>
      </c>
    </row>
    <row r="89" spans="1:29" s="1" customFormat="1" x14ac:dyDescent="0.25">
      <c r="A89" s="67" t="s">
        <v>315</v>
      </c>
      <c r="B89" s="34">
        <v>4041</v>
      </c>
      <c r="C89" s="34" t="s">
        <v>60</v>
      </c>
      <c r="D89" s="34" t="s">
        <v>317</v>
      </c>
      <c r="E89" s="20">
        <v>42550.578310185185</v>
      </c>
      <c r="F89" s="20">
        <v>42550.579444444447</v>
      </c>
      <c r="G89" s="23">
        <v>1</v>
      </c>
      <c r="H89" s="20" t="s">
        <v>318</v>
      </c>
      <c r="I89" s="20">
        <v>42550.582048611112</v>
      </c>
      <c r="J89" s="34">
        <v>0</v>
      </c>
      <c r="K89" s="34" t="str">
        <f t="shared" si="20"/>
        <v>4041/4042</v>
      </c>
      <c r="L89" s="34" t="str">
        <f>VLOOKUP(A89,'Trips&amp;Operators'!$C$1:$E$10000,3,FALSE)</f>
        <v>SHOOK</v>
      </c>
      <c r="M89" s="6">
        <f t="shared" si="21"/>
        <v>2.6041666642413475E-3</v>
      </c>
      <c r="N89" s="7"/>
      <c r="O89" s="7"/>
      <c r="P89" s="7"/>
      <c r="Q89" s="35"/>
      <c r="R89" s="35"/>
      <c r="S89" s="59">
        <f t="shared" si="23"/>
        <v>0</v>
      </c>
      <c r="T89" s="1" t="str">
        <f t="shared" si="24"/>
        <v>Southbound</v>
      </c>
      <c r="U89" s="1">
        <f>COUNTIFS(Variables!$M$2:$M$19,IF(T89="NorthBound","&gt;=","&lt;=")&amp;Y89,Variables!$M$2:$M$19,IF(T89="NorthBound","&lt;=","&gt;=")&amp;Z89)</f>
        <v>0</v>
      </c>
      <c r="V89" s="38" t="str">
        <f t="shared" si="25"/>
        <v>https://search-rtdc-monitor-bjffxe2xuh6vdkpspy63sjmuny.us-east-1.es.amazonaws.com/_plugin/kibana/#/discover/Steve-Slow-Train-Analysis-(2080s-and-2083s)?_g=(refreshInterval:(display:Off,section:0,value:0),time:(from:'2016-06-29 13:51:46-0600',mode:absolute,to:'2016-06-29 13:59:09-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89" s="38" t="str">
        <f t="shared" si="26"/>
        <v>Y</v>
      </c>
      <c r="X89" s="38">
        <f t="shared" si="30"/>
        <v>0</v>
      </c>
      <c r="Y89" s="38">
        <f t="shared" si="27"/>
        <v>23.303599999999999</v>
      </c>
      <c r="Z89" s="38">
        <f t="shared" si="28"/>
        <v>23.2211</v>
      </c>
      <c r="AA89" s="38">
        <f t="shared" si="29"/>
        <v>8.2499999999999574E-2</v>
      </c>
      <c r="AB89" s="39" t="e">
        <f>VLOOKUP(A89,Enforcements!$C$7:$J$32,8,0)</f>
        <v>#N/A</v>
      </c>
      <c r="AC89" s="39" t="e">
        <f>VLOOKUP(A89,Enforcements!$C$7:$E$32,3,0)</f>
        <v>#N/A</v>
      </c>
    </row>
    <row r="90" spans="1:29" s="1" customFormat="1" x14ac:dyDescent="0.25">
      <c r="A90" s="67" t="s">
        <v>319</v>
      </c>
      <c r="B90" s="34">
        <v>4040</v>
      </c>
      <c r="C90" s="34" t="s">
        <v>60</v>
      </c>
      <c r="D90" s="34" t="s">
        <v>320</v>
      </c>
      <c r="E90" s="20">
        <v>42550.545266203706</v>
      </c>
      <c r="F90" s="20">
        <v>42550.546180555553</v>
      </c>
      <c r="G90" s="23">
        <v>1</v>
      </c>
      <c r="H90" s="20" t="s">
        <v>95</v>
      </c>
      <c r="I90" s="20">
        <v>42550.579594907409</v>
      </c>
      <c r="J90" s="34">
        <v>0</v>
      </c>
      <c r="K90" s="34" t="str">
        <f t="shared" si="20"/>
        <v>4039/4040</v>
      </c>
      <c r="L90" s="34" t="str">
        <f>VLOOKUP(A90,'Trips&amp;Operators'!$C$1:$E$10000,3,FALSE)</f>
        <v>BONDS</v>
      </c>
      <c r="M90" s="6">
        <f t="shared" si="21"/>
        <v>3.3414351855753921E-2</v>
      </c>
      <c r="N90" s="7">
        <f t="shared" si="22"/>
        <v>48.116666672285646</v>
      </c>
      <c r="O90" s="7"/>
      <c r="P90" s="7"/>
      <c r="Q90" s="35"/>
      <c r="R90" s="35"/>
      <c r="S90" s="59">
        <f t="shared" si="23"/>
        <v>1</v>
      </c>
      <c r="T90" s="1" t="str">
        <f t="shared" si="24"/>
        <v>NorthBound</v>
      </c>
      <c r="U90" s="1">
        <f>COUNTIFS(Variables!$M$2:$M$19,IF(T90="NorthBound","&gt;=","&lt;=")&amp;Y90,Variables!$M$2:$M$19,IF(T90="NorthBound","&lt;=","&gt;=")&amp;Z90)</f>
        <v>12</v>
      </c>
      <c r="V90" s="38" t="str">
        <f t="shared" si="25"/>
        <v>https://search-rtdc-monitor-bjffxe2xuh6vdkpspy63sjmuny.us-east-1.es.amazonaws.com/_plugin/kibana/#/discover/Steve-Slow-Train-Analysis-(2080s-and-2083s)?_g=(refreshInterval:(display:Off,section:0,value:0),time:(from:'2016-06-29 13:04:11-0600',mode:absolute,to:'2016-06-29 13:55: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90" s="38" t="str">
        <f t="shared" si="26"/>
        <v>N</v>
      </c>
      <c r="X90" s="38">
        <f t="shared" si="30"/>
        <v>1</v>
      </c>
      <c r="Y90" s="38">
        <f t="shared" si="27"/>
        <v>4.2700000000000002E-2</v>
      </c>
      <c r="Z90" s="38">
        <f t="shared" si="28"/>
        <v>23.329499999999999</v>
      </c>
      <c r="AA90" s="38">
        <f t="shared" si="29"/>
        <v>23.286799999999999</v>
      </c>
      <c r="AB90" s="39" t="e">
        <f>VLOOKUP(A90,Enforcements!$C$7:$J$32,8,0)</f>
        <v>#N/A</v>
      </c>
      <c r="AC90" s="39" t="e">
        <f>VLOOKUP(A90,Enforcements!$C$7:$E$32,3,0)</f>
        <v>#N/A</v>
      </c>
    </row>
    <row r="91" spans="1:29" s="1" customFormat="1" x14ac:dyDescent="0.25">
      <c r="A91" s="67" t="s">
        <v>321</v>
      </c>
      <c r="B91" s="34">
        <v>4039</v>
      </c>
      <c r="C91" s="34" t="s">
        <v>60</v>
      </c>
      <c r="D91" s="34" t="s">
        <v>169</v>
      </c>
      <c r="E91" s="20">
        <v>42550.584745370368</v>
      </c>
      <c r="F91" s="20">
        <v>42550.585520833331</v>
      </c>
      <c r="G91" s="23">
        <v>1</v>
      </c>
      <c r="H91" s="20" t="s">
        <v>146</v>
      </c>
      <c r="I91" s="20">
        <v>42550.619502314818</v>
      </c>
      <c r="J91" s="34">
        <v>2</v>
      </c>
      <c r="K91" s="34" t="str">
        <f t="shared" si="20"/>
        <v>4039/4040</v>
      </c>
      <c r="L91" s="34" t="str">
        <f>VLOOKUP(A91,'Trips&amp;Operators'!$C$1:$E$10000,3,FALSE)</f>
        <v>BONDS</v>
      </c>
      <c r="M91" s="6">
        <f t="shared" si="21"/>
        <v>3.3981481486989651E-2</v>
      </c>
      <c r="N91" s="7">
        <f t="shared" si="22"/>
        <v>48.933333341265097</v>
      </c>
      <c r="O91" s="7"/>
      <c r="P91" s="7"/>
      <c r="Q91" s="35"/>
      <c r="R91" s="35"/>
      <c r="S91" s="59">
        <f t="shared" si="23"/>
        <v>1</v>
      </c>
      <c r="T91" s="1" t="str">
        <f t="shared" si="24"/>
        <v>Southbound</v>
      </c>
      <c r="U91" s="1">
        <f>COUNTIFS(Variables!$M$2:$M$19,IF(T91="NorthBound","&gt;=","&lt;=")&amp;Y91,Variables!$M$2:$M$19,IF(T91="NorthBound","&lt;=","&gt;=")&amp;Z91)</f>
        <v>12</v>
      </c>
      <c r="V91" s="38" t="str">
        <f t="shared" si="25"/>
        <v>https://search-rtdc-monitor-bjffxe2xuh6vdkpspy63sjmuny.us-east-1.es.amazonaws.com/_plugin/kibana/#/discover/Steve-Slow-Train-Analysis-(2080s-and-2083s)?_g=(refreshInterval:(display:Off,section:0,value:0),time:(from:'2016-06-29 14:01:02-0600',mode:absolute,to:'2016-06-29 14:53: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91" s="38" t="str">
        <f t="shared" si="26"/>
        <v>N</v>
      </c>
      <c r="X91" s="38">
        <f t="shared" si="30"/>
        <v>1</v>
      </c>
      <c r="Y91" s="38">
        <f t="shared" si="27"/>
        <v>23.300999999999998</v>
      </c>
      <c r="Z91" s="38">
        <f t="shared" si="28"/>
        <v>1.3599999999999999E-2</v>
      </c>
      <c r="AA91" s="38">
        <f t="shared" si="29"/>
        <v>23.287399999999998</v>
      </c>
      <c r="AB91" s="39">
        <f>VLOOKUP(A91,Enforcements!$C$7:$J$32,8,0)</f>
        <v>53277</v>
      </c>
      <c r="AC91" s="39" t="str">
        <f>VLOOKUP(A91,Enforcements!$C$7:$E$32,3,0)</f>
        <v>GRADE CROSSING</v>
      </c>
    </row>
    <row r="92" spans="1:29" s="1" customFormat="1" x14ac:dyDescent="0.25">
      <c r="A92" s="67" t="s">
        <v>322</v>
      </c>
      <c r="B92" s="34">
        <v>4014</v>
      </c>
      <c r="C92" s="34" t="s">
        <v>60</v>
      </c>
      <c r="D92" s="34" t="s">
        <v>101</v>
      </c>
      <c r="E92" s="20">
        <v>42550.557824074072</v>
      </c>
      <c r="F92" s="20">
        <v>42550.559293981481</v>
      </c>
      <c r="G92" s="23">
        <v>2</v>
      </c>
      <c r="H92" s="20" t="s">
        <v>183</v>
      </c>
      <c r="I92" s="20">
        <v>42550.59034722222</v>
      </c>
      <c r="J92" s="34">
        <v>0</v>
      </c>
      <c r="K92" s="34" t="str">
        <f t="shared" si="20"/>
        <v>4013/4014</v>
      </c>
      <c r="L92" s="34" t="str">
        <f>VLOOKUP(A92,'Trips&amp;Operators'!$C$1:$E$10000,3,FALSE)</f>
        <v>ARNOLD</v>
      </c>
      <c r="M92" s="6">
        <f t="shared" si="21"/>
        <v>3.1053240738401655E-2</v>
      </c>
      <c r="N92" s="7">
        <f t="shared" si="22"/>
        <v>44.716666663298383</v>
      </c>
      <c r="O92" s="7"/>
      <c r="P92" s="7"/>
      <c r="Q92" s="35"/>
      <c r="R92" s="35"/>
      <c r="S92" s="59">
        <f t="shared" si="23"/>
        <v>1</v>
      </c>
      <c r="T92" s="1" t="str">
        <f t="shared" si="24"/>
        <v>NorthBound</v>
      </c>
      <c r="U92" s="1">
        <f>COUNTIFS(Variables!$M$2:$M$19,IF(T92="NorthBound","&gt;=","&lt;=")&amp;Y92,Variables!$M$2:$M$19,IF(T92="NorthBound","&lt;=","&gt;=")&amp;Z92)</f>
        <v>12</v>
      </c>
      <c r="V92" s="38" t="str">
        <f t="shared" si="25"/>
        <v>https://search-rtdc-monitor-bjffxe2xuh6vdkpspy63sjmuny.us-east-1.es.amazonaws.com/_plugin/kibana/#/discover/Steve-Slow-Train-Analysis-(2080s-and-2083s)?_g=(refreshInterval:(display:Off,section:0,value:0),time:(from:'2016-06-29 13:22:16-0600',mode:absolute,to:'2016-06-29 14:11:06-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4014%22')),sort:!(Time,asc))</v>
      </c>
      <c r="W92" s="38" t="str">
        <f t="shared" si="26"/>
        <v>N</v>
      </c>
      <c r="X92" s="38">
        <f t="shared" si="30"/>
        <v>1</v>
      </c>
      <c r="Y92" s="38">
        <f t="shared" si="27"/>
        <v>4.6699999999999998E-2</v>
      </c>
      <c r="Z92" s="38">
        <f t="shared" si="28"/>
        <v>23.330300000000001</v>
      </c>
      <c r="AA92" s="38">
        <f t="shared" si="29"/>
        <v>23.2836</v>
      </c>
      <c r="AB92" s="39" t="e">
        <f>VLOOKUP(A92,Enforcements!$C$7:$J$32,8,0)</f>
        <v>#N/A</v>
      </c>
      <c r="AC92" s="39" t="e">
        <f>VLOOKUP(A92,Enforcements!$C$7:$E$32,3,0)</f>
        <v>#N/A</v>
      </c>
    </row>
    <row r="93" spans="1:29" s="1" customFormat="1" x14ac:dyDescent="0.25">
      <c r="A93" s="67" t="s">
        <v>323</v>
      </c>
      <c r="B93" s="34">
        <v>4013</v>
      </c>
      <c r="C93" s="34" t="s">
        <v>60</v>
      </c>
      <c r="D93" s="34" t="s">
        <v>205</v>
      </c>
      <c r="E93" s="20">
        <v>42550.597210648149</v>
      </c>
      <c r="F93" s="20">
        <v>42550.598124999997</v>
      </c>
      <c r="G93" s="23">
        <v>1</v>
      </c>
      <c r="H93" s="20" t="s">
        <v>105</v>
      </c>
      <c r="I93" s="20">
        <v>42550.630590277775</v>
      </c>
      <c r="J93" s="34">
        <v>0</v>
      </c>
      <c r="K93" s="34" t="str">
        <f t="shared" si="20"/>
        <v>4013/4014</v>
      </c>
      <c r="L93" s="34" t="str">
        <f>VLOOKUP(A93,'Trips&amp;Operators'!$C$1:$E$10000,3,FALSE)</f>
        <v>ARNOLD</v>
      </c>
      <c r="M93" s="6">
        <f t="shared" si="21"/>
        <v>3.2465277778101154E-2</v>
      </c>
      <c r="N93" s="7">
        <f t="shared" si="22"/>
        <v>46.750000000465661</v>
      </c>
      <c r="O93" s="7"/>
      <c r="P93" s="7"/>
      <c r="Q93" s="35"/>
      <c r="R93" s="35"/>
      <c r="S93" s="59">
        <f t="shared" si="23"/>
        <v>1</v>
      </c>
      <c r="T93" s="1" t="str">
        <f t="shared" si="24"/>
        <v>Southbound</v>
      </c>
      <c r="U93" s="1">
        <f>COUNTIFS(Variables!$M$2:$M$19,IF(T93="NorthBound","&gt;=","&lt;=")&amp;Y93,Variables!$M$2:$M$19,IF(T93="NorthBound","&lt;=","&gt;=")&amp;Z93)</f>
        <v>12</v>
      </c>
      <c r="V93" s="38" t="str">
        <f t="shared" si="25"/>
        <v>https://search-rtdc-monitor-bjffxe2xuh6vdkpspy63sjmuny.us-east-1.es.amazonaws.com/_plugin/kibana/#/discover/Steve-Slow-Train-Analysis-(2080s-and-2083s)?_g=(refreshInterval:(display:Off,section:0,value:0),time:(from:'2016-06-29 14:18:59-0600',mode:absolute,to:'2016-06-29 15:09:03-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4013%22')),sort:!(Time,asc))</v>
      </c>
      <c r="W93" s="38" t="str">
        <f t="shared" si="26"/>
        <v>N</v>
      </c>
      <c r="X93" s="38">
        <f t="shared" si="30"/>
        <v>1</v>
      </c>
      <c r="Y93" s="38">
        <f t="shared" si="27"/>
        <v>23.297999999999998</v>
      </c>
      <c r="Z93" s="38">
        <f t="shared" si="28"/>
        <v>1.4999999999999999E-2</v>
      </c>
      <c r="AA93" s="38">
        <f t="shared" si="29"/>
        <v>23.282999999999998</v>
      </c>
      <c r="AB93" s="39" t="e">
        <f>VLOOKUP(A93,Enforcements!$C$7:$J$32,8,0)</f>
        <v>#N/A</v>
      </c>
      <c r="AC93" s="39" t="e">
        <f>VLOOKUP(A93,Enforcements!$C$7:$E$32,3,0)</f>
        <v>#N/A</v>
      </c>
    </row>
    <row r="94" spans="1:29" s="1" customFormat="1" x14ac:dyDescent="0.25">
      <c r="A94" s="67" t="s">
        <v>324</v>
      </c>
      <c r="B94" s="34">
        <v>4011</v>
      </c>
      <c r="C94" s="34" t="s">
        <v>60</v>
      </c>
      <c r="D94" s="34" t="s">
        <v>325</v>
      </c>
      <c r="E94" s="20">
        <v>42550.582175925927</v>
      </c>
      <c r="F94" s="20">
        <v>42550.583182870374</v>
      </c>
      <c r="G94" s="23">
        <v>1</v>
      </c>
      <c r="H94" s="20" t="s">
        <v>167</v>
      </c>
      <c r="I94" s="20">
        <v>42550.610543981478</v>
      </c>
      <c r="J94" s="34">
        <v>0</v>
      </c>
      <c r="K94" s="34" t="str">
        <f t="shared" si="20"/>
        <v>4011/4012</v>
      </c>
      <c r="L94" s="34" t="str">
        <f>VLOOKUP(A94,'Trips&amp;Operators'!$C$1:$E$10000,3,FALSE)</f>
        <v>SPECTOR</v>
      </c>
      <c r="M94" s="6">
        <f t="shared" si="21"/>
        <v>2.7361111104255542E-2</v>
      </c>
      <c r="N94" s="7"/>
      <c r="O94" s="7"/>
      <c r="P94" s="7">
        <f>24*60*SUM($M94)</f>
        <v>39.399999990127981</v>
      </c>
      <c r="Q94" s="35"/>
      <c r="R94" s="35" t="s">
        <v>671</v>
      </c>
      <c r="S94" s="59">
        <f t="shared" si="23"/>
        <v>1</v>
      </c>
      <c r="T94" s="1" t="str">
        <f t="shared" si="24"/>
        <v>NorthBound</v>
      </c>
      <c r="U94" s="1">
        <f>COUNTIFS(Variables!$M$2:$M$19,IF(T94="NorthBound","&gt;=","&lt;=")&amp;Y94,Variables!$M$2:$M$19,IF(T94="NorthBound","&lt;=","&gt;=")&amp;Z94)</f>
        <v>12</v>
      </c>
      <c r="V94" s="38" t="str">
        <f t="shared" si="25"/>
        <v>https://search-rtdc-monitor-bjffxe2xuh6vdkpspy63sjmuny.us-east-1.es.amazonaws.com/_plugin/kibana/#/discover/Steve-Slow-Train-Analysis-(2080s-and-2083s)?_g=(refreshInterval:(display:Off,section:0,value:0),time:(from:'2016-06-29 13:57:20-0600',mode:absolute,to:'2016-06-29 14:40:11-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94" s="38" t="str">
        <f t="shared" si="26"/>
        <v>Y</v>
      </c>
      <c r="X94" s="38">
        <f t="shared" si="30"/>
        <v>1</v>
      </c>
      <c r="Y94" s="38">
        <f t="shared" si="27"/>
        <v>1.913</v>
      </c>
      <c r="Z94" s="38">
        <f t="shared" si="28"/>
        <v>23.331099999999999</v>
      </c>
      <c r="AA94" s="38">
        <f t="shared" si="29"/>
        <v>21.418099999999999</v>
      </c>
      <c r="AB94" s="39" t="e">
        <f>VLOOKUP(A94,Enforcements!$C$7:$J$32,8,0)</f>
        <v>#N/A</v>
      </c>
      <c r="AC94" s="39" t="e">
        <f>VLOOKUP(A94,Enforcements!$C$7:$E$32,3,0)</f>
        <v>#N/A</v>
      </c>
    </row>
    <row r="95" spans="1:29" s="1" customFormat="1" x14ac:dyDescent="0.25">
      <c r="A95" s="67" t="s">
        <v>324</v>
      </c>
      <c r="B95" s="34">
        <v>4011</v>
      </c>
      <c r="C95" s="34" t="s">
        <v>60</v>
      </c>
      <c r="D95" s="34" t="s">
        <v>180</v>
      </c>
      <c r="E95" s="20">
        <v>42550.57271990741</v>
      </c>
      <c r="F95" s="20">
        <v>42550.573946759258</v>
      </c>
      <c r="G95" s="23">
        <v>1</v>
      </c>
      <c r="H95" s="20" t="s">
        <v>326</v>
      </c>
      <c r="I95" s="20">
        <v>42550.578287037039</v>
      </c>
      <c r="J95" s="34">
        <v>0</v>
      </c>
      <c r="K95" s="34" t="str">
        <f t="shared" si="20"/>
        <v>4011/4012</v>
      </c>
      <c r="L95" s="34" t="str">
        <f>VLOOKUP(A95,'Trips&amp;Operators'!$C$1:$E$10000,3,FALSE)</f>
        <v>SPECTOR</v>
      </c>
      <c r="M95" s="6">
        <f t="shared" si="21"/>
        <v>4.3402777810115367E-3</v>
      </c>
      <c r="N95" s="7"/>
      <c r="O95" s="7"/>
      <c r="P95" s="7"/>
      <c r="Q95" s="35"/>
      <c r="R95" s="35"/>
      <c r="S95" s="59">
        <f t="shared" si="23"/>
        <v>0</v>
      </c>
      <c r="T95" s="1" t="str">
        <f t="shared" si="24"/>
        <v>NorthBound</v>
      </c>
      <c r="U95" s="1">
        <f>COUNTIFS(Variables!$M$2:$M$19,IF(T95="NorthBound","&gt;=","&lt;=")&amp;Y95,Variables!$M$2:$M$19,IF(T95="NorthBound","&lt;=","&gt;=")&amp;Z95)</f>
        <v>0</v>
      </c>
      <c r="V95" s="38" t="str">
        <f t="shared" si="25"/>
        <v>https://search-rtdc-monitor-bjffxe2xuh6vdkpspy63sjmuny.us-east-1.es.amazonaws.com/_plugin/kibana/#/discover/Steve-Slow-Train-Analysis-(2080s-and-2083s)?_g=(refreshInterval:(display:Off,section:0,value:0),time:(from:'2016-06-29 13:43:43-0600',mode:absolute,to:'2016-06-29 13:53:44-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95" s="38" t="str">
        <f t="shared" si="26"/>
        <v>Y</v>
      </c>
      <c r="X95" s="38">
        <f t="shared" si="30"/>
        <v>0</v>
      </c>
      <c r="Y95" s="38">
        <f t="shared" si="27"/>
        <v>4.6199999999999998E-2</v>
      </c>
      <c r="Z95" s="38">
        <f t="shared" si="28"/>
        <v>0.1202</v>
      </c>
      <c r="AA95" s="38">
        <f t="shared" si="29"/>
        <v>7.400000000000001E-2</v>
      </c>
      <c r="AB95" s="39" t="e">
        <f>VLOOKUP(A95,Enforcements!$C$7:$J$32,8,0)</f>
        <v>#N/A</v>
      </c>
      <c r="AC95" s="39" t="e">
        <f>VLOOKUP(A95,Enforcements!$C$7:$E$32,3,0)</f>
        <v>#N/A</v>
      </c>
    </row>
    <row r="96" spans="1:29" s="1" customFormat="1" x14ac:dyDescent="0.25">
      <c r="A96" s="67" t="s">
        <v>327</v>
      </c>
      <c r="B96" s="34">
        <v>4012</v>
      </c>
      <c r="C96" s="34" t="s">
        <v>60</v>
      </c>
      <c r="D96" s="34" t="s">
        <v>84</v>
      </c>
      <c r="E96" s="20">
        <v>42550.616006944445</v>
      </c>
      <c r="F96" s="20">
        <v>42550.617094907408</v>
      </c>
      <c r="G96" s="23">
        <v>1</v>
      </c>
      <c r="H96" s="20" t="s">
        <v>328</v>
      </c>
      <c r="I96" s="20">
        <v>42550.645937499998</v>
      </c>
      <c r="J96" s="34">
        <v>0</v>
      </c>
      <c r="K96" s="34" t="str">
        <f t="shared" si="20"/>
        <v>4011/4012</v>
      </c>
      <c r="L96" s="34" t="str">
        <f>VLOOKUP(A96,'Trips&amp;Operators'!$C$1:$E$10000,3,FALSE)</f>
        <v>SPECTOR</v>
      </c>
      <c r="M96" s="6">
        <f t="shared" si="21"/>
        <v>2.884259259008104E-2</v>
      </c>
      <c r="N96" s="7">
        <f t="shared" si="22"/>
        <v>41.533333329716697</v>
      </c>
      <c r="O96" s="7"/>
      <c r="P96" s="7"/>
      <c r="Q96" s="35"/>
      <c r="R96" s="35"/>
      <c r="S96" s="59">
        <f t="shared" si="23"/>
        <v>1</v>
      </c>
      <c r="T96" s="1" t="str">
        <f t="shared" si="24"/>
        <v>Southbound</v>
      </c>
      <c r="U96" s="1">
        <f>COUNTIFS(Variables!$M$2:$M$19,IF(T96="NorthBound","&gt;=","&lt;=")&amp;Y96,Variables!$M$2:$M$19,IF(T96="NorthBound","&lt;=","&gt;=")&amp;Z96)</f>
        <v>12</v>
      </c>
      <c r="V96" s="38" t="str">
        <f t="shared" si="25"/>
        <v>https://search-rtdc-monitor-bjffxe2xuh6vdkpspy63sjmuny.us-east-1.es.amazonaws.com/_plugin/kibana/#/discover/Steve-Slow-Train-Analysis-(2080s-and-2083s)?_g=(refreshInterval:(display:Off,section:0,value:0),time:(from:'2016-06-29 14:46:03-0600',mode:absolute,to:'2016-06-29 15:31:09-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96" s="38" t="str">
        <f t="shared" si="26"/>
        <v>N</v>
      </c>
      <c r="X96" s="38">
        <f t="shared" si="30"/>
        <v>1</v>
      </c>
      <c r="Y96" s="38">
        <f t="shared" si="27"/>
        <v>23.297499999999999</v>
      </c>
      <c r="Z96" s="38">
        <f t="shared" si="28"/>
        <v>1.2999999999999999E-2</v>
      </c>
      <c r="AA96" s="38">
        <f t="shared" si="29"/>
        <v>23.284499999999998</v>
      </c>
      <c r="AB96" s="39" t="e">
        <f>VLOOKUP(A96,Enforcements!$C$7:$J$32,8,0)</f>
        <v>#N/A</v>
      </c>
      <c r="AC96" s="39" t="e">
        <f>VLOOKUP(A96,Enforcements!$C$7:$E$32,3,0)</f>
        <v>#N/A</v>
      </c>
    </row>
    <row r="97" spans="1:29" s="1" customFormat="1" x14ac:dyDescent="0.25">
      <c r="A97" s="67" t="s">
        <v>329</v>
      </c>
      <c r="B97" s="34">
        <v>4016</v>
      </c>
      <c r="C97" s="34" t="s">
        <v>60</v>
      </c>
      <c r="D97" s="34" t="s">
        <v>78</v>
      </c>
      <c r="E97" s="20">
        <v>42550.580543981479</v>
      </c>
      <c r="F97" s="20">
        <v>42550.582361111112</v>
      </c>
      <c r="G97" s="23">
        <v>2</v>
      </c>
      <c r="H97" s="20" t="s">
        <v>161</v>
      </c>
      <c r="I97" s="20">
        <v>42550.618067129632</v>
      </c>
      <c r="J97" s="34">
        <v>2</v>
      </c>
      <c r="K97" s="34" t="str">
        <f t="shared" si="20"/>
        <v>4015/4016</v>
      </c>
      <c r="L97" s="34" t="str">
        <f>VLOOKUP(A97,'Trips&amp;Operators'!$C$1:$E$10000,3,FALSE)</f>
        <v>STEWART</v>
      </c>
      <c r="M97" s="6">
        <f t="shared" si="21"/>
        <v>3.570601851970423E-2</v>
      </c>
      <c r="N97" s="7">
        <f t="shared" si="22"/>
        <v>51.416666668374091</v>
      </c>
      <c r="O97" s="7"/>
      <c r="P97" s="7"/>
      <c r="Q97" s="35"/>
      <c r="R97" s="35"/>
      <c r="S97" s="59">
        <f t="shared" si="23"/>
        <v>1</v>
      </c>
      <c r="T97" s="1" t="str">
        <f t="shared" si="24"/>
        <v>NorthBound</v>
      </c>
      <c r="U97" s="1">
        <f>COUNTIFS(Variables!$M$2:$M$19,IF(T97="NorthBound","&gt;=","&lt;=")&amp;Y97,Variables!$M$2:$M$19,IF(T97="NorthBound","&lt;=","&gt;=")&amp;Z97)</f>
        <v>12</v>
      </c>
      <c r="V97" s="38" t="str">
        <f t="shared" si="25"/>
        <v>https://search-rtdc-monitor-bjffxe2xuh6vdkpspy63sjmuny.us-east-1.es.amazonaws.com/_plugin/kibana/#/discover/Steve-Slow-Train-Analysis-(2080s-and-2083s)?_g=(refreshInterval:(display:Off,section:0,value:0),time:(from:'2016-06-29 13:54:59-0600',mode:absolute,to:'2016-06-29 14:51:01-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W97" s="38" t="str">
        <f t="shared" si="26"/>
        <v>N</v>
      </c>
      <c r="X97" s="38">
        <f t="shared" si="30"/>
        <v>1</v>
      </c>
      <c r="Y97" s="38">
        <f t="shared" si="27"/>
        <v>4.53E-2</v>
      </c>
      <c r="Z97" s="38">
        <f t="shared" si="28"/>
        <v>23.331399999999999</v>
      </c>
      <c r="AA97" s="38">
        <f t="shared" si="29"/>
        <v>23.286099999999998</v>
      </c>
      <c r="AB97" s="39">
        <f>VLOOKUP(A97,Enforcements!$C$7:$J$32,8,0)</f>
        <v>116838</v>
      </c>
      <c r="AC97" s="39" t="str">
        <f>VLOOKUP(A97,Enforcements!$C$7:$E$32,3,0)</f>
        <v>PERMANENT SPEED RESTRICTION</v>
      </c>
    </row>
    <row r="98" spans="1:29" s="1" customFormat="1" x14ac:dyDescent="0.25">
      <c r="A98" s="67" t="s">
        <v>631</v>
      </c>
      <c r="B98" s="34">
        <v>4015</v>
      </c>
      <c r="C98" s="34" t="s">
        <v>60</v>
      </c>
      <c r="D98" s="34" t="s">
        <v>143</v>
      </c>
      <c r="E98" s="20">
        <v>42550.620439814818</v>
      </c>
      <c r="F98" s="20">
        <v>42550.621458333335</v>
      </c>
      <c r="G98" s="23">
        <v>1</v>
      </c>
      <c r="H98" s="20" t="s">
        <v>105</v>
      </c>
      <c r="I98" s="20">
        <v>42551.31585648148</v>
      </c>
      <c r="J98" s="34">
        <v>0</v>
      </c>
      <c r="K98" s="34" t="str">
        <f t="shared" si="20"/>
        <v>4015/4016</v>
      </c>
      <c r="L98" s="34" t="str">
        <f>VLOOKUP(A98,'Trips&amp;Operators'!$C$1:$E$10000,3,FALSE)</f>
        <v>STEWART</v>
      </c>
      <c r="M98" s="6">
        <f t="shared" si="21"/>
        <v>0.69439814814541023</v>
      </c>
      <c r="N98" s="7">
        <f t="shared" si="22"/>
        <v>999.93333332939073</v>
      </c>
      <c r="O98" s="7"/>
      <c r="P98" s="7"/>
      <c r="Q98" s="35"/>
      <c r="R98" s="35"/>
      <c r="S98" s="59">
        <f t="shared" si="23"/>
        <v>1</v>
      </c>
      <c r="T98" s="1" t="str">
        <f t="shared" si="24"/>
        <v>Southbound</v>
      </c>
      <c r="U98" s="1">
        <f>COUNTIFS(Variables!$M$2:$M$19,IF(T98="NorthBound","&gt;=","&lt;=")&amp;Y98,Variables!$M$2:$M$19,IF(T98="NorthBound","&lt;=","&gt;=")&amp;Z98)</f>
        <v>12</v>
      </c>
      <c r="V98" s="38" t="str">
        <f t="shared" si="25"/>
        <v>https://search-rtdc-monitor-bjffxe2xuh6vdkpspy63sjmuny.us-east-1.es.amazonaws.com/_plugin/kibana/#/discover/Steve-Slow-Train-Analysis-(2080s-and-2083s)?_g=(refreshInterval:(display:Off,section:0,value:0),time:(from:'2016-06-29 14:52:26-0600',mode:absolute,to:'2016-06-30 07:35: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98" s="38" t="str">
        <f t="shared" si="26"/>
        <v>N</v>
      </c>
      <c r="X98" s="38">
        <f t="shared" si="30"/>
        <v>1</v>
      </c>
      <c r="Y98" s="38">
        <f t="shared" si="27"/>
        <v>23.298500000000001</v>
      </c>
      <c r="Z98" s="38">
        <f t="shared" si="28"/>
        <v>1.4999999999999999E-2</v>
      </c>
      <c r="AA98" s="38">
        <f t="shared" si="29"/>
        <v>23.2835</v>
      </c>
      <c r="AB98" s="39" t="e">
        <f>VLOOKUP(A98,Enforcements!$C$7:$J$32,8,0)</f>
        <v>#N/A</v>
      </c>
      <c r="AC98" s="39" t="e">
        <f>VLOOKUP(A98,Enforcements!$C$7:$E$32,3,0)</f>
        <v>#N/A</v>
      </c>
    </row>
    <row r="99" spans="1:29" s="1" customFormat="1" x14ac:dyDescent="0.25">
      <c r="A99" s="67" t="s">
        <v>631</v>
      </c>
      <c r="B99" s="34">
        <v>4015</v>
      </c>
      <c r="C99" s="34" t="s">
        <v>60</v>
      </c>
      <c r="D99" s="34" t="s">
        <v>143</v>
      </c>
      <c r="E99" s="20">
        <v>42550.620439814818</v>
      </c>
      <c r="F99" s="20">
        <v>42550.62332175926</v>
      </c>
      <c r="G99" s="23">
        <v>4</v>
      </c>
      <c r="H99" s="20" t="s">
        <v>105</v>
      </c>
      <c r="I99" s="20">
        <v>42551.31585648148</v>
      </c>
      <c r="J99" s="34">
        <v>0</v>
      </c>
      <c r="K99" s="34" t="str">
        <f t="shared" si="20"/>
        <v>4015/4016</v>
      </c>
      <c r="L99" s="34" t="str">
        <f>VLOOKUP(A99,'Trips&amp;Operators'!$C$1:$E$10000,3,FALSE)</f>
        <v>STEWART</v>
      </c>
      <c r="M99" s="6">
        <f t="shared" si="21"/>
        <v>0.69253472222044365</v>
      </c>
      <c r="N99" s="7">
        <f t="shared" si="22"/>
        <v>997.24999999743886</v>
      </c>
      <c r="O99" s="7"/>
      <c r="P99" s="7"/>
      <c r="Q99" s="35"/>
      <c r="R99" s="35"/>
      <c r="S99" s="59">
        <f t="shared" si="23"/>
        <v>1</v>
      </c>
      <c r="T99" s="1" t="str">
        <f t="shared" si="24"/>
        <v>Southbound</v>
      </c>
      <c r="U99" s="1">
        <f>COUNTIFS(Variables!$M$2:$M$19,IF(T99="NorthBound","&gt;=","&lt;=")&amp;Y99,Variables!$M$2:$M$19,IF(T99="NorthBound","&lt;=","&gt;=")&amp;Z99)</f>
        <v>12</v>
      </c>
      <c r="V99" s="38" t="str">
        <f t="shared" si="25"/>
        <v>https://search-rtdc-monitor-bjffxe2xuh6vdkpspy63sjmuny.us-east-1.es.amazonaws.com/_plugin/kibana/#/discover/Steve-Slow-Train-Analysis-(2080s-and-2083s)?_g=(refreshInterval:(display:Off,section:0,value:0),time:(from:'2016-06-29 14:52:26-0600',mode:absolute,to:'2016-06-30 07:35: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W99" s="38" t="str">
        <f t="shared" si="26"/>
        <v>N</v>
      </c>
      <c r="X99" s="38">
        <f t="shared" si="30"/>
        <v>0</v>
      </c>
      <c r="Y99" s="38">
        <f t="shared" si="27"/>
        <v>23.298500000000001</v>
      </c>
      <c r="Z99" s="38">
        <f t="shared" si="28"/>
        <v>1.4999999999999999E-2</v>
      </c>
      <c r="AA99" s="38">
        <f t="shared" si="29"/>
        <v>23.2835</v>
      </c>
      <c r="AB99" s="39" t="e">
        <f>VLOOKUP(A99,Enforcements!$C$7:$J$32,8,0)</f>
        <v>#N/A</v>
      </c>
      <c r="AC99" s="39" t="e">
        <f>VLOOKUP(A99,Enforcements!$C$7:$E$32,3,0)</f>
        <v>#N/A</v>
      </c>
    </row>
    <row r="100" spans="1:29" s="1" customFormat="1" x14ac:dyDescent="0.25">
      <c r="A100" s="67" t="s">
        <v>330</v>
      </c>
      <c r="B100" s="34">
        <v>4024</v>
      </c>
      <c r="C100" s="34" t="s">
        <v>60</v>
      </c>
      <c r="D100" s="34" t="s">
        <v>331</v>
      </c>
      <c r="E100" s="20">
        <v>42550.59101851852</v>
      </c>
      <c r="F100" s="20">
        <v>42550.592060185183</v>
      </c>
      <c r="G100" s="23">
        <v>1</v>
      </c>
      <c r="H100" s="20" t="s">
        <v>332</v>
      </c>
      <c r="I100" s="20">
        <v>42550.622986111113</v>
      </c>
      <c r="J100" s="34">
        <v>1</v>
      </c>
      <c r="K100" s="34" t="str">
        <f t="shared" si="20"/>
        <v>4023/4024</v>
      </c>
      <c r="L100" s="34" t="str">
        <f>VLOOKUP(A100,'Trips&amp;Operators'!$C$1:$E$10000,3,FALSE)</f>
        <v>STAMBAUGH</v>
      </c>
      <c r="M100" s="6">
        <f t="shared" si="21"/>
        <v>3.0925925930205267E-2</v>
      </c>
      <c r="N100" s="7">
        <f t="shared" si="22"/>
        <v>44.533333339495584</v>
      </c>
      <c r="O100" s="7"/>
      <c r="P100" s="7"/>
      <c r="Q100" s="35"/>
      <c r="R100" s="35"/>
      <c r="S100" s="59">
        <f t="shared" si="23"/>
        <v>1</v>
      </c>
      <c r="T100" s="1" t="str">
        <f t="shared" si="24"/>
        <v>NorthBound</v>
      </c>
      <c r="U100" s="1">
        <f>COUNTIFS(Variables!$M$2:$M$19,IF(T100="NorthBound","&gt;=","&lt;=")&amp;Y100,Variables!$M$2:$M$19,IF(T100="NorthBound","&lt;=","&gt;=")&amp;Z100)</f>
        <v>12</v>
      </c>
      <c r="V100" s="38" t="str">
        <f t="shared" si="25"/>
        <v>https://search-rtdc-monitor-bjffxe2xuh6vdkpspy63sjmuny.us-east-1.es.amazonaws.com/_plugin/kibana/#/discover/Steve-Slow-Train-Analysis-(2080s-and-2083s)?_g=(refreshInterval:(display:Off,section:0,value:0),time:(from:'2016-06-29 14:10:04-0600',mode:absolute,to:'2016-06-29 14:58:06-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100" s="38" t="str">
        <f t="shared" si="26"/>
        <v>N</v>
      </c>
      <c r="X100" s="38">
        <f t="shared" si="30"/>
        <v>1</v>
      </c>
      <c r="Y100" s="38">
        <f t="shared" si="27"/>
        <v>4.3299999999999998E-2</v>
      </c>
      <c r="Z100" s="38">
        <f t="shared" si="28"/>
        <v>23.325900000000001</v>
      </c>
      <c r="AA100" s="38">
        <f t="shared" si="29"/>
        <v>23.282600000000002</v>
      </c>
      <c r="AB100" s="39">
        <f>VLOOKUP(A100,Enforcements!$C$7:$J$32,8,0)</f>
        <v>228668</v>
      </c>
      <c r="AC100" s="39" t="str">
        <f>VLOOKUP(A100,Enforcements!$C$7:$E$32,3,0)</f>
        <v>PERMANENT SPEED RESTRICTION</v>
      </c>
    </row>
    <row r="101" spans="1:29" s="1" customFormat="1" x14ac:dyDescent="0.25">
      <c r="A101" s="67" t="s">
        <v>333</v>
      </c>
      <c r="B101" s="34">
        <v>4023</v>
      </c>
      <c r="C101" s="34" t="s">
        <v>60</v>
      </c>
      <c r="D101" s="34" t="s">
        <v>205</v>
      </c>
      <c r="E101" s="20">
        <v>42550.629652777781</v>
      </c>
      <c r="F101" s="20">
        <v>42550.631296296298</v>
      </c>
      <c r="G101" s="23">
        <v>2</v>
      </c>
      <c r="H101" s="20" t="s">
        <v>334</v>
      </c>
      <c r="I101" s="20">
        <v>42550.661990740744</v>
      </c>
      <c r="J101" s="34">
        <v>0</v>
      </c>
      <c r="K101" s="34" t="str">
        <f t="shared" si="20"/>
        <v>4023/4024</v>
      </c>
      <c r="L101" s="34" t="str">
        <f>VLOOKUP(A101,'Trips&amp;Operators'!$C$1:$E$10000,3,FALSE)</f>
        <v>STAMBAUGH</v>
      </c>
      <c r="M101" s="6">
        <f t="shared" si="21"/>
        <v>3.0694444445543922E-2</v>
      </c>
      <c r="N101" s="7">
        <f t="shared" si="22"/>
        <v>44.200000001583248</v>
      </c>
      <c r="O101" s="7"/>
      <c r="P101" s="7"/>
      <c r="Q101" s="35"/>
      <c r="R101" s="35"/>
      <c r="S101" s="59">
        <f t="shared" si="23"/>
        <v>1</v>
      </c>
      <c r="T101" s="1" t="str">
        <f t="shared" si="24"/>
        <v>Southbound</v>
      </c>
      <c r="U101" s="1">
        <f>COUNTIFS(Variables!$M$2:$M$19,IF(T101="NorthBound","&gt;=","&lt;=")&amp;Y101,Variables!$M$2:$M$19,IF(T101="NorthBound","&lt;=","&gt;=")&amp;Z101)</f>
        <v>12</v>
      </c>
      <c r="V101" s="38" t="str">
        <f t="shared" si="25"/>
        <v>https://search-rtdc-monitor-bjffxe2xuh6vdkpspy63sjmuny.us-east-1.es.amazonaws.com/_plugin/kibana/#/discover/Steve-Slow-Train-Analysis-(2080s-and-2083s)?_g=(refreshInterval:(display:Off,section:0,value:0),time:(from:'2016-06-29 15:05:42-0600',mode:absolute,to:'2016-06-29 15:54:16-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101" s="38" t="str">
        <f t="shared" si="26"/>
        <v>N</v>
      </c>
      <c r="X101" s="38">
        <f t="shared" si="30"/>
        <v>1</v>
      </c>
      <c r="Y101" s="38">
        <f t="shared" si="27"/>
        <v>23.297999999999998</v>
      </c>
      <c r="Z101" s="38">
        <f t="shared" si="28"/>
        <v>1.29E-2</v>
      </c>
      <c r="AA101" s="38">
        <f t="shared" si="29"/>
        <v>23.2851</v>
      </c>
      <c r="AB101" s="39" t="e">
        <f>VLOOKUP(A101,Enforcements!$C$7:$J$32,8,0)</f>
        <v>#N/A</v>
      </c>
      <c r="AC101" s="39" t="e">
        <f>VLOOKUP(A101,Enforcements!$C$7:$E$32,3,0)</f>
        <v>#N/A</v>
      </c>
    </row>
    <row r="102" spans="1:29" s="1" customFormat="1" x14ac:dyDescent="0.25">
      <c r="A102" s="67" t="s">
        <v>335</v>
      </c>
      <c r="B102" s="34">
        <v>4031</v>
      </c>
      <c r="C102" s="34" t="s">
        <v>60</v>
      </c>
      <c r="D102" s="34" t="s">
        <v>336</v>
      </c>
      <c r="E102" s="20">
        <v>42550.604189814818</v>
      </c>
      <c r="F102" s="20">
        <v>42550.605925925927</v>
      </c>
      <c r="G102" s="20">
        <v>2</v>
      </c>
      <c r="H102" s="20" t="s">
        <v>99</v>
      </c>
      <c r="I102" s="20">
        <v>42551.183067129627</v>
      </c>
      <c r="J102" s="34">
        <v>0</v>
      </c>
      <c r="K102" s="34" t="str">
        <f t="shared" si="20"/>
        <v>4031/4032</v>
      </c>
      <c r="L102" s="34" t="str">
        <f>VLOOKUP(A102,'Trips&amp;Operators'!$C$1:$E$10000,3,FALSE)</f>
        <v>YOUNG</v>
      </c>
      <c r="M102" s="6">
        <f t="shared" si="21"/>
        <v>0.57714120369928423</v>
      </c>
      <c r="N102" s="7">
        <f t="shared" si="22"/>
        <v>831.0833333269693</v>
      </c>
      <c r="O102" s="7"/>
      <c r="P102" s="7"/>
      <c r="Q102" s="35"/>
      <c r="R102" s="35"/>
      <c r="S102" s="59">
        <f t="shared" si="23"/>
        <v>1</v>
      </c>
      <c r="T102" s="1" t="str">
        <f t="shared" si="24"/>
        <v>NorthBound</v>
      </c>
      <c r="U102" s="1">
        <f>COUNTIFS(Variables!$M$2:$M$19,IF(T102="NorthBound","&gt;=","&lt;=")&amp;Y102,Variables!$M$2:$M$19,IF(T102="NorthBound","&lt;=","&gt;=")&amp;Z102)</f>
        <v>12</v>
      </c>
      <c r="V102" s="38" t="str">
        <f t="shared" si="25"/>
        <v>https://search-rtdc-monitor-bjffxe2xuh6vdkpspy63sjmuny.us-east-1.es.amazonaws.com/_plugin/kibana/#/discover/Steve-Slow-Train-Analysis-(2080s-and-2083s)?_g=(refreshInterval:(display:Off,section:0,value:0),time:(from:'2016-06-29 14:29:02-0600',mode:absolute,to:'2016-06-30 04:24: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W102" s="38" t="str">
        <f t="shared" si="26"/>
        <v>N</v>
      </c>
      <c r="X102" s="38">
        <f t="shared" si="30"/>
        <v>1</v>
      </c>
      <c r="Y102" s="38">
        <f t="shared" si="27"/>
        <v>9.69E-2</v>
      </c>
      <c r="Z102" s="38">
        <f t="shared" si="28"/>
        <v>23.3291</v>
      </c>
      <c r="AA102" s="38">
        <f t="shared" si="29"/>
        <v>23.232199999999999</v>
      </c>
      <c r="AB102" s="39" t="e">
        <f>VLOOKUP(A102,Enforcements!$C$7:$J$32,8,0)</f>
        <v>#N/A</v>
      </c>
      <c r="AC102" s="39" t="e">
        <f>VLOOKUP(A102,Enforcements!$C$7:$E$32,3,0)</f>
        <v>#N/A</v>
      </c>
    </row>
    <row r="103" spans="1:29" s="1" customFormat="1" x14ac:dyDescent="0.25">
      <c r="A103" s="67" t="s">
        <v>337</v>
      </c>
      <c r="B103" s="34">
        <v>4032</v>
      </c>
      <c r="C103" s="34" t="s">
        <v>60</v>
      </c>
      <c r="D103" s="34" t="s">
        <v>169</v>
      </c>
      <c r="E103" s="20">
        <v>42550.640462962961</v>
      </c>
      <c r="F103" s="20">
        <v>42550.641250000001</v>
      </c>
      <c r="G103" s="20">
        <v>1</v>
      </c>
      <c r="H103" s="20" t="s">
        <v>96</v>
      </c>
      <c r="I103" s="20">
        <v>42550.675162037034</v>
      </c>
      <c r="J103" s="34">
        <v>0</v>
      </c>
      <c r="K103" s="34" t="str">
        <f t="shared" si="20"/>
        <v>4031/4032</v>
      </c>
      <c r="L103" s="34" t="str">
        <f>VLOOKUP(A103,'Trips&amp;Operators'!$C$1:$E$10000,3,FALSE)</f>
        <v>YOUNG</v>
      </c>
      <c r="M103" s="6">
        <f t="shared" si="21"/>
        <v>3.3912037033587694E-2</v>
      </c>
      <c r="N103" s="7">
        <f t="shared" si="22"/>
        <v>48.83333332836628</v>
      </c>
      <c r="O103" s="7"/>
      <c r="P103" s="7"/>
      <c r="Q103" s="35"/>
      <c r="R103" s="35"/>
      <c r="S103" s="59">
        <f t="shared" si="23"/>
        <v>1</v>
      </c>
      <c r="T103" s="1" t="str">
        <f t="shared" si="24"/>
        <v>Southbound</v>
      </c>
      <c r="U103" s="1">
        <f>COUNTIFS(Variables!$M$2:$M$19,IF(T103="NorthBound","&gt;=","&lt;=")&amp;Y103,Variables!$M$2:$M$19,IF(T103="NorthBound","&lt;=","&gt;=")&amp;Z103)</f>
        <v>12</v>
      </c>
      <c r="V103" s="38" t="str">
        <f t="shared" si="25"/>
        <v>https://search-rtdc-monitor-bjffxe2xuh6vdkpspy63sjmuny.us-east-1.es.amazonaws.com/_plugin/kibana/#/discover/Steve-Slow-Train-Analysis-(2080s-and-2083s)?_g=(refreshInterval:(display:Off,section:0,value:0),time:(from:'2016-06-29 15:21:16-0600',mode:absolute,to:'2016-06-29 16:13: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W103" s="38" t="str">
        <f t="shared" si="26"/>
        <v>N</v>
      </c>
      <c r="X103" s="38">
        <f t="shared" si="30"/>
        <v>1</v>
      </c>
      <c r="Y103" s="38">
        <f t="shared" si="27"/>
        <v>23.300999999999998</v>
      </c>
      <c r="Z103" s="38">
        <f t="shared" si="28"/>
        <v>1.5800000000000002E-2</v>
      </c>
      <c r="AA103" s="38">
        <f t="shared" si="29"/>
        <v>23.2852</v>
      </c>
      <c r="AB103" s="39" t="e">
        <f>VLOOKUP(A103,Enforcements!$C$7:$J$32,8,0)</f>
        <v>#N/A</v>
      </c>
      <c r="AC103" s="39" t="e">
        <f>VLOOKUP(A103,Enforcements!$C$7:$E$32,3,0)</f>
        <v>#N/A</v>
      </c>
    </row>
    <row r="104" spans="1:29" s="1" customFormat="1" x14ac:dyDescent="0.25">
      <c r="A104" s="67" t="s">
        <v>338</v>
      </c>
      <c r="B104" s="34">
        <v>4042</v>
      </c>
      <c r="C104" s="34" t="s">
        <v>60</v>
      </c>
      <c r="D104" s="34" t="s">
        <v>126</v>
      </c>
      <c r="E104" s="20">
        <v>42550.617812500001</v>
      </c>
      <c r="F104" s="20">
        <v>42550.619108796294</v>
      </c>
      <c r="G104" s="20">
        <v>1</v>
      </c>
      <c r="H104" s="20" t="s">
        <v>144</v>
      </c>
      <c r="I104" s="20">
        <v>42550.64570601852</v>
      </c>
      <c r="J104" s="34">
        <v>0</v>
      </c>
      <c r="K104" s="34" t="str">
        <f t="shared" si="20"/>
        <v>4041/4042</v>
      </c>
      <c r="L104" s="34" t="str">
        <f>VLOOKUP(A104,'Trips&amp;Operators'!$C$1:$E$10000,3,FALSE)</f>
        <v>SHOOK</v>
      </c>
      <c r="M104" s="6">
        <f t="shared" si="21"/>
        <v>2.6597222225973383E-2</v>
      </c>
      <c r="N104" s="7">
        <f t="shared" si="22"/>
        <v>38.300000005401671</v>
      </c>
      <c r="O104" s="7"/>
      <c r="P104" s="7"/>
      <c r="Q104" s="35"/>
      <c r="R104" s="35"/>
      <c r="S104" s="59">
        <f t="shared" si="23"/>
        <v>1</v>
      </c>
      <c r="T104" s="1" t="str">
        <f t="shared" si="24"/>
        <v>NorthBound</v>
      </c>
      <c r="U104" s="1">
        <f>COUNTIFS(Variables!$M$2:$M$19,IF(T104="NorthBound","&gt;=","&lt;=")&amp;Y104,Variables!$M$2:$M$19,IF(T104="NorthBound","&lt;=","&gt;=")&amp;Z104)</f>
        <v>12</v>
      </c>
      <c r="V104" s="38" t="str">
        <f t="shared" si="25"/>
        <v>https://search-rtdc-monitor-bjffxe2xuh6vdkpspy63sjmuny.us-east-1.es.amazonaws.com/_plugin/kibana/#/discover/Steve-Slow-Train-Analysis-(2080s-and-2083s)?_g=(refreshInterval:(display:Off,section:0,value:0),time:(from:'2016-06-29 14:48:39-0600',mode:absolute,to:'2016-06-29 15:30:49-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04" s="38" t="str">
        <f t="shared" si="26"/>
        <v>N</v>
      </c>
      <c r="X104" s="38">
        <f t="shared" si="30"/>
        <v>1</v>
      </c>
      <c r="Y104" s="38">
        <f t="shared" si="27"/>
        <v>4.7300000000000002E-2</v>
      </c>
      <c r="Z104" s="38">
        <f t="shared" si="28"/>
        <v>23.3293</v>
      </c>
      <c r="AA104" s="38">
        <f t="shared" si="29"/>
        <v>23.282</v>
      </c>
      <c r="AB104" s="39" t="e">
        <f>VLOOKUP(A104,Enforcements!$C$7:$J$32,8,0)</f>
        <v>#N/A</v>
      </c>
      <c r="AC104" s="39" t="e">
        <f>VLOOKUP(A104,Enforcements!$C$7:$E$32,3,0)</f>
        <v>#N/A</v>
      </c>
    </row>
    <row r="105" spans="1:29" s="1" customFormat="1" x14ac:dyDescent="0.25">
      <c r="A105" s="67" t="s">
        <v>339</v>
      </c>
      <c r="B105" s="34">
        <v>4041</v>
      </c>
      <c r="C105" s="34" t="s">
        <v>60</v>
      </c>
      <c r="D105" s="34" t="s">
        <v>125</v>
      </c>
      <c r="E105" s="20">
        <v>42550.650381944448</v>
      </c>
      <c r="F105" s="20">
        <v>42550.651469907411</v>
      </c>
      <c r="G105" s="20">
        <v>1</v>
      </c>
      <c r="H105" s="20" t="s">
        <v>307</v>
      </c>
      <c r="I105" s="20">
        <v>42550.684398148151</v>
      </c>
      <c r="J105" s="34">
        <v>0</v>
      </c>
      <c r="K105" s="34" t="str">
        <f t="shared" si="20"/>
        <v>4041/4042</v>
      </c>
      <c r="L105" s="34" t="str">
        <f>VLOOKUP(A105,'Trips&amp;Operators'!$C$1:$E$10000,3,FALSE)</f>
        <v>SHOOK</v>
      </c>
      <c r="M105" s="6">
        <f t="shared" si="21"/>
        <v>3.2928240740147885E-2</v>
      </c>
      <c r="N105" s="7">
        <f t="shared" si="22"/>
        <v>47.416666665812954</v>
      </c>
      <c r="O105" s="7"/>
      <c r="P105" s="7"/>
      <c r="Q105" s="35"/>
      <c r="R105" s="35"/>
      <c r="S105" s="59">
        <f t="shared" si="23"/>
        <v>1</v>
      </c>
      <c r="T105" s="1" t="str">
        <f t="shared" si="24"/>
        <v>Southbound</v>
      </c>
      <c r="U105" s="1">
        <f>COUNTIFS(Variables!$M$2:$M$19,IF(T105="NorthBound","&gt;=","&lt;=")&amp;Y105,Variables!$M$2:$M$19,IF(T105="NorthBound","&lt;=","&gt;=")&amp;Z105)</f>
        <v>12</v>
      </c>
      <c r="V105" s="38" t="str">
        <f t="shared" si="25"/>
        <v>https://search-rtdc-monitor-bjffxe2xuh6vdkpspy63sjmuny.us-east-1.es.amazonaws.com/_plugin/kibana/#/discover/Steve-Slow-Train-Analysis-(2080s-and-2083s)?_g=(refreshInterval:(display:Off,section:0,value:0),time:(from:'2016-06-29 15:35:33-0600',mode:absolute,to:'2016-06-29 16:26:32-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05" s="38" t="str">
        <f t="shared" si="26"/>
        <v>N</v>
      </c>
      <c r="X105" s="38">
        <f t="shared" si="30"/>
        <v>1</v>
      </c>
      <c r="Y105" s="38">
        <f t="shared" si="27"/>
        <v>23.298200000000001</v>
      </c>
      <c r="Z105" s="38">
        <f t="shared" si="28"/>
        <v>1.6299999999999999E-2</v>
      </c>
      <c r="AA105" s="38">
        <f t="shared" si="29"/>
        <v>23.2819</v>
      </c>
      <c r="AB105" s="39" t="e">
        <f>VLOOKUP(A105,Enforcements!$C$7:$J$32,8,0)</f>
        <v>#N/A</v>
      </c>
      <c r="AC105" s="39" t="e">
        <f>VLOOKUP(A105,Enforcements!$C$7:$E$32,3,0)</f>
        <v>#N/A</v>
      </c>
    </row>
    <row r="106" spans="1:29" s="1" customFormat="1" x14ac:dyDescent="0.25">
      <c r="A106" s="67" t="s">
        <v>340</v>
      </c>
      <c r="B106" s="34">
        <v>4040</v>
      </c>
      <c r="C106" s="34" t="s">
        <v>60</v>
      </c>
      <c r="D106" s="34" t="s">
        <v>250</v>
      </c>
      <c r="E106" s="20">
        <v>42550.620891203704</v>
      </c>
      <c r="F106" s="20">
        <v>42550.621840277781</v>
      </c>
      <c r="G106" s="20">
        <v>1</v>
      </c>
      <c r="H106" s="20" t="s">
        <v>341</v>
      </c>
      <c r="I106" s="20">
        <v>42550.653379629628</v>
      </c>
      <c r="J106" s="34">
        <v>0</v>
      </c>
      <c r="K106" s="34" t="str">
        <f t="shared" si="20"/>
        <v>4039/4040</v>
      </c>
      <c r="L106" s="34" t="str">
        <f>VLOOKUP(A106,'Trips&amp;Operators'!$C$1:$E$10000,3,FALSE)</f>
        <v>BONDS</v>
      </c>
      <c r="M106" s="6">
        <f t="shared" si="21"/>
        <v>3.1539351846731734E-2</v>
      </c>
      <c r="N106" s="7">
        <f t="shared" si="22"/>
        <v>45.416666659293696</v>
      </c>
      <c r="O106" s="7"/>
      <c r="P106" s="7"/>
      <c r="Q106" s="35"/>
      <c r="R106" s="35"/>
      <c r="S106" s="59">
        <f t="shared" si="23"/>
        <v>1</v>
      </c>
      <c r="T106" s="1" t="str">
        <f t="shared" si="24"/>
        <v>NorthBound</v>
      </c>
      <c r="U106" s="1">
        <f>COUNTIFS(Variables!$M$2:$M$19,IF(T106="NorthBound","&gt;=","&lt;=")&amp;Y106,Variables!$M$2:$M$19,IF(T106="NorthBound","&lt;=","&gt;=")&amp;Z106)</f>
        <v>12</v>
      </c>
      <c r="V106" s="38" t="str">
        <f t="shared" si="25"/>
        <v>https://search-rtdc-monitor-bjffxe2xuh6vdkpspy63sjmuny.us-east-1.es.amazonaws.com/_plugin/kibana/#/discover/Steve-Slow-Train-Analysis-(2080s-and-2083s)?_g=(refreshInterval:(display:Off,section:0,value:0),time:(from:'2016-06-29 14:53:05-0600',mode:absolute,to:'2016-06-29 15:41:52-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06" s="38" t="str">
        <f t="shared" si="26"/>
        <v>N</v>
      </c>
      <c r="X106" s="38">
        <f t="shared" si="30"/>
        <v>1</v>
      </c>
      <c r="Y106" s="38">
        <f t="shared" si="27"/>
        <v>4.3799999999999999E-2</v>
      </c>
      <c r="Z106" s="38">
        <f t="shared" si="28"/>
        <v>23.3338</v>
      </c>
      <c r="AA106" s="38">
        <f t="shared" si="29"/>
        <v>23.29</v>
      </c>
      <c r="AB106" s="39" t="e">
        <f>VLOOKUP(A106,Enforcements!$C$7:$J$32,8,0)</f>
        <v>#N/A</v>
      </c>
      <c r="AC106" s="39" t="e">
        <f>VLOOKUP(A106,Enforcements!$C$7:$E$32,3,0)</f>
        <v>#N/A</v>
      </c>
    </row>
    <row r="107" spans="1:29" s="1" customFormat="1" x14ac:dyDescent="0.25">
      <c r="A107" s="67" t="s">
        <v>342</v>
      </c>
      <c r="B107" s="34">
        <v>4039</v>
      </c>
      <c r="C107" s="34" t="s">
        <v>60</v>
      </c>
      <c r="D107" s="34" t="s">
        <v>310</v>
      </c>
      <c r="E107" s="20">
        <v>42550.658368055556</v>
      </c>
      <c r="F107" s="20">
        <v>42550.660208333335</v>
      </c>
      <c r="G107" s="20">
        <v>2</v>
      </c>
      <c r="H107" s="20" t="s">
        <v>343</v>
      </c>
      <c r="I107" s="20">
        <v>42550.690844907411</v>
      </c>
      <c r="J107" s="34">
        <v>3</v>
      </c>
      <c r="K107" s="34" t="str">
        <f t="shared" si="20"/>
        <v>4039/4040</v>
      </c>
      <c r="L107" s="34" t="str">
        <f>VLOOKUP(A107,'Trips&amp;Operators'!$C$1:$E$10000,3,FALSE)</f>
        <v>BONDS</v>
      </c>
      <c r="M107" s="6">
        <f t="shared" ref="M107:M138" si="31">I107-F107</f>
        <v>3.0636574076197576E-2</v>
      </c>
      <c r="N107" s="7">
        <f t="shared" si="22"/>
        <v>44.116666669724509</v>
      </c>
      <c r="O107" s="7"/>
      <c r="P107" s="7"/>
      <c r="Q107" s="35"/>
      <c r="R107" s="35"/>
      <c r="S107" s="59">
        <f t="shared" si="23"/>
        <v>1</v>
      </c>
      <c r="T107" s="1" t="str">
        <f t="shared" si="24"/>
        <v>Southbound</v>
      </c>
      <c r="U107" s="1">
        <f>COUNTIFS(Variables!$M$2:$M$19,IF(T107="NorthBound","&gt;=","&lt;=")&amp;Y107,Variables!$M$2:$M$19,IF(T107="NorthBound","&lt;=","&gt;=")&amp;Z107)</f>
        <v>12</v>
      </c>
      <c r="V107" s="38" t="str">
        <f t="shared" si="25"/>
        <v>https://search-rtdc-monitor-bjffxe2xuh6vdkpspy63sjmuny.us-east-1.es.amazonaws.com/_plugin/kibana/#/discover/Steve-Slow-Train-Analysis-(2080s-and-2083s)?_g=(refreshInterval:(display:Off,section:0,value:0),time:(from:'2016-06-29 15:47:03-0600',mode:absolute,to:'2016-06-29 16:35:49-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07" s="38" t="str">
        <f t="shared" si="26"/>
        <v>N</v>
      </c>
      <c r="X107" s="38">
        <f t="shared" si="30"/>
        <v>1</v>
      </c>
      <c r="Y107" s="38">
        <f t="shared" si="27"/>
        <v>23.301500000000001</v>
      </c>
      <c r="Z107" s="38">
        <f t="shared" si="28"/>
        <v>9.1800000000000007E-2</v>
      </c>
      <c r="AA107" s="38">
        <f t="shared" si="29"/>
        <v>23.209700000000002</v>
      </c>
      <c r="AB107" s="39">
        <f>VLOOKUP(A107,Enforcements!$C$7:$J$32,8,0)</f>
        <v>21848</v>
      </c>
      <c r="AC107" s="39" t="str">
        <f>VLOOKUP(A107,Enforcements!$C$7:$E$32,3,0)</f>
        <v>PERMANENT SPEED RESTRICTION</v>
      </c>
    </row>
    <row r="108" spans="1:29" s="1" customFormat="1" x14ac:dyDescent="0.25">
      <c r="A108" s="67" t="s">
        <v>344</v>
      </c>
      <c r="B108" s="34">
        <v>4014</v>
      </c>
      <c r="C108" s="34" t="s">
        <v>60</v>
      </c>
      <c r="D108" s="34" t="s">
        <v>199</v>
      </c>
      <c r="E108" s="20">
        <v>42550.633009259262</v>
      </c>
      <c r="F108" s="20">
        <v>42550.635023148148</v>
      </c>
      <c r="G108" s="20">
        <v>2</v>
      </c>
      <c r="H108" s="20" t="s">
        <v>95</v>
      </c>
      <c r="I108" s="20">
        <v>42550.662569444445</v>
      </c>
      <c r="J108" s="34">
        <v>0</v>
      </c>
      <c r="K108" s="34" t="str">
        <f t="shared" si="20"/>
        <v>4013/4014</v>
      </c>
      <c r="L108" s="34" t="str">
        <f>VLOOKUP(A108,'Trips&amp;Operators'!$C$1:$E$10000,3,FALSE)</f>
        <v>REBOLETTI</v>
      </c>
      <c r="M108" s="6">
        <f t="shared" si="31"/>
        <v>2.7546296296350192E-2</v>
      </c>
      <c r="N108" s="7">
        <f t="shared" si="22"/>
        <v>39.666666666744277</v>
      </c>
      <c r="O108" s="7"/>
      <c r="P108" s="7"/>
      <c r="Q108" s="35"/>
      <c r="R108" s="35"/>
      <c r="S108" s="59">
        <f t="shared" si="23"/>
        <v>1</v>
      </c>
      <c r="T108" s="1" t="str">
        <f t="shared" si="24"/>
        <v>NorthBound</v>
      </c>
      <c r="U108" s="1">
        <f>COUNTIFS(Variables!$M$2:$M$19,IF(T108="NorthBound","&gt;=","&lt;=")&amp;Y108,Variables!$M$2:$M$19,IF(T108="NorthBound","&lt;=","&gt;=")&amp;Z108)</f>
        <v>12</v>
      </c>
      <c r="V108" s="38" t="str">
        <f t="shared" si="25"/>
        <v>https://search-rtdc-monitor-bjffxe2xuh6vdkpspy63sjmuny.us-east-1.es.amazonaws.com/_plugin/kibana/#/discover/Steve-Slow-Train-Analysis-(2080s-and-2083s)?_g=(refreshInterval:(display:Off,section:0,value:0),time:(from:'2016-06-29 15:10:32-0600',mode:absolute,to:'2016-06-29 15:55:06-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4014%22')),sort:!(Time,asc))</v>
      </c>
      <c r="W108" s="38" t="str">
        <f t="shared" si="26"/>
        <v>N</v>
      </c>
      <c r="X108" s="38">
        <f t="shared" si="30"/>
        <v>1</v>
      </c>
      <c r="Y108" s="38">
        <f t="shared" si="27"/>
        <v>4.4600000000000001E-2</v>
      </c>
      <c r="Z108" s="38">
        <f t="shared" si="28"/>
        <v>23.329499999999999</v>
      </c>
      <c r="AA108" s="38">
        <f t="shared" si="29"/>
        <v>23.2849</v>
      </c>
      <c r="AB108" s="39" t="e">
        <f>VLOOKUP(A108,Enforcements!$C$7:$J$32,8,0)</f>
        <v>#N/A</v>
      </c>
      <c r="AC108" s="39" t="e">
        <f>VLOOKUP(A108,Enforcements!$C$7:$E$32,3,0)</f>
        <v>#N/A</v>
      </c>
    </row>
    <row r="109" spans="1:29" s="1" customFormat="1" x14ac:dyDescent="0.25">
      <c r="A109" s="67" t="s">
        <v>345</v>
      </c>
      <c r="B109" s="34">
        <v>4013</v>
      </c>
      <c r="C109" s="34" t="s">
        <v>60</v>
      </c>
      <c r="D109" s="34" t="s">
        <v>201</v>
      </c>
      <c r="E109" s="20">
        <v>42550.671481481484</v>
      </c>
      <c r="F109" s="20">
        <v>42550.672326388885</v>
      </c>
      <c r="G109" s="20">
        <v>1</v>
      </c>
      <c r="H109" s="20" t="s">
        <v>166</v>
      </c>
      <c r="I109" s="20">
        <v>42550.701203703706</v>
      </c>
      <c r="J109" s="34">
        <v>0</v>
      </c>
      <c r="K109" s="34" t="str">
        <f t="shared" si="20"/>
        <v>4013/4014</v>
      </c>
      <c r="L109" s="34" t="str">
        <f>VLOOKUP(A109,'Trips&amp;Operators'!$C$1:$E$10000,3,FALSE)</f>
        <v>REBOLETTI</v>
      </c>
      <c r="M109" s="6">
        <f t="shared" si="31"/>
        <v>2.8877314820419997E-2</v>
      </c>
      <c r="N109" s="7">
        <f t="shared" si="22"/>
        <v>41.583333341404796</v>
      </c>
      <c r="O109" s="7"/>
      <c r="P109" s="7"/>
      <c r="Q109" s="35"/>
      <c r="R109" s="35"/>
      <c r="S109" s="59">
        <f t="shared" si="23"/>
        <v>1</v>
      </c>
      <c r="T109" s="1" t="str">
        <f t="shared" si="24"/>
        <v>Southbound</v>
      </c>
      <c r="U109" s="1">
        <f>COUNTIFS(Variables!$M$2:$M$19,IF(T109="NorthBound","&gt;=","&lt;=")&amp;Y109,Variables!$M$2:$M$19,IF(T109="NorthBound","&lt;=","&gt;=")&amp;Z109)</f>
        <v>12</v>
      </c>
      <c r="V109" s="38" t="str">
        <f t="shared" si="25"/>
        <v>https://search-rtdc-monitor-bjffxe2xuh6vdkpspy63sjmuny.us-east-1.es.amazonaws.com/_plugin/kibana/#/discover/Steve-Slow-Train-Analysis-(2080s-and-2083s)?_g=(refreshInterval:(display:Off,section:0,value:0),time:(from:'2016-06-29 16:05:56-0600',mode:absolute,to:'2016-06-29 16:50:44-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4013%22')),sort:!(Time,asc))</v>
      </c>
      <c r="W109" s="38" t="str">
        <f t="shared" si="26"/>
        <v>N</v>
      </c>
      <c r="X109" s="38">
        <f t="shared" si="30"/>
        <v>1</v>
      </c>
      <c r="Y109" s="38">
        <f t="shared" si="27"/>
        <v>23.2988</v>
      </c>
      <c r="Z109" s="38">
        <f t="shared" si="28"/>
        <v>1.6500000000000001E-2</v>
      </c>
      <c r="AA109" s="38">
        <f t="shared" si="29"/>
        <v>23.282299999999999</v>
      </c>
      <c r="AB109" s="39" t="e">
        <f>VLOOKUP(A109,Enforcements!$C$7:$J$32,8,0)</f>
        <v>#N/A</v>
      </c>
      <c r="AC109" s="39" t="e">
        <f>VLOOKUP(A109,Enforcements!$C$7:$E$32,3,0)</f>
        <v>#N/A</v>
      </c>
    </row>
    <row r="110" spans="1:29" s="1" customFormat="1" x14ac:dyDescent="0.25">
      <c r="A110" s="67" t="s">
        <v>346</v>
      </c>
      <c r="B110" s="34">
        <v>4011</v>
      </c>
      <c r="C110" s="34" t="s">
        <v>60</v>
      </c>
      <c r="D110" s="34" t="s">
        <v>165</v>
      </c>
      <c r="E110" s="20">
        <v>42550.6484837963</v>
      </c>
      <c r="F110" s="20">
        <v>42550.649398148147</v>
      </c>
      <c r="G110" s="20">
        <v>1</v>
      </c>
      <c r="H110" s="20" t="s">
        <v>161</v>
      </c>
      <c r="I110" s="20">
        <v>42550.678541666668</v>
      </c>
      <c r="J110" s="34">
        <v>0</v>
      </c>
      <c r="K110" s="34" t="str">
        <f t="shared" si="20"/>
        <v>4011/4012</v>
      </c>
      <c r="L110" s="34" t="str">
        <f>VLOOKUP(A110,'Trips&amp;Operators'!$C$1:$E$10000,3,FALSE)</f>
        <v>SPECTOR</v>
      </c>
      <c r="M110" s="6">
        <f t="shared" si="31"/>
        <v>2.9143518520868383E-2</v>
      </c>
      <c r="N110" s="7">
        <f t="shared" si="22"/>
        <v>41.966666670050472</v>
      </c>
      <c r="O110" s="7"/>
      <c r="P110" s="7"/>
      <c r="Q110" s="35"/>
      <c r="R110" s="35"/>
      <c r="S110" s="59">
        <f t="shared" si="23"/>
        <v>1</v>
      </c>
      <c r="T110" s="1" t="str">
        <f t="shared" si="24"/>
        <v>NorthBound</v>
      </c>
      <c r="U110" s="1">
        <f>COUNTIFS(Variables!$M$2:$M$19,IF(T110="NorthBound","&gt;=","&lt;=")&amp;Y110,Variables!$M$2:$M$19,IF(T110="NorthBound","&lt;=","&gt;=")&amp;Z110)</f>
        <v>12</v>
      </c>
      <c r="V110" s="38" t="str">
        <f t="shared" si="25"/>
        <v>https://search-rtdc-monitor-bjffxe2xuh6vdkpspy63sjmuny.us-east-1.es.amazonaws.com/_plugin/kibana/#/discover/Steve-Slow-Train-Analysis-(2080s-and-2083s)?_g=(refreshInterval:(display:Off,section:0,value:0),time:(from:'2016-06-29 15:32:49-0600',mode:absolute,to:'2016-06-29 16:18:06-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110" s="38" t="str">
        <f t="shared" si="26"/>
        <v>N</v>
      </c>
      <c r="X110" s="38">
        <f t="shared" si="30"/>
        <v>1</v>
      </c>
      <c r="Y110" s="38">
        <f t="shared" si="27"/>
        <v>4.4200000000000003E-2</v>
      </c>
      <c r="Z110" s="38">
        <f t="shared" si="28"/>
        <v>23.331399999999999</v>
      </c>
      <c r="AA110" s="38">
        <f t="shared" si="29"/>
        <v>23.287199999999999</v>
      </c>
      <c r="AB110" s="39" t="e">
        <f>VLOOKUP(A110,Enforcements!$C$7:$J$32,8,0)</f>
        <v>#N/A</v>
      </c>
      <c r="AC110" s="39" t="e">
        <f>VLOOKUP(A110,Enforcements!$C$7:$E$32,3,0)</f>
        <v>#N/A</v>
      </c>
    </row>
    <row r="111" spans="1:29" s="1" customFormat="1" x14ac:dyDescent="0.25">
      <c r="A111" s="67" t="s">
        <v>347</v>
      </c>
      <c r="B111" s="34">
        <v>4012</v>
      </c>
      <c r="C111" s="34" t="s">
        <v>60</v>
      </c>
      <c r="D111" s="34" t="s">
        <v>181</v>
      </c>
      <c r="E111" s="20">
        <v>42550.682974537034</v>
      </c>
      <c r="F111" s="20">
        <v>42550.683865740742</v>
      </c>
      <c r="G111" s="20">
        <v>1</v>
      </c>
      <c r="H111" s="20" t="s">
        <v>348</v>
      </c>
      <c r="I111" s="20">
        <v>42550.717453703706</v>
      </c>
      <c r="J111" s="34">
        <v>3</v>
      </c>
      <c r="K111" s="34" t="str">
        <f t="shared" si="20"/>
        <v>4011/4012</v>
      </c>
      <c r="L111" s="34" t="str">
        <f>VLOOKUP(A111,'Trips&amp;Operators'!$C$1:$E$10000,3,FALSE)</f>
        <v>SPECTOR</v>
      </c>
      <c r="M111" s="6">
        <f t="shared" si="31"/>
        <v>3.3587962963792961E-2</v>
      </c>
      <c r="N111" s="7">
        <f t="shared" si="22"/>
        <v>48.366666667861864</v>
      </c>
      <c r="O111" s="7"/>
      <c r="P111" s="7"/>
      <c r="Q111" s="35"/>
      <c r="R111" s="35"/>
      <c r="S111" s="59">
        <f t="shared" si="23"/>
        <v>1</v>
      </c>
      <c r="T111" s="1" t="str">
        <f t="shared" si="24"/>
        <v>Southbound</v>
      </c>
      <c r="U111" s="1">
        <f>COUNTIFS(Variables!$M$2:$M$19,IF(T111="NorthBound","&gt;=","&lt;=")&amp;Y111,Variables!$M$2:$M$19,IF(T111="NorthBound","&lt;=","&gt;=")&amp;Z111)</f>
        <v>12</v>
      </c>
      <c r="V111" s="38" t="str">
        <f t="shared" si="25"/>
        <v>https://search-rtdc-monitor-bjffxe2xuh6vdkpspy63sjmuny.us-east-1.es.amazonaws.com/_plugin/kibana/#/discover/Steve-Slow-Train-Analysis-(2080s-and-2083s)?_g=(refreshInterval:(display:Off,section:0,value:0),time:(from:'2016-06-29 16:22:29-0600',mode:absolute,to:'2016-06-29 17:14:08-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111" s="38" t="str">
        <f t="shared" si="26"/>
        <v>N</v>
      </c>
      <c r="X111" s="38">
        <f t="shared" si="30"/>
        <v>1</v>
      </c>
      <c r="Y111" s="38">
        <f t="shared" si="27"/>
        <v>23.299600000000002</v>
      </c>
      <c r="Z111" s="38">
        <f t="shared" si="28"/>
        <v>0.1013</v>
      </c>
      <c r="AA111" s="38">
        <f t="shared" si="29"/>
        <v>23.198300000000003</v>
      </c>
      <c r="AB111" s="39" t="e">
        <f>VLOOKUP(A111,Enforcements!$C$7:$J$32,8,0)</f>
        <v>#N/A</v>
      </c>
      <c r="AC111" s="39" t="e">
        <f>VLOOKUP(A111,Enforcements!$C$7:$E$32,3,0)</f>
        <v>#N/A</v>
      </c>
    </row>
    <row r="112" spans="1:29" s="1" customFormat="1" x14ac:dyDescent="0.25">
      <c r="A112" s="67" t="s">
        <v>349</v>
      </c>
      <c r="B112" s="34">
        <v>4044</v>
      </c>
      <c r="C112" s="34" t="s">
        <v>60</v>
      </c>
      <c r="D112" s="34" t="s">
        <v>73</v>
      </c>
      <c r="E112" s="20">
        <v>42550.660266203704</v>
      </c>
      <c r="F112" s="20">
        <v>42550.661458333336</v>
      </c>
      <c r="G112" s="20">
        <v>1</v>
      </c>
      <c r="H112" s="20" t="s">
        <v>144</v>
      </c>
      <c r="I112" s="20">
        <v>42550.690358796295</v>
      </c>
      <c r="J112" s="34">
        <v>0</v>
      </c>
      <c r="K112" s="34" t="str">
        <f t="shared" si="20"/>
        <v>4043/4044</v>
      </c>
      <c r="L112" s="34" t="str">
        <f>VLOOKUP(A112,'Trips&amp;Operators'!$C$1:$E$10000,3,FALSE)</f>
        <v>STEWART</v>
      </c>
      <c r="M112" s="6">
        <f t="shared" si="31"/>
        <v>2.8900462959427387E-2</v>
      </c>
      <c r="N112" s="7">
        <f t="shared" si="22"/>
        <v>41.616666661575437</v>
      </c>
      <c r="O112" s="7"/>
      <c r="P112" s="7"/>
      <c r="Q112" s="35"/>
      <c r="R112" s="35"/>
      <c r="S112" s="59">
        <f t="shared" si="23"/>
        <v>1</v>
      </c>
      <c r="T112" s="1" t="str">
        <f t="shared" si="24"/>
        <v>NorthBound</v>
      </c>
      <c r="U112" s="1">
        <f>COUNTIFS(Variables!$M$2:$M$19,IF(T112="NorthBound","&gt;=","&lt;=")&amp;Y112,Variables!$M$2:$M$19,IF(T112="NorthBound","&lt;=","&gt;=")&amp;Z112)</f>
        <v>12</v>
      </c>
      <c r="V112" s="38" t="str">
        <f t="shared" si="25"/>
        <v>https://search-rtdc-monitor-bjffxe2xuh6vdkpspy63sjmuny.us-east-1.es.amazonaws.com/_plugin/kibana/#/discover/Steve-Slow-Train-Analysis-(2080s-and-2083s)?_g=(refreshInterval:(display:Off,section:0,value:0),time:(from:'2016-06-29 15:49:47-0600',mode:absolute,to:'2016-06-29 16:35:07-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112" s="38" t="str">
        <f t="shared" si="26"/>
        <v>N</v>
      </c>
      <c r="X112" s="38">
        <f t="shared" si="30"/>
        <v>1</v>
      </c>
      <c r="Y112" s="38">
        <f t="shared" si="27"/>
        <v>4.5699999999999998E-2</v>
      </c>
      <c r="Z112" s="38">
        <f t="shared" si="28"/>
        <v>23.3293</v>
      </c>
      <c r="AA112" s="38">
        <f t="shared" si="29"/>
        <v>23.2836</v>
      </c>
      <c r="AB112" s="39" t="e">
        <f>VLOOKUP(A112,Enforcements!$C$7:$J$32,8,0)</f>
        <v>#N/A</v>
      </c>
      <c r="AC112" s="39" t="e">
        <f>VLOOKUP(A112,Enforcements!$C$7:$E$32,3,0)</f>
        <v>#N/A</v>
      </c>
    </row>
    <row r="113" spans="1:29" s="1" customFormat="1" x14ac:dyDescent="0.25">
      <c r="A113" s="67" t="s">
        <v>350</v>
      </c>
      <c r="B113" s="34">
        <v>4043</v>
      </c>
      <c r="C113" s="34" t="s">
        <v>60</v>
      </c>
      <c r="D113" s="34" t="s">
        <v>84</v>
      </c>
      <c r="E113" s="20">
        <v>42550.694884259261</v>
      </c>
      <c r="F113" s="20">
        <v>42550.695636574077</v>
      </c>
      <c r="G113" s="20">
        <v>1</v>
      </c>
      <c r="H113" s="20" t="s">
        <v>105</v>
      </c>
      <c r="I113" s="20">
        <v>42550.725162037037</v>
      </c>
      <c r="J113" s="34">
        <v>1</v>
      </c>
      <c r="K113" s="34" t="str">
        <f t="shared" si="20"/>
        <v>4043/4044</v>
      </c>
      <c r="L113" s="34" t="str">
        <f>VLOOKUP(A113,'Trips&amp;Operators'!$C$1:$E$10000,3,FALSE)</f>
        <v>STEWART</v>
      </c>
      <c r="M113" s="6">
        <f t="shared" si="31"/>
        <v>2.9525462960009463E-2</v>
      </c>
      <c r="N113" s="7">
        <f t="shared" si="22"/>
        <v>42.516666662413627</v>
      </c>
      <c r="O113" s="7"/>
      <c r="P113" s="7"/>
      <c r="Q113" s="35"/>
      <c r="R113" s="35"/>
      <c r="S113" s="59">
        <f t="shared" si="23"/>
        <v>1</v>
      </c>
      <c r="T113" s="1" t="str">
        <f t="shared" si="24"/>
        <v>Southbound</v>
      </c>
      <c r="U113" s="1">
        <f>COUNTIFS(Variables!$M$2:$M$19,IF(T113="NorthBound","&gt;=","&lt;=")&amp;Y113,Variables!$M$2:$M$19,IF(T113="NorthBound","&lt;=","&gt;=")&amp;Z113)</f>
        <v>12</v>
      </c>
      <c r="V113" s="38" t="str">
        <f t="shared" si="25"/>
        <v>https://search-rtdc-monitor-bjffxe2xuh6vdkpspy63sjmuny.us-east-1.es.amazonaws.com/_plugin/kibana/#/discover/Steve-Slow-Train-Analysis-(2080s-and-2083s)?_g=(refreshInterval:(display:Off,section:0,value:0),time:(from:'2016-06-29 16:39:38-0600',mode:absolute,to:'2016-06-29 17:25: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113" s="38" t="str">
        <f t="shared" si="26"/>
        <v>N</v>
      </c>
      <c r="X113" s="38">
        <f t="shared" si="30"/>
        <v>1</v>
      </c>
      <c r="Y113" s="38">
        <f t="shared" si="27"/>
        <v>23.297499999999999</v>
      </c>
      <c r="Z113" s="38">
        <f t="shared" si="28"/>
        <v>1.4999999999999999E-2</v>
      </c>
      <c r="AA113" s="38">
        <f t="shared" si="29"/>
        <v>23.282499999999999</v>
      </c>
      <c r="AB113" s="39">
        <f>VLOOKUP(A113,Enforcements!$C$7:$J$32,8,0)</f>
        <v>183829</v>
      </c>
      <c r="AC113" s="39" t="str">
        <f>VLOOKUP(A113,Enforcements!$C$7:$E$32,3,0)</f>
        <v>PERMANENT SPEED RESTRICTION</v>
      </c>
    </row>
    <row r="114" spans="1:29" s="1" customFormat="1" x14ac:dyDescent="0.25">
      <c r="A114" s="67" t="s">
        <v>351</v>
      </c>
      <c r="B114" s="34">
        <v>4024</v>
      </c>
      <c r="C114" s="34" t="s">
        <v>60</v>
      </c>
      <c r="D114" s="34" t="s">
        <v>180</v>
      </c>
      <c r="E114" s="20">
        <v>42550.664560185185</v>
      </c>
      <c r="F114" s="20">
        <v>42550.665370370371</v>
      </c>
      <c r="G114" s="20">
        <v>1</v>
      </c>
      <c r="H114" s="20" t="s">
        <v>263</v>
      </c>
      <c r="I114" s="20">
        <v>42550.693148148152</v>
      </c>
      <c r="J114" s="34">
        <v>0</v>
      </c>
      <c r="K114" s="34" t="str">
        <f t="shared" si="20"/>
        <v>4023/4024</v>
      </c>
      <c r="L114" s="34" t="str">
        <f>VLOOKUP(A114,'Trips&amp;Operators'!$C$1:$E$10000,3,FALSE)</f>
        <v>STAMBAUGH</v>
      </c>
      <c r="M114" s="6">
        <f t="shared" si="31"/>
        <v>2.7777777781011537E-2</v>
      </c>
      <c r="N114" s="7">
        <f t="shared" si="22"/>
        <v>40.000000004656613</v>
      </c>
      <c r="O114" s="7"/>
      <c r="P114" s="7"/>
      <c r="Q114" s="35"/>
      <c r="R114" s="35"/>
      <c r="S114" s="59">
        <f t="shared" si="23"/>
        <v>1</v>
      </c>
      <c r="T114" s="1" t="str">
        <f t="shared" si="24"/>
        <v>NorthBound</v>
      </c>
      <c r="U114" s="1">
        <f>COUNTIFS(Variables!$M$2:$M$19,IF(T114="NorthBound","&gt;=","&lt;=")&amp;Y114,Variables!$M$2:$M$19,IF(T114="NorthBound","&lt;=","&gt;=")&amp;Z114)</f>
        <v>12</v>
      </c>
      <c r="V114" s="38" t="str">
        <f t="shared" si="25"/>
        <v>https://search-rtdc-monitor-bjffxe2xuh6vdkpspy63sjmuny.us-east-1.es.amazonaws.com/_plugin/kibana/#/discover/Steve-Slow-Train-Analysis-(2080s-and-2083s)?_g=(refreshInterval:(display:Off,section:0,value:0),time:(from:'2016-06-29 15:55:58-0600',mode:absolute,to:'2016-06-29 16:39:08-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114" s="38" t="str">
        <f t="shared" si="26"/>
        <v>N</v>
      </c>
      <c r="X114" s="38">
        <f t="shared" si="30"/>
        <v>1</v>
      </c>
      <c r="Y114" s="38">
        <f t="shared" si="27"/>
        <v>4.6199999999999998E-2</v>
      </c>
      <c r="Z114" s="38">
        <f t="shared" si="28"/>
        <v>23.331499999999998</v>
      </c>
      <c r="AA114" s="38">
        <f t="shared" si="29"/>
        <v>23.285299999999999</v>
      </c>
      <c r="AB114" s="39" t="e">
        <f>VLOOKUP(A114,Enforcements!$C$7:$J$32,8,0)</f>
        <v>#N/A</v>
      </c>
      <c r="AC114" s="39" t="e">
        <f>VLOOKUP(A114,Enforcements!$C$7:$E$32,3,0)</f>
        <v>#N/A</v>
      </c>
    </row>
    <row r="115" spans="1:29" s="1" customFormat="1" x14ac:dyDescent="0.25">
      <c r="A115" s="67" t="s">
        <v>352</v>
      </c>
      <c r="B115" s="34">
        <v>4023</v>
      </c>
      <c r="C115" s="34" t="s">
        <v>60</v>
      </c>
      <c r="D115" s="34" t="s">
        <v>155</v>
      </c>
      <c r="E115" s="20">
        <v>42550.700428240743</v>
      </c>
      <c r="F115" s="20">
        <v>42550.701666666668</v>
      </c>
      <c r="G115" s="20">
        <v>1</v>
      </c>
      <c r="H115" s="20" t="s">
        <v>105</v>
      </c>
      <c r="I115" s="20">
        <v>42550.733831018515</v>
      </c>
      <c r="J115" s="34">
        <v>0</v>
      </c>
      <c r="K115" s="34" t="str">
        <f t="shared" si="20"/>
        <v>4023/4024</v>
      </c>
      <c r="L115" s="34" t="str">
        <f>VLOOKUP(A115,'Trips&amp;Operators'!$C$1:$E$10000,3,FALSE)</f>
        <v>STAMBAUGH</v>
      </c>
      <c r="M115" s="6">
        <f t="shared" si="31"/>
        <v>3.216435184731381E-2</v>
      </c>
      <c r="N115" s="7">
        <f t="shared" si="22"/>
        <v>46.316666660131887</v>
      </c>
      <c r="O115" s="7"/>
      <c r="P115" s="7"/>
      <c r="Q115" s="35"/>
      <c r="R115" s="35"/>
      <c r="S115" s="59">
        <f t="shared" si="23"/>
        <v>1</v>
      </c>
      <c r="T115" s="1" t="str">
        <f t="shared" si="24"/>
        <v>Southbound</v>
      </c>
      <c r="U115" s="1">
        <f>COUNTIFS(Variables!$M$2:$M$19,IF(T115="NorthBound","&gt;=","&lt;=")&amp;Y115,Variables!$M$2:$M$19,IF(T115="NorthBound","&lt;=","&gt;=")&amp;Z115)</f>
        <v>12</v>
      </c>
      <c r="V115" s="38" t="str">
        <f t="shared" si="25"/>
        <v>https://search-rtdc-monitor-bjffxe2xuh6vdkpspy63sjmuny.us-east-1.es.amazonaws.com/_plugin/kibana/#/discover/Steve-Slow-Train-Analysis-(2080s-and-2083s)?_g=(refreshInterval:(display:Off,section:0,value:0),time:(from:'2016-06-29 16:47:37-0600',mode:absolute,to:'2016-06-29 17:37:43-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W115" s="38" t="str">
        <f t="shared" si="26"/>
        <v>N</v>
      </c>
      <c r="X115" s="38">
        <f t="shared" si="30"/>
        <v>1</v>
      </c>
      <c r="Y115" s="38">
        <f t="shared" si="27"/>
        <v>23.299399999999999</v>
      </c>
      <c r="Z115" s="38">
        <f t="shared" si="28"/>
        <v>1.4999999999999999E-2</v>
      </c>
      <c r="AA115" s="38">
        <f t="shared" si="29"/>
        <v>23.284399999999998</v>
      </c>
      <c r="AB115" s="39" t="e">
        <f>VLOOKUP(A115,Enforcements!$C$7:$J$32,8,0)</f>
        <v>#N/A</v>
      </c>
      <c r="AC115" s="39" t="e">
        <f>VLOOKUP(A115,Enforcements!$C$7:$E$32,3,0)</f>
        <v>#N/A</v>
      </c>
    </row>
    <row r="116" spans="1:29" s="1" customFormat="1" x14ac:dyDescent="0.25">
      <c r="A116" s="67" t="s">
        <v>353</v>
      </c>
      <c r="B116" s="34">
        <v>4007</v>
      </c>
      <c r="C116" s="34" t="s">
        <v>60</v>
      </c>
      <c r="D116" s="34" t="s">
        <v>354</v>
      </c>
      <c r="E116" s="20">
        <v>42550.679328703707</v>
      </c>
      <c r="F116" s="20">
        <v>42550.680601851855</v>
      </c>
      <c r="G116" s="20">
        <v>1</v>
      </c>
      <c r="H116" s="20" t="s">
        <v>280</v>
      </c>
      <c r="I116" s="20">
        <v>42550.711759259262</v>
      </c>
      <c r="J116" s="34">
        <v>0</v>
      </c>
      <c r="K116" s="34" t="str">
        <f t="shared" si="20"/>
        <v>4007/4008</v>
      </c>
      <c r="L116" s="34" t="str">
        <f>VLOOKUP(A116,'Trips&amp;Operators'!$C$1:$E$10000,3,FALSE)</f>
        <v>YOUNG</v>
      </c>
      <c r="M116" s="6">
        <f t="shared" si="31"/>
        <v>3.1157407407590654E-2</v>
      </c>
      <c r="N116" s="7">
        <f t="shared" si="22"/>
        <v>44.866666666930541</v>
      </c>
      <c r="O116" s="7"/>
      <c r="P116" s="7"/>
      <c r="Q116" s="35"/>
      <c r="R116" s="35"/>
      <c r="S116" s="59">
        <f t="shared" si="23"/>
        <v>1</v>
      </c>
      <c r="T116" s="1" t="str">
        <f t="shared" si="24"/>
        <v>NorthBound</v>
      </c>
      <c r="U116" s="1">
        <f>COUNTIFS(Variables!$M$2:$M$19,IF(T116="NorthBound","&gt;=","&lt;=")&amp;Y116,Variables!$M$2:$M$19,IF(T116="NorthBound","&lt;=","&gt;=")&amp;Z116)</f>
        <v>12</v>
      </c>
      <c r="V116" s="38" t="str">
        <f t="shared" si="25"/>
        <v>https://search-rtdc-monitor-bjffxe2xuh6vdkpspy63sjmuny.us-east-1.es.amazonaws.com/_plugin/kibana/#/discover/Steve-Slow-Train-Analysis-(2080s-and-2083s)?_g=(refreshInterval:(display:Off,section:0,value:0),time:(from:'2016-06-29 16:17:14-0600',mode:absolute,to:'2016-06-29 17:05:56-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4007%22')),sort:!(Time,asc))</v>
      </c>
      <c r="W116" s="38" t="str">
        <f t="shared" si="26"/>
        <v>N</v>
      </c>
      <c r="X116" s="38">
        <f t="shared" si="30"/>
        <v>1</v>
      </c>
      <c r="Y116" s="38">
        <f t="shared" si="27"/>
        <v>0.1171</v>
      </c>
      <c r="Z116" s="38">
        <f t="shared" si="28"/>
        <v>23.328800000000001</v>
      </c>
      <c r="AA116" s="38">
        <f t="shared" si="29"/>
        <v>23.2117</v>
      </c>
      <c r="AB116" s="39" t="e">
        <f>VLOOKUP(A116,Enforcements!$C$7:$J$32,8,0)</f>
        <v>#N/A</v>
      </c>
      <c r="AC116" s="39" t="e">
        <f>VLOOKUP(A116,Enforcements!$C$7:$E$32,3,0)</f>
        <v>#N/A</v>
      </c>
    </row>
    <row r="117" spans="1:29" x14ac:dyDescent="0.25">
      <c r="A117" s="67" t="s">
        <v>355</v>
      </c>
      <c r="B117" s="34">
        <v>4008</v>
      </c>
      <c r="C117" s="34" t="s">
        <v>60</v>
      </c>
      <c r="D117" s="34" t="s">
        <v>155</v>
      </c>
      <c r="E117" s="20">
        <v>42550.716469907406</v>
      </c>
      <c r="F117" s="20">
        <v>42550.717407407406</v>
      </c>
      <c r="G117" s="20">
        <v>1</v>
      </c>
      <c r="H117" s="20" t="s">
        <v>62</v>
      </c>
      <c r="I117" s="20">
        <v>42550.747071759259</v>
      </c>
      <c r="J117" s="34">
        <v>0</v>
      </c>
      <c r="K117" s="34" t="str">
        <f t="shared" si="20"/>
        <v>4007/4008</v>
      </c>
      <c r="L117" s="34" t="str">
        <f>VLOOKUP(A117,'Trips&amp;Operators'!$C$1:$E$10000,3,FALSE)</f>
        <v>YOUNG</v>
      </c>
      <c r="M117" s="6">
        <f t="shared" si="31"/>
        <v>2.9664351852261461E-2</v>
      </c>
      <c r="N117" s="7">
        <f t="shared" si="22"/>
        <v>42.716666667256504</v>
      </c>
      <c r="O117" s="7"/>
      <c r="P117" s="7"/>
      <c r="Q117" s="35"/>
      <c r="R117" s="35"/>
      <c r="S117" s="59">
        <f t="shared" si="23"/>
        <v>1</v>
      </c>
      <c r="T117" s="1" t="str">
        <f t="shared" si="24"/>
        <v>Southbound</v>
      </c>
      <c r="U117" s="1">
        <f>COUNTIFS(Variables!$M$2:$M$19,IF(T117="NorthBound","&gt;=","&lt;=")&amp;Y117,Variables!$M$2:$M$19,IF(T117="NorthBound","&lt;=","&gt;=")&amp;Z117)</f>
        <v>12</v>
      </c>
      <c r="V117" s="38" t="str">
        <f t="shared" si="25"/>
        <v>https://search-rtdc-monitor-bjffxe2xuh6vdkpspy63sjmuny.us-east-1.es.amazonaws.com/_plugin/kibana/#/discover/Steve-Slow-Train-Analysis-(2080s-and-2083s)?_g=(refreshInterval:(display:Off,section:0,value:0),time:(from:'2016-06-29 17:10:43-0600',mode:absolute,to:'2016-06-29 17:56:47-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4008%22')),sort:!(Time,asc))</v>
      </c>
      <c r="W117" s="38" t="str">
        <f t="shared" si="26"/>
        <v>N</v>
      </c>
      <c r="X117" s="38">
        <f t="shared" si="30"/>
        <v>1</v>
      </c>
      <c r="Y117" s="38">
        <f t="shared" si="27"/>
        <v>23.299399999999999</v>
      </c>
      <c r="Z117" s="38">
        <f t="shared" si="28"/>
        <v>1.52E-2</v>
      </c>
      <c r="AA117" s="38">
        <f t="shared" si="29"/>
        <v>23.284199999999998</v>
      </c>
      <c r="AB117" s="39" t="e">
        <f>VLOOKUP(A117,Enforcements!$C$7:$J$32,8,0)</f>
        <v>#N/A</v>
      </c>
      <c r="AC117" s="39" t="e">
        <f>VLOOKUP(A117,Enforcements!$C$7:$E$32,3,0)</f>
        <v>#N/A</v>
      </c>
    </row>
    <row r="118" spans="1:29" x14ac:dyDescent="0.25">
      <c r="A118" s="67" t="s">
        <v>356</v>
      </c>
      <c r="B118" s="34">
        <v>4042</v>
      </c>
      <c r="C118" s="34" t="s">
        <v>60</v>
      </c>
      <c r="D118" s="34" t="s">
        <v>164</v>
      </c>
      <c r="E118" s="20">
        <v>42550.685798611114</v>
      </c>
      <c r="F118" s="20">
        <v>42550.686736111114</v>
      </c>
      <c r="G118" s="20">
        <v>1</v>
      </c>
      <c r="H118" s="20" t="s">
        <v>357</v>
      </c>
      <c r="I118" s="20">
        <v>42550.715497685182</v>
      </c>
      <c r="J118" s="34">
        <v>1</v>
      </c>
      <c r="K118" s="34" t="str">
        <f t="shared" si="20"/>
        <v>4041/4042</v>
      </c>
      <c r="L118" s="34" t="str">
        <f>VLOOKUP(A118,'Trips&amp;Operators'!$C$1:$E$10000,3,FALSE)</f>
        <v>SHOOK</v>
      </c>
      <c r="M118" s="6">
        <f t="shared" si="31"/>
        <v>2.8761574067175388E-2</v>
      </c>
      <c r="N118" s="7">
        <f t="shared" si="22"/>
        <v>41.416666656732559</v>
      </c>
      <c r="O118" s="7"/>
      <c r="P118" s="7"/>
      <c r="Q118" s="35"/>
      <c r="R118" s="35"/>
      <c r="S118" s="59">
        <f t="shared" si="23"/>
        <v>1</v>
      </c>
      <c r="T118" s="1" t="str">
        <f t="shared" si="24"/>
        <v>NorthBound</v>
      </c>
      <c r="U118" s="1">
        <f>COUNTIFS(Variables!$M$2:$M$19,IF(T118="NorthBound","&gt;=","&lt;=")&amp;Y118,Variables!$M$2:$M$19,IF(T118="NorthBound","&lt;=","&gt;=")&amp;Z118)</f>
        <v>12</v>
      </c>
      <c r="V118" s="38" t="str">
        <f t="shared" si="25"/>
        <v>https://search-rtdc-monitor-bjffxe2xuh6vdkpspy63sjmuny.us-east-1.es.amazonaws.com/_plugin/kibana/#/discover/Steve-Slow-Train-Analysis-(2080s-and-2083s)?_g=(refreshInterval:(display:Off,section:0,value:0),time:(from:'2016-06-29 16:26:33-0600',mode:absolute,to:'2016-06-29 17:11: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18" s="38" t="str">
        <f t="shared" si="26"/>
        <v>N</v>
      </c>
      <c r="X118" s="38">
        <f t="shared" si="30"/>
        <v>1</v>
      </c>
      <c r="Y118" s="38">
        <f t="shared" si="27"/>
        <v>4.6600000000000003E-2</v>
      </c>
      <c r="Z118" s="38">
        <f t="shared" si="28"/>
        <v>23.340800000000002</v>
      </c>
      <c r="AA118" s="38">
        <f t="shared" si="29"/>
        <v>23.2942</v>
      </c>
      <c r="AB118" s="39" t="e">
        <f>VLOOKUP(A118,Enforcements!$C$7:$J$32,8,0)</f>
        <v>#N/A</v>
      </c>
      <c r="AC118" s="39" t="e">
        <f>VLOOKUP(A118,Enforcements!$C$7:$E$32,3,0)</f>
        <v>#N/A</v>
      </c>
    </row>
    <row r="119" spans="1:29" s="1" customFormat="1" x14ac:dyDescent="0.25">
      <c r="A119" s="67" t="s">
        <v>358</v>
      </c>
      <c r="B119" s="34">
        <v>4041</v>
      </c>
      <c r="C119" s="34" t="s">
        <v>60</v>
      </c>
      <c r="D119" s="34" t="s">
        <v>359</v>
      </c>
      <c r="E119" s="20">
        <v>42550.724675925929</v>
      </c>
      <c r="F119" s="20">
        <v>42550.725578703707</v>
      </c>
      <c r="G119" s="20">
        <v>1</v>
      </c>
      <c r="H119" s="20" t="s">
        <v>67</v>
      </c>
      <c r="I119" s="20">
        <v>42550.757372685184</v>
      </c>
      <c r="J119" s="34">
        <v>0</v>
      </c>
      <c r="K119" s="34" t="str">
        <f t="shared" si="20"/>
        <v>4041/4042</v>
      </c>
      <c r="L119" s="34" t="str">
        <f>VLOOKUP(A119,'Trips&amp;Operators'!$C$1:$E$10000,3,FALSE)</f>
        <v>SHOOK</v>
      </c>
      <c r="M119" s="6">
        <f t="shared" si="31"/>
        <v>3.1793981477676425E-2</v>
      </c>
      <c r="N119" s="7">
        <f t="shared" si="22"/>
        <v>45.783333327854052</v>
      </c>
      <c r="O119" s="7"/>
      <c r="P119" s="7"/>
      <c r="Q119" s="35"/>
      <c r="R119" s="35"/>
      <c r="S119" s="59">
        <f t="shared" si="23"/>
        <v>1</v>
      </c>
      <c r="T119" s="1" t="str">
        <f t="shared" si="24"/>
        <v>Southbound</v>
      </c>
      <c r="U119" s="1">
        <f>COUNTIFS(Variables!$M$2:$M$19,IF(T119="NorthBound","&gt;=","&lt;=")&amp;Y119,Variables!$M$2:$M$19,IF(T119="NorthBound","&lt;=","&gt;=")&amp;Z119)</f>
        <v>12</v>
      </c>
      <c r="V119" s="38" t="str">
        <f t="shared" si="25"/>
        <v>https://search-rtdc-monitor-bjffxe2xuh6vdkpspy63sjmuny.us-east-1.es.amazonaws.com/_plugin/kibana/#/discover/Steve-Slow-Train-Analysis-(2080s-and-2083s)?_g=(refreshInterval:(display:Off,section:0,value:0),time:(from:'2016-06-29 17:22:32-0600',mode:absolute,to:'2016-06-29 18:11: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19" s="38" t="str">
        <f t="shared" si="26"/>
        <v>N</v>
      </c>
      <c r="X119" s="38">
        <f t="shared" si="30"/>
        <v>1</v>
      </c>
      <c r="Y119" s="38">
        <f t="shared" si="27"/>
        <v>23.308299999999999</v>
      </c>
      <c r="Z119" s="38">
        <f t="shared" si="28"/>
        <v>1.47E-2</v>
      </c>
      <c r="AA119" s="38">
        <f t="shared" si="29"/>
        <v>23.293599999999998</v>
      </c>
      <c r="AB119" s="39" t="e">
        <f>VLOOKUP(A119,Enforcements!$C$7:$J$32,8,0)</f>
        <v>#N/A</v>
      </c>
      <c r="AC119" s="39" t="e">
        <f>VLOOKUP(A119,Enforcements!$C$7:$E$32,3,0)</f>
        <v>#N/A</v>
      </c>
    </row>
    <row r="120" spans="1:29" x14ac:dyDescent="0.25">
      <c r="A120" s="67" t="s">
        <v>360</v>
      </c>
      <c r="B120" s="34">
        <v>4040</v>
      </c>
      <c r="C120" s="34" t="s">
        <v>60</v>
      </c>
      <c r="D120" s="34" t="s">
        <v>361</v>
      </c>
      <c r="E120" s="20">
        <v>42550.692256944443</v>
      </c>
      <c r="F120" s="20">
        <v>42550.693171296298</v>
      </c>
      <c r="G120" s="20">
        <v>1</v>
      </c>
      <c r="H120" s="20" t="s">
        <v>104</v>
      </c>
      <c r="I120" s="20">
        <v>42550.72457175926</v>
      </c>
      <c r="J120" s="34">
        <v>1</v>
      </c>
      <c r="K120" s="34" t="str">
        <f t="shared" si="20"/>
        <v>4039/4040</v>
      </c>
      <c r="L120" s="34" t="str">
        <f>VLOOKUP(A120,'Trips&amp;Operators'!$C$1:$E$10000,3,FALSE)</f>
        <v>BONDS</v>
      </c>
      <c r="M120" s="6">
        <f t="shared" si="31"/>
        <v>3.1400462961755693E-2</v>
      </c>
      <c r="N120" s="7">
        <f t="shared" si="22"/>
        <v>45.216666664928198</v>
      </c>
      <c r="O120" s="7"/>
      <c r="P120" s="7"/>
      <c r="Q120" s="35"/>
      <c r="R120" s="35"/>
      <c r="S120" s="59">
        <f t="shared" si="23"/>
        <v>1</v>
      </c>
      <c r="T120" s="1" t="str">
        <f t="shared" si="24"/>
        <v>NorthBound</v>
      </c>
      <c r="U120" s="1">
        <f>COUNTIFS(Variables!$M$2:$M$19,IF(T120="NorthBound","&gt;=","&lt;=")&amp;Y120,Variables!$M$2:$M$19,IF(T120="NorthBound","&lt;=","&gt;=")&amp;Z120)</f>
        <v>12</v>
      </c>
      <c r="V120" s="38" t="str">
        <f t="shared" si="25"/>
        <v>https://search-rtdc-monitor-bjffxe2xuh6vdkpspy63sjmuny.us-east-1.es.amazonaws.com/_plugin/kibana/#/discover/Steve-Slow-Train-Analysis-(2080s-and-2083s)?_g=(refreshInterval:(display:Off,section:0,value:0),time:(from:'2016-06-29 16:35:51-0600',mode:absolute,to:'2016-06-29 17:24:23-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20" s="38" t="str">
        <f t="shared" si="26"/>
        <v>N</v>
      </c>
      <c r="X120" s="38">
        <f t="shared" si="30"/>
        <v>1</v>
      </c>
      <c r="Y120" s="38">
        <f t="shared" si="27"/>
        <v>0.12470000000000001</v>
      </c>
      <c r="Z120" s="38">
        <f t="shared" si="28"/>
        <v>23.3307</v>
      </c>
      <c r="AA120" s="38">
        <f t="shared" si="29"/>
        <v>23.206</v>
      </c>
      <c r="AB120" s="39">
        <f>VLOOKUP(A120,Enforcements!$C$7:$J$32,8,0)</f>
        <v>63068</v>
      </c>
      <c r="AC120" s="39" t="str">
        <f>VLOOKUP(A120,Enforcements!$C$7:$E$32,3,0)</f>
        <v>GRADE CROSSING</v>
      </c>
    </row>
    <row r="121" spans="1:29" x14ac:dyDescent="0.25">
      <c r="A121" s="67" t="s">
        <v>362</v>
      </c>
      <c r="B121" s="34">
        <v>4039</v>
      </c>
      <c r="C121" s="34" t="s">
        <v>60</v>
      </c>
      <c r="D121" s="34" t="s">
        <v>363</v>
      </c>
      <c r="E121" s="20">
        <v>42550.732511574075</v>
      </c>
      <c r="F121" s="20">
        <v>42550.733263888891</v>
      </c>
      <c r="G121" s="20">
        <v>1</v>
      </c>
      <c r="H121" s="20" t="s">
        <v>363</v>
      </c>
      <c r="I121" s="20">
        <v>42550.734942129631</v>
      </c>
      <c r="J121" s="34">
        <v>0</v>
      </c>
      <c r="K121" s="34" t="str">
        <f t="shared" si="20"/>
        <v>4039/4040</v>
      </c>
      <c r="L121" s="34" t="str">
        <f>VLOOKUP(A121,'Trips&amp;Operators'!$C$1:$E$10000,3,FALSE)</f>
        <v>BONDS</v>
      </c>
      <c r="M121" s="6">
        <f t="shared" si="31"/>
        <v>1.6782407401478849E-3</v>
      </c>
      <c r="N121" s="7"/>
      <c r="O121" s="7"/>
      <c r="P121" s="7">
        <f t="shared" si="22"/>
        <v>2.4166666658129543</v>
      </c>
      <c r="Q121" s="35"/>
      <c r="R121" s="35" t="s">
        <v>221</v>
      </c>
      <c r="S121" s="59">
        <f t="shared" si="23"/>
        <v>0</v>
      </c>
      <c r="T121" s="1" t="str">
        <f t="shared" si="24"/>
        <v>Southbound</v>
      </c>
      <c r="U121" s="1">
        <f>COUNTIFS(Variables!$M$2:$M$19,IF(T121="NorthBound","&gt;=","&lt;=")&amp;Y121,Variables!$M$2:$M$19,IF(T121="NorthBound","&lt;=","&gt;=")&amp;Z121)</f>
        <v>0</v>
      </c>
      <c r="V121" s="38" t="str">
        <f t="shared" si="25"/>
        <v>https://search-rtdc-monitor-bjffxe2xuh6vdkpspy63sjmuny.us-east-1.es.amazonaws.com/_plugin/kibana/#/discover/Steve-Slow-Train-Analysis-(2080s-and-2083s)?_g=(refreshInterval:(display:Off,section:0,value:0),time:(from:'2016-06-29 17:33:49-0600',mode:absolute,to:'2016-06-29 17:39: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21" s="38" t="str">
        <f t="shared" si="26"/>
        <v>Y</v>
      </c>
      <c r="X121" s="38">
        <f t="shared" si="30"/>
        <v>1</v>
      </c>
      <c r="Y121" s="38">
        <f t="shared" si="27"/>
        <v>23.3</v>
      </c>
      <c r="Z121" s="38">
        <f t="shared" si="28"/>
        <v>23.3</v>
      </c>
      <c r="AA121" s="38">
        <f t="shared" si="29"/>
        <v>0</v>
      </c>
      <c r="AB121" s="39" t="e">
        <f>VLOOKUP(A121,Enforcements!$C$7:$J$32,8,0)</f>
        <v>#N/A</v>
      </c>
      <c r="AC121" s="39" t="e">
        <f>VLOOKUP(A121,Enforcements!$C$7:$E$32,3,0)</f>
        <v>#N/A</v>
      </c>
    </row>
    <row r="122" spans="1:29" x14ac:dyDescent="0.25">
      <c r="A122" s="67" t="s">
        <v>364</v>
      </c>
      <c r="B122" s="34">
        <v>4014</v>
      </c>
      <c r="C122" s="34" t="s">
        <v>60</v>
      </c>
      <c r="D122" s="34" t="s">
        <v>85</v>
      </c>
      <c r="E122" s="20">
        <v>42550.704571759263</v>
      </c>
      <c r="F122" s="20">
        <v>42550.70590277778</v>
      </c>
      <c r="G122" s="20">
        <v>1</v>
      </c>
      <c r="H122" s="20" t="s">
        <v>365</v>
      </c>
      <c r="I122" s="20">
        <v>42550.735868055555</v>
      </c>
      <c r="J122" s="34">
        <v>0</v>
      </c>
      <c r="K122" s="34" t="str">
        <f t="shared" si="20"/>
        <v>4013/4014</v>
      </c>
      <c r="L122" s="34" t="str">
        <f>VLOOKUP(A122,'Trips&amp;Operators'!$C$1:$E$10000,3,FALSE)</f>
        <v>REBOLETTI</v>
      </c>
      <c r="M122" s="6">
        <f t="shared" si="31"/>
        <v>2.9965277775772847E-2</v>
      </c>
      <c r="N122" s="7">
        <f t="shared" si="22"/>
        <v>43.1499999971129</v>
      </c>
      <c r="O122" s="7"/>
      <c r="P122" s="7"/>
      <c r="Q122" s="35"/>
      <c r="R122" s="35"/>
      <c r="S122" s="59">
        <f t="shared" si="23"/>
        <v>1</v>
      </c>
      <c r="T122" s="1" t="str">
        <f t="shared" si="24"/>
        <v>NorthBound</v>
      </c>
      <c r="U122" s="1">
        <f>COUNTIFS(Variables!$M$2:$M$19,IF(T122="NorthBound","&gt;=","&lt;=")&amp;Y122,Variables!$M$2:$M$19,IF(T122="NorthBound","&lt;=","&gt;=")&amp;Z122)</f>
        <v>12</v>
      </c>
      <c r="V122" s="38" t="str">
        <f t="shared" si="25"/>
        <v>https://search-rtdc-monitor-bjffxe2xuh6vdkpspy63sjmuny.us-east-1.es.amazonaws.com/_plugin/kibana/#/discover/Steve-Slow-Train-Analysis-(2080s-and-2083s)?_g=(refreshInterval:(display:Off,section:0,value:0),time:(from:'2016-06-29 16:53:35-0600',mode:absolute,to:'2016-06-29 17:40:39-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4014%22')),sort:!(Time,asc))</v>
      </c>
      <c r="W122" s="38" t="str">
        <f t="shared" si="26"/>
        <v>N</v>
      </c>
      <c r="X122" s="38">
        <f t="shared" si="30"/>
        <v>1</v>
      </c>
      <c r="Y122" s="38">
        <f t="shared" si="27"/>
        <v>4.6399999999999997E-2</v>
      </c>
      <c r="Z122" s="38">
        <f t="shared" si="28"/>
        <v>23.331</v>
      </c>
      <c r="AA122" s="38">
        <f t="shared" si="29"/>
        <v>23.284600000000001</v>
      </c>
      <c r="AB122" s="39" t="e">
        <f>VLOOKUP(A122,Enforcements!$C$7:$J$32,8,0)</f>
        <v>#N/A</v>
      </c>
      <c r="AC122" s="39" t="e">
        <f>VLOOKUP(A122,Enforcements!$C$7:$E$32,3,0)</f>
        <v>#N/A</v>
      </c>
    </row>
    <row r="123" spans="1:29" x14ac:dyDescent="0.25">
      <c r="A123" s="67" t="s">
        <v>366</v>
      </c>
      <c r="B123" s="34">
        <v>4013</v>
      </c>
      <c r="C123" s="34" t="s">
        <v>60</v>
      </c>
      <c r="D123" s="34" t="s">
        <v>204</v>
      </c>
      <c r="E123" s="20">
        <v>42550.743981481479</v>
      </c>
      <c r="F123" s="20">
        <v>42550.74491898148</v>
      </c>
      <c r="G123" s="20">
        <v>1</v>
      </c>
      <c r="H123" s="20" t="s">
        <v>208</v>
      </c>
      <c r="I123" s="20">
        <v>42550.77447916667</v>
      </c>
      <c r="J123" s="34">
        <v>0</v>
      </c>
      <c r="K123" s="34" t="str">
        <f t="shared" si="20"/>
        <v>4013/4014</v>
      </c>
      <c r="L123" s="34" t="str">
        <f>VLOOKUP(A123,'Trips&amp;Operators'!$C$1:$E$10000,3,FALSE)</f>
        <v>REBOLETTI</v>
      </c>
      <c r="M123" s="6">
        <f t="shared" si="31"/>
        <v>2.956018519034842E-2</v>
      </c>
      <c r="N123" s="7">
        <f t="shared" si="22"/>
        <v>42.566666674101725</v>
      </c>
      <c r="O123" s="7"/>
      <c r="P123" s="7"/>
      <c r="Q123" s="35"/>
      <c r="R123" s="35"/>
      <c r="S123" s="59">
        <f t="shared" si="23"/>
        <v>1</v>
      </c>
      <c r="T123" s="1" t="str">
        <f t="shared" si="24"/>
        <v>Southbound</v>
      </c>
      <c r="U123" s="1">
        <f>COUNTIFS(Variables!$M$2:$M$19,IF(T123="NorthBound","&gt;=","&lt;=")&amp;Y123,Variables!$M$2:$M$19,IF(T123="NorthBound","&lt;=","&gt;=")&amp;Z123)</f>
        <v>12</v>
      </c>
      <c r="V123" s="38" t="str">
        <f t="shared" si="25"/>
        <v>https://search-rtdc-monitor-bjffxe2xuh6vdkpspy63sjmuny.us-east-1.es.amazonaws.com/_plugin/kibana/#/discover/Steve-Slow-Train-Analysis-(2080s-and-2083s)?_g=(refreshInterval:(display:Off,section:0,value:0),time:(from:'2016-06-29 17:50:20-0600',mode:absolute,to:'2016-06-29 18:36:15-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4013%22')),sort:!(Time,asc))</v>
      </c>
      <c r="W123" s="38" t="str">
        <f t="shared" si="26"/>
        <v>N</v>
      </c>
      <c r="X123" s="38">
        <f t="shared" si="30"/>
        <v>1</v>
      </c>
      <c r="Y123" s="38">
        <f t="shared" si="27"/>
        <v>23.2989</v>
      </c>
      <c r="Z123" s="38">
        <f t="shared" si="28"/>
        <v>1.34E-2</v>
      </c>
      <c r="AA123" s="38">
        <f t="shared" si="29"/>
        <v>23.285499999999999</v>
      </c>
      <c r="AB123" s="39" t="e">
        <f>VLOOKUP(A123,Enforcements!$C$7:$J$32,8,0)</f>
        <v>#N/A</v>
      </c>
      <c r="AC123" s="39" t="e">
        <f>VLOOKUP(A123,Enforcements!$C$7:$E$32,3,0)</f>
        <v>#N/A</v>
      </c>
    </row>
    <row r="124" spans="1:29" x14ac:dyDescent="0.25">
      <c r="A124" s="67" t="s">
        <v>367</v>
      </c>
      <c r="B124" s="34">
        <v>4011</v>
      </c>
      <c r="C124" s="34" t="s">
        <v>60</v>
      </c>
      <c r="D124" s="34" t="s">
        <v>368</v>
      </c>
      <c r="E124" s="20">
        <v>42550.718842592592</v>
      </c>
      <c r="F124" s="20">
        <v>42550.720335648148</v>
      </c>
      <c r="G124" s="20">
        <v>2</v>
      </c>
      <c r="H124" s="20" t="s">
        <v>368</v>
      </c>
      <c r="I124" s="20">
        <v>42550.720335648148</v>
      </c>
      <c r="J124" s="34">
        <v>0</v>
      </c>
      <c r="K124" s="34" t="str">
        <f t="shared" si="20"/>
        <v>4011/4012</v>
      </c>
      <c r="L124" s="34" t="str">
        <f>VLOOKUP(A124,'Trips&amp;Operators'!$C$1:$E$10000,3,FALSE)</f>
        <v>BARTLETT</v>
      </c>
      <c r="M124" s="6">
        <f t="shared" si="31"/>
        <v>0</v>
      </c>
      <c r="N124" s="7"/>
      <c r="O124" s="7"/>
      <c r="P124" s="7">
        <f>24*60*SUM($M124:$M125)</f>
        <v>36.249999997671694</v>
      </c>
      <c r="Q124" s="35"/>
      <c r="R124" s="35" t="s">
        <v>221</v>
      </c>
      <c r="S124" s="59">
        <f>SUM(U124:U125)/12</f>
        <v>1</v>
      </c>
      <c r="T124" s="1" t="str">
        <f t="shared" si="24"/>
        <v>NorthBound</v>
      </c>
      <c r="U124" s="1">
        <f>COUNTIFS(Variables!$M$2:$M$19,IF(T124="NorthBound","&gt;=","&lt;=")&amp;Y124,Variables!$M$2:$M$19,IF(T124="NorthBound","&lt;=","&gt;=")&amp;Z124)</f>
        <v>0</v>
      </c>
      <c r="V124" s="38" t="str">
        <f t="shared" si="25"/>
        <v>https://search-rtdc-monitor-bjffxe2xuh6vdkpspy63sjmuny.us-east-1.es.amazonaws.com/_plugin/kibana/#/discover/Steve-Slow-Train-Analysis-(2080s-and-2083s)?_g=(refreshInterval:(display:Off,section:0,value:0),time:(from:'2016-06-29 17:14:08-0600',mode:absolute,to:'2016-06-29 17:18:17-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124" s="38" t="str">
        <f t="shared" si="26"/>
        <v>Y</v>
      </c>
      <c r="X124" s="38">
        <f t="shared" si="30"/>
        <v>1</v>
      </c>
      <c r="Y124" s="38">
        <f t="shared" si="27"/>
        <v>0.1328</v>
      </c>
      <c r="Z124" s="38">
        <f t="shared" si="28"/>
        <v>0.1328</v>
      </c>
      <c r="AA124" s="38">
        <f t="shared" si="29"/>
        <v>0</v>
      </c>
      <c r="AB124" s="39" t="e">
        <f>VLOOKUP(A124,Enforcements!$C$7:$J$32,8,0)</f>
        <v>#N/A</v>
      </c>
      <c r="AC124" s="39" t="e">
        <f>VLOOKUP(A124,Enforcements!$C$7:$E$32,3,0)</f>
        <v>#N/A</v>
      </c>
    </row>
    <row r="125" spans="1:29" x14ac:dyDescent="0.25">
      <c r="A125" s="67" t="s">
        <v>367</v>
      </c>
      <c r="B125" s="34">
        <v>4011</v>
      </c>
      <c r="C125" s="34" t="s">
        <v>60</v>
      </c>
      <c r="D125" s="34" t="s">
        <v>369</v>
      </c>
      <c r="E125" s="20">
        <v>42550.724930555552</v>
      </c>
      <c r="F125" s="20">
        <v>42550.726157407407</v>
      </c>
      <c r="G125" s="20">
        <v>1</v>
      </c>
      <c r="H125" s="20" t="s">
        <v>99</v>
      </c>
      <c r="I125" s="20">
        <v>42550.751331018517</v>
      </c>
      <c r="J125" s="34">
        <v>0</v>
      </c>
      <c r="K125" s="34" t="str">
        <f t="shared" si="20"/>
        <v>4011/4012</v>
      </c>
      <c r="L125" s="34" t="str">
        <f>VLOOKUP(A125,'Trips&amp;Operators'!$C$1:$E$10000,3,FALSE)</f>
        <v>BARTLETT</v>
      </c>
      <c r="M125" s="6">
        <f t="shared" si="31"/>
        <v>2.5173611109494232E-2</v>
      </c>
      <c r="N125" s="7"/>
      <c r="O125" s="7"/>
      <c r="P125" s="7"/>
      <c r="Q125" s="35"/>
      <c r="R125" s="35"/>
      <c r="S125" s="59"/>
      <c r="T125" s="1" t="str">
        <f t="shared" si="24"/>
        <v>NorthBound</v>
      </c>
      <c r="U125" s="1">
        <f>COUNTIFS(Variables!$M$2:$M$19,IF(T125="NorthBound","&gt;=","&lt;=")&amp;Y125,Variables!$M$2:$M$19,IF(T125="NorthBound","&lt;=","&gt;=")&amp;Z125)</f>
        <v>12</v>
      </c>
      <c r="V125" s="38" t="str">
        <f t="shared" si="25"/>
        <v>https://search-rtdc-monitor-bjffxe2xuh6vdkpspy63sjmuny.us-east-1.es.amazonaws.com/_plugin/kibana/#/discover/Steve-Slow-Train-Analysis-(2080s-and-2083s)?_g=(refreshInterval:(display:Off,section:0,value:0),time:(from:'2016-06-29 17:22:54-0600',mode:absolute,to:'2016-06-29 18:02:55-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125" s="38" t="str">
        <f t="shared" si="26"/>
        <v>Y</v>
      </c>
      <c r="X125" s="38">
        <f t="shared" si="30"/>
        <v>0</v>
      </c>
      <c r="Y125" s="38">
        <f t="shared" si="27"/>
        <v>1.9213</v>
      </c>
      <c r="Z125" s="38">
        <f t="shared" si="28"/>
        <v>23.3291</v>
      </c>
      <c r="AA125" s="38">
        <f t="shared" si="29"/>
        <v>21.407800000000002</v>
      </c>
      <c r="AB125" s="39" t="e">
        <f>VLOOKUP(A125,Enforcements!$C$7:$J$32,8,0)</f>
        <v>#N/A</v>
      </c>
      <c r="AC125" s="39" t="e">
        <f>VLOOKUP(A125,Enforcements!$C$7:$E$32,3,0)</f>
        <v>#N/A</v>
      </c>
    </row>
    <row r="126" spans="1:29" x14ac:dyDescent="0.25">
      <c r="A126" s="67" t="s">
        <v>370</v>
      </c>
      <c r="B126" s="34">
        <v>4012</v>
      </c>
      <c r="C126" s="34" t="s">
        <v>60</v>
      </c>
      <c r="D126" s="34" t="s">
        <v>371</v>
      </c>
      <c r="E126" s="20">
        <v>42550.755486111113</v>
      </c>
      <c r="F126" s="20">
        <v>42550.756689814814</v>
      </c>
      <c r="G126" s="20">
        <v>1</v>
      </c>
      <c r="H126" s="20" t="s">
        <v>197</v>
      </c>
      <c r="I126" s="20">
        <v>42550.789039351854</v>
      </c>
      <c r="J126" s="34">
        <v>2</v>
      </c>
      <c r="K126" s="34" t="str">
        <f t="shared" si="20"/>
        <v>4011/4012</v>
      </c>
      <c r="L126" s="34" t="str">
        <f>VLOOKUP(A126,'Trips&amp;Operators'!$C$1:$E$10000,3,FALSE)</f>
        <v>BARTLETT</v>
      </c>
      <c r="M126" s="6">
        <f t="shared" si="31"/>
        <v>3.234953703940846E-2</v>
      </c>
      <c r="N126" s="7">
        <f t="shared" si="22"/>
        <v>46.583333336748183</v>
      </c>
      <c r="O126" s="7"/>
      <c r="P126" s="7"/>
      <c r="Q126" s="35"/>
      <c r="R126" s="35"/>
      <c r="S126" s="59">
        <f t="shared" si="23"/>
        <v>1</v>
      </c>
      <c r="T126" s="1" t="str">
        <f t="shared" si="24"/>
        <v>Southbound</v>
      </c>
      <c r="U126" s="1">
        <f>COUNTIFS(Variables!$M$2:$M$19,IF(T126="NorthBound","&gt;=","&lt;=")&amp;Y126,Variables!$M$2:$M$19,IF(T126="NorthBound","&lt;=","&gt;=")&amp;Z126)</f>
        <v>12</v>
      </c>
      <c r="V126" s="38" t="str">
        <f t="shared" si="25"/>
        <v>https://search-rtdc-monitor-bjffxe2xuh6vdkpspy63sjmuny.us-east-1.es.amazonaws.com/_plugin/kibana/#/discover/Steve-Slow-Train-Analysis-(2080s-and-2083s)?_g=(refreshInterval:(display:Off,section:0,value:0),time:(from:'2016-06-29 18:06:54-0600',mode:absolute,to:'2016-06-29 18:57: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126" s="38" t="str">
        <f t="shared" si="26"/>
        <v>N</v>
      </c>
      <c r="X126" s="38">
        <f t="shared" si="30"/>
        <v>1</v>
      </c>
      <c r="Y126" s="38">
        <f t="shared" si="27"/>
        <v>23.297799999999999</v>
      </c>
      <c r="Z126" s="38">
        <f t="shared" si="28"/>
        <v>1.78E-2</v>
      </c>
      <c r="AA126" s="38">
        <f t="shared" si="29"/>
        <v>23.279999999999998</v>
      </c>
      <c r="AB126" s="39" t="e">
        <f>VLOOKUP(A126,Enforcements!$C$7:$J$32,8,0)</f>
        <v>#N/A</v>
      </c>
      <c r="AC126" s="39" t="e">
        <f>VLOOKUP(A126,Enforcements!$C$7:$E$32,3,0)</f>
        <v>#N/A</v>
      </c>
    </row>
    <row r="127" spans="1:29" x14ac:dyDescent="0.25">
      <c r="A127" s="67" t="s">
        <v>372</v>
      </c>
      <c r="B127" s="34">
        <v>4044</v>
      </c>
      <c r="C127" s="34" t="s">
        <v>60</v>
      </c>
      <c r="D127" s="34" t="s">
        <v>179</v>
      </c>
      <c r="E127" s="20">
        <v>42550.727222222224</v>
      </c>
      <c r="F127" s="20">
        <v>42550.728495370371</v>
      </c>
      <c r="G127" s="20">
        <v>1</v>
      </c>
      <c r="H127" s="20" t="s">
        <v>373</v>
      </c>
      <c r="I127" s="20">
        <v>42550.755902777775</v>
      </c>
      <c r="J127" s="34">
        <v>1</v>
      </c>
      <c r="K127" s="34" t="str">
        <f t="shared" si="20"/>
        <v>4043/4044</v>
      </c>
      <c r="L127" s="34" t="str">
        <f>VLOOKUP(A127,'Trips&amp;Operators'!$C$1:$E$10000,3,FALSE)</f>
        <v>STEWART</v>
      </c>
      <c r="M127" s="6">
        <f t="shared" si="31"/>
        <v>2.7407407404098194E-2</v>
      </c>
      <c r="N127" s="7">
        <f t="shared" si="22"/>
        <v>39.466666661901399</v>
      </c>
      <c r="O127" s="7"/>
      <c r="P127" s="7"/>
      <c r="Q127" s="35"/>
      <c r="R127" s="35"/>
      <c r="S127" s="59">
        <f t="shared" si="23"/>
        <v>1</v>
      </c>
      <c r="T127" s="1" t="str">
        <f t="shared" si="24"/>
        <v>NorthBound</v>
      </c>
      <c r="U127" s="1">
        <f>COUNTIFS(Variables!$M$2:$M$19,IF(T127="NorthBound","&gt;=","&lt;=")&amp;Y127,Variables!$M$2:$M$19,IF(T127="NorthBound","&lt;=","&gt;=")&amp;Z127)</f>
        <v>12</v>
      </c>
      <c r="V127" s="38" t="str">
        <f t="shared" si="25"/>
        <v>https://search-rtdc-monitor-bjffxe2xuh6vdkpspy63sjmuny.us-east-1.es.amazonaws.com/_plugin/kibana/#/discover/Steve-Slow-Train-Analysis-(2080s-and-2083s)?_g=(refreshInterval:(display:Off,section:0,value:0),time:(from:'2016-06-29 17:26:12-0600',mode:absolute,to:'2016-06-29 18:09:30-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127" s="38" t="str">
        <f t="shared" si="26"/>
        <v>N</v>
      </c>
      <c r="X127" s="38">
        <f t="shared" si="30"/>
        <v>1</v>
      </c>
      <c r="Y127" s="38">
        <f t="shared" si="27"/>
        <v>4.4900000000000002E-2</v>
      </c>
      <c r="Z127" s="38">
        <f t="shared" si="28"/>
        <v>23.319299999999998</v>
      </c>
      <c r="AA127" s="38">
        <f t="shared" si="29"/>
        <v>23.2744</v>
      </c>
      <c r="AB127" s="39" t="e">
        <f>VLOOKUP(A127,Enforcements!$C$7:$J$32,8,0)</f>
        <v>#N/A</v>
      </c>
      <c r="AC127" s="39" t="e">
        <f>VLOOKUP(A127,Enforcements!$C$7:$E$32,3,0)</f>
        <v>#N/A</v>
      </c>
    </row>
    <row r="128" spans="1:29" x14ac:dyDescent="0.25">
      <c r="A128" s="67" t="s">
        <v>374</v>
      </c>
      <c r="B128" s="34">
        <v>4043</v>
      </c>
      <c r="C128" s="34" t="s">
        <v>60</v>
      </c>
      <c r="D128" s="34" t="s">
        <v>375</v>
      </c>
      <c r="E128" s="20">
        <v>42550.767638888887</v>
      </c>
      <c r="F128" s="20">
        <v>42550.768564814818</v>
      </c>
      <c r="G128" s="20">
        <v>1</v>
      </c>
      <c r="H128" s="20" t="s">
        <v>202</v>
      </c>
      <c r="I128" s="20">
        <v>42550.795717592591</v>
      </c>
      <c r="J128" s="34">
        <v>0</v>
      </c>
      <c r="K128" s="34" t="str">
        <f t="shared" si="20"/>
        <v>4043/4044</v>
      </c>
      <c r="L128" s="34" t="str">
        <f>VLOOKUP(A128,'Trips&amp;Operators'!$C$1:$E$10000,3,FALSE)</f>
        <v>STEWART</v>
      </c>
      <c r="M128" s="6">
        <f t="shared" si="31"/>
        <v>2.7152777773153502E-2</v>
      </c>
      <c r="N128" s="7">
        <f t="shared" si="22"/>
        <v>39.099999993341044</v>
      </c>
      <c r="O128" s="7"/>
      <c r="P128" s="7"/>
      <c r="Q128" s="35"/>
      <c r="R128" s="35"/>
      <c r="S128" s="59">
        <f t="shared" si="23"/>
        <v>1</v>
      </c>
      <c r="T128" s="1" t="str">
        <f t="shared" si="24"/>
        <v>Southbound</v>
      </c>
      <c r="U128" s="1">
        <f>COUNTIFS(Variables!$M$2:$M$19,IF(T128="NorthBound","&gt;=","&lt;=")&amp;Y128,Variables!$M$2:$M$19,IF(T128="NorthBound","&lt;=","&gt;=")&amp;Z128)</f>
        <v>12</v>
      </c>
      <c r="V128" s="38" t="str">
        <f t="shared" si="25"/>
        <v>https://search-rtdc-monitor-bjffxe2xuh6vdkpspy63sjmuny.us-east-1.es.amazonaws.com/_plugin/kibana/#/discover/Steve-Slow-Train-Analysis-(2080s-and-2083s)?_g=(refreshInterval:(display:Off,section:0,value:0),time:(from:'2016-06-29 18:24:24-0600',mode:absolute,to:'2016-06-29 19:06: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128" s="38" t="str">
        <f t="shared" si="26"/>
        <v>N</v>
      </c>
      <c r="X128" s="38">
        <f t="shared" si="30"/>
        <v>1</v>
      </c>
      <c r="Y128" s="38">
        <f t="shared" si="27"/>
        <v>23.287700000000001</v>
      </c>
      <c r="Z128" s="38">
        <f t="shared" si="28"/>
        <v>1.5599999999999999E-2</v>
      </c>
      <c r="AA128" s="38">
        <f t="shared" si="29"/>
        <v>23.272100000000002</v>
      </c>
      <c r="AB128" s="39" t="e">
        <f>VLOOKUP(A128,Enforcements!$C$7:$J$32,8,0)</f>
        <v>#N/A</v>
      </c>
      <c r="AC128" s="39" t="e">
        <f>VLOOKUP(A128,Enforcements!$C$7:$E$32,3,0)</f>
        <v>#N/A</v>
      </c>
    </row>
    <row r="129" spans="1:29" x14ac:dyDescent="0.25">
      <c r="A129" s="34" t="s">
        <v>376</v>
      </c>
      <c r="B129" s="34">
        <v>4024</v>
      </c>
      <c r="C129" s="34" t="s">
        <v>60</v>
      </c>
      <c r="D129" s="34" t="s">
        <v>136</v>
      </c>
      <c r="E129" s="20">
        <v>42550.736805555556</v>
      </c>
      <c r="F129" s="20">
        <v>42550.738020833334</v>
      </c>
      <c r="G129" s="20">
        <v>1</v>
      </c>
      <c r="H129" s="20" t="s">
        <v>280</v>
      </c>
      <c r="I129" s="20">
        <v>42550.766782407409</v>
      </c>
      <c r="J129" s="34">
        <v>0</v>
      </c>
      <c r="K129" s="34" t="str">
        <f t="shared" si="20"/>
        <v>4023/4024</v>
      </c>
      <c r="L129" s="34" t="str">
        <f>VLOOKUP(A129,'Trips&amp;Operators'!$C$1:$E$10000,3,FALSE)</f>
        <v>MOSES</v>
      </c>
      <c r="M129" s="6">
        <f t="shared" si="31"/>
        <v>2.8761574074451346E-2</v>
      </c>
      <c r="N129" s="7">
        <f t="shared" si="22"/>
        <v>41.416666667209938</v>
      </c>
      <c r="O129" s="7"/>
      <c r="P129" s="7"/>
      <c r="Q129" s="35"/>
      <c r="R129" s="35"/>
      <c r="S129" s="59">
        <f t="shared" si="23"/>
        <v>1</v>
      </c>
      <c r="T129" s="1" t="str">
        <f t="shared" si="24"/>
        <v>NorthBound</v>
      </c>
      <c r="U129" s="1">
        <f>COUNTIFS(Variables!$M$2:$M$19,IF(T129="NorthBound","&gt;=","&lt;=")&amp;Y129,Variables!$M$2:$M$19,IF(T129="NorthBound","&lt;=","&gt;=")&amp;Z129)</f>
        <v>12</v>
      </c>
      <c r="V129" s="38" t="str">
        <f t="shared" si="25"/>
        <v>https://search-rtdc-monitor-bjffxe2xuh6vdkpspy63sjmuny.us-east-1.es.amazonaws.com/_plugin/kibana/#/discover/Steve-Slow-Train-Analysis-(2080s-and-2083s)?_g=(refreshInterval:(display:Off,section:0,value:0),time:(from:'2016-06-29 17:40:00-0600',mode:absolute,to:'2016-06-29 18:25:10-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W129" s="38" t="str">
        <f t="shared" si="26"/>
        <v>N</v>
      </c>
      <c r="X129" s="38">
        <f t="shared" si="30"/>
        <v>1</v>
      </c>
      <c r="Y129" s="38">
        <f t="shared" si="27"/>
        <v>4.7500000000000001E-2</v>
      </c>
      <c r="Z129" s="38">
        <f t="shared" si="28"/>
        <v>23.328800000000001</v>
      </c>
      <c r="AA129" s="38">
        <f t="shared" si="29"/>
        <v>23.281300000000002</v>
      </c>
      <c r="AB129" s="39" t="e">
        <f>VLOOKUP(A129,Enforcements!$C$7:$J$32,8,0)</f>
        <v>#N/A</v>
      </c>
      <c r="AC129" s="39" t="e">
        <f>VLOOKUP(A129,Enforcements!$C$7:$E$32,3,0)</f>
        <v>#N/A</v>
      </c>
    </row>
    <row r="130" spans="1:29" x14ac:dyDescent="0.25">
      <c r="A130" s="34" t="s">
        <v>377</v>
      </c>
      <c r="B130" s="34">
        <v>4007</v>
      </c>
      <c r="C130" s="34" t="s">
        <v>60</v>
      </c>
      <c r="D130" s="34" t="s">
        <v>303</v>
      </c>
      <c r="E130" s="20">
        <v>42550.748645833337</v>
      </c>
      <c r="F130" s="20">
        <v>42550.750405092593</v>
      </c>
      <c r="G130" s="20">
        <v>2</v>
      </c>
      <c r="H130" s="20" t="s">
        <v>152</v>
      </c>
      <c r="I130" s="20">
        <v>42550.784583333334</v>
      </c>
      <c r="J130" s="34">
        <v>0</v>
      </c>
      <c r="K130" s="34" t="str">
        <f t="shared" si="20"/>
        <v>4007/4008</v>
      </c>
      <c r="L130" s="34" t="str">
        <f>VLOOKUP(A130,'Trips&amp;Operators'!$C$1:$E$10000,3,FALSE)</f>
        <v>YOUNG</v>
      </c>
      <c r="M130" s="6">
        <f t="shared" si="31"/>
        <v>3.4178240741312038E-2</v>
      </c>
      <c r="N130" s="7">
        <f t="shared" si="22"/>
        <v>49.216666667489335</v>
      </c>
      <c r="O130" s="7"/>
      <c r="P130" s="7"/>
      <c r="Q130" s="35"/>
      <c r="R130" s="35"/>
      <c r="S130" s="59">
        <f t="shared" si="23"/>
        <v>1</v>
      </c>
      <c r="T130" s="1" t="str">
        <f t="shared" si="24"/>
        <v>NorthBound</v>
      </c>
      <c r="U130" s="1">
        <f>COUNTIFS(Variables!$M$2:$M$19,IF(T130="NorthBound","&gt;=","&lt;=")&amp;Y130,Variables!$M$2:$M$19,IF(T130="NorthBound","&lt;=","&gt;=")&amp;Z130)</f>
        <v>12</v>
      </c>
      <c r="V130" s="38" t="str">
        <f t="shared" si="25"/>
        <v>https://search-rtdc-monitor-bjffxe2xuh6vdkpspy63sjmuny.us-east-1.es.amazonaws.com/_plugin/kibana/#/discover/Steve-Slow-Train-Analysis-(2080s-and-2083s)?_g=(refreshInterval:(display:Off,section:0,value:0),time:(from:'2016-06-29 17:57:03-0600',mode:absolute,to:'2016-06-29 18:50:48-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4007%22')),sort:!(Time,asc))</v>
      </c>
      <c r="W130" s="38" t="str">
        <f t="shared" si="26"/>
        <v>N</v>
      </c>
      <c r="X130" s="38">
        <f t="shared" si="30"/>
        <v>2</v>
      </c>
      <c r="Y130" s="38">
        <f t="shared" si="27"/>
        <v>4.6899999999999997E-2</v>
      </c>
      <c r="Z130" s="38">
        <f t="shared" si="28"/>
        <v>23.331199999999999</v>
      </c>
      <c r="AA130" s="38">
        <f t="shared" si="29"/>
        <v>23.284299999999998</v>
      </c>
      <c r="AB130" s="39" t="e">
        <f>VLOOKUP(A130,Enforcements!$C$7:$J$32,8,0)</f>
        <v>#N/A</v>
      </c>
      <c r="AC130" s="39" t="e">
        <f>VLOOKUP(A130,Enforcements!$C$7:$E$32,3,0)</f>
        <v>#N/A</v>
      </c>
    </row>
    <row r="131" spans="1:29" x14ac:dyDescent="0.25">
      <c r="A131" s="34" t="s">
        <v>378</v>
      </c>
      <c r="B131" s="34">
        <v>4008</v>
      </c>
      <c r="C131" s="34" t="s">
        <v>60</v>
      </c>
      <c r="D131" s="34" t="s">
        <v>379</v>
      </c>
      <c r="E131" s="20">
        <v>42550.786863425928</v>
      </c>
      <c r="F131" s="20">
        <v>42550.787777777776</v>
      </c>
      <c r="G131" s="20">
        <v>1</v>
      </c>
      <c r="H131" s="20" t="s">
        <v>184</v>
      </c>
      <c r="I131" s="20">
        <v>42550.822280092594</v>
      </c>
      <c r="J131" s="34">
        <v>0</v>
      </c>
      <c r="K131" s="34" t="str">
        <f t="shared" si="20"/>
        <v>4007/4008</v>
      </c>
      <c r="L131" s="34" t="str">
        <f>VLOOKUP(A131,'Trips&amp;Operators'!$C$1:$E$10000,3,FALSE)</f>
        <v>YOUNG</v>
      </c>
      <c r="M131" s="6">
        <f t="shared" si="31"/>
        <v>3.4502314818382729E-2</v>
      </c>
      <c r="N131" s="7">
        <f t="shared" si="22"/>
        <v>49.68333333847113</v>
      </c>
      <c r="O131" s="7"/>
      <c r="P131" s="7"/>
      <c r="Q131" s="35"/>
      <c r="R131" s="35"/>
      <c r="S131" s="59">
        <f t="shared" si="23"/>
        <v>1</v>
      </c>
      <c r="T131" s="1" t="str">
        <f t="shared" si="24"/>
        <v>Southbound</v>
      </c>
      <c r="U131" s="1">
        <f>COUNTIFS(Variables!$M$2:$M$19,IF(T131="NorthBound","&gt;=","&lt;=")&amp;Y131,Variables!$M$2:$M$19,IF(T131="NorthBound","&lt;=","&gt;=")&amp;Z131)</f>
        <v>12</v>
      </c>
      <c r="V131" s="38" t="str">
        <f t="shared" si="25"/>
        <v>https://search-rtdc-monitor-bjffxe2xuh6vdkpspy63sjmuny.us-east-1.es.amazonaws.com/_plugin/kibana/#/discover/Steve-Slow-Train-Analysis-(2080s-and-2083s)?_g=(refreshInterval:(display:Off,section:0,value:0),time:(from:'2016-06-29 18:52:05-0600',mode:absolute,to:'2016-06-29 19:45: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4008%22')),sort:!(Time,asc))</v>
      </c>
      <c r="W131" s="38" t="str">
        <f t="shared" si="26"/>
        <v>N</v>
      </c>
      <c r="X131" s="38">
        <f t="shared" si="30"/>
        <v>1</v>
      </c>
      <c r="Y131" s="38">
        <f t="shared" si="27"/>
        <v>23.3004</v>
      </c>
      <c r="Z131" s="38">
        <f t="shared" si="28"/>
        <v>1.7600000000000001E-2</v>
      </c>
      <c r="AA131" s="38">
        <f t="shared" si="29"/>
        <v>23.282799999999998</v>
      </c>
      <c r="AB131" s="39" t="e">
        <f>VLOOKUP(A131,Enforcements!$C$7:$J$32,8,0)</f>
        <v>#N/A</v>
      </c>
      <c r="AC131" s="39" t="e">
        <f>VLOOKUP(A131,Enforcements!$C$7:$E$32,3,0)</f>
        <v>#N/A</v>
      </c>
    </row>
    <row r="132" spans="1:29" x14ac:dyDescent="0.25">
      <c r="A132" s="34" t="s">
        <v>380</v>
      </c>
      <c r="B132" s="34">
        <v>4042</v>
      </c>
      <c r="C132" s="34" t="s">
        <v>60</v>
      </c>
      <c r="D132" s="34" t="s">
        <v>81</v>
      </c>
      <c r="E132" s="20">
        <v>42550.759305555555</v>
      </c>
      <c r="F132" s="20">
        <v>42550.761006944442</v>
      </c>
      <c r="G132" s="20">
        <v>2</v>
      </c>
      <c r="H132" s="20" t="s">
        <v>236</v>
      </c>
      <c r="I132" s="20">
        <v>42550.789178240739</v>
      </c>
      <c r="J132" s="34">
        <v>0</v>
      </c>
      <c r="K132" s="34" t="str">
        <f t="shared" si="20"/>
        <v>4041/4042</v>
      </c>
      <c r="L132" s="34" t="str">
        <f>VLOOKUP(A132,'Trips&amp;Operators'!$C$1:$E$10000,3,FALSE)</f>
        <v>ADANE</v>
      </c>
      <c r="M132" s="6">
        <f t="shared" si="31"/>
        <v>2.8171296296932269E-2</v>
      </c>
      <c r="N132" s="7">
        <f t="shared" si="22"/>
        <v>40.566666667582467</v>
      </c>
      <c r="O132" s="7"/>
      <c r="P132" s="7"/>
      <c r="Q132" s="35"/>
      <c r="R132" s="35"/>
      <c r="S132" s="59">
        <f t="shared" si="23"/>
        <v>1</v>
      </c>
      <c r="T132" s="1" t="str">
        <f t="shared" si="24"/>
        <v>NorthBound</v>
      </c>
      <c r="U132" s="1">
        <f>COUNTIFS(Variables!$M$2:$M$19,IF(T132="NorthBound","&gt;=","&lt;=")&amp;Y132,Variables!$M$2:$M$19,IF(T132="NorthBound","&lt;=","&gt;=")&amp;Z132)</f>
        <v>12</v>
      </c>
      <c r="V132" s="38" t="str">
        <f t="shared" si="25"/>
        <v>https://search-rtdc-monitor-bjffxe2xuh6vdkpspy63sjmuny.us-east-1.es.amazonaws.com/_plugin/kibana/#/discover/Steve-Slow-Train-Analysis-(2080s-and-2083s)?_g=(refreshInterval:(display:Off,section:0,value:0),time:(from:'2016-06-29 18:12:24-0600',mode:absolute,to:'2016-06-29 18:57:25-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32" s="38" t="str">
        <f t="shared" si="26"/>
        <v>N</v>
      </c>
      <c r="X132" s="38">
        <f t="shared" si="30"/>
        <v>1</v>
      </c>
      <c r="Y132" s="38">
        <f t="shared" si="27"/>
        <v>4.58E-2</v>
      </c>
      <c r="Z132" s="38">
        <f t="shared" si="28"/>
        <v>23.3309</v>
      </c>
      <c r="AA132" s="38">
        <f t="shared" si="29"/>
        <v>23.2851</v>
      </c>
      <c r="AB132" s="39" t="e">
        <f>VLOOKUP(A132,Enforcements!$C$7:$J$32,8,0)</f>
        <v>#N/A</v>
      </c>
      <c r="AC132" s="39" t="e">
        <f>VLOOKUP(A132,Enforcements!$C$7:$E$32,3,0)</f>
        <v>#N/A</v>
      </c>
    </row>
    <row r="133" spans="1:29" x14ac:dyDescent="0.25">
      <c r="A133" s="34" t="s">
        <v>381</v>
      </c>
      <c r="B133" s="34">
        <v>4041</v>
      </c>
      <c r="C133" s="34" t="s">
        <v>60</v>
      </c>
      <c r="D133" s="34" t="s">
        <v>142</v>
      </c>
      <c r="E133" s="20">
        <v>42550.795995370368</v>
      </c>
      <c r="F133" s="20">
        <v>42550.797349537039</v>
      </c>
      <c r="G133" s="20">
        <v>1</v>
      </c>
      <c r="H133" s="20" t="s">
        <v>75</v>
      </c>
      <c r="I133" s="20">
        <v>42550.824930555558</v>
      </c>
      <c r="J133" s="34">
        <v>0</v>
      </c>
      <c r="K133" s="34" t="str">
        <f t="shared" si="20"/>
        <v>4041/4042</v>
      </c>
      <c r="L133" s="34" t="str">
        <f>VLOOKUP(A133,'Trips&amp;Operators'!$C$1:$E$10000,3,FALSE)</f>
        <v>ADANE</v>
      </c>
      <c r="M133" s="6">
        <f t="shared" si="31"/>
        <v>2.7581018519413192E-2</v>
      </c>
      <c r="N133" s="7">
        <f t="shared" si="22"/>
        <v>39.716666667954996</v>
      </c>
      <c r="O133" s="7"/>
      <c r="P133" s="7"/>
      <c r="Q133" s="35"/>
      <c r="R133" s="35"/>
      <c r="S133" s="59">
        <f t="shared" si="23"/>
        <v>1</v>
      </c>
      <c r="T133" s="1" t="str">
        <f t="shared" si="24"/>
        <v>Southbound</v>
      </c>
      <c r="U133" s="1">
        <f>COUNTIFS(Variables!$M$2:$M$19,IF(T133="NorthBound","&gt;=","&lt;=")&amp;Y133,Variables!$M$2:$M$19,IF(T133="NorthBound","&lt;=","&gt;=")&amp;Z133)</f>
        <v>12</v>
      </c>
      <c r="V133" s="38" t="str">
        <f t="shared" si="25"/>
        <v>https://search-rtdc-monitor-bjffxe2xuh6vdkpspy63sjmuny.us-east-1.es.amazonaws.com/_plugin/kibana/#/discover/Steve-Slow-Train-Analysis-(2080s-and-2083s)?_g=(refreshInterval:(display:Off,section:0,value:0),time:(from:'2016-06-29 19:05:14-0600',mode:absolute,to:'2016-06-29 19:48:54-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33" s="38" t="str">
        <f t="shared" si="26"/>
        <v>N</v>
      </c>
      <c r="X133" s="38">
        <f t="shared" si="30"/>
        <v>1</v>
      </c>
      <c r="Y133" s="38">
        <f t="shared" si="27"/>
        <v>23.296900000000001</v>
      </c>
      <c r="Z133" s="38">
        <f t="shared" si="28"/>
        <v>1.49E-2</v>
      </c>
      <c r="AA133" s="38">
        <f t="shared" si="29"/>
        <v>23.282</v>
      </c>
      <c r="AB133" s="39" t="e">
        <f>VLOOKUP(A133,Enforcements!$C$7:$J$32,8,0)</f>
        <v>#N/A</v>
      </c>
      <c r="AC133" s="39" t="e">
        <f>VLOOKUP(A133,Enforcements!$C$7:$E$32,3,0)</f>
        <v>#N/A</v>
      </c>
    </row>
    <row r="134" spans="1:29" x14ac:dyDescent="0.25">
      <c r="A134" s="34" t="s">
        <v>382</v>
      </c>
      <c r="B134" s="34">
        <v>4040</v>
      </c>
      <c r="C134" s="34" t="s">
        <v>60</v>
      </c>
      <c r="D134" s="34" t="s">
        <v>149</v>
      </c>
      <c r="E134" s="20">
        <v>42550.769050925926</v>
      </c>
      <c r="F134" s="20">
        <v>42550.769791666666</v>
      </c>
      <c r="G134" s="20">
        <v>1</v>
      </c>
      <c r="H134" s="20" t="s">
        <v>210</v>
      </c>
      <c r="I134" s="20">
        <v>42550.796168981484</v>
      </c>
      <c r="J134" s="34">
        <v>0</v>
      </c>
      <c r="K134" s="34" t="str">
        <f t="shared" si="20"/>
        <v>4039/4040</v>
      </c>
      <c r="L134" s="34" t="str">
        <f>VLOOKUP(A134,'Trips&amp;Operators'!$C$1:$E$10000,3,FALSE)</f>
        <v>DAVIS</v>
      </c>
      <c r="M134" s="6">
        <f t="shared" si="31"/>
        <v>2.6377314818091691E-2</v>
      </c>
      <c r="N134" s="7">
        <f t="shared" si="22"/>
        <v>37.983333338052034</v>
      </c>
      <c r="O134" s="7"/>
      <c r="P134" s="7"/>
      <c r="Q134" s="35"/>
      <c r="R134" s="35"/>
      <c r="S134" s="59">
        <f t="shared" si="23"/>
        <v>1</v>
      </c>
      <c r="T134" s="1" t="str">
        <f t="shared" si="24"/>
        <v>NorthBound</v>
      </c>
      <c r="U134" s="1">
        <f>COUNTIFS(Variables!$M$2:$M$19,IF(T134="NorthBound","&gt;=","&lt;=")&amp;Y134,Variables!$M$2:$M$19,IF(T134="NorthBound","&lt;=","&gt;=")&amp;Z134)</f>
        <v>12</v>
      </c>
      <c r="V134" s="38" t="str">
        <f t="shared" si="25"/>
        <v>https://search-rtdc-monitor-bjffxe2xuh6vdkpspy63sjmuny.us-east-1.es.amazonaws.com/_plugin/kibana/#/discover/Steve-Slow-Train-Analysis-(2080s-and-2083s)?_g=(refreshInterval:(display:Off,section:0,value:0),time:(from:'2016-06-29 18:26:26-0600',mode:absolute,to:'2016-06-29 19:07:29-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34" s="38" t="str">
        <f t="shared" si="26"/>
        <v>N</v>
      </c>
      <c r="X134" s="38">
        <f t="shared" si="30"/>
        <v>1</v>
      </c>
      <c r="Y134" s="38">
        <f t="shared" si="27"/>
        <v>4.5100000000000001E-2</v>
      </c>
      <c r="Z134" s="38">
        <f t="shared" si="28"/>
        <v>23.330200000000001</v>
      </c>
      <c r="AA134" s="38">
        <f t="shared" si="29"/>
        <v>23.2851</v>
      </c>
      <c r="AB134" s="39" t="e">
        <f>VLOOKUP(A134,Enforcements!$C$7:$J$32,8,0)</f>
        <v>#N/A</v>
      </c>
      <c r="AC134" s="39" t="e">
        <f>VLOOKUP(A134,Enforcements!$C$7:$E$32,3,0)</f>
        <v>#N/A</v>
      </c>
    </row>
    <row r="135" spans="1:29" x14ac:dyDescent="0.25">
      <c r="A135" s="34" t="s">
        <v>383</v>
      </c>
      <c r="B135" s="34">
        <v>4039</v>
      </c>
      <c r="C135" s="34" t="s">
        <v>60</v>
      </c>
      <c r="D135" s="34" t="s">
        <v>143</v>
      </c>
      <c r="E135" s="20">
        <v>42550.806620370371</v>
      </c>
      <c r="F135" s="20">
        <v>42550.80804398148</v>
      </c>
      <c r="G135" s="20">
        <v>2</v>
      </c>
      <c r="H135" s="20" t="s">
        <v>62</v>
      </c>
      <c r="I135" s="20">
        <v>42550.836944444447</v>
      </c>
      <c r="J135" s="34">
        <v>0</v>
      </c>
      <c r="K135" s="34" t="str">
        <f t="shared" si="20"/>
        <v>4039/4040</v>
      </c>
      <c r="L135" s="34" t="str">
        <f>VLOOKUP(A135,'Trips&amp;Operators'!$C$1:$E$10000,3,FALSE)</f>
        <v>DAVIS</v>
      </c>
      <c r="M135" s="6">
        <f t="shared" si="31"/>
        <v>2.8900462966703344E-2</v>
      </c>
      <c r="N135" s="7">
        <f t="shared" si="22"/>
        <v>41.616666672052816</v>
      </c>
      <c r="O135" s="7"/>
      <c r="P135" s="7"/>
      <c r="Q135" s="35"/>
      <c r="R135" s="35"/>
      <c r="S135" s="59">
        <f t="shared" si="23"/>
        <v>1</v>
      </c>
      <c r="T135" s="1" t="str">
        <f t="shared" si="24"/>
        <v>Southbound</v>
      </c>
      <c r="U135" s="1">
        <f>COUNTIFS(Variables!$M$2:$M$19,IF(T135="NorthBound","&gt;=","&lt;=")&amp;Y135,Variables!$M$2:$M$19,IF(T135="NorthBound","&lt;=","&gt;=")&amp;Z135)</f>
        <v>12</v>
      </c>
      <c r="V135" s="38" t="str">
        <f t="shared" si="25"/>
        <v>https://search-rtdc-monitor-bjffxe2xuh6vdkpspy63sjmuny.us-east-1.es.amazonaws.com/_plugin/kibana/#/discover/Steve-Slow-Train-Analysis-(2080s-and-2083s)?_g=(refreshInterval:(display:Off,section:0,value:0),time:(from:'2016-06-29 19:20:32-0600',mode:absolute,to:'2016-06-29 20:06:12-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35" s="38" t="str">
        <f t="shared" si="26"/>
        <v>N</v>
      </c>
      <c r="X135" s="38">
        <f t="shared" si="30"/>
        <v>1</v>
      </c>
      <c r="Y135" s="38">
        <f t="shared" si="27"/>
        <v>23.298500000000001</v>
      </c>
      <c r="Z135" s="38">
        <f t="shared" si="28"/>
        <v>1.52E-2</v>
      </c>
      <c r="AA135" s="38">
        <f t="shared" si="29"/>
        <v>23.283300000000001</v>
      </c>
      <c r="AB135" s="39" t="e">
        <f>VLOOKUP(A135,Enforcements!$C$7:$J$32,8,0)</f>
        <v>#N/A</v>
      </c>
      <c r="AC135" s="39" t="e">
        <f>VLOOKUP(A135,Enforcements!$C$7:$E$32,3,0)</f>
        <v>#N/A</v>
      </c>
    </row>
    <row r="136" spans="1:29" x14ac:dyDescent="0.25">
      <c r="A136" s="34" t="s">
        <v>384</v>
      </c>
      <c r="B136" s="34">
        <v>4011</v>
      </c>
      <c r="C136" s="34" t="s">
        <v>60</v>
      </c>
      <c r="D136" s="34" t="s">
        <v>303</v>
      </c>
      <c r="E136" s="20">
        <v>42550.790162037039</v>
      </c>
      <c r="F136" s="20">
        <v>42550.79115740741</v>
      </c>
      <c r="G136" s="20">
        <v>1</v>
      </c>
      <c r="H136" s="20" t="s">
        <v>99</v>
      </c>
      <c r="I136" s="20">
        <v>42550.819340277776</v>
      </c>
      <c r="J136" s="34">
        <v>0</v>
      </c>
      <c r="K136" s="34" t="str">
        <f t="shared" si="20"/>
        <v>4011/4012</v>
      </c>
      <c r="L136" s="34" t="str">
        <f>VLOOKUP(A136,'Trips&amp;Operators'!$C$1:$E$10000,3,FALSE)</f>
        <v>BARTLETT</v>
      </c>
      <c r="M136" s="6">
        <f t="shared" si="31"/>
        <v>2.8182870366435964E-2</v>
      </c>
      <c r="N136" s="7">
        <f t="shared" si="22"/>
        <v>40.583333327667788</v>
      </c>
      <c r="O136" s="7"/>
      <c r="P136" s="7"/>
      <c r="Q136" s="35"/>
      <c r="R136" s="35"/>
      <c r="S136" s="59">
        <f t="shared" ref="S136:S159" si="32">SUM(U136:U136)/12</f>
        <v>1</v>
      </c>
      <c r="T136" s="1" t="str">
        <f t="shared" ref="T136:T159" si="33">IF(ISEVEN(LEFT(A136,3)),"Southbound","NorthBound")</f>
        <v>NorthBound</v>
      </c>
      <c r="U136" s="1">
        <f>COUNTIFS(Variables!$M$2:$M$19,IF(T136="NorthBound","&gt;=","&lt;=")&amp;Y136,Variables!$M$2:$M$19,IF(T136="NorthBound","&lt;=","&gt;=")&amp;Z136)</f>
        <v>12</v>
      </c>
      <c r="V136" s="38" t="str">
        <f t="shared" ref="V136:V159" si="34">"https://search-rtdc-monitor-bjffxe2xuh6vdkpspy63sjmuny.us-east-1.es.amazonaws.com/_plugin/kibana/#/discover/Steve-Slow-Train-Analysis-(2080s-and-2083s)?_g=(refreshInterval:(display:Off,section:0,value:0),time:(from:'"&amp;TEXT(E136-1/24/60,"yyyy-MM-DD hh:mm:ss")&amp;"-0600',mode:absolute,to:'"&amp;TEXT(I136+1/24/60,"yyyy-MM-DD hh:mm:ss")&amp;"-0600'))&amp;_a=(columns:!(Source,'Data.Head%20End%20Milepost',Data.Speed,'Data.Locomotive%20State','Data.Train%20ID','Data.Warning%2FEnforcement%20Type','Data.Target%20Start%20Milepost','Data.Target%20Description','Data.Target%20Speed',"&amp;"'Data.Enforcement%20Train%20Speed','Data.Enforcement%20Start%20Milepost','Data.Target%20Type','Data.Enforcement%20Direction%20of%20Travel','Message%20ID','Data.Body%20of%20Summary%20Text'),filters:!(),index:'emp_*',interval:auto,query:"&amp;"(query_string:(analyze_wildcard:!t,query:'Message%5C%20ID:(2083%20OR%202080%20OR%201041)%20AND%20%22rtdc.l.rtdc."&amp;B136&amp;"%22')),sort:!(Time,asc))"</f>
        <v>https://search-rtdc-monitor-bjffxe2xuh6vdkpspy63sjmuny.us-east-1.es.amazonaws.com/_plugin/kibana/#/discover/Steve-Slow-Train-Analysis-(2080s-and-2083s)?_g=(refreshInterval:(display:Off,section:0,value:0),time:(from:'2016-06-29 18:56:50-0600',mode:absolute,to:'2016-06-29 19:40:51-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W136" s="38" t="str">
        <f t="shared" ref="W136:W159" si="35">IF(AA136&lt;23,"Y","N")</f>
        <v>N</v>
      </c>
      <c r="X136" s="38">
        <f t="shared" ref="X136:X159" si="36">VALUE(LEFT(A136,3))-VALUE(LEFT(A135,3))</f>
        <v>1</v>
      </c>
      <c r="Y136" s="38">
        <f t="shared" ref="Y136:Y159" si="37">RIGHT(D136,LEN(D136)-4)/10000</f>
        <v>4.6899999999999997E-2</v>
      </c>
      <c r="Z136" s="38">
        <f t="shared" ref="Z136:Z159" si="38">RIGHT(H136,LEN(H136)-4)/10000</f>
        <v>23.3291</v>
      </c>
      <c r="AA136" s="38">
        <f t="shared" ref="AA136:AA159" si="39">ABS(Z136-Y136)</f>
        <v>23.2822</v>
      </c>
      <c r="AB136" s="39" t="e">
        <f>VLOOKUP(A136,Enforcements!$C$7:$J$32,8,0)</f>
        <v>#N/A</v>
      </c>
      <c r="AC136" s="39" t="e">
        <f>VLOOKUP(A136,Enforcements!$C$7:$E$32,3,0)</f>
        <v>#N/A</v>
      </c>
    </row>
    <row r="137" spans="1:29" x14ac:dyDescent="0.25">
      <c r="A137" s="34" t="s">
        <v>385</v>
      </c>
      <c r="B137" s="34">
        <v>4012</v>
      </c>
      <c r="C137" s="34" t="s">
        <v>60</v>
      </c>
      <c r="D137" s="34" t="s">
        <v>154</v>
      </c>
      <c r="E137" s="20">
        <v>42550.826574074075</v>
      </c>
      <c r="F137" s="20">
        <v>42550.827604166669</v>
      </c>
      <c r="G137" s="20">
        <v>1</v>
      </c>
      <c r="H137" s="20" t="s">
        <v>386</v>
      </c>
      <c r="I137" s="20">
        <v>42551.288356481484</v>
      </c>
      <c r="J137" s="34">
        <v>0</v>
      </c>
      <c r="K137" s="34" t="str">
        <f t="shared" si="20"/>
        <v>4011/4012</v>
      </c>
      <c r="L137" s="34" t="str">
        <f>VLOOKUP(A137,'Trips&amp;Operators'!$C$1:$E$10000,3,FALSE)</f>
        <v>BARTLETT</v>
      </c>
      <c r="M137" s="6">
        <f t="shared" si="31"/>
        <v>0.46075231481518131</v>
      </c>
      <c r="N137" s="7">
        <f t="shared" si="22"/>
        <v>663.48333333386108</v>
      </c>
      <c r="O137" s="7"/>
      <c r="P137" s="7"/>
      <c r="Q137" s="35"/>
      <c r="R137" s="35"/>
      <c r="S137" s="59">
        <f t="shared" si="32"/>
        <v>1</v>
      </c>
      <c r="T137" s="1" t="str">
        <f t="shared" si="33"/>
        <v>Southbound</v>
      </c>
      <c r="U137" s="1">
        <f>COUNTIFS(Variables!$M$2:$M$19,IF(T137="NorthBound","&gt;=","&lt;=")&amp;Y137,Variables!$M$2:$M$19,IF(T137="NorthBound","&lt;=","&gt;=")&amp;Z137)</f>
        <v>12</v>
      </c>
      <c r="V137" s="38" t="str">
        <f t="shared" si="34"/>
        <v>https://search-rtdc-monitor-bjffxe2xuh6vdkpspy63sjmuny.us-east-1.es.amazonaws.com/_plugin/kibana/#/discover/Steve-Slow-Train-Analysis-(2080s-and-2083s)?_g=(refreshInterval:(display:Off,section:0,value:0),time:(from:'2016-06-29 19:49:16-0600',mode:absolute,to:'2016-06-30 06:56: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W137" s="38" t="str">
        <f t="shared" si="35"/>
        <v>N</v>
      </c>
      <c r="X137" s="38">
        <f t="shared" si="36"/>
        <v>1</v>
      </c>
      <c r="Y137" s="38">
        <f t="shared" si="37"/>
        <v>23.298400000000001</v>
      </c>
      <c r="Z137" s="38">
        <f t="shared" si="38"/>
        <v>7.3599999999999999E-2</v>
      </c>
      <c r="AA137" s="38">
        <f t="shared" si="39"/>
        <v>23.224800000000002</v>
      </c>
      <c r="AB137" s="39" t="e">
        <f>VLOOKUP(A137,Enforcements!$C$7:$J$32,8,0)</f>
        <v>#N/A</v>
      </c>
      <c r="AC137" s="39" t="e">
        <f>VLOOKUP(A137,Enforcements!$C$7:$E$32,3,0)</f>
        <v>#N/A</v>
      </c>
    </row>
    <row r="138" spans="1:29" x14ac:dyDescent="0.25">
      <c r="A138" s="34" t="s">
        <v>387</v>
      </c>
      <c r="B138" s="34">
        <v>4044</v>
      </c>
      <c r="C138" s="34" t="s">
        <v>60</v>
      </c>
      <c r="D138" s="34" t="s">
        <v>134</v>
      </c>
      <c r="E138" s="20">
        <v>42550.809247685182</v>
      </c>
      <c r="F138" s="20">
        <v>42550.810636574075</v>
      </c>
      <c r="G138" s="20">
        <v>2</v>
      </c>
      <c r="H138" s="20" t="s">
        <v>104</v>
      </c>
      <c r="I138" s="20">
        <v>42550.840127314812</v>
      </c>
      <c r="J138" s="34">
        <v>0</v>
      </c>
      <c r="K138" s="34" t="str">
        <f t="shared" si="20"/>
        <v>4043/4044</v>
      </c>
      <c r="L138" s="34" t="str">
        <f>VLOOKUP(A138,'Trips&amp;Operators'!$C$1:$E$10000,3,FALSE)</f>
        <v>STRICKLAND</v>
      </c>
      <c r="M138" s="6">
        <f t="shared" si="31"/>
        <v>2.9490740736946464E-2</v>
      </c>
      <c r="N138" s="7">
        <f t="shared" si="22"/>
        <v>42.466666661202908</v>
      </c>
      <c r="O138" s="7"/>
      <c r="P138" s="7"/>
      <c r="Q138" s="35"/>
      <c r="R138" s="35"/>
      <c r="S138" s="59">
        <f t="shared" si="32"/>
        <v>1</v>
      </c>
      <c r="T138" s="1" t="str">
        <f t="shared" si="33"/>
        <v>NorthBound</v>
      </c>
      <c r="U138" s="1">
        <f>COUNTIFS(Variables!$M$2:$M$19,IF(T138="NorthBound","&gt;=","&lt;=")&amp;Y138,Variables!$M$2:$M$19,IF(T138="NorthBound","&lt;=","&gt;=")&amp;Z138)</f>
        <v>12</v>
      </c>
      <c r="V138" s="38" t="str">
        <f t="shared" si="34"/>
        <v>https://search-rtdc-monitor-bjffxe2xuh6vdkpspy63sjmuny.us-east-1.es.amazonaws.com/_plugin/kibana/#/discover/Steve-Slow-Train-Analysis-(2080s-and-2083s)?_g=(refreshInterval:(display:Off,section:0,value:0),time:(from:'2016-06-29 19:24:19-0600',mode:absolute,to:'2016-06-29 20:10:47-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138" s="38" t="str">
        <f t="shared" si="35"/>
        <v>N</v>
      </c>
      <c r="X138" s="38">
        <f t="shared" si="36"/>
        <v>1</v>
      </c>
      <c r="Y138" s="38">
        <f t="shared" si="37"/>
        <v>4.7100000000000003E-2</v>
      </c>
      <c r="Z138" s="38">
        <f t="shared" si="38"/>
        <v>23.3307</v>
      </c>
      <c r="AA138" s="38">
        <f t="shared" si="39"/>
        <v>23.2836</v>
      </c>
      <c r="AB138" s="39" t="e">
        <f>VLOOKUP(A138,Enforcements!$C$7:$J$32,8,0)</f>
        <v>#N/A</v>
      </c>
      <c r="AC138" s="39" t="e">
        <f>VLOOKUP(A138,Enforcements!$C$7:$E$32,3,0)</f>
        <v>#N/A</v>
      </c>
    </row>
    <row r="139" spans="1:29" x14ac:dyDescent="0.25">
      <c r="A139" s="34" t="s">
        <v>388</v>
      </c>
      <c r="B139" s="34">
        <v>4043</v>
      </c>
      <c r="C139" s="34" t="s">
        <v>60</v>
      </c>
      <c r="D139" s="34" t="s">
        <v>125</v>
      </c>
      <c r="E139" s="20">
        <v>42550.846655092595</v>
      </c>
      <c r="F139" s="20">
        <v>42550.847766203704</v>
      </c>
      <c r="G139" s="20">
        <v>1</v>
      </c>
      <c r="H139" s="20" t="s">
        <v>61</v>
      </c>
      <c r="I139" s="20">
        <v>42550.878738425927</v>
      </c>
      <c r="J139" s="34">
        <v>1</v>
      </c>
      <c r="K139" s="34" t="str">
        <f t="shared" si="20"/>
        <v>4043/4044</v>
      </c>
      <c r="L139" s="34" t="str">
        <f>VLOOKUP(A139,'Trips&amp;Operators'!$C$1:$E$10000,3,FALSE)</f>
        <v>STRICKLAND</v>
      </c>
      <c r="M139" s="6">
        <f t="shared" ref="M139:M154" si="40">I139-F139</f>
        <v>3.0972222222771961E-2</v>
      </c>
      <c r="N139" s="7">
        <f t="shared" ref="N139:P159" si="41">24*60*SUM($M139:$M139)</f>
        <v>44.600000000791624</v>
      </c>
      <c r="O139" s="7"/>
      <c r="P139" s="7"/>
      <c r="Q139" s="35"/>
      <c r="R139" s="35"/>
      <c r="S139" s="59">
        <f t="shared" si="32"/>
        <v>1</v>
      </c>
      <c r="T139" s="1" t="str">
        <f t="shared" si="33"/>
        <v>Southbound</v>
      </c>
      <c r="U139" s="1">
        <f>COUNTIFS(Variables!$M$2:$M$19,IF(T139="NorthBound","&gt;=","&lt;=")&amp;Y139,Variables!$M$2:$M$19,IF(T139="NorthBound","&lt;=","&gt;=")&amp;Z139)</f>
        <v>12</v>
      </c>
      <c r="V139" s="38" t="str">
        <f t="shared" si="34"/>
        <v>https://search-rtdc-monitor-bjffxe2xuh6vdkpspy63sjmuny.us-east-1.es.amazonaws.com/_plugin/kibana/#/discover/Steve-Slow-Train-Analysis-(2080s-and-2083s)?_g=(refreshInterval:(display:Off,section:0,value:0),time:(from:'2016-06-29 20:18:11-0600',mode:absolute,to:'2016-06-29 21:06:23-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139" s="38" t="str">
        <f t="shared" si="35"/>
        <v>N</v>
      </c>
      <c r="X139" s="38">
        <f t="shared" si="36"/>
        <v>1</v>
      </c>
      <c r="Y139" s="38">
        <f t="shared" si="37"/>
        <v>23.298200000000001</v>
      </c>
      <c r="Z139" s="38">
        <f t="shared" si="38"/>
        <v>1.4500000000000001E-2</v>
      </c>
      <c r="AA139" s="38">
        <f t="shared" si="39"/>
        <v>23.2837</v>
      </c>
      <c r="AB139" s="39" t="e">
        <f>VLOOKUP(A139,Enforcements!$C$7:$J$32,8,0)</f>
        <v>#N/A</v>
      </c>
      <c r="AC139" s="39" t="e">
        <f>VLOOKUP(A139,Enforcements!$C$7:$E$32,3,0)</f>
        <v>#N/A</v>
      </c>
    </row>
    <row r="140" spans="1:29" x14ac:dyDescent="0.25">
      <c r="A140" s="34" t="s">
        <v>389</v>
      </c>
      <c r="B140" s="34">
        <v>4042</v>
      </c>
      <c r="C140" s="34" t="s">
        <v>60</v>
      </c>
      <c r="D140" s="34" t="s">
        <v>179</v>
      </c>
      <c r="E140" s="20">
        <v>42550.829108796293</v>
      </c>
      <c r="F140" s="20">
        <v>42550.830995370372</v>
      </c>
      <c r="G140" s="20">
        <v>2</v>
      </c>
      <c r="H140" s="20" t="s">
        <v>95</v>
      </c>
      <c r="I140" s="20">
        <v>42550.858055555553</v>
      </c>
      <c r="J140" s="34">
        <v>0</v>
      </c>
      <c r="K140" s="34" t="str">
        <f t="shared" ref="K140:K155" si="42">IF(ISEVEN(B140),(B140-1)&amp;"/"&amp;B140,B140&amp;"/"&amp;(B140+1))</f>
        <v>4041/4042</v>
      </c>
      <c r="L140" s="34" t="str">
        <f>VLOOKUP(A140,'Trips&amp;Operators'!$C$1:$E$10000,3,FALSE)</f>
        <v>ADANE</v>
      </c>
      <c r="M140" s="6">
        <f t="shared" si="40"/>
        <v>2.7060185180744156E-2</v>
      </c>
      <c r="N140" s="7">
        <f t="shared" si="41"/>
        <v>38.966666660271585</v>
      </c>
      <c r="O140" s="7"/>
      <c r="P140" s="7"/>
      <c r="Q140" s="35"/>
      <c r="R140" s="35"/>
      <c r="S140" s="59">
        <f t="shared" si="32"/>
        <v>1</v>
      </c>
      <c r="T140" s="1" t="str">
        <f t="shared" si="33"/>
        <v>NorthBound</v>
      </c>
      <c r="U140" s="1">
        <f>COUNTIFS(Variables!$M$2:$M$19,IF(T140="NorthBound","&gt;=","&lt;=")&amp;Y140,Variables!$M$2:$M$19,IF(T140="NorthBound","&lt;=","&gt;=")&amp;Z140)</f>
        <v>12</v>
      </c>
      <c r="V140" s="38" t="str">
        <f t="shared" si="34"/>
        <v>https://search-rtdc-monitor-bjffxe2xuh6vdkpspy63sjmuny.us-east-1.es.amazonaws.com/_plugin/kibana/#/discover/Steve-Slow-Train-Analysis-(2080s-and-2083s)?_g=(refreshInterval:(display:Off,section:0,value:0),time:(from:'2016-06-29 19:52:55-0600',mode:absolute,to:'2016-06-29 20:36:36-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40" s="38" t="str">
        <f t="shared" si="35"/>
        <v>N</v>
      </c>
      <c r="X140" s="38">
        <f t="shared" si="36"/>
        <v>1</v>
      </c>
      <c r="Y140" s="38">
        <f t="shared" si="37"/>
        <v>4.4900000000000002E-2</v>
      </c>
      <c r="Z140" s="38">
        <f t="shared" si="38"/>
        <v>23.329499999999999</v>
      </c>
      <c r="AA140" s="38">
        <f t="shared" si="39"/>
        <v>23.284600000000001</v>
      </c>
      <c r="AB140" s="39" t="e">
        <f>VLOOKUP(A140,Enforcements!$C$7:$J$32,8,0)</f>
        <v>#N/A</v>
      </c>
      <c r="AC140" s="39" t="e">
        <f>VLOOKUP(A140,Enforcements!$C$7:$E$32,3,0)</f>
        <v>#N/A</v>
      </c>
    </row>
    <row r="141" spans="1:29" x14ac:dyDescent="0.25">
      <c r="A141" s="34" t="s">
        <v>390</v>
      </c>
      <c r="B141" s="34">
        <v>4041</v>
      </c>
      <c r="C141" s="34" t="s">
        <v>60</v>
      </c>
      <c r="D141" s="34" t="s">
        <v>150</v>
      </c>
      <c r="E141" s="20">
        <v>42550.867418981485</v>
      </c>
      <c r="F141" s="20">
        <v>42550.868379629632</v>
      </c>
      <c r="G141" s="20">
        <v>1</v>
      </c>
      <c r="H141" s="20" t="s">
        <v>135</v>
      </c>
      <c r="I141" s="20">
        <v>42550.898136574076</v>
      </c>
      <c r="J141" s="34">
        <v>1</v>
      </c>
      <c r="K141" s="34" t="str">
        <f t="shared" si="42"/>
        <v>4041/4042</v>
      </c>
      <c r="L141" s="34" t="str">
        <f>VLOOKUP(A141,'Trips&amp;Operators'!$C$1:$E$10000,3,FALSE)</f>
        <v>ADANE</v>
      </c>
      <c r="M141" s="6">
        <f t="shared" si="40"/>
        <v>2.9756944444670808E-2</v>
      </c>
      <c r="N141" s="7">
        <f t="shared" si="41"/>
        <v>42.850000000325963</v>
      </c>
      <c r="O141" s="7"/>
      <c r="P141" s="7"/>
      <c r="Q141" s="35"/>
      <c r="R141" s="35"/>
      <c r="S141" s="59">
        <f t="shared" si="32"/>
        <v>1</v>
      </c>
      <c r="T141" s="1" t="str">
        <f t="shared" si="33"/>
        <v>Southbound</v>
      </c>
      <c r="U141" s="1">
        <f>COUNTIFS(Variables!$M$2:$M$19,IF(T141="NorthBound","&gt;=","&lt;=")&amp;Y141,Variables!$M$2:$M$19,IF(T141="NorthBound","&lt;=","&gt;=")&amp;Z141)</f>
        <v>12</v>
      </c>
      <c r="V141" s="38" t="str">
        <f t="shared" si="34"/>
        <v>https://search-rtdc-monitor-bjffxe2xuh6vdkpspy63sjmuny.us-east-1.es.amazonaws.com/_plugin/kibana/#/discover/Steve-Slow-Train-Analysis-(2080s-and-2083s)?_g=(refreshInterval:(display:Off,section:0,value:0),time:(from:'2016-06-29 20:48:05-0600',mode:absolute,to:'2016-06-29 21:34: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41" s="38" t="str">
        <f t="shared" si="35"/>
        <v>N</v>
      </c>
      <c r="X141" s="38">
        <f t="shared" si="36"/>
        <v>1</v>
      </c>
      <c r="Y141" s="38">
        <f t="shared" si="37"/>
        <v>23.2973</v>
      </c>
      <c r="Z141" s="38">
        <f t="shared" si="38"/>
        <v>1.43E-2</v>
      </c>
      <c r="AA141" s="38">
        <f t="shared" si="39"/>
        <v>23.283000000000001</v>
      </c>
      <c r="AB141" s="39">
        <f>VLOOKUP(A141,Enforcements!$C$7:$J$32,8,0)</f>
        <v>229055</v>
      </c>
      <c r="AC141" s="39" t="str">
        <f>VLOOKUP(A141,Enforcements!$C$7:$E$32,3,0)</f>
        <v>PERMANENT SPEED RESTRICTION</v>
      </c>
    </row>
    <row r="142" spans="1:29" x14ac:dyDescent="0.25">
      <c r="A142" s="34" t="s">
        <v>391</v>
      </c>
      <c r="B142" s="34">
        <v>4040</v>
      </c>
      <c r="C142" s="34" t="s">
        <v>60</v>
      </c>
      <c r="D142" s="34" t="s">
        <v>153</v>
      </c>
      <c r="E142" s="20">
        <v>42550.849814814814</v>
      </c>
      <c r="F142" s="20">
        <v>42550.850671296299</v>
      </c>
      <c r="G142" s="20">
        <v>1</v>
      </c>
      <c r="H142" s="20" t="s">
        <v>147</v>
      </c>
      <c r="I142" s="20">
        <v>42550.879548611112</v>
      </c>
      <c r="J142" s="34">
        <v>0</v>
      </c>
      <c r="K142" s="34" t="str">
        <f t="shared" si="42"/>
        <v>4039/4040</v>
      </c>
      <c r="L142" s="34" t="str">
        <f>VLOOKUP(A142,'Trips&amp;Operators'!$C$1:$E$10000,3,FALSE)</f>
        <v>DAVIS</v>
      </c>
      <c r="M142" s="6">
        <f t="shared" si="40"/>
        <v>2.8877314813144039E-2</v>
      </c>
      <c r="N142" s="7">
        <f t="shared" si="41"/>
        <v>41.583333330927417</v>
      </c>
      <c r="O142" s="7"/>
      <c r="P142" s="7"/>
      <c r="Q142" s="35"/>
      <c r="R142" s="35"/>
      <c r="S142" s="59">
        <f t="shared" si="32"/>
        <v>1</v>
      </c>
      <c r="T142" s="1" t="str">
        <f t="shared" si="33"/>
        <v>NorthBound</v>
      </c>
      <c r="U142" s="1">
        <f>COUNTIFS(Variables!$M$2:$M$19,IF(T142="NorthBound","&gt;=","&lt;=")&amp;Y142,Variables!$M$2:$M$19,IF(T142="NorthBound","&lt;=","&gt;=")&amp;Z142)</f>
        <v>12</v>
      </c>
      <c r="V142" s="38" t="str">
        <f t="shared" si="34"/>
        <v>https://search-rtdc-monitor-bjffxe2xuh6vdkpspy63sjmuny.us-east-1.es.amazonaws.com/_plugin/kibana/#/discover/Steve-Slow-Train-Analysis-(2080s-and-2083s)?_g=(refreshInterval:(display:Off,section:0,value:0),time:(from:'2016-06-29 20:22:44-0600',mode:absolute,to:'2016-06-29 21:07:33-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42" s="38" t="str">
        <f t="shared" si="35"/>
        <v>N</v>
      </c>
      <c r="X142" s="38">
        <f t="shared" si="36"/>
        <v>1</v>
      </c>
      <c r="Y142" s="38">
        <f t="shared" si="37"/>
        <v>4.7800000000000002E-2</v>
      </c>
      <c r="Z142" s="38">
        <f t="shared" si="38"/>
        <v>23.328900000000001</v>
      </c>
      <c r="AA142" s="38">
        <f t="shared" si="39"/>
        <v>23.281100000000002</v>
      </c>
      <c r="AB142" s="39" t="e">
        <f>VLOOKUP(A142,Enforcements!$C$7:$J$32,8,0)</f>
        <v>#N/A</v>
      </c>
      <c r="AC142" s="39" t="e">
        <f>VLOOKUP(A142,Enforcements!$C$7:$E$32,3,0)</f>
        <v>#N/A</v>
      </c>
    </row>
    <row r="143" spans="1:29" x14ac:dyDescent="0.25">
      <c r="A143" s="34" t="s">
        <v>392</v>
      </c>
      <c r="B143" s="34">
        <v>4039</v>
      </c>
      <c r="C143" s="34" t="s">
        <v>60</v>
      </c>
      <c r="D143" s="34" t="s">
        <v>207</v>
      </c>
      <c r="E143" s="20">
        <v>42550.890034722222</v>
      </c>
      <c r="F143" s="20">
        <v>42550.891041666669</v>
      </c>
      <c r="G143" s="20">
        <v>1</v>
      </c>
      <c r="H143" s="20" t="s">
        <v>202</v>
      </c>
      <c r="I143" s="20">
        <v>42550.921805555554</v>
      </c>
      <c r="J143" s="34">
        <v>1</v>
      </c>
      <c r="K143" s="34" t="str">
        <f t="shared" si="42"/>
        <v>4039/4040</v>
      </c>
      <c r="L143" s="34" t="str">
        <f>VLOOKUP(A143,'Trips&amp;Operators'!$C$1:$E$10000,3,FALSE)</f>
        <v>DAVIS</v>
      </c>
      <c r="M143" s="6">
        <f t="shared" si="40"/>
        <v>3.0763888884393964E-2</v>
      </c>
      <c r="N143" s="7">
        <f t="shared" si="41"/>
        <v>44.299999993527308</v>
      </c>
      <c r="O143" s="7"/>
      <c r="P143" s="7"/>
      <c r="Q143" s="35"/>
      <c r="R143" s="35"/>
      <c r="S143" s="59">
        <f t="shared" si="32"/>
        <v>1</v>
      </c>
      <c r="T143" s="1" t="str">
        <f t="shared" si="33"/>
        <v>Southbound</v>
      </c>
      <c r="U143" s="1">
        <f>COUNTIFS(Variables!$M$2:$M$19,IF(T143="NorthBound","&gt;=","&lt;=")&amp;Y143,Variables!$M$2:$M$19,IF(T143="NorthBound","&lt;=","&gt;=")&amp;Z143)</f>
        <v>12</v>
      </c>
      <c r="V143" s="38" t="str">
        <f t="shared" si="34"/>
        <v>https://search-rtdc-monitor-bjffxe2xuh6vdkpspy63sjmuny.us-east-1.es.amazonaws.com/_plugin/kibana/#/discover/Steve-Slow-Train-Analysis-(2080s-and-2083s)?_g=(refreshInterval:(display:Off,section:0,value:0),time:(from:'2016-06-29 21:20:39-0600',mode:absolute,to:'2016-06-29 22:08: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43" s="38" t="str">
        <f t="shared" si="35"/>
        <v>N</v>
      </c>
      <c r="X143" s="38">
        <f t="shared" si="36"/>
        <v>1</v>
      </c>
      <c r="Y143" s="38">
        <f t="shared" si="37"/>
        <v>23.296700000000001</v>
      </c>
      <c r="Z143" s="38">
        <f t="shared" si="38"/>
        <v>1.5599999999999999E-2</v>
      </c>
      <c r="AA143" s="38">
        <f t="shared" si="39"/>
        <v>23.281100000000002</v>
      </c>
      <c r="AB143" s="39" t="e">
        <f>VLOOKUP(A143,Enforcements!$C$7:$J$32,8,0)</f>
        <v>#N/A</v>
      </c>
      <c r="AC143" s="39" t="e">
        <f>VLOOKUP(A143,Enforcements!$C$7:$E$32,3,0)</f>
        <v>#N/A</v>
      </c>
    </row>
    <row r="144" spans="1:29" x14ac:dyDescent="0.25">
      <c r="A144" s="34" t="s">
        <v>393</v>
      </c>
      <c r="B144" s="34">
        <v>4020</v>
      </c>
      <c r="C144" s="34" t="s">
        <v>60</v>
      </c>
      <c r="D144" s="34" t="s">
        <v>73</v>
      </c>
      <c r="E144" s="20">
        <v>42550.866678240738</v>
      </c>
      <c r="F144" s="20">
        <v>42550.867962962962</v>
      </c>
      <c r="G144" s="20">
        <v>1</v>
      </c>
      <c r="H144" s="20" t="s">
        <v>280</v>
      </c>
      <c r="I144" s="20">
        <v>42550.902233796296</v>
      </c>
      <c r="J144" s="34">
        <v>0</v>
      </c>
      <c r="K144" s="34" t="str">
        <f t="shared" si="42"/>
        <v>4019/4020</v>
      </c>
      <c r="L144" s="34" t="str">
        <f>VLOOKUP(A144,'Trips&amp;Operators'!$C$1:$E$10000,3,FALSE)</f>
        <v>BARTLETT</v>
      </c>
      <c r="M144" s="6">
        <f t="shared" si="40"/>
        <v>3.4270833333721384E-2</v>
      </c>
      <c r="N144" s="7">
        <f t="shared" si="41"/>
        <v>49.350000000558794</v>
      </c>
      <c r="O144" s="7"/>
      <c r="P144" s="7"/>
      <c r="Q144" s="35"/>
      <c r="R144" s="35"/>
      <c r="S144" s="59">
        <f t="shared" si="32"/>
        <v>1</v>
      </c>
      <c r="T144" s="1" t="str">
        <f t="shared" si="33"/>
        <v>NorthBound</v>
      </c>
      <c r="U144" s="1">
        <f>COUNTIFS(Variables!$M$2:$M$19,IF(T144="NorthBound","&gt;=","&lt;=")&amp;Y144,Variables!$M$2:$M$19,IF(T144="NorthBound","&lt;=","&gt;=")&amp;Z144)</f>
        <v>12</v>
      </c>
      <c r="V144" s="38" t="str">
        <f t="shared" si="34"/>
        <v>https://search-rtdc-monitor-bjffxe2xuh6vdkpspy63sjmuny.us-east-1.es.amazonaws.com/_plugin/kibana/#/discover/Steve-Slow-Train-Analysis-(2080s-and-2083s)?_g=(refreshInterval:(display:Off,section:0,value:0),time:(from:'2016-06-29 20:47:01-0600',mode:absolute,to:'2016-06-29 21:40: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4020%22')),sort:!(Time,asc))</v>
      </c>
      <c r="W144" s="38" t="str">
        <f t="shared" si="35"/>
        <v>N</v>
      </c>
      <c r="X144" s="38">
        <f t="shared" si="36"/>
        <v>1</v>
      </c>
      <c r="Y144" s="38">
        <f t="shared" si="37"/>
        <v>4.5699999999999998E-2</v>
      </c>
      <c r="Z144" s="38">
        <f t="shared" si="38"/>
        <v>23.328800000000001</v>
      </c>
      <c r="AA144" s="38">
        <f t="shared" si="39"/>
        <v>23.283100000000001</v>
      </c>
      <c r="AB144" s="39" t="e">
        <f>VLOOKUP(A144,Enforcements!$C$7:$J$32,8,0)</f>
        <v>#N/A</v>
      </c>
      <c r="AC144" s="39" t="e">
        <f>VLOOKUP(A144,Enforcements!$C$7:$E$32,3,0)</f>
        <v>#N/A</v>
      </c>
    </row>
    <row r="145" spans="1:29" x14ac:dyDescent="0.25">
      <c r="A145" s="34" t="s">
        <v>394</v>
      </c>
      <c r="B145" s="34">
        <v>4019</v>
      </c>
      <c r="C145" s="34" t="s">
        <v>60</v>
      </c>
      <c r="D145" s="34" t="s">
        <v>207</v>
      </c>
      <c r="E145" s="20">
        <v>42550.912499999999</v>
      </c>
      <c r="F145" s="20">
        <v>42550.913634259261</v>
      </c>
      <c r="G145" s="20">
        <v>1</v>
      </c>
      <c r="H145" s="20" t="s">
        <v>89</v>
      </c>
      <c r="I145" s="20">
        <v>42550.948101851849</v>
      </c>
      <c r="J145" s="34">
        <v>0</v>
      </c>
      <c r="K145" s="34" t="str">
        <f t="shared" si="42"/>
        <v>4019/4020</v>
      </c>
      <c r="L145" s="34" t="str">
        <f>VLOOKUP(A145,'Trips&amp;Operators'!$C$1:$E$10000,3,FALSE)</f>
        <v>BARTLETT</v>
      </c>
      <c r="M145" s="6">
        <f t="shared" si="40"/>
        <v>3.4467592588043772E-2</v>
      </c>
      <c r="N145" s="7">
        <f t="shared" si="41"/>
        <v>49.633333326783031</v>
      </c>
      <c r="O145" s="7"/>
      <c r="P145" s="7"/>
      <c r="Q145" s="35"/>
      <c r="R145" s="35"/>
      <c r="S145" s="59">
        <f t="shared" si="32"/>
        <v>1</v>
      </c>
      <c r="T145" s="1" t="str">
        <f t="shared" si="33"/>
        <v>Southbound</v>
      </c>
      <c r="U145" s="1">
        <f>COUNTIFS(Variables!$M$2:$M$19,IF(T145="NorthBound","&gt;=","&lt;=")&amp;Y145,Variables!$M$2:$M$19,IF(T145="NorthBound","&lt;=","&gt;=")&amp;Z145)</f>
        <v>12</v>
      </c>
      <c r="V145" s="38" t="str">
        <f t="shared" si="34"/>
        <v>https://search-rtdc-monitor-bjffxe2xuh6vdkpspy63sjmuny.us-east-1.es.amazonaws.com/_plugin/kibana/#/discover/Steve-Slow-Train-Analysis-(2080s-and-2083s)?_g=(refreshInterval:(display:Off,section:0,value:0),time:(from:'2016-06-29 21:53:00-0600',mode:absolute,to:'2016-06-29 22:46:16-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4019%22')),sort:!(Time,asc))</v>
      </c>
      <c r="W145" s="38" t="str">
        <f t="shared" si="35"/>
        <v>N</v>
      </c>
      <c r="X145" s="38">
        <f t="shared" si="36"/>
        <v>1</v>
      </c>
      <c r="Y145" s="38">
        <f t="shared" si="37"/>
        <v>23.296700000000001</v>
      </c>
      <c r="Z145" s="38">
        <f t="shared" si="38"/>
        <v>1.61E-2</v>
      </c>
      <c r="AA145" s="38">
        <f t="shared" si="39"/>
        <v>23.2806</v>
      </c>
      <c r="AB145" s="39" t="e">
        <f>VLOOKUP(A145,Enforcements!$C$7:$J$32,8,0)</f>
        <v>#N/A</v>
      </c>
      <c r="AC145" s="39" t="e">
        <f>VLOOKUP(A145,Enforcements!$C$7:$E$32,3,0)</f>
        <v>#N/A</v>
      </c>
    </row>
    <row r="146" spans="1:29" x14ac:dyDescent="0.25">
      <c r="A146" s="34" t="s">
        <v>395</v>
      </c>
      <c r="B146" s="34">
        <v>4044</v>
      </c>
      <c r="C146" s="34" t="s">
        <v>60</v>
      </c>
      <c r="D146" s="34" t="s">
        <v>85</v>
      </c>
      <c r="E146" s="20">
        <v>42550.885381944441</v>
      </c>
      <c r="F146" s="20">
        <v>42550.886435185188</v>
      </c>
      <c r="G146" s="20">
        <v>1</v>
      </c>
      <c r="H146" s="20" t="s">
        <v>203</v>
      </c>
      <c r="I146" s="20">
        <v>42550.925439814811</v>
      </c>
      <c r="J146" s="34">
        <v>1</v>
      </c>
      <c r="K146" s="34" t="str">
        <f t="shared" si="42"/>
        <v>4043/4044</v>
      </c>
      <c r="L146" s="34" t="str">
        <f>VLOOKUP(A146,'Trips&amp;Operators'!$C$1:$E$10000,3,FALSE)</f>
        <v>MOSES</v>
      </c>
      <c r="M146" s="6">
        <f t="shared" si="40"/>
        <v>3.9004629623377696E-2</v>
      </c>
      <c r="N146" s="7">
        <f t="shared" si="41"/>
        <v>56.166666657663882</v>
      </c>
      <c r="O146" s="7"/>
      <c r="P146" s="7"/>
      <c r="Q146" s="35"/>
      <c r="R146" s="35"/>
      <c r="S146" s="59">
        <f t="shared" si="32"/>
        <v>1</v>
      </c>
      <c r="T146" s="1" t="str">
        <f t="shared" si="33"/>
        <v>NorthBound</v>
      </c>
      <c r="U146" s="1">
        <f>COUNTIFS(Variables!$M$2:$M$19,IF(T146="NorthBound","&gt;=","&lt;=")&amp;Y146,Variables!$M$2:$M$19,IF(T146="NorthBound","&lt;=","&gt;=")&amp;Z146)</f>
        <v>12</v>
      </c>
      <c r="V146" s="38" t="str">
        <f t="shared" si="34"/>
        <v>https://search-rtdc-monitor-bjffxe2xuh6vdkpspy63sjmuny.us-east-1.es.amazonaws.com/_plugin/kibana/#/discover/Steve-Slow-Train-Analysis-(2080s-and-2083s)?_g=(refreshInterval:(display:Off,section:0,value:0),time:(from:'2016-06-29 21:13:57-0600',mode:absolute,to:'2016-06-29 22:13:38-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146" s="38" t="str">
        <f t="shared" si="35"/>
        <v>N</v>
      </c>
      <c r="X146" s="38">
        <f t="shared" si="36"/>
        <v>1</v>
      </c>
      <c r="Y146" s="38">
        <f t="shared" si="37"/>
        <v>4.6399999999999997E-2</v>
      </c>
      <c r="Z146" s="38">
        <f t="shared" si="38"/>
        <v>23.327200000000001</v>
      </c>
      <c r="AA146" s="38">
        <f t="shared" si="39"/>
        <v>23.280800000000003</v>
      </c>
      <c r="AB146" s="39">
        <f>VLOOKUP(A146,Enforcements!$C$7:$J$32,8,0)</f>
        <v>63068</v>
      </c>
      <c r="AC146" s="39" t="str">
        <f>VLOOKUP(A146,Enforcements!$C$7:$E$32,3,0)</f>
        <v>GRADE CROSSING</v>
      </c>
    </row>
    <row r="147" spans="1:29" x14ac:dyDescent="0.25">
      <c r="A147" s="34" t="s">
        <v>396</v>
      </c>
      <c r="B147" s="34">
        <v>4043</v>
      </c>
      <c r="C147" s="34" t="s">
        <v>60</v>
      </c>
      <c r="D147" s="34" t="s">
        <v>397</v>
      </c>
      <c r="E147" s="20">
        <v>42550.932199074072</v>
      </c>
      <c r="F147" s="20">
        <v>42550.932870370372</v>
      </c>
      <c r="G147" s="20">
        <v>0</v>
      </c>
      <c r="H147" s="20" t="s">
        <v>68</v>
      </c>
      <c r="I147" s="20">
        <v>42550.963703703703</v>
      </c>
      <c r="J147" s="34">
        <v>0</v>
      </c>
      <c r="K147" s="34" t="str">
        <f t="shared" si="42"/>
        <v>4043/4044</v>
      </c>
      <c r="L147" s="34" t="str">
        <f>VLOOKUP(A147,'Trips&amp;Operators'!$C$1:$E$10000,3,FALSE)</f>
        <v>MOSES</v>
      </c>
      <c r="M147" s="6">
        <f t="shared" si="40"/>
        <v>3.0833333330519963E-2</v>
      </c>
      <c r="N147" s="7">
        <f t="shared" si="41"/>
        <v>44.399999995948747</v>
      </c>
      <c r="O147" s="7"/>
      <c r="P147" s="7"/>
      <c r="Q147" s="35"/>
      <c r="R147" s="35"/>
      <c r="S147" s="59">
        <f t="shared" si="32"/>
        <v>1</v>
      </c>
      <c r="T147" s="1" t="str">
        <f t="shared" si="33"/>
        <v>Southbound</v>
      </c>
      <c r="U147" s="1">
        <f>COUNTIFS(Variables!$M$2:$M$19,IF(T147="NorthBound","&gt;=","&lt;=")&amp;Y147,Variables!$M$2:$M$19,IF(T147="NorthBound","&lt;=","&gt;=")&amp;Z147)</f>
        <v>12</v>
      </c>
      <c r="V147" s="38" t="str">
        <f t="shared" si="34"/>
        <v>https://search-rtdc-monitor-bjffxe2xuh6vdkpspy63sjmuny.us-east-1.es.amazonaws.com/_plugin/kibana/#/discover/Steve-Slow-Train-Analysis-(2080s-and-2083s)?_g=(refreshInterval:(display:Off,section:0,value:0),time:(from:'2016-06-29 22:21:22-0600',mode:absolute,to:'2016-06-29 23:08:44-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147" s="38" t="str">
        <f t="shared" si="35"/>
        <v>N</v>
      </c>
      <c r="X147" s="38">
        <f t="shared" si="36"/>
        <v>1</v>
      </c>
      <c r="Y147" s="38">
        <f t="shared" si="37"/>
        <v>23.295500000000001</v>
      </c>
      <c r="Z147" s="38">
        <f t="shared" si="38"/>
        <v>1.6E-2</v>
      </c>
      <c r="AA147" s="38">
        <f t="shared" si="39"/>
        <v>23.279500000000002</v>
      </c>
      <c r="AB147" s="39" t="e">
        <f>VLOOKUP(A147,Enforcements!$C$7:$J$32,8,0)</f>
        <v>#N/A</v>
      </c>
      <c r="AC147" s="39" t="e">
        <f>VLOOKUP(A147,Enforcements!$C$7:$E$32,3,0)</f>
        <v>#N/A</v>
      </c>
    </row>
    <row r="148" spans="1:29" x14ac:dyDescent="0.25">
      <c r="A148" s="34" t="s">
        <v>398</v>
      </c>
      <c r="B148" s="34">
        <v>4042</v>
      </c>
      <c r="C148" s="34" t="s">
        <v>60</v>
      </c>
      <c r="D148" s="34" t="s">
        <v>69</v>
      </c>
      <c r="E148" s="20">
        <v>42550.912916666668</v>
      </c>
      <c r="F148" s="20">
        <v>42550.914722222224</v>
      </c>
      <c r="G148" s="20">
        <v>2</v>
      </c>
      <c r="H148" s="20" t="s">
        <v>185</v>
      </c>
      <c r="I148" s="20">
        <v>42550.944502314815</v>
      </c>
      <c r="J148" s="34">
        <v>0</v>
      </c>
      <c r="K148" s="34" t="str">
        <f t="shared" si="42"/>
        <v>4041/4042</v>
      </c>
      <c r="L148" s="34" t="str">
        <f>VLOOKUP(A148,'Trips&amp;Operators'!$C$1:$E$10000,3,FALSE)</f>
        <v>ADANE</v>
      </c>
      <c r="M148" s="6">
        <f t="shared" si="40"/>
        <v>2.9780092590954155E-2</v>
      </c>
      <c r="N148" s="7">
        <f t="shared" si="41"/>
        <v>42.883333330973983</v>
      </c>
      <c r="O148" s="7"/>
      <c r="P148" s="7"/>
      <c r="Q148" s="35"/>
      <c r="R148" s="35"/>
      <c r="S148" s="59">
        <f t="shared" si="32"/>
        <v>1</v>
      </c>
      <c r="T148" s="1" t="str">
        <f t="shared" si="33"/>
        <v>NorthBound</v>
      </c>
      <c r="U148" s="1">
        <f>COUNTIFS(Variables!$M$2:$M$19,IF(T148="NorthBound","&gt;=","&lt;=")&amp;Y148,Variables!$M$2:$M$19,IF(T148="NorthBound","&lt;=","&gt;=")&amp;Z148)</f>
        <v>12</v>
      </c>
      <c r="V148" s="38" t="str">
        <f t="shared" si="34"/>
        <v>https://search-rtdc-monitor-bjffxe2xuh6vdkpspy63sjmuny.us-east-1.es.amazonaws.com/_plugin/kibana/#/discover/Steve-Slow-Train-Analysis-(2080s-and-2083s)?_g=(refreshInterval:(display:Off,section:0,value:0),time:(from:'2016-06-29 21:53:36-0600',mode:absolute,to:'2016-06-29 22:41: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48" s="38" t="str">
        <f t="shared" si="35"/>
        <v>N</v>
      </c>
      <c r="X148" s="38">
        <f t="shared" si="36"/>
        <v>1</v>
      </c>
      <c r="Y148" s="38">
        <f t="shared" si="37"/>
        <v>4.5999999999999999E-2</v>
      </c>
      <c r="Z148" s="38">
        <f t="shared" si="38"/>
        <v>23.328199999999999</v>
      </c>
      <c r="AA148" s="38">
        <f t="shared" si="39"/>
        <v>23.2822</v>
      </c>
      <c r="AB148" s="39" t="e">
        <f>VLOOKUP(A148,Enforcements!$C$7:$J$32,8,0)</f>
        <v>#N/A</v>
      </c>
      <c r="AC148" s="39" t="e">
        <f>VLOOKUP(A148,Enforcements!$C$7:$E$32,3,0)</f>
        <v>#N/A</v>
      </c>
    </row>
    <row r="149" spans="1:29" x14ac:dyDescent="0.25">
      <c r="A149" s="34" t="s">
        <v>399</v>
      </c>
      <c r="B149" s="34">
        <v>4041</v>
      </c>
      <c r="C149" s="34" t="s">
        <v>60</v>
      </c>
      <c r="D149" s="34" t="s">
        <v>400</v>
      </c>
      <c r="E149" s="20">
        <v>42550.952743055554</v>
      </c>
      <c r="F149" s="20">
        <v>42550.953657407408</v>
      </c>
      <c r="G149" s="20">
        <v>1</v>
      </c>
      <c r="H149" s="20" t="s">
        <v>401</v>
      </c>
      <c r="I149" s="20">
        <v>42550.983067129629</v>
      </c>
      <c r="J149" s="34">
        <v>2</v>
      </c>
      <c r="K149" s="34" t="str">
        <f t="shared" si="42"/>
        <v>4041/4042</v>
      </c>
      <c r="L149" s="34" t="str">
        <f>VLOOKUP(A149,'Trips&amp;Operators'!$C$1:$E$10000,3,FALSE)</f>
        <v>ADANE</v>
      </c>
      <c r="M149" s="6">
        <f t="shared" si="40"/>
        <v>2.940972222131677E-2</v>
      </c>
      <c r="N149" s="7">
        <f t="shared" si="41"/>
        <v>42.349999998696148</v>
      </c>
      <c r="O149" s="7"/>
      <c r="P149" s="7"/>
      <c r="Q149" s="35"/>
      <c r="R149" s="35"/>
      <c r="S149" s="59">
        <f t="shared" si="32"/>
        <v>1</v>
      </c>
      <c r="T149" s="1" t="str">
        <f t="shared" si="33"/>
        <v>Southbound</v>
      </c>
      <c r="U149" s="1">
        <f>COUNTIFS(Variables!$M$2:$M$19,IF(T149="NorthBound","&gt;=","&lt;=")&amp;Y149,Variables!$M$2:$M$19,IF(T149="NorthBound","&lt;=","&gt;=")&amp;Z149)</f>
        <v>12</v>
      </c>
      <c r="V149" s="38" t="str">
        <f t="shared" si="34"/>
        <v>https://search-rtdc-monitor-bjffxe2xuh6vdkpspy63sjmuny.us-east-1.es.amazonaws.com/_plugin/kibana/#/discover/Steve-Slow-Train-Analysis-(2080s-and-2083s)?_g=(refreshInterval:(display:Off,section:0,value:0),time:(from:'2016-06-29 22:50:57-0600',mode:absolute,to:'2016-06-29 23:36: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49" s="38" t="str">
        <f t="shared" si="35"/>
        <v>N</v>
      </c>
      <c r="X149" s="38">
        <f t="shared" si="36"/>
        <v>1</v>
      </c>
      <c r="Y149" s="38">
        <f t="shared" si="37"/>
        <v>23.296500000000002</v>
      </c>
      <c r="Z149" s="38">
        <f t="shared" si="38"/>
        <v>1.83E-2</v>
      </c>
      <c r="AA149" s="38">
        <f t="shared" si="39"/>
        <v>23.278200000000002</v>
      </c>
      <c r="AB149" s="39">
        <f>VLOOKUP(A149,Enforcements!$C$7:$J$32,8,0)</f>
        <v>233492</v>
      </c>
      <c r="AC149" s="39" t="str">
        <f>VLOOKUP(A149,Enforcements!$C$7:$E$32,3,0)</f>
        <v>PERMANENT SPEED RESTRICTION</v>
      </c>
    </row>
    <row r="150" spans="1:29" x14ac:dyDescent="0.25">
      <c r="A150" s="34" t="s">
        <v>402</v>
      </c>
      <c r="B150" s="34">
        <v>4040</v>
      </c>
      <c r="C150" s="34" t="s">
        <v>60</v>
      </c>
      <c r="D150" s="34" t="s">
        <v>206</v>
      </c>
      <c r="E150" s="20">
        <v>42550.933125000003</v>
      </c>
      <c r="F150" s="20">
        <v>42550.934062499997</v>
      </c>
      <c r="G150" s="20">
        <v>1</v>
      </c>
      <c r="H150" s="20" t="s">
        <v>198</v>
      </c>
      <c r="I150" s="20">
        <v>42550.963356481479</v>
      </c>
      <c r="J150" s="34">
        <v>0</v>
      </c>
      <c r="K150" s="34" t="str">
        <f t="shared" si="42"/>
        <v>4039/4040</v>
      </c>
      <c r="L150" s="34" t="str">
        <f>VLOOKUP(A150,'Trips&amp;Operators'!$C$1:$E$10000,3,FALSE)</f>
        <v>DAVIS</v>
      </c>
      <c r="M150" s="6">
        <f t="shared" si="40"/>
        <v>2.9293981482624076E-2</v>
      </c>
      <c r="N150" s="7">
        <f t="shared" si="41"/>
        <v>42.18333333497867</v>
      </c>
      <c r="O150" s="7"/>
      <c r="P150" s="7"/>
      <c r="Q150" s="35"/>
      <c r="R150" s="35"/>
      <c r="S150" s="59">
        <f t="shared" si="32"/>
        <v>1</v>
      </c>
      <c r="T150" s="1" t="str">
        <f t="shared" si="33"/>
        <v>NorthBound</v>
      </c>
      <c r="U150" s="1">
        <f>COUNTIFS(Variables!$M$2:$M$19,IF(T150="NorthBound","&gt;=","&lt;=")&amp;Y150,Variables!$M$2:$M$19,IF(T150="NorthBound","&lt;=","&gt;=")&amp;Z150)</f>
        <v>12</v>
      </c>
      <c r="V150" s="38" t="str">
        <f t="shared" si="34"/>
        <v>https://search-rtdc-monitor-bjffxe2xuh6vdkpspy63sjmuny.us-east-1.es.amazonaws.com/_plugin/kibana/#/discover/Steve-Slow-Train-Analysis-(2080s-and-2083s)?_g=(refreshInterval:(display:Off,section:0,value:0),time:(from:'2016-06-29 22:22:42-0600',mode:absolute,to:'2016-06-29 23:08: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50" s="38" t="str">
        <f t="shared" si="35"/>
        <v>N</v>
      </c>
      <c r="X150" s="38">
        <f t="shared" si="36"/>
        <v>1</v>
      </c>
      <c r="Y150" s="38">
        <f t="shared" si="37"/>
        <v>4.82E-2</v>
      </c>
      <c r="Z150" s="38">
        <f t="shared" si="38"/>
        <v>23.329899999999999</v>
      </c>
      <c r="AA150" s="38">
        <f t="shared" si="39"/>
        <v>23.281699999999997</v>
      </c>
      <c r="AB150" s="39" t="e">
        <f>VLOOKUP(A150,Enforcements!$C$7:$J$32,8,0)</f>
        <v>#N/A</v>
      </c>
      <c r="AC150" s="39" t="e">
        <f>VLOOKUP(A150,Enforcements!$C$7:$E$32,3,0)</f>
        <v>#N/A</v>
      </c>
    </row>
    <row r="151" spans="1:29" x14ac:dyDescent="0.25">
      <c r="A151" s="34" t="s">
        <v>403</v>
      </c>
      <c r="B151" s="34">
        <v>4039</v>
      </c>
      <c r="C151" s="34" t="s">
        <v>60</v>
      </c>
      <c r="D151" s="34" t="s">
        <v>71</v>
      </c>
      <c r="E151" s="20">
        <v>42550.97314814815</v>
      </c>
      <c r="F151" s="20">
        <v>42550.973981481482</v>
      </c>
      <c r="G151" s="20">
        <v>1</v>
      </c>
      <c r="H151" s="20" t="s">
        <v>202</v>
      </c>
      <c r="I151" s="20">
        <v>42551.003333333334</v>
      </c>
      <c r="J151" s="34">
        <v>0</v>
      </c>
      <c r="K151" s="34" t="str">
        <f t="shared" si="42"/>
        <v>4039/4040</v>
      </c>
      <c r="L151" s="34" t="str">
        <f>VLOOKUP(A151,'Trips&amp;Operators'!$C$1:$E$10000,3,FALSE)</f>
        <v>DAVIS</v>
      </c>
      <c r="M151" s="6">
        <f t="shared" si="40"/>
        <v>2.9351851851970423E-2</v>
      </c>
      <c r="N151" s="7">
        <f t="shared" si="41"/>
        <v>42.266666666837409</v>
      </c>
      <c r="O151" s="7"/>
      <c r="P151" s="7"/>
      <c r="Q151" s="35"/>
      <c r="R151" s="35"/>
      <c r="S151" s="59">
        <f t="shared" si="32"/>
        <v>1</v>
      </c>
      <c r="T151" s="1" t="str">
        <f t="shared" si="33"/>
        <v>Southbound</v>
      </c>
      <c r="U151" s="1">
        <f>COUNTIFS(Variables!$M$2:$M$19,IF(T151="NorthBound","&gt;=","&lt;=")&amp;Y151,Variables!$M$2:$M$19,IF(T151="NorthBound","&lt;=","&gt;=")&amp;Z151)</f>
        <v>12</v>
      </c>
      <c r="V151" s="38" t="str">
        <f t="shared" si="34"/>
        <v>https://search-rtdc-monitor-bjffxe2xuh6vdkpspy63sjmuny.us-east-1.es.amazonaws.com/_plugin/kibana/#/discover/Steve-Slow-Train-Analysis-(2080s-and-2083s)?_g=(refreshInterval:(display:Off,section:0,value:0),time:(from:'2016-06-29 23:20:20-0600',mode:absolute,to:'2016-06-30 00:05:48-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51" s="38" t="str">
        <f t="shared" si="35"/>
        <v>N</v>
      </c>
      <c r="X151" s="38">
        <f t="shared" si="36"/>
        <v>1</v>
      </c>
      <c r="Y151" s="38">
        <f t="shared" si="37"/>
        <v>23.297699999999999</v>
      </c>
      <c r="Z151" s="38">
        <f t="shared" si="38"/>
        <v>1.5599999999999999E-2</v>
      </c>
      <c r="AA151" s="38">
        <f t="shared" si="39"/>
        <v>23.2821</v>
      </c>
      <c r="AB151" s="39" t="e">
        <f>VLOOKUP(A151,Enforcements!$C$7:$J$32,8,0)</f>
        <v>#N/A</v>
      </c>
      <c r="AC151" s="39" t="e">
        <f>VLOOKUP(A151,Enforcements!$C$7:$E$32,3,0)</f>
        <v>#N/A</v>
      </c>
    </row>
    <row r="152" spans="1:29" x14ac:dyDescent="0.25">
      <c r="A152" s="34" t="s">
        <v>404</v>
      </c>
      <c r="B152" s="34">
        <v>4020</v>
      </c>
      <c r="C152" s="34" t="s">
        <v>60</v>
      </c>
      <c r="D152" s="34" t="s">
        <v>73</v>
      </c>
      <c r="E152" s="20">
        <v>42550.953460648147</v>
      </c>
      <c r="F152" s="20">
        <v>42550.954432870371</v>
      </c>
      <c r="G152" s="20">
        <v>1</v>
      </c>
      <c r="H152" s="20" t="s">
        <v>99</v>
      </c>
      <c r="I152" s="20">
        <v>42550.985636574071</v>
      </c>
      <c r="J152" s="34">
        <v>0</v>
      </c>
      <c r="K152" s="34" t="str">
        <f t="shared" si="42"/>
        <v>4019/4020</v>
      </c>
      <c r="L152" s="34" t="str">
        <f>VLOOKUP(A152,'Trips&amp;Operators'!$C$1:$E$10000,3,FALSE)</f>
        <v>BARTLETT</v>
      </c>
      <c r="M152" s="6">
        <f t="shared" si="40"/>
        <v>3.1203703700157348E-2</v>
      </c>
      <c r="N152" s="7">
        <f t="shared" si="41"/>
        <v>44.933333328226581</v>
      </c>
      <c r="O152" s="7"/>
      <c r="P152" s="7"/>
      <c r="Q152" s="35"/>
      <c r="R152" s="35"/>
      <c r="S152" s="59">
        <f t="shared" si="32"/>
        <v>1</v>
      </c>
      <c r="T152" s="1" t="str">
        <f t="shared" si="33"/>
        <v>NorthBound</v>
      </c>
      <c r="U152" s="1">
        <f>COUNTIFS(Variables!$M$2:$M$19,IF(T152="NorthBound","&gt;=","&lt;=")&amp;Y152,Variables!$M$2:$M$19,IF(T152="NorthBound","&lt;=","&gt;=")&amp;Z152)</f>
        <v>12</v>
      </c>
      <c r="V152" s="38" t="str">
        <f t="shared" si="34"/>
        <v>https://search-rtdc-monitor-bjffxe2xuh6vdkpspy63sjmuny.us-east-1.es.amazonaws.com/_plugin/kibana/#/discover/Steve-Slow-Train-Analysis-(2080s-and-2083s)?_g=(refreshInterval:(display:Off,section:0,value:0),time:(from:'2016-06-29 22:51:59-0600',mode:absolute,to:'2016-06-29 23:40: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4020%22')),sort:!(Time,asc))</v>
      </c>
      <c r="W152" s="38" t="str">
        <f t="shared" si="35"/>
        <v>N</v>
      </c>
      <c r="X152" s="38">
        <f t="shared" si="36"/>
        <v>1</v>
      </c>
      <c r="Y152" s="38">
        <f t="shared" si="37"/>
        <v>4.5699999999999998E-2</v>
      </c>
      <c r="Z152" s="38">
        <f t="shared" si="38"/>
        <v>23.3291</v>
      </c>
      <c r="AA152" s="38">
        <f t="shared" si="39"/>
        <v>23.2834</v>
      </c>
      <c r="AB152" s="39" t="e">
        <f>VLOOKUP(A152,Enforcements!$C$7:$J$32,8,0)</f>
        <v>#N/A</v>
      </c>
      <c r="AC152" s="39" t="e">
        <f>VLOOKUP(A152,Enforcements!$C$7:$E$32,3,0)</f>
        <v>#N/A</v>
      </c>
    </row>
    <row r="153" spans="1:29" x14ac:dyDescent="0.25">
      <c r="A153" s="34" t="s">
        <v>405</v>
      </c>
      <c r="B153" s="34">
        <v>4019</v>
      </c>
      <c r="C153" s="34" t="s">
        <v>60</v>
      </c>
      <c r="D153" s="34" t="s">
        <v>397</v>
      </c>
      <c r="E153" s="20">
        <v>42550.992372685185</v>
      </c>
      <c r="F153" s="20">
        <v>42550.993645833332</v>
      </c>
      <c r="G153" s="20">
        <v>1</v>
      </c>
      <c r="H153" s="20" t="s">
        <v>406</v>
      </c>
      <c r="I153" s="20">
        <v>42551.026053240741</v>
      </c>
      <c r="J153" s="34">
        <v>0</v>
      </c>
      <c r="K153" s="34" t="str">
        <f t="shared" si="42"/>
        <v>4019/4020</v>
      </c>
      <c r="L153" s="34" t="str">
        <f>VLOOKUP(A153,'Trips&amp;Operators'!$C$1:$E$10000,3,FALSE)</f>
        <v>BARTLETT</v>
      </c>
      <c r="M153" s="6">
        <f t="shared" si="40"/>
        <v>3.2407407408754807E-2</v>
      </c>
      <c r="N153" s="7">
        <f t="shared" si="41"/>
        <v>46.666666668606922</v>
      </c>
      <c r="O153" s="7"/>
      <c r="P153" s="7"/>
      <c r="Q153" s="35"/>
      <c r="R153" s="35"/>
      <c r="S153" s="59">
        <f t="shared" si="32"/>
        <v>1</v>
      </c>
      <c r="T153" s="1" t="str">
        <f t="shared" si="33"/>
        <v>Southbound</v>
      </c>
      <c r="U153" s="1">
        <f>COUNTIFS(Variables!$M$2:$M$19,IF(T153="NorthBound","&gt;=","&lt;=")&amp;Y153,Variables!$M$2:$M$19,IF(T153="NorthBound","&lt;=","&gt;=")&amp;Z153)</f>
        <v>12</v>
      </c>
      <c r="V153" s="38" t="str">
        <f t="shared" si="34"/>
        <v>https://search-rtdc-monitor-bjffxe2xuh6vdkpspy63sjmuny.us-east-1.es.amazonaws.com/_plugin/kibana/#/discover/Steve-Slow-Train-Analysis-(2080s-and-2083s)?_g=(refreshInterval:(display:Off,section:0,value:0),time:(from:'2016-06-29 23:48:01-0600',mode:absolute,to:'2016-06-30 00:38:31-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4019%22')),sort:!(Time,asc))</v>
      </c>
      <c r="W153" s="38" t="str">
        <f t="shared" si="35"/>
        <v>N</v>
      </c>
      <c r="X153" s="38">
        <f t="shared" si="36"/>
        <v>1</v>
      </c>
      <c r="Y153" s="38">
        <f t="shared" si="37"/>
        <v>23.295500000000001</v>
      </c>
      <c r="Z153" s="38">
        <f t="shared" si="38"/>
        <v>0.25269999999999998</v>
      </c>
      <c r="AA153" s="38">
        <f t="shared" si="39"/>
        <v>23.0428</v>
      </c>
      <c r="AB153" s="39" t="e">
        <f>VLOOKUP(A153,Enforcements!$C$7:$J$32,8,0)</f>
        <v>#N/A</v>
      </c>
      <c r="AC153" s="39" t="e">
        <f>VLOOKUP(A153,Enforcements!$C$7:$E$32,3,0)</f>
        <v>#N/A</v>
      </c>
    </row>
    <row r="154" spans="1:29" x14ac:dyDescent="0.25">
      <c r="A154" s="34" t="s">
        <v>407</v>
      </c>
      <c r="B154" s="34">
        <v>4044</v>
      </c>
      <c r="C154" s="34" t="s">
        <v>60</v>
      </c>
      <c r="D154" s="34" t="s">
        <v>69</v>
      </c>
      <c r="E154" s="20">
        <v>42550.974004629628</v>
      </c>
      <c r="F154" s="20">
        <v>42550.975949074076</v>
      </c>
      <c r="G154" s="20">
        <v>2</v>
      </c>
      <c r="H154" s="20" t="s">
        <v>178</v>
      </c>
      <c r="I154" s="20">
        <v>42551.006469907406</v>
      </c>
      <c r="J154" s="34">
        <v>0</v>
      </c>
      <c r="K154" s="34" t="str">
        <f t="shared" si="42"/>
        <v>4043/4044</v>
      </c>
      <c r="L154" s="34" t="str">
        <f>VLOOKUP(A154,'Trips&amp;Operators'!$C$1:$E$10000,3,FALSE)</f>
        <v>MOSES</v>
      </c>
      <c r="M154" s="6">
        <f t="shared" si="40"/>
        <v>3.0520833330228925E-2</v>
      </c>
      <c r="N154" s="7">
        <f t="shared" si="41"/>
        <v>43.949999995529652</v>
      </c>
      <c r="O154" s="7"/>
      <c r="P154" s="7"/>
      <c r="Q154" s="35"/>
      <c r="R154" s="35"/>
      <c r="S154" s="59">
        <f t="shared" si="32"/>
        <v>1</v>
      </c>
      <c r="T154" s="1" t="str">
        <f t="shared" si="33"/>
        <v>NorthBound</v>
      </c>
      <c r="U154" s="1">
        <f>COUNTIFS(Variables!$M$2:$M$19,IF(T154="NorthBound","&gt;=","&lt;=")&amp;Y154,Variables!$M$2:$M$19,IF(T154="NorthBound","&lt;=","&gt;=")&amp;Z154)</f>
        <v>12</v>
      </c>
      <c r="V154" s="38" t="str">
        <f t="shared" si="34"/>
        <v>https://search-rtdc-monitor-bjffxe2xuh6vdkpspy63sjmuny.us-east-1.es.amazonaws.com/_plugin/kibana/#/discover/Steve-Slow-Train-Analysis-(2080s-and-2083s)?_g=(refreshInterval:(display:Off,section:0,value:0),time:(from:'2016-06-29 23:21:34-0600',mode:absolute,to:'2016-06-30 00:10: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W154" s="38" t="str">
        <f t="shared" si="35"/>
        <v>N</v>
      </c>
      <c r="X154" s="38">
        <f t="shared" si="36"/>
        <v>1</v>
      </c>
      <c r="Y154" s="38">
        <f t="shared" si="37"/>
        <v>4.5999999999999999E-2</v>
      </c>
      <c r="Z154" s="38">
        <f t="shared" si="38"/>
        <v>23.3278</v>
      </c>
      <c r="AA154" s="38">
        <f t="shared" si="39"/>
        <v>23.2818</v>
      </c>
      <c r="AB154" s="39" t="e">
        <f>VLOOKUP(A154,Enforcements!$C$7:$J$32,8,0)</f>
        <v>#N/A</v>
      </c>
      <c r="AC154" s="39" t="e">
        <f>VLOOKUP(A154,Enforcements!$C$7:$E$32,3,0)</f>
        <v>#N/A</v>
      </c>
    </row>
    <row r="155" spans="1:29" x14ac:dyDescent="0.25">
      <c r="A155" s="34" t="s">
        <v>408</v>
      </c>
      <c r="B155" s="72">
        <v>4043</v>
      </c>
      <c r="C155" s="72" t="s">
        <v>60</v>
      </c>
      <c r="D155" s="72" t="s">
        <v>288</v>
      </c>
      <c r="E155" s="83">
        <v>42551.015069444446</v>
      </c>
      <c r="F155" s="83">
        <v>42551.016111111108</v>
      </c>
      <c r="G155" s="84">
        <v>1</v>
      </c>
      <c r="H155" s="83" t="s">
        <v>96</v>
      </c>
      <c r="I155" s="83">
        <v>42551.046979166669</v>
      </c>
      <c r="J155" s="72">
        <v>0</v>
      </c>
      <c r="K155" s="34" t="str">
        <f t="shared" si="42"/>
        <v>4043/4044</v>
      </c>
      <c r="L155" s="34" t="str">
        <f>VLOOKUP(A155,'Trips&amp;Operators'!$C$1:$E$10000,3,FALSE)</f>
        <v>MOSES</v>
      </c>
      <c r="M155" s="6">
        <f t="shared" ref="M155" si="43">I155-F155</f>
        <v>3.086805556085892E-2</v>
      </c>
      <c r="N155" s="7">
        <f t="shared" si="41"/>
        <v>44.450000007636845</v>
      </c>
      <c r="O155" s="7"/>
      <c r="P155" s="7"/>
      <c r="Q155" s="35"/>
      <c r="R155" s="35"/>
      <c r="S155" s="59">
        <f t="shared" si="32"/>
        <v>1</v>
      </c>
      <c r="T155" s="1" t="str">
        <f t="shared" si="33"/>
        <v>Southbound</v>
      </c>
      <c r="U155" s="1">
        <f>COUNTIFS(Variables!$M$2:$M$19,IF(T155="NorthBound","&gt;=","&lt;=")&amp;Y155,Variables!$M$2:$M$19,IF(T155="NorthBound","&lt;=","&gt;=")&amp;Z155)</f>
        <v>12</v>
      </c>
      <c r="V155" s="38" t="str">
        <f t="shared" si="34"/>
        <v>https://search-rtdc-monitor-bjffxe2xuh6vdkpspy63sjmuny.us-east-1.es.amazonaws.com/_plugin/kibana/#/discover/Steve-Slow-Train-Analysis-(2080s-and-2083s)?_g=(refreshInterval:(display:Off,section:0,value:0),time:(from:'2016-06-30 00:20:42-0600',mode:absolute,to:'2016-06-30 01:08:39-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W155" s="38" t="str">
        <f t="shared" si="35"/>
        <v>N</v>
      </c>
      <c r="X155" s="38">
        <f t="shared" si="36"/>
        <v>1</v>
      </c>
      <c r="Y155" s="38">
        <f t="shared" si="37"/>
        <v>23.296299999999999</v>
      </c>
      <c r="Z155" s="38">
        <f t="shared" si="38"/>
        <v>1.5800000000000002E-2</v>
      </c>
      <c r="AA155" s="38">
        <f t="shared" si="39"/>
        <v>23.2805</v>
      </c>
      <c r="AB155" s="39" t="e">
        <f>VLOOKUP(A155,Enforcements!$C$7:$J$32,8,0)</f>
        <v>#N/A</v>
      </c>
      <c r="AC155" s="39" t="e">
        <f>VLOOKUP(A155,Enforcements!$C$7:$E$32,3,0)</f>
        <v>#N/A</v>
      </c>
    </row>
    <row r="156" spans="1:29" x14ac:dyDescent="0.25">
      <c r="A156" s="67" t="s">
        <v>409</v>
      </c>
      <c r="B156" s="34">
        <v>4042</v>
      </c>
      <c r="C156" s="34" t="s">
        <v>60</v>
      </c>
      <c r="D156" s="34" t="s">
        <v>141</v>
      </c>
      <c r="E156" s="20">
        <v>42550.997835648152</v>
      </c>
      <c r="F156" s="20">
        <v>42550.998483796298</v>
      </c>
      <c r="G156" s="20">
        <v>0</v>
      </c>
      <c r="H156" s="20" t="s">
        <v>410</v>
      </c>
      <c r="I156" s="20">
        <v>42551.012430555558</v>
      </c>
      <c r="J156" s="34">
        <v>1</v>
      </c>
      <c r="K156" s="34" t="str">
        <f t="shared" ref="K156:K178" si="44">IF(ISEVEN(B156),(B156-1)&amp;"/"&amp;B156,B156&amp;"/"&amp;(B156+1))</f>
        <v>4041/4042</v>
      </c>
      <c r="L156" s="34" t="str">
        <f>VLOOKUP(A156,'Trips&amp;Operators'!$C$1:$E$10000,3,FALSE)</f>
        <v>ADANE</v>
      </c>
      <c r="M156" s="6">
        <f t="shared" ref="M156:M178" si="45">I156-F156</f>
        <v>1.3946759259852115E-2</v>
      </c>
      <c r="N156" s="7"/>
      <c r="O156" s="7"/>
      <c r="P156" s="7">
        <f t="shared" si="41"/>
        <v>20.083333334187046</v>
      </c>
      <c r="Q156" s="35"/>
      <c r="R156" s="35" t="s">
        <v>221</v>
      </c>
      <c r="S156" s="59">
        <f t="shared" si="32"/>
        <v>0.83333333333333337</v>
      </c>
      <c r="T156" s="1" t="str">
        <f t="shared" si="33"/>
        <v>NorthBound</v>
      </c>
      <c r="U156" s="1">
        <f>COUNTIFS(Variables!$M$2:$M$19,IF(T156="NorthBound","&gt;=","&lt;=")&amp;Y156,Variables!$M$2:$M$19,IF(T156="NorthBound","&lt;=","&gt;=")&amp;Z156)</f>
        <v>10</v>
      </c>
      <c r="V156" s="38" t="str">
        <f t="shared" si="34"/>
        <v>https://search-rtdc-monitor-bjffxe2xuh6vdkpspy63sjmuny.us-east-1.es.amazonaws.com/_plugin/kibana/#/discover/Steve-Slow-Train-Analysis-(2080s-and-2083s)?_g=(refreshInterval:(display:Off,section:0,value:0),time:(from:'2016-06-29 23:55:53-0600',mode:absolute,to:'2016-06-30 00:18:54-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W156" s="38" t="str">
        <f t="shared" si="35"/>
        <v>Y</v>
      </c>
      <c r="X156" s="38">
        <f t="shared" si="36"/>
        <v>1</v>
      </c>
      <c r="Y156" s="38">
        <f t="shared" si="37"/>
        <v>4.7699999999999999E-2</v>
      </c>
      <c r="Z156" s="38">
        <f t="shared" si="38"/>
        <v>8.0352999999999994</v>
      </c>
      <c r="AA156" s="38">
        <f t="shared" si="39"/>
        <v>7.9875999999999996</v>
      </c>
      <c r="AB156" s="39" t="e">
        <f>VLOOKUP(A156,Enforcements!$C$7:$J$32,8,0)</f>
        <v>#N/A</v>
      </c>
      <c r="AC156" s="39" t="e">
        <f>VLOOKUP(A156,Enforcements!$C$7:$E$32,3,0)</f>
        <v>#N/A</v>
      </c>
    </row>
    <row r="157" spans="1:29" x14ac:dyDescent="0.25">
      <c r="A157" s="34" t="s">
        <v>411</v>
      </c>
      <c r="B157" s="72">
        <v>4041</v>
      </c>
      <c r="C157" s="72" t="s">
        <v>60</v>
      </c>
      <c r="D157" s="72" t="s">
        <v>201</v>
      </c>
      <c r="E157" s="83">
        <v>42551.037962962961</v>
      </c>
      <c r="F157" s="83">
        <v>42551.039236111108</v>
      </c>
      <c r="G157" s="84">
        <v>1</v>
      </c>
      <c r="H157" s="83" t="s">
        <v>75</v>
      </c>
      <c r="I157" s="83">
        <v>42551.065011574072</v>
      </c>
      <c r="J157" s="72">
        <v>0</v>
      </c>
      <c r="K157" s="34" t="str">
        <f t="shared" si="44"/>
        <v>4041/4042</v>
      </c>
      <c r="L157" s="34" t="str">
        <f>VLOOKUP(A157,'Trips&amp;Operators'!$C$1:$E$10000,3,FALSE)</f>
        <v>ADANE</v>
      </c>
      <c r="M157" s="6">
        <f t="shared" si="45"/>
        <v>2.5775462963792961E-2</v>
      </c>
      <c r="N157" s="7">
        <f t="shared" si="41"/>
        <v>37.116666667861864</v>
      </c>
      <c r="O157" s="7"/>
      <c r="P157" s="7"/>
      <c r="Q157" s="35"/>
      <c r="R157" s="35"/>
      <c r="S157" s="59">
        <f t="shared" si="32"/>
        <v>1</v>
      </c>
      <c r="T157" s="1" t="str">
        <f t="shared" si="33"/>
        <v>Southbound</v>
      </c>
      <c r="U157" s="1">
        <f>COUNTIFS(Variables!$M$2:$M$19,IF(T157="NorthBound","&gt;=","&lt;=")&amp;Y157,Variables!$M$2:$M$19,IF(T157="NorthBound","&lt;=","&gt;=")&amp;Z157)</f>
        <v>12</v>
      </c>
      <c r="V157" s="38" t="str">
        <f t="shared" si="34"/>
        <v>https://search-rtdc-monitor-bjffxe2xuh6vdkpspy63sjmuny.us-east-1.es.amazonaws.com/_plugin/kibana/#/discover/Steve-Slow-Train-Analysis-(2080s-and-2083s)?_g=(refreshInterval:(display:Off,section:0,value:0),time:(from:'2016-06-30 00:53:40-0600',mode:absolute,to:'2016-06-30 01:34: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W157" s="38" t="str">
        <f t="shared" si="35"/>
        <v>N</v>
      </c>
      <c r="X157" s="38">
        <f t="shared" si="36"/>
        <v>1</v>
      </c>
      <c r="Y157" s="38">
        <f t="shared" si="37"/>
        <v>23.2988</v>
      </c>
      <c r="Z157" s="38">
        <f t="shared" si="38"/>
        <v>1.49E-2</v>
      </c>
      <c r="AA157" s="38">
        <f t="shared" si="39"/>
        <v>23.283899999999999</v>
      </c>
      <c r="AB157" s="39" t="e">
        <f>VLOOKUP(A157,Enforcements!$C$7:$J$32,8,0)</f>
        <v>#N/A</v>
      </c>
      <c r="AC157" s="39" t="e">
        <f>VLOOKUP(A157,Enforcements!$C$7:$E$32,3,0)</f>
        <v>#N/A</v>
      </c>
    </row>
    <row r="158" spans="1:29" x14ac:dyDescent="0.25">
      <c r="A158" s="34" t="s">
        <v>412</v>
      </c>
      <c r="B158" s="72">
        <v>4040</v>
      </c>
      <c r="C158" s="72" t="s">
        <v>60</v>
      </c>
      <c r="D158" s="72" t="s">
        <v>164</v>
      </c>
      <c r="E158" s="83">
        <v>42551.016296296293</v>
      </c>
      <c r="F158" s="83">
        <v>42551.017094907409</v>
      </c>
      <c r="G158" s="84">
        <v>1</v>
      </c>
      <c r="H158" s="83" t="s">
        <v>280</v>
      </c>
      <c r="I158" s="83">
        <v>42551.046226851853</v>
      </c>
      <c r="J158" s="72">
        <v>0</v>
      </c>
      <c r="K158" s="34" t="str">
        <f t="shared" si="44"/>
        <v>4039/4040</v>
      </c>
      <c r="L158" s="34" t="str">
        <f>VLOOKUP(A158,'Trips&amp;Operators'!$C$1:$E$10000,3,FALSE)</f>
        <v>DAVIS</v>
      </c>
      <c r="M158" s="6">
        <f t="shared" si="45"/>
        <v>2.9131944444088731E-2</v>
      </c>
      <c r="N158" s="7">
        <f t="shared" si="41"/>
        <v>41.949999999487773</v>
      </c>
      <c r="O158" s="7"/>
      <c r="P158" s="7"/>
      <c r="Q158" s="35"/>
      <c r="R158" s="35"/>
      <c r="S158" s="59">
        <f t="shared" si="32"/>
        <v>1</v>
      </c>
      <c r="T158" s="1" t="str">
        <f t="shared" si="33"/>
        <v>NorthBound</v>
      </c>
      <c r="U158" s="1">
        <f>COUNTIFS(Variables!$M$2:$M$19,IF(T158="NorthBound","&gt;=","&lt;=")&amp;Y158,Variables!$M$2:$M$19,IF(T158="NorthBound","&lt;=","&gt;=")&amp;Z158)</f>
        <v>12</v>
      </c>
      <c r="V158" s="38" t="str">
        <f t="shared" si="34"/>
        <v>https://search-rtdc-monitor-bjffxe2xuh6vdkpspy63sjmuny.us-east-1.es.amazonaws.com/_plugin/kibana/#/discover/Steve-Slow-Train-Analysis-(2080s-and-2083s)?_g=(refreshInterval:(display:Off,section:0,value:0),time:(from:'2016-06-30 00:22:28-0600',mode:absolute,to:'2016-06-30 01:07:34-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W158" s="38" t="str">
        <f t="shared" si="35"/>
        <v>N</v>
      </c>
      <c r="X158" s="38">
        <f t="shared" si="36"/>
        <v>1</v>
      </c>
      <c r="Y158" s="38">
        <f t="shared" si="37"/>
        <v>4.6600000000000003E-2</v>
      </c>
      <c r="Z158" s="38">
        <f t="shared" si="38"/>
        <v>23.328800000000001</v>
      </c>
      <c r="AA158" s="38">
        <f t="shared" si="39"/>
        <v>23.2822</v>
      </c>
      <c r="AB158" s="39" t="e">
        <f>VLOOKUP(A158,Enforcements!$C$7:$J$32,8,0)</f>
        <v>#N/A</v>
      </c>
      <c r="AC158" s="39" t="e">
        <f>VLOOKUP(A158,Enforcements!$C$7:$E$32,3,0)</f>
        <v>#N/A</v>
      </c>
    </row>
    <row r="159" spans="1:29" x14ac:dyDescent="0.25">
      <c r="A159" s="34" t="s">
        <v>413</v>
      </c>
      <c r="B159" s="72">
        <v>4039</v>
      </c>
      <c r="C159" s="72" t="s">
        <v>60</v>
      </c>
      <c r="D159" s="72" t="s">
        <v>71</v>
      </c>
      <c r="E159" s="83">
        <v>42551.056157407409</v>
      </c>
      <c r="F159" s="83">
        <v>42551.057071759256</v>
      </c>
      <c r="G159" s="84">
        <v>1</v>
      </c>
      <c r="H159" s="83" t="s">
        <v>166</v>
      </c>
      <c r="I159" s="83">
        <v>42551.086076388892</v>
      </c>
      <c r="J159" s="72">
        <v>0</v>
      </c>
      <c r="K159" s="34" t="str">
        <f t="shared" si="44"/>
        <v>4039/4040</v>
      </c>
      <c r="L159" s="34" t="str">
        <f>VLOOKUP(A159,'Trips&amp;Operators'!$C$1:$E$10000,3,FALSE)</f>
        <v>DAVIS</v>
      </c>
      <c r="M159" s="6">
        <f t="shared" si="45"/>
        <v>2.9004629635892343E-2</v>
      </c>
      <c r="N159" s="7">
        <f t="shared" si="41"/>
        <v>41.766666675684974</v>
      </c>
      <c r="O159" s="7"/>
      <c r="P159" s="7"/>
      <c r="Q159" s="35"/>
      <c r="R159" s="35"/>
      <c r="S159" s="59">
        <f t="shared" si="32"/>
        <v>1</v>
      </c>
      <c r="T159" s="1" t="str">
        <f t="shared" si="33"/>
        <v>Southbound</v>
      </c>
      <c r="U159" s="1">
        <f>COUNTIFS(Variables!$M$2:$M$19,IF(T159="NorthBound","&gt;=","&lt;=")&amp;Y159,Variables!$M$2:$M$19,IF(T159="NorthBound","&lt;=","&gt;=")&amp;Z159)</f>
        <v>12</v>
      </c>
      <c r="V159" s="38" t="str">
        <f t="shared" si="34"/>
        <v>https://search-rtdc-monitor-bjffxe2xuh6vdkpspy63sjmuny.us-east-1.es.amazonaws.com/_plugin/kibana/#/discover/Steve-Slow-Train-Analysis-(2080s-and-2083s)?_g=(refreshInterval:(display:Off,section:0,value:0),time:(from:'2016-06-30 01:19:52-0600',mode:absolute,to:'2016-06-30 02:04:57-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W159" s="38" t="str">
        <f t="shared" si="35"/>
        <v>N</v>
      </c>
      <c r="X159" s="38">
        <f t="shared" si="36"/>
        <v>1</v>
      </c>
      <c r="Y159" s="38">
        <f t="shared" si="37"/>
        <v>23.297699999999999</v>
      </c>
      <c r="Z159" s="38">
        <f t="shared" si="38"/>
        <v>1.6500000000000001E-2</v>
      </c>
      <c r="AA159" s="38">
        <f t="shared" si="39"/>
        <v>23.281199999999998</v>
      </c>
      <c r="AB159" s="39" t="e">
        <f>VLOOKUP(A159,Enforcements!$C$7:$J$32,8,0)</f>
        <v>#N/A</v>
      </c>
      <c r="AC159" s="39" t="e">
        <f>VLOOKUP(A159,Enforcements!$C$7:$E$32,3,0)</f>
        <v>#N/A</v>
      </c>
    </row>
    <row r="160" spans="1:29" x14ac:dyDescent="0.25">
      <c r="A160" s="85" t="s">
        <v>414</v>
      </c>
      <c r="B160" s="51">
        <v>4030</v>
      </c>
      <c r="C160" s="51" t="s">
        <v>60</v>
      </c>
      <c r="D160" s="51" t="s">
        <v>415</v>
      </c>
      <c r="E160" s="78">
        <v>42550.217349537037</v>
      </c>
      <c r="F160" s="78">
        <v>42550.218368055554</v>
      </c>
      <c r="G160" s="79">
        <v>1</v>
      </c>
      <c r="H160" s="78" t="s">
        <v>416</v>
      </c>
      <c r="I160" s="78">
        <v>42550.234525462962</v>
      </c>
      <c r="J160" s="51">
        <v>0</v>
      </c>
      <c r="K160" s="73" t="str">
        <f t="shared" si="44"/>
        <v>4029/4030</v>
      </c>
      <c r="L160" s="73" t="str">
        <f>VLOOKUP(A160,'Trips&amp;Operators'!$C$1:$E$10000,3,FALSE)</f>
        <v>STURGEON</v>
      </c>
      <c r="M160" s="74">
        <f t="shared" si="45"/>
        <v>1.615740740817273E-2</v>
      </c>
      <c r="N160" s="75"/>
      <c r="O160" s="75"/>
      <c r="P160" s="75"/>
      <c r="Q160" s="76"/>
      <c r="R160" s="76"/>
      <c r="S160" s="77"/>
      <c r="T160" s="1"/>
      <c r="U160" s="1"/>
      <c r="V160" s="38"/>
      <c r="W160" s="38"/>
      <c r="X160" s="38"/>
      <c r="Y160" s="38"/>
      <c r="Z160" s="38"/>
      <c r="AA160" s="38"/>
      <c r="AB160" s="39"/>
      <c r="AC160" s="39"/>
    </row>
    <row r="161" spans="1:29" x14ac:dyDescent="0.25">
      <c r="A161" s="85" t="s">
        <v>417</v>
      </c>
      <c r="B161" s="51">
        <v>4029</v>
      </c>
      <c r="C161" s="51" t="s">
        <v>60</v>
      </c>
      <c r="D161" s="51" t="s">
        <v>180</v>
      </c>
      <c r="E161" s="78">
        <v>42550.236215277779</v>
      </c>
      <c r="F161" s="78">
        <v>42550.237847222219</v>
      </c>
      <c r="G161" s="79">
        <v>2</v>
      </c>
      <c r="H161" s="78" t="s">
        <v>418</v>
      </c>
      <c r="I161" s="78">
        <v>42550.256539351853</v>
      </c>
      <c r="J161" s="51">
        <v>0</v>
      </c>
      <c r="K161" s="34" t="str">
        <f t="shared" si="44"/>
        <v>4029/4030</v>
      </c>
      <c r="L161" s="34" t="str">
        <f>VLOOKUP(A161,'Trips&amp;Operators'!$C$1:$E$10000,3,FALSE)</f>
        <v>STURGEON</v>
      </c>
      <c r="M161" s="6">
        <f t="shared" si="45"/>
        <v>1.8692129633564036E-2</v>
      </c>
      <c r="N161" s="7"/>
      <c r="O161" s="7"/>
      <c r="P161" s="7"/>
      <c r="Q161" s="35"/>
      <c r="R161" s="35"/>
      <c r="S161" s="59"/>
      <c r="T161" s="1"/>
      <c r="U161" s="1"/>
      <c r="V161" s="38"/>
      <c r="W161" s="38"/>
      <c r="X161" s="38"/>
      <c r="Y161" s="38"/>
      <c r="Z161" s="38"/>
      <c r="AA161" s="38"/>
      <c r="AB161" s="39"/>
      <c r="AC161" s="39"/>
    </row>
    <row r="162" spans="1:29" x14ac:dyDescent="0.25">
      <c r="A162" s="85" t="s">
        <v>419</v>
      </c>
      <c r="B162" s="51">
        <v>4030</v>
      </c>
      <c r="C162" s="51" t="s">
        <v>60</v>
      </c>
      <c r="D162" s="51" t="s">
        <v>420</v>
      </c>
      <c r="E162" s="78">
        <v>42550.2577662037</v>
      </c>
      <c r="F162" s="78">
        <v>42550.258715277778</v>
      </c>
      <c r="G162" s="79">
        <v>1</v>
      </c>
      <c r="H162" s="78" t="s">
        <v>421</v>
      </c>
      <c r="I162" s="78">
        <v>42550.277685185189</v>
      </c>
      <c r="J162" s="51">
        <v>1</v>
      </c>
      <c r="K162" s="34" t="str">
        <f t="shared" si="44"/>
        <v>4029/4030</v>
      </c>
      <c r="L162" s="34" t="str">
        <f>VLOOKUP(A162,'Trips&amp;Operators'!$C$1:$E$10000,3,FALSE)</f>
        <v>STURGEON</v>
      </c>
      <c r="M162" s="6">
        <f t="shared" si="45"/>
        <v>1.8969907410792075E-2</v>
      </c>
      <c r="N162" s="7"/>
      <c r="O162" s="7"/>
      <c r="P162" s="7"/>
      <c r="Q162" s="35"/>
      <c r="R162" s="35"/>
      <c r="S162" s="59"/>
      <c r="T162" s="1"/>
      <c r="U162" s="1"/>
      <c r="V162" s="38"/>
      <c r="W162" s="38"/>
      <c r="X162" s="38"/>
      <c r="Y162" s="38"/>
      <c r="Z162" s="38"/>
      <c r="AA162" s="38"/>
      <c r="AB162" s="39"/>
      <c r="AC162" s="39"/>
    </row>
    <row r="163" spans="1:29" x14ac:dyDescent="0.25">
      <c r="A163" s="85" t="s">
        <v>422</v>
      </c>
      <c r="B163" s="51">
        <v>4018</v>
      </c>
      <c r="C163" s="51" t="s">
        <v>60</v>
      </c>
      <c r="D163" s="51" t="s">
        <v>423</v>
      </c>
      <c r="E163" s="78">
        <v>42550.264513888891</v>
      </c>
      <c r="F163" s="78">
        <v>42550.266226851854</v>
      </c>
      <c r="G163" s="79">
        <v>2</v>
      </c>
      <c r="H163" s="78" t="s">
        <v>424</v>
      </c>
      <c r="I163" s="78">
        <v>42550.277627314812</v>
      </c>
      <c r="J163" s="51">
        <v>1</v>
      </c>
      <c r="K163" s="34" t="str">
        <f t="shared" si="44"/>
        <v>4017/4018</v>
      </c>
      <c r="L163" s="34" t="str">
        <f>VLOOKUP(A163,'Trips&amp;Operators'!$C$1:$E$10000,3,FALSE)</f>
        <v>MAYBERRY</v>
      </c>
      <c r="M163" s="6">
        <f t="shared" si="45"/>
        <v>1.1400462957681157E-2</v>
      </c>
      <c r="N163" s="7"/>
      <c r="O163" s="7"/>
      <c r="P163" s="7"/>
      <c r="Q163" s="35"/>
      <c r="R163" s="35"/>
      <c r="S163" s="59"/>
      <c r="T163" s="1"/>
      <c r="U163" s="1"/>
      <c r="V163" s="38"/>
      <c r="W163" s="38"/>
      <c r="X163" s="38"/>
      <c r="Y163" s="38"/>
      <c r="Z163" s="38"/>
      <c r="AA163" s="38"/>
      <c r="AB163" s="39"/>
      <c r="AC163" s="39"/>
    </row>
    <row r="164" spans="1:29" x14ac:dyDescent="0.25">
      <c r="A164" s="85" t="s">
        <v>425</v>
      </c>
      <c r="B164" s="51">
        <v>4017</v>
      </c>
      <c r="C164" s="51" t="s">
        <v>60</v>
      </c>
      <c r="D164" s="51" t="s">
        <v>426</v>
      </c>
      <c r="E164" s="78">
        <v>42550.278344907405</v>
      </c>
      <c r="F164" s="78">
        <v>42550.279895833337</v>
      </c>
      <c r="G164" s="79">
        <v>2</v>
      </c>
      <c r="H164" s="78" t="s">
        <v>427</v>
      </c>
      <c r="I164" s="78">
        <v>42550.296331018515</v>
      </c>
      <c r="J164" s="51">
        <v>2</v>
      </c>
      <c r="K164" s="34" t="str">
        <f t="shared" si="44"/>
        <v>4017/4018</v>
      </c>
      <c r="L164" s="34" t="str">
        <f>VLOOKUP(A164,'Trips&amp;Operators'!$C$1:$E$10000,3,FALSE)</f>
        <v>MAYBERRY</v>
      </c>
      <c r="M164" s="6">
        <f t="shared" si="45"/>
        <v>1.6435185178124812E-2</v>
      </c>
      <c r="N164" s="7"/>
      <c r="O164" s="7"/>
      <c r="P164" s="7"/>
      <c r="Q164" s="35"/>
      <c r="R164" s="35"/>
      <c r="S164" s="59"/>
      <c r="T164" s="1"/>
      <c r="U164" s="1"/>
      <c r="V164" s="38"/>
      <c r="W164" s="38"/>
      <c r="X164" s="38"/>
      <c r="Y164" s="38"/>
      <c r="Z164" s="38"/>
      <c r="AA164" s="38"/>
      <c r="AB164" s="39"/>
      <c r="AC164" s="39"/>
    </row>
    <row r="165" spans="1:29" x14ac:dyDescent="0.25">
      <c r="A165" s="85" t="s">
        <v>428</v>
      </c>
      <c r="B165" s="51">
        <v>4029</v>
      </c>
      <c r="C165" s="51" t="s">
        <v>60</v>
      </c>
      <c r="D165" s="51" t="s">
        <v>429</v>
      </c>
      <c r="E165" s="78">
        <v>42550.280428240738</v>
      </c>
      <c r="F165" s="78">
        <v>42550.281261574077</v>
      </c>
      <c r="G165" s="79">
        <v>1</v>
      </c>
      <c r="H165" s="78" t="s">
        <v>430</v>
      </c>
      <c r="I165" s="78">
        <v>42550.297002314815</v>
      </c>
      <c r="J165" s="51">
        <v>1</v>
      </c>
      <c r="K165" s="34" t="str">
        <f t="shared" si="44"/>
        <v>4029/4030</v>
      </c>
      <c r="L165" s="34" t="str">
        <f>VLOOKUP(A165,'Trips&amp;Operators'!$C$1:$E$10000,3,FALSE)</f>
        <v>STURGEON</v>
      </c>
      <c r="M165" s="6">
        <f t="shared" si="45"/>
        <v>1.5740740738692693E-2</v>
      </c>
      <c r="N165" s="7"/>
      <c r="O165" s="7"/>
      <c r="P165" s="7"/>
      <c r="Q165" s="35"/>
      <c r="R165" s="35"/>
      <c r="S165" s="59"/>
      <c r="T165" s="1"/>
      <c r="U165" s="1"/>
      <c r="V165" s="38"/>
      <c r="W165" s="38"/>
      <c r="X165" s="38"/>
      <c r="Y165" s="38"/>
      <c r="Z165" s="38"/>
      <c r="AA165" s="38"/>
      <c r="AB165" s="39"/>
      <c r="AC165" s="39"/>
    </row>
    <row r="166" spans="1:29" x14ac:dyDescent="0.25">
      <c r="A166" s="85" t="s">
        <v>431</v>
      </c>
      <c r="B166" s="51">
        <v>4030</v>
      </c>
      <c r="C166" s="51" t="s">
        <v>60</v>
      </c>
      <c r="D166" s="51" t="s">
        <v>432</v>
      </c>
      <c r="E166" s="78">
        <v>42550.298321759263</v>
      </c>
      <c r="F166" s="78">
        <v>42550.299224537041</v>
      </c>
      <c r="G166" s="79">
        <v>1</v>
      </c>
      <c r="H166" s="78" t="s">
        <v>433</v>
      </c>
      <c r="I166" s="78">
        <v>42550.315833333334</v>
      </c>
      <c r="J166" s="51">
        <v>0</v>
      </c>
      <c r="K166" s="34" t="str">
        <f t="shared" si="44"/>
        <v>4029/4030</v>
      </c>
      <c r="L166" s="34" t="str">
        <f>VLOOKUP(A166,'Trips&amp;Operators'!$C$1:$E$10000,3,FALSE)</f>
        <v>STURGEON</v>
      </c>
      <c r="M166" s="6">
        <f t="shared" si="45"/>
        <v>1.6608796293439809E-2</v>
      </c>
      <c r="N166" s="7"/>
      <c r="O166" s="7"/>
      <c r="P166" s="7"/>
      <c r="Q166" s="35"/>
      <c r="R166" s="35"/>
      <c r="S166" s="59"/>
      <c r="T166" s="1"/>
      <c r="U166" s="1"/>
      <c r="V166" s="38"/>
      <c r="W166" s="38"/>
      <c r="X166" s="38"/>
      <c r="Y166" s="38"/>
      <c r="Z166" s="38"/>
      <c r="AA166" s="38"/>
      <c r="AB166" s="39"/>
      <c r="AC166" s="39"/>
    </row>
    <row r="167" spans="1:29" x14ac:dyDescent="0.25">
      <c r="A167" s="85" t="s">
        <v>434</v>
      </c>
      <c r="B167" s="51">
        <v>4018</v>
      </c>
      <c r="C167" s="51" t="s">
        <v>60</v>
      </c>
      <c r="D167" s="51" t="s">
        <v>435</v>
      </c>
      <c r="E167" s="78">
        <v>42550.297638888886</v>
      </c>
      <c r="F167" s="78">
        <v>42550.298888888887</v>
      </c>
      <c r="G167" s="79">
        <v>1</v>
      </c>
      <c r="H167" s="78" t="s">
        <v>436</v>
      </c>
      <c r="I167" s="78">
        <v>42550.315682870372</v>
      </c>
      <c r="J167" s="51">
        <v>1</v>
      </c>
      <c r="K167" s="34" t="str">
        <f t="shared" si="44"/>
        <v>4017/4018</v>
      </c>
      <c r="L167" s="34" t="str">
        <f>VLOOKUP(A167,'Trips&amp;Operators'!$C$1:$E$10000,3,FALSE)</f>
        <v>MAYBERRY</v>
      </c>
      <c r="M167" s="6">
        <f t="shared" si="45"/>
        <v>1.6793981485534459E-2</v>
      </c>
      <c r="N167" s="7"/>
      <c r="O167" s="7"/>
      <c r="P167" s="7"/>
      <c r="Q167" s="35"/>
      <c r="R167" s="35"/>
      <c r="S167" s="59"/>
      <c r="T167" s="1"/>
      <c r="U167" s="1"/>
      <c r="V167" s="38"/>
      <c r="W167" s="38"/>
      <c r="X167" s="38"/>
      <c r="Y167" s="38"/>
      <c r="Z167" s="38"/>
      <c r="AA167" s="38"/>
      <c r="AB167" s="39"/>
      <c r="AC167" s="39"/>
    </row>
    <row r="168" spans="1:29" x14ac:dyDescent="0.25">
      <c r="A168" s="85" t="s">
        <v>437</v>
      </c>
      <c r="B168" s="51">
        <v>4017</v>
      </c>
      <c r="C168" s="51" t="s">
        <v>60</v>
      </c>
      <c r="D168" s="51" t="s">
        <v>438</v>
      </c>
      <c r="E168" s="78">
        <v>42550.31659722222</v>
      </c>
      <c r="F168" s="78">
        <v>42550.317708333336</v>
      </c>
      <c r="G168" s="79">
        <v>1</v>
      </c>
      <c r="H168" s="78" t="s">
        <v>439</v>
      </c>
      <c r="I168" s="78">
        <v>42550.33699074074</v>
      </c>
      <c r="J168" s="51">
        <v>1</v>
      </c>
      <c r="K168" s="34" t="str">
        <f t="shared" si="44"/>
        <v>4017/4018</v>
      </c>
      <c r="L168" s="34" t="str">
        <f>VLOOKUP(A168,'Trips&amp;Operators'!$C$1:$E$10000,3,FALSE)</f>
        <v>MAYBERRY</v>
      </c>
      <c r="M168" s="6">
        <f t="shared" si="45"/>
        <v>1.9282407403807156E-2</v>
      </c>
      <c r="N168" s="7"/>
      <c r="O168" s="7"/>
      <c r="P168" s="7"/>
      <c r="Q168" s="35"/>
      <c r="R168" s="35"/>
      <c r="S168" s="59"/>
      <c r="T168" s="1"/>
      <c r="U168" s="1"/>
      <c r="V168" s="38"/>
      <c r="W168" s="38"/>
      <c r="X168" s="38"/>
      <c r="Y168" s="38"/>
      <c r="Z168" s="38"/>
      <c r="AA168" s="38"/>
      <c r="AB168" s="39"/>
      <c r="AC168" s="39"/>
    </row>
    <row r="169" spans="1:29" x14ac:dyDescent="0.25">
      <c r="A169" s="85" t="s">
        <v>440</v>
      </c>
      <c r="B169" s="51">
        <v>4029</v>
      </c>
      <c r="C169" s="51" t="s">
        <v>60</v>
      </c>
      <c r="D169" s="51" t="s">
        <v>136</v>
      </c>
      <c r="E169" s="78">
        <v>42550.323981481481</v>
      </c>
      <c r="F169" s="78">
        <v>42550.324780092589</v>
      </c>
      <c r="G169" s="79">
        <v>1</v>
      </c>
      <c r="H169" s="78" t="s">
        <v>441</v>
      </c>
      <c r="I169" s="78">
        <v>42550.33798611111</v>
      </c>
      <c r="J169" s="51">
        <v>0</v>
      </c>
      <c r="K169" s="34" t="str">
        <f t="shared" si="44"/>
        <v>4029/4030</v>
      </c>
      <c r="L169" s="34" t="str">
        <f>VLOOKUP(A169,'Trips&amp;Operators'!$C$1:$E$10000,3,FALSE)</f>
        <v>STURGEON</v>
      </c>
      <c r="M169" s="6">
        <f t="shared" si="45"/>
        <v>1.3206018520577345E-2</v>
      </c>
      <c r="N169" s="7"/>
      <c r="O169" s="7"/>
      <c r="P169" s="7"/>
      <c r="Q169" s="35"/>
      <c r="R169" s="35"/>
      <c r="S169" s="59"/>
      <c r="T169" s="1"/>
      <c r="U169" s="1"/>
      <c r="V169" s="38"/>
      <c r="W169" s="38"/>
      <c r="X169" s="38"/>
      <c r="Y169" s="38"/>
      <c r="Z169" s="38"/>
      <c r="AA169" s="38"/>
      <c r="AB169" s="39"/>
      <c r="AC169" s="39"/>
    </row>
    <row r="170" spans="1:29" x14ac:dyDescent="0.25">
      <c r="A170" s="85" t="s">
        <v>442</v>
      </c>
      <c r="B170" s="51">
        <v>4030</v>
      </c>
      <c r="C170" s="51" t="s">
        <v>60</v>
      </c>
      <c r="D170" s="51" t="s">
        <v>443</v>
      </c>
      <c r="E170" s="78">
        <v>42550.339201388888</v>
      </c>
      <c r="F170" s="78">
        <v>42550.340150462966</v>
      </c>
      <c r="G170" s="79">
        <v>1</v>
      </c>
      <c r="H170" s="78" t="s">
        <v>444</v>
      </c>
      <c r="I170" s="78">
        <v>42550.355509259258</v>
      </c>
      <c r="J170" s="51">
        <v>0</v>
      </c>
      <c r="K170" s="34" t="str">
        <f t="shared" si="44"/>
        <v>4029/4030</v>
      </c>
      <c r="L170" s="34" t="str">
        <f>VLOOKUP(A170,'Trips&amp;Operators'!$C$1:$E$10000,3,FALSE)</f>
        <v>STURGEON</v>
      </c>
      <c r="M170" s="6">
        <f t="shared" si="45"/>
        <v>1.5358796292275656E-2</v>
      </c>
      <c r="N170" s="7"/>
      <c r="O170" s="7"/>
      <c r="P170" s="7"/>
      <c r="Q170" s="35"/>
      <c r="R170" s="35"/>
      <c r="S170" s="59"/>
      <c r="T170" s="1"/>
      <c r="U170" s="1"/>
      <c r="V170" s="38"/>
      <c r="W170" s="38"/>
      <c r="X170" s="38"/>
      <c r="Y170" s="38"/>
      <c r="Z170" s="38"/>
      <c r="AA170" s="38"/>
      <c r="AB170" s="39"/>
      <c r="AC170" s="39"/>
    </row>
    <row r="171" spans="1:29" x14ac:dyDescent="0.25">
      <c r="A171" s="85" t="s">
        <v>600</v>
      </c>
      <c r="B171" s="51">
        <v>4018</v>
      </c>
      <c r="C171" s="51" t="s">
        <v>60</v>
      </c>
      <c r="D171" s="51" t="s">
        <v>659</v>
      </c>
      <c r="E171" s="78">
        <v>42550.347037037034</v>
      </c>
      <c r="F171" s="78">
        <v>42550.349305555559</v>
      </c>
      <c r="G171" s="79">
        <v>3</v>
      </c>
      <c r="H171" s="78" t="s">
        <v>660</v>
      </c>
      <c r="I171" s="78">
        <v>42550.358657407407</v>
      </c>
      <c r="J171" s="51">
        <v>0</v>
      </c>
      <c r="K171" s="34" t="str">
        <f t="shared" si="44"/>
        <v>4017/4018</v>
      </c>
      <c r="L171" s="34" t="str">
        <f>VLOOKUP(A171,'Trips&amp;Operators'!$C$1:$E$10000,3,FALSE)</f>
        <v>MAYBERRY</v>
      </c>
      <c r="M171" s="6">
        <f t="shared" si="45"/>
        <v>9.3518518478958867E-3</v>
      </c>
      <c r="N171" s="7"/>
      <c r="O171" s="7"/>
      <c r="P171" s="7"/>
      <c r="Q171" s="35"/>
      <c r="R171" s="35"/>
      <c r="S171" s="59"/>
      <c r="T171" s="1"/>
      <c r="U171" s="1"/>
      <c r="V171" s="38"/>
      <c r="W171" s="38"/>
      <c r="X171" s="38"/>
      <c r="Y171" s="38"/>
      <c r="Z171" s="38"/>
      <c r="AA171" s="38"/>
      <c r="AB171" s="39"/>
      <c r="AC171" s="39"/>
    </row>
    <row r="172" spans="1:29" x14ac:dyDescent="0.25">
      <c r="A172" s="85" t="s">
        <v>528</v>
      </c>
      <c r="B172" s="51">
        <v>4017</v>
      </c>
      <c r="C172" s="51" t="s">
        <v>60</v>
      </c>
      <c r="D172" s="51" t="s">
        <v>661</v>
      </c>
      <c r="E172" s="78">
        <v>42550.359467592592</v>
      </c>
      <c r="F172" s="78">
        <v>42550.361550925925</v>
      </c>
      <c r="G172" s="79">
        <v>2</v>
      </c>
      <c r="H172" s="78" t="s">
        <v>662</v>
      </c>
      <c r="I172" s="78">
        <v>42550.372870370367</v>
      </c>
      <c r="J172" s="51">
        <v>1</v>
      </c>
      <c r="K172" s="34" t="str">
        <f t="shared" si="44"/>
        <v>4017/4018</v>
      </c>
      <c r="L172" s="34" t="str">
        <f>VLOOKUP(A172,'Trips&amp;Operators'!$C$1:$E$10000,3,FALSE)</f>
        <v>MAYBERRY</v>
      </c>
      <c r="M172" s="6">
        <f t="shared" si="45"/>
        <v>1.1319444442051463E-2</v>
      </c>
      <c r="N172" s="7"/>
      <c r="O172" s="7"/>
      <c r="P172" s="7"/>
      <c r="Q172" s="35"/>
      <c r="R172" s="35"/>
      <c r="S172" s="59"/>
      <c r="T172" s="1"/>
      <c r="U172" s="1"/>
      <c r="V172" s="38"/>
      <c r="W172" s="38"/>
      <c r="X172" s="38"/>
      <c r="Y172" s="38"/>
      <c r="Z172" s="38"/>
      <c r="AA172" s="38"/>
      <c r="AB172" s="39"/>
      <c r="AC172" s="39"/>
    </row>
    <row r="173" spans="1:29" x14ac:dyDescent="0.25">
      <c r="A173" s="85" t="s">
        <v>529</v>
      </c>
      <c r="B173" s="51">
        <v>4018</v>
      </c>
      <c r="C173" s="51" t="s">
        <v>60</v>
      </c>
      <c r="D173" s="51" t="s">
        <v>663</v>
      </c>
      <c r="E173" s="78">
        <v>42550.383634259262</v>
      </c>
      <c r="F173" s="78">
        <v>42550.384571759256</v>
      </c>
      <c r="G173" s="79">
        <v>1</v>
      </c>
      <c r="H173" s="78" t="s">
        <v>441</v>
      </c>
      <c r="I173" s="78">
        <v>42550.399131944447</v>
      </c>
      <c r="J173" s="51">
        <v>1</v>
      </c>
      <c r="K173" s="34" t="str">
        <f t="shared" si="44"/>
        <v>4017/4018</v>
      </c>
      <c r="L173" s="34" t="str">
        <f>VLOOKUP(A173,'Trips&amp;Operators'!$C$1:$E$10000,3,FALSE)</f>
        <v>MAYBERRY</v>
      </c>
      <c r="M173" s="6">
        <f t="shared" si="45"/>
        <v>1.4560185190930497E-2</v>
      </c>
      <c r="N173" s="7"/>
      <c r="O173" s="7"/>
      <c r="P173" s="7"/>
      <c r="Q173" s="35"/>
      <c r="R173" s="35"/>
      <c r="S173" s="59"/>
      <c r="T173" s="1"/>
      <c r="U173" s="1"/>
      <c r="V173" s="38"/>
      <c r="W173" s="38"/>
      <c r="X173" s="38"/>
      <c r="Y173" s="38"/>
      <c r="Z173" s="38"/>
      <c r="AA173" s="38"/>
      <c r="AB173" s="39"/>
      <c r="AC173" s="39"/>
    </row>
    <row r="174" spans="1:29" x14ac:dyDescent="0.25">
      <c r="A174" s="85" t="s">
        <v>548</v>
      </c>
      <c r="B174" s="51">
        <v>4017</v>
      </c>
      <c r="C174" s="51" t="s">
        <v>60</v>
      </c>
      <c r="D174" s="51" t="s">
        <v>664</v>
      </c>
      <c r="E174" s="78">
        <v>42550.399942129632</v>
      </c>
      <c r="F174" s="78">
        <v>42550.40084490741</v>
      </c>
      <c r="G174" s="79">
        <v>1</v>
      </c>
      <c r="H174" s="78" t="s">
        <v>665</v>
      </c>
      <c r="I174" s="78">
        <v>42550.412812499999</v>
      </c>
      <c r="J174" s="51">
        <v>0</v>
      </c>
      <c r="K174" s="34" t="str">
        <f t="shared" si="44"/>
        <v>4017/4018</v>
      </c>
      <c r="L174" s="34" t="str">
        <f>VLOOKUP(A174,'Trips&amp;Operators'!$C$1:$E$10000,3,FALSE)</f>
        <v>MAYBERRY</v>
      </c>
      <c r="M174" s="6">
        <f t="shared" si="45"/>
        <v>1.1967592588916887E-2</v>
      </c>
      <c r="N174" s="7"/>
      <c r="O174" s="7"/>
      <c r="P174" s="7"/>
      <c r="Q174" s="35"/>
      <c r="R174" s="35"/>
      <c r="S174" s="59"/>
      <c r="T174" s="1"/>
      <c r="U174" s="1"/>
      <c r="V174" s="38"/>
      <c r="W174" s="38"/>
      <c r="X174" s="38"/>
      <c r="Y174" s="38"/>
      <c r="Z174" s="38"/>
      <c r="AA174" s="38"/>
      <c r="AB174" s="39"/>
      <c r="AC174" s="39"/>
    </row>
    <row r="175" spans="1:29" x14ac:dyDescent="0.25">
      <c r="A175" s="85" t="s">
        <v>536</v>
      </c>
      <c r="B175" s="51">
        <v>4018</v>
      </c>
      <c r="C175" s="51" t="s">
        <v>60</v>
      </c>
      <c r="D175" s="51" t="s">
        <v>666</v>
      </c>
      <c r="E175" s="78">
        <v>42550.415532407409</v>
      </c>
      <c r="F175" s="78">
        <v>42550.416770833333</v>
      </c>
      <c r="G175" s="79">
        <v>1</v>
      </c>
      <c r="H175" s="78" t="s">
        <v>441</v>
      </c>
      <c r="I175" s="78">
        <v>42550.441562499997</v>
      </c>
      <c r="J175" s="51">
        <v>1</v>
      </c>
      <c r="K175" s="34" t="str">
        <f t="shared" si="44"/>
        <v>4017/4018</v>
      </c>
      <c r="L175" s="34" t="str">
        <f>VLOOKUP(A175,'Trips&amp;Operators'!$C$1:$E$10000,3,FALSE)</f>
        <v>MAYBERRY</v>
      </c>
      <c r="M175" s="6">
        <f t="shared" si="45"/>
        <v>2.4791666663077194E-2</v>
      </c>
      <c r="N175" s="7"/>
      <c r="O175" s="7"/>
      <c r="P175" s="7"/>
      <c r="Q175" s="35"/>
      <c r="R175" s="35"/>
      <c r="S175" s="59"/>
      <c r="T175" s="1"/>
      <c r="U175" s="1"/>
      <c r="V175" s="38"/>
      <c r="W175" s="38"/>
      <c r="X175" s="38"/>
      <c r="Y175" s="38"/>
      <c r="Z175" s="38"/>
      <c r="AA175" s="38"/>
      <c r="AB175" s="39"/>
      <c r="AC175" s="39"/>
    </row>
    <row r="176" spans="1:29" x14ac:dyDescent="0.25">
      <c r="A176" s="85" t="s">
        <v>636</v>
      </c>
      <c r="B176" s="51">
        <v>4017</v>
      </c>
      <c r="C176" s="51" t="s">
        <v>60</v>
      </c>
      <c r="D176" s="51" t="s">
        <v>500</v>
      </c>
      <c r="E176" s="78">
        <v>42550.442546296297</v>
      </c>
      <c r="F176" s="78">
        <v>42550.443611111114</v>
      </c>
      <c r="G176" s="79">
        <v>1</v>
      </c>
      <c r="H176" s="78" t="s">
        <v>667</v>
      </c>
      <c r="I176" s="78">
        <v>42550.455196759256</v>
      </c>
      <c r="J176" s="51">
        <v>0</v>
      </c>
      <c r="K176" s="34" t="str">
        <f t="shared" si="44"/>
        <v>4017/4018</v>
      </c>
      <c r="L176" s="34" t="str">
        <f>VLOOKUP(A176,'Trips&amp;Operators'!$C$1:$E$10000,3,FALSE)</f>
        <v>MAYBERRY</v>
      </c>
      <c r="M176" s="6">
        <f t="shared" si="45"/>
        <v>1.1585648142499849E-2</v>
      </c>
      <c r="N176" s="7"/>
      <c r="O176" s="7"/>
      <c r="P176" s="7"/>
      <c r="Q176" s="35"/>
      <c r="R176" s="35"/>
      <c r="S176" s="59"/>
      <c r="T176" s="1"/>
      <c r="U176" s="1"/>
      <c r="V176" s="38"/>
      <c r="W176" s="38"/>
      <c r="X176" s="38"/>
      <c r="Y176" s="38"/>
      <c r="Z176" s="38"/>
      <c r="AA176" s="38"/>
      <c r="AB176" s="39"/>
      <c r="AC176" s="39"/>
    </row>
    <row r="177" spans="1:29" x14ac:dyDescent="0.25">
      <c r="A177" s="85" t="s">
        <v>445</v>
      </c>
      <c r="B177" s="51">
        <v>4018</v>
      </c>
      <c r="C177" s="51" t="s">
        <v>60</v>
      </c>
      <c r="D177" s="51" t="s">
        <v>446</v>
      </c>
      <c r="E177" s="78">
        <v>42550.456516203703</v>
      </c>
      <c r="F177" s="78">
        <v>42550.457743055558</v>
      </c>
      <c r="G177" s="79">
        <v>1</v>
      </c>
      <c r="H177" s="78" t="s">
        <v>447</v>
      </c>
      <c r="I177" s="78">
        <v>42550.482557870368</v>
      </c>
      <c r="J177" s="51">
        <v>3</v>
      </c>
      <c r="K177" s="34" t="str">
        <f t="shared" si="44"/>
        <v>4017/4018</v>
      </c>
      <c r="L177" s="34" t="str">
        <f>VLOOKUP(A177,'Trips&amp;Operators'!$C$1:$E$10000,3,FALSE)</f>
        <v>MAYBERRY</v>
      </c>
      <c r="M177" s="6">
        <f t="shared" si="45"/>
        <v>2.4814814809360541E-2</v>
      </c>
      <c r="N177" s="7"/>
      <c r="O177" s="7"/>
      <c r="P177" s="7"/>
      <c r="Q177" s="35"/>
      <c r="R177" s="35"/>
      <c r="S177" s="59"/>
      <c r="T177" s="1"/>
      <c r="U177" s="1"/>
      <c r="V177" s="38"/>
      <c r="W177" s="38"/>
      <c r="X177" s="38"/>
      <c r="Y177" s="38"/>
      <c r="Z177" s="38"/>
      <c r="AA177" s="38"/>
      <c r="AB177" s="39"/>
      <c r="AC177" s="39"/>
    </row>
    <row r="178" spans="1:29" x14ac:dyDescent="0.25">
      <c r="A178" s="85" t="s">
        <v>448</v>
      </c>
      <c r="B178" s="51">
        <v>4017</v>
      </c>
      <c r="C178" s="51" t="s">
        <v>60</v>
      </c>
      <c r="D178" s="51" t="s">
        <v>449</v>
      </c>
      <c r="E178" s="78">
        <v>42550.483437499999</v>
      </c>
      <c r="F178" s="78">
        <v>42550.484293981484</v>
      </c>
      <c r="G178" s="79">
        <v>1</v>
      </c>
      <c r="H178" s="78" t="s">
        <v>450</v>
      </c>
      <c r="I178" s="78">
        <v>42550.49790509259</v>
      </c>
      <c r="J178" s="51">
        <v>1</v>
      </c>
      <c r="K178" s="34" t="str">
        <f t="shared" si="44"/>
        <v>4017/4018</v>
      </c>
      <c r="L178" s="34" t="str">
        <f>VLOOKUP(A178,'Trips&amp;Operators'!$C$1:$E$10000,3,FALSE)</f>
        <v>MAYBERRY</v>
      </c>
      <c r="M178" s="6">
        <f t="shared" si="45"/>
        <v>1.3611111106001772E-2</v>
      </c>
      <c r="N178" s="7"/>
      <c r="O178" s="7"/>
      <c r="P178" s="7"/>
      <c r="Q178" s="35"/>
      <c r="R178" s="35"/>
      <c r="S178" s="59"/>
      <c r="T178" s="1"/>
      <c r="U178" s="1"/>
      <c r="V178" s="38"/>
      <c r="W178" s="38"/>
      <c r="X178" s="38"/>
      <c r="Y178" s="38"/>
      <c r="Z178" s="38"/>
      <c r="AA178" s="38"/>
      <c r="AB178" s="39"/>
      <c r="AC178" s="39"/>
    </row>
    <row r="179" spans="1:29" x14ac:dyDescent="0.25">
      <c r="A179" s="85" t="s">
        <v>451</v>
      </c>
      <c r="B179" s="51">
        <v>4018</v>
      </c>
      <c r="C179" s="51" t="s">
        <v>60</v>
      </c>
      <c r="D179" s="51" t="s">
        <v>452</v>
      </c>
      <c r="E179" s="78">
        <v>42550.499062499999</v>
      </c>
      <c r="F179" s="78">
        <v>42550.500659722224</v>
      </c>
      <c r="G179" s="79">
        <v>2</v>
      </c>
      <c r="H179" s="78" t="s">
        <v>418</v>
      </c>
      <c r="I179" s="78">
        <v>42550.524131944447</v>
      </c>
      <c r="J179" s="51">
        <v>1</v>
      </c>
      <c r="K179" s="34" t="str">
        <f t="shared" ref="K179:K209" si="46">IF(ISEVEN(B179),(B179-1)&amp;"/"&amp;B179,B179&amp;"/"&amp;(B179+1))</f>
        <v>4017/4018</v>
      </c>
      <c r="L179" s="34" t="str">
        <f>VLOOKUP(A179,'Trips&amp;Operators'!$C$1:$E$10000,3,FALSE)</f>
        <v>MAYBERRY</v>
      </c>
      <c r="M179" s="6">
        <f t="shared" ref="M179:M209" si="47">I179-F179</f>
        <v>2.3472222223063E-2</v>
      </c>
      <c r="N179" s="7"/>
      <c r="O179" s="7"/>
      <c r="P179" s="7"/>
      <c r="Q179" s="35"/>
      <c r="R179" s="35"/>
      <c r="S179" s="59"/>
    </row>
    <row r="180" spans="1:29" x14ac:dyDescent="0.25">
      <c r="A180" s="85" t="s">
        <v>453</v>
      </c>
      <c r="B180" s="51">
        <v>4017</v>
      </c>
      <c r="C180" s="51" t="s">
        <v>60</v>
      </c>
      <c r="D180" s="51" t="s">
        <v>454</v>
      </c>
      <c r="E180" s="78">
        <v>42550.524918981479</v>
      </c>
      <c r="F180" s="78">
        <v>42550.525902777779</v>
      </c>
      <c r="G180" s="79">
        <v>1</v>
      </c>
      <c r="H180" s="78" t="s">
        <v>455</v>
      </c>
      <c r="I180" s="78">
        <v>42550.538599537038</v>
      </c>
      <c r="J180" s="51">
        <v>0</v>
      </c>
      <c r="K180" s="34" t="str">
        <f t="shared" si="46"/>
        <v>4017/4018</v>
      </c>
      <c r="L180" s="34" t="str">
        <f>VLOOKUP(A180,'Trips&amp;Operators'!$C$1:$E$10000,3,FALSE)</f>
        <v>MAYBERRY</v>
      </c>
      <c r="M180" s="6">
        <f t="shared" si="47"/>
        <v>1.2696759258687962E-2</v>
      </c>
      <c r="N180" s="7"/>
      <c r="O180" s="7"/>
      <c r="P180" s="7"/>
      <c r="Q180" s="35"/>
      <c r="R180" s="35"/>
      <c r="S180" s="59"/>
    </row>
    <row r="181" spans="1:29" x14ac:dyDescent="0.25">
      <c r="A181" s="85" t="s">
        <v>456</v>
      </c>
      <c r="B181" s="51">
        <v>4018</v>
      </c>
      <c r="C181" s="51" t="s">
        <v>60</v>
      </c>
      <c r="D181" s="51" t="s">
        <v>457</v>
      </c>
      <c r="E181" s="78">
        <v>42550.540185185186</v>
      </c>
      <c r="F181" s="78">
        <v>42550.541631944441</v>
      </c>
      <c r="G181" s="79">
        <v>2</v>
      </c>
      <c r="H181" s="78" t="s">
        <v>458</v>
      </c>
      <c r="I181" s="78">
        <v>42550.566458333335</v>
      </c>
      <c r="J181" s="51">
        <v>2</v>
      </c>
      <c r="K181" s="34" t="str">
        <f t="shared" si="46"/>
        <v>4017/4018</v>
      </c>
      <c r="L181" s="34" t="str">
        <f>VLOOKUP(A181,'Trips&amp;Operators'!$C$1:$E$10000,3,FALSE)</f>
        <v>MAYBERRY</v>
      </c>
      <c r="M181" s="6">
        <f t="shared" si="47"/>
        <v>2.4826388893416151E-2</v>
      </c>
      <c r="N181" s="7"/>
      <c r="O181" s="7"/>
      <c r="P181" s="7"/>
      <c r="Q181" s="35"/>
      <c r="R181" s="35"/>
      <c r="S181" s="59"/>
    </row>
    <row r="182" spans="1:29" x14ac:dyDescent="0.25">
      <c r="A182" s="85" t="s">
        <v>459</v>
      </c>
      <c r="B182" s="51">
        <v>4017</v>
      </c>
      <c r="C182" s="51" t="s">
        <v>60</v>
      </c>
      <c r="D182" s="51" t="s">
        <v>460</v>
      </c>
      <c r="E182" s="78">
        <v>42550.567129629628</v>
      </c>
      <c r="F182" s="78">
        <v>42550.567997685182</v>
      </c>
      <c r="G182" s="79">
        <v>1</v>
      </c>
      <c r="H182" s="78" t="s">
        <v>461</v>
      </c>
      <c r="I182" s="78">
        <v>42550.579664351855</v>
      </c>
      <c r="J182" s="51">
        <v>1</v>
      </c>
      <c r="K182" s="34" t="str">
        <f t="shared" si="46"/>
        <v>4017/4018</v>
      </c>
      <c r="L182" s="34" t="str">
        <f>VLOOKUP(A182,'Trips&amp;Operators'!$C$1:$E$10000,3,FALSE)</f>
        <v>MAYBERRY</v>
      </c>
      <c r="M182" s="6">
        <f t="shared" si="47"/>
        <v>1.1666666672681458E-2</v>
      </c>
      <c r="N182" s="7"/>
      <c r="O182" s="7"/>
      <c r="P182" s="7"/>
      <c r="Q182" s="35"/>
      <c r="R182" s="35"/>
      <c r="S182" s="59"/>
    </row>
    <row r="183" spans="1:29" x14ac:dyDescent="0.25">
      <c r="A183" s="85" t="s">
        <v>462</v>
      </c>
      <c r="B183" s="51">
        <v>4018</v>
      </c>
      <c r="C183" s="51" t="s">
        <v>60</v>
      </c>
      <c r="D183" s="51" t="s">
        <v>463</v>
      </c>
      <c r="E183" s="78">
        <v>42550.592118055552</v>
      </c>
      <c r="F183" s="78">
        <v>42550.632511574076</v>
      </c>
      <c r="G183" s="79">
        <v>58</v>
      </c>
      <c r="H183" s="78" t="s">
        <v>464</v>
      </c>
      <c r="I183" s="78">
        <v>42550.648657407408</v>
      </c>
      <c r="J183" s="51">
        <v>0</v>
      </c>
      <c r="K183" s="34" t="str">
        <f t="shared" si="46"/>
        <v>4017/4018</v>
      </c>
      <c r="L183" s="34" t="str">
        <f>VLOOKUP(A183,'Trips&amp;Operators'!$C$1:$E$10000,3,FALSE)</f>
        <v>HELVIE</v>
      </c>
      <c r="M183" s="6">
        <f t="shared" si="47"/>
        <v>1.6145833331393078E-2</v>
      </c>
      <c r="N183" s="7"/>
      <c r="O183" s="7"/>
      <c r="P183" s="7"/>
      <c r="Q183" s="35"/>
      <c r="R183" s="35"/>
      <c r="S183" s="59"/>
    </row>
    <row r="184" spans="1:29" x14ac:dyDescent="0.25">
      <c r="A184" s="85" t="s">
        <v>462</v>
      </c>
      <c r="B184" s="51">
        <v>4018</v>
      </c>
      <c r="C184" s="51" t="s">
        <v>60</v>
      </c>
      <c r="D184" s="51" t="s">
        <v>465</v>
      </c>
      <c r="E184" s="78">
        <v>42550.592118055552</v>
      </c>
      <c r="F184" s="78">
        <v>42550.593101851853</v>
      </c>
      <c r="G184" s="79">
        <v>1</v>
      </c>
      <c r="H184" s="78" t="s">
        <v>466</v>
      </c>
      <c r="I184" s="78">
        <v>42550.606585648151</v>
      </c>
      <c r="J184" s="51">
        <v>0</v>
      </c>
      <c r="K184" s="34" t="str">
        <f t="shared" si="46"/>
        <v>4017/4018</v>
      </c>
      <c r="L184" s="34" t="str">
        <f>VLOOKUP(A184,'Trips&amp;Operators'!$C$1:$E$10000,3,FALSE)</f>
        <v>HELVIE</v>
      </c>
      <c r="M184" s="6">
        <f t="shared" si="47"/>
        <v>1.3483796297805384E-2</v>
      </c>
      <c r="N184" s="7"/>
      <c r="O184" s="7"/>
      <c r="P184" s="7"/>
      <c r="Q184" s="35"/>
      <c r="R184" s="35"/>
      <c r="S184" s="59"/>
    </row>
    <row r="185" spans="1:29" x14ac:dyDescent="0.25">
      <c r="A185" s="85" t="s">
        <v>467</v>
      </c>
      <c r="B185" s="51">
        <v>4017</v>
      </c>
      <c r="C185" s="51" t="s">
        <v>60</v>
      </c>
      <c r="D185" s="51" t="s">
        <v>468</v>
      </c>
      <c r="E185" s="78">
        <v>42550.607743055552</v>
      </c>
      <c r="F185" s="78">
        <v>42550.608657407407</v>
      </c>
      <c r="G185" s="79">
        <v>1</v>
      </c>
      <c r="H185" s="78" t="s">
        <v>469</v>
      </c>
      <c r="I185" s="78">
        <v>42550.620752314811</v>
      </c>
      <c r="J185" s="51">
        <v>0</v>
      </c>
      <c r="K185" s="34" t="str">
        <f t="shared" si="46"/>
        <v>4017/4018</v>
      </c>
      <c r="L185" s="34" t="str">
        <f>VLOOKUP(A185,'Trips&amp;Operators'!$C$1:$E$10000,3,FALSE)</f>
        <v>HELVIE</v>
      </c>
      <c r="M185" s="6">
        <f t="shared" si="47"/>
        <v>1.2094907404389232E-2</v>
      </c>
      <c r="N185" s="7"/>
      <c r="O185" s="7"/>
      <c r="P185" s="7"/>
      <c r="Q185" s="35"/>
      <c r="R185" s="35"/>
      <c r="S185" s="59"/>
    </row>
    <row r="186" spans="1:29" x14ac:dyDescent="0.25">
      <c r="A186" s="85" t="s">
        <v>470</v>
      </c>
      <c r="B186" s="51">
        <v>4017</v>
      </c>
      <c r="C186" s="51" t="s">
        <v>60</v>
      </c>
      <c r="D186" s="51" t="s">
        <v>471</v>
      </c>
      <c r="E186" s="78">
        <v>42550.649513888886</v>
      </c>
      <c r="F186" s="78">
        <v>42550.650358796294</v>
      </c>
      <c r="G186" s="79">
        <v>1</v>
      </c>
      <c r="H186" s="78" t="s">
        <v>472</v>
      </c>
      <c r="I186" s="78">
        <v>42550.66300925926</v>
      </c>
      <c r="J186" s="51">
        <v>0</v>
      </c>
      <c r="K186" s="34" t="str">
        <f t="shared" si="46"/>
        <v>4017/4018</v>
      </c>
      <c r="L186" s="34" t="str">
        <f>VLOOKUP(A186,'Trips&amp;Operators'!$C$1:$E$10000,3,FALSE)</f>
        <v>HELVIE</v>
      </c>
      <c r="M186" s="6">
        <f t="shared" si="47"/>
        <v>1.2650462966121268E-2</v>
      </c>
      <c r="N186" s="7"/>
      <c r="O186" s="7"/>
      <c r="P186" s="7"/>
      <c r="Q186" s="35"/>
      <c r="R186" s="35"/>
      <c r="S186" s="59"/>
    </row>
    <row r="187" spans="1:29" x14ac:dyDescent="0.25">
      <c r="A187" s="85" t="s">
        <v>473</v>
      </c>
      <c r="B187" s="51">
        <v>4029</v>
      </c>
      <c r="C187" s="51" t="s">
        <v>60</v>
      </c>
      <c r="D187" s="51" t="s">
        <v>474</v>
      </c>
      <c r="E187" s="78">
        <v>42550.653344907405</v>
      </c>
      <c r="F187" s="78">
        <v>42550.654467592591</v>
      </c>
      <c r="G187" s="79">
        <v>1</v>
      </c>
      <c r="H187" s="78" t="s">
        <v>475</v>
      </c>
      <c r="I187" s="78">
        <v>42550.669791666667</v>
      </c>
      <c r="J187" s="51">
        <v>0</v>
      </c>
      <c r="K187" s="34" t="str">
        <f t="shared" si="46"/>
        <v>4029/4030</v>
      </c>
      <c r="L187" s="34" t="str">
        <f>VLOOKUP(A187,'Trips&amp;Operators'!$C$1:$E$10000,3,FALSE)</f>
        <v>DE LA ROSA</v>
      </c>
      <c r="M187" s="6">
        <f t="shared" si="47"/>
        <v>1.5324074076488614E-2</v>
      </c>
      <c r="N187" s="7"/>
      <c r="O187" s="7"/>
      <c r="P187" s="7"/>
      <c r="Q187" s="35"/>
      <c r="R187" s="35"/>
      <c r="S187" s="59"/>
    </row>
    <row r="188" spans="1:29" x14ac:dyDescent="0.25">
      <c r="A188" s="85" t="s">
        <v>476</v>
      </c>
      <c r="B188" s="51">
        <v>4030</v>
      </c>
      <c r="C188" s="51" t="s">
        <v>60</v>
      </c>
      <c r="D188" s="51" t="s">
        <v>432</v>
      </c>
      <c r="E188" s="78">
        <v>42550.67083333333</v>
      </c>
      <c r="F188" s="78">
        <v>42550.671979166669</v>
      </c>
      <c r="G188" s="79">
        <v>1</v>
      </c>
      <c r="H188" s="78" t="s">
        <v>75</v>
      </c>
      <c r="I188" s="78">
        <v>42550.685243055559</v>
      </c>
      <c r="J188" s="51">
        <v>0</v>
      </c>
      <c r="K188" s="34" t="str">
        <f t="shared" si="46"/>
        <v>4029/4030</v>
      </c>
      <c r="L188" s="34" t="str">
        <f>VLOOKUP(A188,'Trips&amp;Operators'!$C$1:$E$10000,3,FALSE)</f>
        <v>DE LA ROSA</v>
      </c>
      <c r="M188" s="6">
        <f t="shared" si="47"/>
        <v>1.3263888889923692E-2</v>
      </c>
      <c r="N188" s="7"/>
      <c r="O188" s="7"/>
      <c r="P188" s="7"/>
      <c r="Q188" s="35"/>
      <c r="R188" s="35"/>
      <c r="S188" s="59"/>
    </row>
    <row r="189" spans="1:29" x14ac:dyDescent="0.25">
      <c r="A189" s="85" t="s">
        <v>477</v>
      </c>
      <c r="B189" s="51">
        <v>4018</v>
      </c>
      <c r="C189" s="51" t="s">
        <v>60</v>
      </c>
      <c r="D189" s="51" t="s">
        <v>478</v>
      </c>
      <c r="E189" s="78">
        <v>42550.676944444444</v>
      </c>
      <c r="F189" s="78">
        <v>42550.678078703706</v>
      </c>
      <c r="G189" s="79">
        <v>1</v>
      </c>
      <c r="H189" s="78" t="s">
        <v>479</v>
      </c>
      <c r="I189" s="78">
        <v>42550.689687500002</v>
      </c>
      <c r="J189" s="51">
        <v>0</v>
      </c>
      <c r="K189" s="34" t="str">
        <f t="shared" si="46"/>
        <v>4017/4018</v>
      </c>
      <c r="L189" s="34" t="str">
        <f>VLOOKUP(A189,'Trips&amp;Operators'!$C$1:$E$10000,3,FALSE)</f>
        <v>HELVIE</v>
      </c>
      <c r="M189" s="6">
        <f t="shared" si="47"/>
        <v>1.1608796296059154E-2</v>
      </c>
      <c r="N189" s="7"/>
      <c r="O189" s="7"/>
      <c r="P189" s="7"/>
      <c r="Q189" s="35"/>
      <c r="R189" s="35"/>
      <c r="S189" s="59"/>
    </row>
    <row r="190" spans="1:29" x14ac:dyDescent="0.25">
      <c r="A190" s="85" t="s">
        <v>480</v>
      </c>
      <c r="B190" s="51">
        <v>4017</v>
      </c>
      <c r="C190" s="51" t="s">
        <v>60</v>
      </c>
      <c r="D190" s="51" t="s">
        <v>471</v>
      </c>
      <c r="E190" s="78">
        <v>42550.692499999997</v>
      </c>
      <c r="F190" s="78">
        <v>42550.69358796296</v>
      </c>
      <c r="G190" s="79">
        <v>1</v>
      </c>
      <c r="H190" s="78" t="s">
        <v>481</v>
      </c>
      <c r="I190" s="78">
        <v>42550.703969907408</v>
      </c>
      <c r="J190" s="51">
        <v>0</v>
      </c>
      <c r="K190" s="34" t="str">
        <f t="shared" si="46"/>
        <v>4017/4018</v>
      </c>
      <c r="L190" s="34" t="str">
        <f>VLOOKUP(A190,'Trips&amp;Operators'!$C$1:$E$10000,3,FALSE)</f>
        <v>HELVIE</v>
      </c>
      <c r="M190" s="6">
        <f t="shared" si="47"/>
        <v>1.0381944448454306E-2</v>
      </c>
      <c r="N190" s="7"/>
      <c r="O190" s="7"/>
      <c r="P190" s="7"/>
      <c r="Q190" s="35"/>
      <c r="R190" s="35"/>
      <c r="S190" s="59"/>
    </row>
    <row r="191" spans="1:29" x14ac:dyDescent="0.25">
      <c r="A191" s="85" t="s">
        <v>482</v>
      </c>
      <c r="B191" s="51">
        <v>4029</v>
      </c>
      <c r="C191" s="51" t="s">
        <v>60</v>
      </c>
      <c r="D191" s="51" t="s">
        <v>151</v>
      </c>
      <c r="E191" s="78">
        <v>42550.694571759261</v>
      </c>
      <c r="F191" s="78">
        <v>42550.696296296293</v>
      </c>
      <c r="G191" s="79">
        <v>2</v>
      </c>
      <c r="H191" s="78" t="s">
        <v>483</v>
      </c>
      <c r="I191" s="78">
        <v>42550.711631944447</v>
      </c>
      <c r="J191" s="51">
        <v>1</v>
      </c>
      <c r="K191" s="34" t="str">
        <f t="shared" si="46"/>
        <v>4029/4030</v>
      </c>
      <c r="L191" s="34" t="str">
        <f>VLOOKUP(A191,'Trips&amp;Operators'!$C$1:$E$10000,3,FALSE)</f>
        <v>DE LA ROSA</v>
      </c>
      <c r="M191" s="6">
        <f t="shared" si="47"/>
        <v>1.5335648153268266E-2</v>
      </c>
      <c r="N191" s="7"/>
      <c r="O191" s="7"/>
      <c r="P191" s="7"/>
      <c r="Q191" s="35"/>
      <c r="R191" s="35"/>
      <c r="S191" s="59"/>
    </row>
    <row r="192" spans="1:29" x14ac:dyDescent="0.25">
      <c r="A192" s="85" t="s">
        <v>484</v>
      </c>
      <c r="B192" s="51">
        <v>4030</v>
      </c>
      <c r="C192" s="51" t="s">
        <v>60</v>
      </c>
      <c r="D192" s="51" t="s">
        <v>485</v>
      </c>
      <c r="E192" s="78">
        <v>42550.712916666664</v>
      </c>
      <c r="F192" s="78">
        <v>42550.713912037034</v>
      </c>
      <c r="G192" s="79">
        <v>1</v>
      </c>
      <c r="H192" s="78" t="s">
        <v>486</v>
      </c>
      <c r="I192" s="78">
        <v>42550.726527777777</v>
      </c>
      <c r="J192" s="51">
        <v>1</v>
      </c>
      <c r="K192" s="34" t="str">
        <f t="shared" si="46"/>
        <v>4029/4030</v>
      </c>
      <c r="L192" s="34" t="str">
        <f>VLOOKUP(A192,'Trips&amp;Operators'!$C$1:$E$10000,3,FALSE)</f>
        <v>DE LA ROSA</v>
      </c>
      <c r="M192" s="6">
        <f t="shared" si="47"/>
        <v>1.2615740743058268E-2</v>
      </c>
      <c r="N192" s="7"/>
      <c r="O192" s="7"/>
      <c r="P192" s="7"/>
      <c r="Q192" s="35"/>
      <c r="R192" s="35"/>
      <c r="S192" s="59"/>
    </row>
    <row r="193" spans="1:19" x14ac:dyDescent="0.25">
      <c r="A193" s="85" t="s">
        <v>487</v>
      </c>
      <c r="B193" s="51">
        <v>4018</v>
      </c>
      <c r="C193" s="51" t="s">
        <v>60</v>
      </c>
      <c r="D193" s="51" t="s">
        <v>488</v>
      </c>
      <c r="E193" s="78">
        <v>42550.719039351854</v>
      </c>
      <c r="F193" s="78">
        <v>42550.720439814817</v>
      </c>
      <c r="G193" s="79">
        <v>2</v>
      </c>
      <c r="H193" s="78" t="s">
        <v>489</v>
      </c>
      <c r="I193" s="78">
        <v>42550.731527777774</v>
      </c>
      <c r="J193" s="51">
        <v>2</v>
      </c>
      <c r="K193" s="34" t="str">
        <f t="shared" si="46"/>
        <v>4017/4018</v>
      </c>
      <c r="L193" s="34" t="str">
        <f>VLOOKUP(A193,'Trips&amp;Operators'!$C$1:$E$10000,3,FALSE)</f>
        <v>HELVIE</v>
      </c>
      <c r="M193" s="6">
        <f t="shared" si="47"/>
        <v>1.1087962957390118E-2</v>
      </c>
      <c r="N193" s="7"/>
      <c r="O193" s="7"/>
      <c r="P193" s="7"/>
      <c r="Q193" s="35"/>
      <c r="R193" s="35"/>
      <c r="S193" s="59"/>
    </row>
    <row r="194" spans="1:19" x14ac:dyDescent="0.25">
      <c r="A194" s="85" t="s">
        <v>490</v>
      </c>
      <c r="B194" s="51">
        <v>4017</v>
      </c>
      <c r="C194" s="51" t="s">
        <v>60</v>
      </c>
      <c r="D194" s="51" t="s">
        <v>491</v>
      </c>
      <c r="E194" s="78">
        <v>42550.73364583333</v>
      </c>
      <c r="F194" s="78">
        <v>42550.7344212963</v>
      </c>
      <c r="G194" s="79">
        <v>1</v>
      </c>
      <c r="H194" s="78" t="s">
        <v>469</v>
      </c>
      <c r="I194" s="78">
        <v>42550.745613425926</v>
      </c>
      <c r="J194" s="51">
        <v>0</v>
      </c>
      <c r="K194" s="34" t="str">
        <f t="shared" si="46"/>
        <v>4017/4018</v>
      </c>
      <c r="L194" s="34" t="str">
        <f>VLOOKUP(A194,'Trips&amp;Operators'!$C$1:$E$10000,3,FALSE)</f>
        <v>HELVIE</v>
      </c>
      <c r="M194" s="6">
        <f t="shared" si="47"/>
        <v>1.1192129626579117E-2</v>
      </c>
      <c r="N194" s="7"/>
      <c r="O194" s="7"/>
      <c r="P194" s="7"/>
      <c r="Q194" s="35"/>
      <c r="R194" s="35"/>
      <c r="S194" s="59"/>
    </row>
    <row r="195" spans="1:19" x14ac:dyDescent="0.25">
      <c r="A195" s="85" t="s">
        <v>492</v>
      </c>
      <c r="B195" s="51">
        <v>4029</v>
      </c>
      <c r="C195" s="51" t="s">
        <v>60</v>
      </c>
      <c r="D195" s="51" t="s">
        <v>493</v>
      </c>
      <c r="E195" s="78">
        <v>42550.738807870373</v>
      </c>
      <c r="F195" s="78">
        <v>42550.739733796298</v>
      </c>
      <c r="G195" s="79">
        <v>1</v>
      </c>
      <c r="H195" s="78" t="s">
        <v>464</v>
      </c>
      <c r="I195" s="78">
        <v>42550.75267361111</v>
      </c>
      <c r="J195" s="51">
        <v>0</v>
      </c>
      <c r="K195" s="34" t="str">
        <f t="shared" si="46"/>
        <v>4029/4030</v>
      </c>
      <c r="L195" s="34" t="str">
        <f>VLOOKUP(A195,'Trips&amp;Operators'!$C$1:$E$10000,3,FALSE)</f>
        <v>DE LA ROSA</v>
      </c>
      <c r="M195" s="6">
        <f t="shared" si="47"/>
        <v>1.2939814812853001E-2</v>
      </c>
      <c r="N195" s="7"/>
      <c r="O195" s="7"/>
      <c r="P195" s="7"/>
      <c r="Q195" s="35"/>
      <c r="R195" s="35"/>
      <c r="S195" s="59"/>
    </row>
    <row r="196" spans="1:19" x14ac:dyDescent="0.25">
      <c r="A196" s="85" t="s">
        <v>494</v>
      </c>
      <c r="B196" s="51">
        <v>4030</v>
      </c>
      <c r="C196" s="51" t="s">
        <v>60</v>
      </c>
      <c r="D196" s="51" t="s">
        <v>495</v>
      </c>
      <c r="E196" s="78">
        <v>42550.753865740742</v>
      </c>
      <c r="F196" s="78">
        <v>42550.75472222222</v>
      </c>
      <c r="G196" s="79">
        <v>1</v>
      </c>
      <c r="H196" s="78" t="s">
        <v>496</v>
      </c>
      <c r="I196" s="78">
        <v>42550.767534722225</v>
      </c>
      <c r="J196" s="51">
        <v>1</v>
      </c>
      <c r="K196" s="34" t="str">
        <f t="shared" si="46"/>
        <v>4029/4030</v>
      </c>
      <c r="L196" s="34" t="str">
        <f>VLOOKUP(A196,'Trips&amp;Operators'!$C$1:$E$10000,3,FALSE)</f>
        <v>DE LA ROSA</v>
      </c>
      <c r="M196" s="6">
        <f t="shared" si="47"/>
        <v>1.2812500004656613E-2</v>
      </c>
      <c r="N196" s="7"/>
      <c r="O196" s="7"/>
      <c r="P196" s="7"/>
      <c r="Q196" s="35"/>
      <c r="R196" s="35"/>
      <c r="S196" s="59"/>
    </row>
    <row r="197" spans="1:19" x14ac:dyDescent="0.25">
      <c r="A197" s="85" t="s">
        <v>497</v>
      </c>
      <c r="B197" s="51">
        <v>4018</v>
      </c>
      <c r="C197" s="51" t="s">
        <v>60</v>
      </c>
      <c r="D197" s="51" t="s">
        <v>498</v>
      </c>
      <c r="E197" s="78">
        <v>42550.76226851852</v>
      </c>
      <c r="F197" s="78">
        <v>42550.764120370368</v>
      </c>
      <c r="G197" s="79">
        <v>2</v>
      </c>
      <c r="H197" s="78" t="s">
        <v>475</v>
      </c>
      <c r="I197" s="78">
        <v>42550.773553240739</v>
      </c>
      <c r="J197" s="51">
        <v>1</v>
      </c>
      <c r="K197" s="34" t="str">
        <f t="shared" si="46"/>
        <v>4017/4018</v>
      </c>
      <c r="L197" s="34" t="str">
        <f>VLOOKUP(A197,'Trips&amp;Operators'!$C$1:$E$10000,3,FALSE)</f>
        <v>HELVIE</v>
      </c>
      <c r="M197" s="6">
        <f t="shared" si="47"/>
        <v>9.4328703708015382E-3</v>
      </c>
      <c r="N197" s="7"/>
      <c r="O197" s="7"/>
      <c r="P197" s="7"/>
      <c r="Q197" s="35"/>
      <c r="R197" s="35"/>
      <c r="S197" s="59"/>
    </row>
    <row r="198" spans="1:19" x14ac:dyDescent="0.25">
      <c r="A198" s="85" t="s">
        <v>499</v>
      </c>
      <c r="B198" s="51">
        <v>4017</v>
      </c>
      <c r="C198" s="51" t="s">
        <v>60</v>
      </c>
      <c r="D198" s="51" t="s">
        <v>500</v>
      </c>
      <c r="E198" s="78">
        <v>42550.77753472222</v>
      </c>
      <c r="F198" s="78">
        <v>42550.778437499997</v>
      </c>
      <c r="G198" s="79">
        <v>1</v>
      </c>
      <c r="H198" s="78" t="s">
        <v>501</v>
      </c>
      <c r="I198" s="78">
        <v>42550.788287037038</v>
      </c>
      <c r="J198" s="51">
        <v>0</v>
      </c>
      <c r="K198" s="34" t="str">
        <f t="shared" si="46"/>
        <v>4017/4018</v>
      </c>
      <c r="L198" s="34" t="str">
        <f>VLOOKUP(A198,'Trips&amp;Operators'!$C$1:$E$10000,3,FALSE)</f>
        <v>HELVIE</v>
      </c>
      <c r="M198" s="6">
        <f t="shared" si="47"/>
        <v>9.8495370402815752E-3</v>
      </c>
      <c r="N198" s="7"/>
      <c r="O198" s="7"/>
      <c r="P198" s="7"/>
      <c r="Q198" s="35"/>
      <c r="R198" s="35"/>
      <c r="S198" s="59"/>
    </row>
    <row r="199" spans="1:19" x14ac:dyDescent="0.25">
      <c r="A199" s="85" t="s">
        <v>502</v>
      </c>
      <c r="B199" s="51">
        <v>4029</v>
      </c>
      <c r="C199" s="51" t="s">
        <v>60</v>
      </c>
      <c r="D199" s="51" t="s">
        <v>503</v>
      </c>
      <c r="E199" s="78">
        <v>42550.782418981478</v>
      </c>
      <c r="F199" s="78">
        <v>42550.783310185187</v>
      </c>
      <c r="G199" s="79">
        <v>1</v>
      </c>
      <c r="H199" s="78" t="s">
        <v>504</v>
      </c>
      <c r="I199" s="78">
        <v>42550.796134259261</v>
      </c>
      <c r="J199" s="51">
        <v>0</v>
      </c>
      <c r="K199" s="34" t="str">
        <f t="shared" si="46"/>
        <v>4029/4030</v>
      </c>
      <c r="L199" s="34" t="str">
        <f>VLOOKUP(A199,'Trips&amp;Operators'!$C$1:$E$10000,3,FALSE)</f>
        <v>DE LA ROSA</v>
      </c>
      <c r="M199" s="6">
        <f t="shared" si="47"/>
        <v>1.2824074074160308E-2</v>
      </c>
      <c r="N199" s="7"/>
      <c r="O199" s="7"/>
      <c r="P199" s="7"/>
      <c r="Q199" s="35"/>
      <c r="R199" s="35"/>
      <c r="S199" s="59"/>
    </row>
    <row r="200" spans="1:19" x14ac:dyDescent="0.25">
      <c r="A200" s="85" t="s">
        <v>505</v>
      </c>
      <c r="B200" s="51">
        <v>4017</v>
      </c>
      <c r="C200" s="51" t="s">
        <v>60</v>
      </c>
      <c r="D200" s="51" t="s">
        <v>415</v>
      </c>
      <c r="E200" s="78">
        <v>42550.817141203705</v>
      </c>
      <c r="F200" s="78">
        <v>42550.817939814813</v>
      </c>
      <c r="G200" s="79">
        <v>1</v>
      </c>
      <c r="H200" s="78" t="s">
        <v>506</v>
      </c>
      <c r="I200" s="78">
        <v>42550.829606481479</v>
      </c>
      <c r="J200" s="51">
        <v>0</v>
      </c>
      <c r="K200" s="34" t="str">
        <f t="shared" si="46"/>
        <v>4017/4018</v>
      </c>
      <c r="L200" s="34" t="str">
        <f>VLOOKUP(A200,'Trips&amp;Operators'!$C$1:$E$10000,3,FALSE)</f>
        <v>HELVIE</v>
      </c>
      <c r="M200" s="6">
        <f t="shared" si="47"/>
        <v>1.1666666665405501E-2</v>
      </c>
      <c r="N200" s="7"/>
      <c r="O200" s="7"/>
      <c r="P200" s="7"/>
      <c r="Q200" s="35"/>
      <c r="R200" s="35"/>
      <c r="S200" s="59"/>
    </row>
    <row r="201" spans="1:19" x14ac:dyDescent="0.25">
      <c r="A201" s="85" t="s">
        <v>507</v>
      </c>
      <c r="B201" s="51">
        <v>4018</v>
      </c>
      <c r="C201" s="51" t="s">
        <v>60</v>
      </c>
      <c r="D201" s="51" t="s">
        <v>508</v>
      </c>
      <c r="E201" s="78">
        <v>42550.803032407406</v>
      </c>
      <c r="F201" s="78">
        <v>42550.803842592592</v>
      </c>
      <c r="G201" s="79">
        <v>1</v>
      </c>
      <c r="H201" s="78" t="s">
        <v>509</v>
      </c>
      <c r="I201" s="78">
        <v>42550.81527777778</v>
      </c>
      <c r="J201" s="51">
        <v>0</v>
      </c>
      <c r="K201" s="34" t="str">
        <f t="shared" si="46"/>
        <v>4017/4018</v>
      </c>
      <c r="L201" s="34" t="str">
        <f>VLOOKUP(A201,'Trips&amp;Operators'!$C$1:$E$10000,3,FALSE)</f>
        <v>HELVIE</v>
      </c>
      <c r="M201" s="6">
        <f t="shared" si="47"/>
        <v>1.1435185188020114E-2</v>
      </c>
      <c r="N201" s="7"/>
      <c r="O201" s="7"/>
      <c r="P201" s="7"/>
      <c r="Q201" s="35"/>
      <c r="R201" s="35"/>
      <c r="S201" s="59"/>
    </row>
    <row r="202" spans="1:19" x14ac:dyDescent="0.25">
      <c r="A202" s="85" t="s">
        <v>507</v>
      </c>
      <c r="B202" s="51">
        <v>4018</v>
      </c>
      <c r="C202" s="51" t="s">
        <v>60</v>
      </c>
      <c r="D202" s="51" t="s">
        <v>510</v>
      </c>
      <c r="E202" s="78">
        <v>42550.803032407406</v>
      </c>
      <c r="F202" s="78">
        <v>42550.806898148148</v>
      </c>
      <c r="G202" s="79">
        <v>5</v>
      </c>
      <c r="H202" s="78" t="s">
        <v>509</v>
      </c>
      <c r="I202" s="78">
        <v>42550.81527777778</v>
      </c>
      <c r="J202" s="51">
        <v>0</v>
      </c>
      <c r="K202" s="34" t="str">
        <f t="shared" si="46"/>
        <v>4017/4018</v>
      </c>
      <c r="L202" s="34" t="str">
        <f>VLOOKUP(A202,'Trips&amp;Operators'!$C$1:$E$10000,3,FALSE)</f>
        <v>HELVIE</v>
      </c>
      <c r="M202" s="6">
        <f t="shared" si="47"/>
        <v>8.3796296312357299E-3</v>
      </c>
      <c r="N202" s="7"/>
      <c r="O202" s="7"/>
      <c r="P202" s="7"/>
      <c r="Q202" s="35"/>
      <c r="R202" s="35"/>
      <c r="S202" s="59"/>
    </row>
    <row r="203" spans="1:19" x14ac:dyDescent="0.25">
      <c r="A203" s="85" t="s">
        <v>511</v>
      </c>
      <c r="B203" s="51">
        <v>4017</v>
      </c>
      <c r="C203" s="51" t="s">
        <v>60</v>
      </c>
      <c r="D203" s="51" t="s">
        <v>512</v>
      </c>
      <c r="E203" s="78">
        <v>42550.857928240737</v>
      </c>
      <c r="F203" s="78">
        <v>42550.858796296299</v>
      </c>
      <c r="G203" s="79">
        <v>1</v>
      </c>
      <c r="H203" s="78" t="s">
        <v>513</v>
      </c>
      <c r="I203" s="78">
        <v>42550.870555555557</v>
      </c>
      <c r="J203" s="51">
        <v>0</v>
      </c>
      <c r="K203" s="34" t="str">
        <f t="shared" si="46"/>
        <v>4017/4018</v>
      </c>
      <c r="L203" s="34" t="str">
        <f>VLOOKUP(A203,'Trips&amp;Operators'!$C$1:$E$10000,3,FALSE)</f>
        <v>HELVIE</v>
      </c>
      <c r="M203" s="6">
        <f t="shared" si="47"/>
        <v>1.1759259257814847E-2</v>
      </c>
      <c r="N203" s="7"/>
      <c r="O203" s="7"/>
      <c r="P203" s="7"/>
      <c r="Q203" s="35"/>
      <c r="R203" s="35"/>
      <c r="S203" s="59"/>
    </row>
    <row r="204" spans="1:19" x14ac:dyDescent="0.25">
      <c r="A204" s="85" t="s">
        <v>514</v>
      </c>
      <c r="B204" s="51">
        <v>4018</v>
      </c>
      <c r="C204" s="51" t="s">
        <v>60</v>
      </c>
      <c r="D204" s="51" t="s">
        <v>478</v>
      </c>
      <c r="E204" s="78">
        <v>42550.843194444446</v>
      </c>
      <c r="F204" s="78">
        <v>42550.844571759262</v>
      </c>
      <c r="G204" s="79">
        <v>1</v>
      </c>
      <c r="H204" s="78" t="s">
        <v>515</v>
      </c>
      <c r="I204" s="78">
        <v>42550.857164351852</v>
      </c>
      <c r="J204" s="51">
        <v>0</v>
      </c>
      <c r="K204" s="34" t="str">
        <f t="shared" si="46"/>
        <v>4017/4018</v>
      </c>
      <c r="L204" s="34" t="str">
        <f>VLOOKUP(A204,'Trips&amp;Operators'!$C$1:$E$10000,3,FALSE)</f>
        <v>HELVIE</v>
      </c>
      <c r="M204" s="6">
        <f t="shared" si="47"/>
        <v>1.2592592589498963E-2</v>
      </c>
      <c r="N204" s="7"/>
      <c r="O204" s="7"/>
      <c r="P204" s="7"/>
      <c r="Q204" s="35"/>
      <c r="R204" s="35"/>
      <c r="S204" s="59"/>
    </row>
    <row r="205" spans="1:19" x14ac:dyDescent="0.25">
      <c r="A205" s="85" t="s">
        <v>516</v>
      </c>
      <c r="B205" s="51">
        <v>4017</v>
      </c>
      <c r="C205" s="51" t="s">
        <v>60</v>
      </c>
      <c r="D205" s="51" t="s">
        <v>517</v>
      </c>
      <c r="E205" s="78">
        <v>42550.899652777778</v>
      </c>
      <c r="F205" s="78">
        <v>42550.900648148148</v>
      </c>
      <c r="G205" s="79">
        <v>1</v>
      </c>
      <c r="H205" s="78" t="s">
        <v>518</v>
      </c>
      <c r="I205" s="78">
        <v>42550.913738425923</v>
      </c>
      <c r="J205" s="51">
        <v>0</v>
      </c>
      <c r="K205" s="34" t="str">
        <f t="shared" si="46"/>
        <v>4017/4018</v>
      </c>
      <c r="L205" s="34" t="str">
        <f>VLOOKUP(A205,'Trips&amp;Operators'!$C$1:$E$10000,3,FALSE)</f>
        <v>HELVIE</v>
      </c>
      <c r="M205" s="6">
        <f t="shared" si="47"/>
        <v>1.3090277774608694E-2</v>
      </c>
      <c r="N205" s="7"/>
      <c r="O205" s="7"/>
      <c r="P205" s="7"/>
      <c r="Q205" s="35"/>
      <c r="R205" s="35"/>
      <c r="S205" s="59"/>
    </row>
    <row r="206" spans="1:19" x14ac:dyDescent="0.25">
      <c r="A206" s="85" t="s">
        <v>519</v>
      </c>
      <c r="B206" s="51">
        <v>4018</v>
      </c>
      <c r="C206" s="51" t="s">
        <v>60</v>
      </c>
      <c r="D206" s="51" t="s">
        <v>463</v>
      </c>
      <c r="E206" s="78">
        <v>42550.886307870373</v>
      </c>
      <c r="F206" s="78">
        <v>42550.887280092589</v>
      </c>
      <c r="G206" s="79">
        <v>1</v>
      </c>
      <c r="H206" s="78" t="s">
        <v>520</v>
      </c>
      <c r="I206" s="78">
        <v>42550.898055555554</v>
      </c>
      <c r="J206" s="51">
        <v>0</v>
      </c>
      <c r="K206" s="34" t="str">
        <f t="shared" si="46"/>
        <v>4017/4018</v>
      </c>
      <c r="L206" s="34" t="str">
        <f>VLOOKUP(A206,'Trips&amp;Operators'!$C$1:$E$10000,3,FALSE)</f>
        <v>HELVIE</v>
      </c>
      <c r="M206" s="6">
        <f t="shared" si="47"/>
        <v>1.0775462964375038E-2</v>
      </c>
      <c r="N206" s="7"/>
      <c r="O206" s="7"/>
      <c r="P206" s="7"/>
      <c r="Q206" s="35"/>
      <c r="R206" s="35"/>
      <c r="S206" s="59"/>
    </row>
    <row r="207" spans="1:19" x14ac:dyDescent="0.25">
      <c r="A207" s="85" t="s">
        <v>521</v>
      </c>
      <c r="B207" s="51">
        <v>4018</v>
      </c>
      <c r="C207" s="51" t="s">
        <v>60</v>
      </c>
      <c r="D207" s="51" t="s">
        <v>522</v>
      </c>
      <c r="E207" s="78">
        <v>42550.926689814813</v>
      </c>
      <c r="F207" s="78">
        <v>42550.927569444444</v>
      </c>
      <c r="G207" s="79">
        <v>1</v>
      </c>
      <c r="H207" s="78" t="s">
        <v>523</v>
      </c>
      <c r="I207" s="78">
        <v>42550.940335648149</v>
      </c>
      <c r="J207" s="51">
        <v>0</v>
      </c>
      <c r="K207" s="34" t="str">
        <f t="shared" si="46"/>
        <v>4017/4018</v>
      </c>
      <c r="L207" s="34" t="str">
        <f>VLOOKUP(A207,'Trips&amp;Operators'!$C$1:$E$10000,3,FALSE)</f>
        <v>HELVIE</v>
      </c>
      <c r="M207" s="6">
        <f t="shared" si="47"/>
        <v>1.2766203704813961E-2</v>
      </c>
      <c r="N207" s="7"/>
      <c r="O207" s="7"/>
      <c r="P207" s="7"/>
      <c r="Q207" s="35"/>
      <c r="R207" s="35"/>
      <c r="S207" s="59"/>
    </row>
    <row r="208" spans="1:19" x14ac:dyDescent="0.25">
      <c r="A208" s="85" t="s">
        <v>629</v>
      </c>
      <c r="B208" s="51">
        <v>4029</v>
      </c>
      <c r="C208" s="51" t="s">
        <v>60</v>
      </c>
      <c r="D208" s="51" t="s">
        <v>668</v>
      </c>
      <c r="E208" s="78">
        <v>42550.356793981482</v>
      </c>
      <c r="F208" s="78">
        <v>42550.357662037037</v>
      </c>
      <c r="G208" s="79">
        <v>1</v>
      </c>
      <c r="H208" s="78" t="s">
        <v>669</v>
      </c>
      <c r="I208" s="78">
        <v>42550.363333333335</v>
      </c>
      <c r="J208" s="51">
        <v>0</v>
      </c>
      <c r="K208" s="34" t="str">
        <f t="shared" si="46"/>
        <v>4029/4030</v>
      </c>
      <c r="L208" s="34" t="str">
        <f>VLOOKUP(A208,'Trips&amp;Operators'!$C$1:$E$10000,3,FALSE)</f>
        <v>STURGEON</v>
      </c>
      <c r="M208" s="6">
        <f t="shared" si="47"/>
        <v>5.6712962978053838E-3</v>
      </c>
      <c r="N208" s="7"/>
      <c r="O208" s="7"/>
      <c r="P208" s="7"/>
      <c r="Q208" s="35"/>
      <c r="R208" s="35"/>
      <c r="S208" s="59"/>
    </row>
    <row r="209" spans="1:19" x14ac:dyDescent="0.25">
      <c r="A209" s="85" t="s">
        <v>524</v>
      </c>
      <c r="B209" s="51">
        <v>4030</v>
      </c>
      <c r="C209" s="51" t="s">
        <v>60</v>
      </c>
      <c r="D209" s="51" t="s">
        <v>415</v>
      </c>
      <c r="E209" s="78">
        <v>42550.797152777777</v>
      </c>
      <c r="F209" s="78">
        <v>42550.798055555555</v>
      </c>
      <c r="G209" s="79">
        <v>1</v>
      </c>
      <c r="H209" s="78" t="s">
        <v>61</v>
      </c>
      <c r="I209" s="78">
        <v>42551.252083333333</v>
      </c>
      <c r="J209" s="51">
        <v>0</v>
      </c>
      <c r="K209" s="34" t="str">
        <f t="shared" si="46"/>
        <v>4029/4030</v>
      </c>
      <c r="L209" s="34" t="str">
        <f>VLOOKUP(A209,'Trips&amp;Operators'!$C$1:$E$10000,3,FALSE)</f>
        <v>DE LA ROSA</v>
      </c>
      <c r="M209" s="6">
        <f t="shared" si="47"/>
        <v>0.45402777777781012</v>
      </c>
      <c r="N209" s="7"/>
      <c r="O209" s="7"/>
      <c r="P209" s="7"/>
      <c r="Q209" s="35"/>
      <c r="R209" s="35"/>
      <c r="S209" s="59"/>
    </row>
  </sheetData>
  <autoFilter ref="A12:AC209"/>
  <sortState ref="A13:AC160">
    <sortCondition ref="A13:A160"/>
    <sortCondition ref="F13:F160"/>
  </sortState>
  <mergeCells count="4">
    <mergeCell ref="A11:P11"/>
    <mergeCell ref="I2:J2"/>
    <mergeCell ref="M2:O2"/>
    <mergeCell ref="I3:J3"/>
  </mergeCells>
  <conditionalFormatting sqref="W11:W12 W13:X1048576">
    <cfRule type="cellIs" dxfId="15" priority="75" operator="equal">
      <formula>"Y"</formula>
    </cfRule>
  </conditionalFormatting>
  <conditionalFormatting sqref="X13:X1048576">
    <cfRule type="cellIs" dxfId="14" priority="58" operator="greaterThan">
      <formula>1</formula>
    </cfRule>
  </conditionalFormatting>
  <conditionalFormatting sqref="X12:X1048576">
    <cfRule type="cellIs" dxfId="13" priority="55" operator="equal">
      <formula>0</formula>
    </cfRule>
  </conditionalFormatting>
  <conditionalFormatting sqref="A14:S14 A13:J13 L13:S13 K155:M209 A15:M154 N15:S209">
    <cfRule type="expression" dxfId="12" priority="51">
      <formula>$O13&gt;0</formula>
    </cfRule>
  </conditionalFormatting>
  <conditionalFormatting sqref="A14:S14 A13:J13 L13:S13 K155:M209 A15:M154 N15:S209">
    <cfRule type="expression" dxfId="11" priority="50">
      <formula>$P13&gt;0</formula>
    </cfRule>
  </conditionalFormatting>
  <conditionalFormatting sqref="K13">
    <cfRule type="expression" dxfId="10" priority="6">
      <formula>$O13&gt;0</formula>
    </cfRule>
  </conditionalFormatting>
  <conditionalFormatting sqref="K13">
    <cfRule type="expression" dxfId="9" priority="5">
      <formula>$P13&gt;0</formula>
    </cfRule>
  </conditionalFormatting>
  <conditionalFormatting sqref="A156:J156">
    <cfRule type="expression" dxfId="8" priority="3">
      <formula>$O156&gt;0</formula>
    </cfRule>
  </conditionalFormatting>
  <conditionalFormatting sqref="A156:J156">
    <cfRule type="expression" dxfId="7" priority="2">
      <formula>$P156&gt;0</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49" id="{07B64F47-9FD1-48B1-84DC-90BBCF0B8697}">
            <xm:f>$N13&gt;Variables!$C$2</xm:f>
            <x14:dxf>
              <fill>
                <patternFill>
                  <bgColor theme="5" tint="0.79998168889431442"/>
                </patternFill>
              </fill>
            </x14:dxf>
          </x14:cfRule>
          <xm:sqref>A14:S14 A13:J13 L13:S13 K155:M209 A15:M154 N15:S209</xm:sqref>
        </x14:conditionalFormatting>
        <x14:conditionalFormatting xmlns:xm="http://schemas.microsoft.com/office/excel/2006/main">
          <x14:cfRule type="expression" priority="4" id="{B1FEFFDD-B469-4D8E-B2ED-CFD893628599}">
            <xm:f>$N13&gt;'\Users\Wabtec\Documents\GitHub\eaglep3-reporting\EC\[Train Runs and Enforcements 2016-06-25.xlsx]Variables'!#REF!</xm:f>
            <x14:dxf>
              <fill>
                <patternFill>
                  <bgColor theme="5" tint="0.79998168889431442"/>
                </patternFill>
              </fill>
            </x14:dxf>
          </x14:cfRule>
          <xm:sqref>K13</xm:sqref>
        </x14:conditionalFormatting>
        <x14:conditionalFormatting xmlns:xm="http://schemas.microsoft.com/office/excel/2006/main">
          <x14:cfRule type="expression" priority="1" id="{62BB5086-90D5-4F9A-9153-3B413A6D30C4}">
            <xm:f>$N156&gt;Variables!$C$2</xm:f>
            <x14:dxf>
              <fill>
                <patternFill>
                  <bgColor theme="5" tint="0.79998168889431442"/>
                </patternFill>
              </fill>
            </x14:dxf>
          </x14:cfRule>
          <xm:sqref>A156:J156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6"/>
  <sheetViews>
    <sheetView showGridLines="0" tabSelected="1" topLeftCell="A16" zoomScale="85" zoomScaleNormal="85" workbookViewId="0">
      <selection activeCell="M35" sqref="M35"/>
    </sheetView>
  </sheetViews>
  <sheetFormatPr defaultRowHeight="15" x14ac:dyDescent="0.25"/>
  <cols>
    <col min="1" max="1" width="18.42578125" style="8" customWidth="1"/>
    <col min="2" max="2" width="17.5703125" customWidth="1"/>
    <col min="3" max="3" width="15.28515625" bestFit="1" customWidth="1"/>
    <col min="4" max="4" width="26.5703125" customWidth="1"/>
    <col min="5" max="5" width="30.5703125" bestFit="1" customWidth="1"/>
    <col min="6" max="6" width="7.5703125" customWidth="1"/>
    <col min="7" max="7" width="7.140625" customWidth="1"/>
    <col min="8" max="8" width="9" customWidth="1"/>
    <col min="9" max="9" width="23.85546875" bestFit="1" customWidth="1"/>
    <col min="10" max="10" width="10.85546875" customWidth="1"/>
    <col min="11" max="11" width="24" customWidth="1"/>
    <col min="12" max="12" width="13.5703125" bestFit="1" customWidth="1"/>
    <col min="13" max="13" width="6.7109375" customWidth="1"/>
    <col min="14" max="14" width="44.42578125" customWidth="1"/>
    <col min="16" max="16" width="9.140625" style="44"/>
  </cols>
  <sheetData>
    <row r="1" spans="1:17" s="33" customFormat="1" ht="15.75" thickBot="1" x14ac:dyDescent="0.3">
      <c r="A1" s="8"/>
      <c r="P1" s="44"/>
    </row>
    <row r="2" spans="1:17" s="33" customFormat="1" ht="30" x14ac:dyDescent="0.25">
      <c r="A2" s="8"/>
      <c r="K2" s="60" t="s">
        <v>132</v>
      </c>
      <c r="L2" s="61"/>
      <c r="M2" s="62">
        <f>COUNTIF($M$7:$M$839,"=Y")</f>
        <v>8</v>
      </c>
      <c r="P2" s="44"/>
    </row>
    <row r="3" spans="1:17" s="33" customFormat="1" ht="15.75" thickBot="1" x14ac:dyDescent="0.3">
      <c r="A3" s="8"/>
      <c r="K3" s="63" t="s">
        <v>133</v>
      </c>
      <c r="L3" s="64"/>
      <c r="M3" s="65">
        <f>COUNTA($M$7:$M$839)-M2</f>
        <v>71</v>
      </c>
      <c r="P3" s="44"/>
    </row>
    <row r="4" spans="1:17" s="33" customFormat="1" x14ac:dyDescent="0.25">
      <c r="A4" s="8"/>
      <c r="P4" s="44"/>
    </row>
    <row r="5" spans="1:17" s="16" customFormat="1" ht="15" customHeight="1" x14ac:dyDescent="0.25">
      <c r="A5" s="104" t="str">
        <f>"Eagle P3 Braking Events - "&amp;TEXT(Variables!$A$2,"YYYY-mm-dd")</f>
        <v>Eagle P3 Braking Events - 2016-06-29</v>
      </c>
      <c r="B5" s="104"/>
      <c r="C5" s="104"/>
      <c r="D5" s="104"/>
      <c r="E5" s="104"/>
      <c r="F5" s="104"/>
      <c r="G5" s="104"/>
      <c r="H5" s="104"/>
      <c r="I5" s="104"/>
      <c r="J5" s="104"/>
      <c r="K5" s="104"/>
      <c r="L5" s="104"/>
      <c r="M5" s="104"/>
      <c r="N5" s="17"/>
      <c r="P5" s="42"/>
    </row>
    <row r="6" spans="1:17" s="1" customFormat="1" ht="75" x14ac:dyDescent="0.25">
      <c r="A6" s="15" t="s">
        <v>38</v>
      </c>
      <c r="B6" s="14" t="s">
        <v>37</v>
      </c>
      <c r="C6" s="14" t="s">
        <v>36</v>
      </c>
      <c r="D6" s="14" t="s">
        <v>35</v>
      </c>
      <c r="E6" s="14" t="s">
        <v>34</v>
      </c>
      <c r="F6" s="14" t="s">
        <v>33</v>
      </c>
      <c r="G6" s="14" t="s">
        <v>32</v>
      </c>
      <c r="H6" s="14" t="s">
        <v>31</v>
      </c>
      <c r="I6" s="14" t="s">
        <v>30</v>
      </c>
      <c r="J6" s="14" t="s">
        <v>29</v>
      </c>
      <c r="K6" s="14" t="s">
        <v>28</v>
      </c>
      <c r="L6" s="14" t="s">
        <v>48</v>
      </c>
      <c r="M6" s="14" t="s">
        <v>27</v>
      </c>
      <c r="N6" s="14" t="s">
        <v>24</v>
      </c>
      <c r="P6" s="45" t="s">
        <v>72</v>
      </c>
    </row>
    <row r="7" spans="1:17" s="1" customFormat="1" x14ac:dyDescent="0.25">
      <c r="A7" s="66">
        <v>42550.212754629632</v>
      </c>
      <c r="B7" s="55" t="s">
        <v>70</v>
      </c>
      <c r="C7" s="55" t="s">
        <v>232</v>
      </c>
      <c r="D7" s="55" t="s">
        <v>50</v>
      </c>
      <c r="E7" s="55" t="s">
        <v>76</v>
      </c>
      <c r="F7" s="55">
        <v>150</v>
      </c>
      <c r="G7" s="55">
        <v>149</v>
      </c>
      <c r="H7" s="55">
        <v>63711</v>
      </c>
      <c r="I7" s="55" t="s">
        <v>77</v>
      </c>
      <c r="J7" s="55">
        <v>63309</v>
      </c>
      <c r="K7" s="55" t="s">
        <v>54</v>
      </c>
      <c r="L7" s="11" t="str">
        <f>VLOOKUP(C7,'Trips&amp;Operators'!$C$2:$E$10000,3,FALSE)</f>
        <v>STARKS</v>
      </c>
      <c r="M7" s="55" t="s">
        <v>131</v>
      </c>
      <c r="N7" s="11" t="s">
        <v>222</v>
      </c>
      <c r="P7" s="43" t="str">
        <f>VLOOKUP(C7,'Train Runs'!$A$13:$V$998,22,0)</f>
        <v>https://search-rtdc-monitor-bjffxe2xuh6vdkpspy63sjmuny.us-east-1.es.amazonaws.com/_plugin/kibana/#/discover/Steve-Slow-Train-Analysis-(2080s-and-2083s)?_g=(refreshInterval:(display:Off,section:0,value:0),time:(from:'2016-06-29 04:38:41-0600',mode:absolute,to:'2016-06-29 05:23:02-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Q7" s="9" t="str">
        <f t="shared" ref="Q7:Q38" si="0">MID(B7,13,4)</f>
        <v>4032</v>
      </c>
    </row>
    <row r="8" spans="1:17" s="1" customFormat="1" x14ac:dyDescent="0.25">
      <c r="A8" s="13">
        <v>42550.419930555552</v>
      </c>
      <c r="B8" s="12" t="s">
        <v>219</v>
      </c>
      <c r="C8" s="12" t="s">
        <v>533</v>
      </c>
      <c r="D8" s="12" t="s">
        <v>50</v>
      </c>
      <c r="E8" s="12" t="s">
        <v>76</v>
      </c>
      <c r="F8" s="12">
        <v>0</v>
      </c>
      <c r="G8" s="12">
        <v>270</v>
      </c>
      <c r="H8" s="12">
        <v>18500</v>
      </c>
      <c r="I8" s="12" t="s">
        <v>77</v>
      </c>
      <c r="J8" s="12">
        <v>18602</v>
      </c>
      <c r="K8" s="11" t="s">
        <v>53</v>
      </c>
      <c r="L8" s="11" t="str">
        <f>VLOOKUP(C8,'Trips&amp;Operators'!$C$2:$E$10000,3,FALSE)</f>
        <v>ACKERMAN</v>
      </c>
      <c r="M8" s="10" t="s">
        <v>130</v>
      </c>
      <c r="N8" s="11" t="s">
        <v>224</v>
      </c>
      <c r="P8" s="43" t="str">
        <f>VLOOKUP(C8,'Train Runs'!$A$13:$V$998,22,0)</f>
        <v>https://search-rtdc-monitor-bjffxe2xuh6vdkpspy63sjmuny.us-east-1.es.amazonaws.com/_plugin/kibana/#/discover/Steve-Slow-Train-Analysis-(2080s-and-2083s)?_g=(refreshInterval:(display:Off,section:0,value:0),time:(from:'2016-06-29 09:51:53-0600',mode:absolute,to:'2016-06-29 10:38:57-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Q8" s="9" t="str">
        <f t="shared" si="0"/>
        <v>4044</v>
      </c>
    </row>
    <row r="9" spans="1:17" s="1" customFormat="1" x14ac:dyDescent="0.25">
      <c r="A9" s="66">
        <v>42550.56659722222</v>
      </c>
      <c r="B9" s="55" t="s">
        <v>530</v>
      </c>
      <c r="C9" s="55" t="s">
        <v>304</v>
      </c>
      <c r="D9" s="55" t="s">
        <v>50</v>
      </c>
      <c r="E9" s="55" t="s">
        <v>76</v>
      </c>
      <c r="F9" s="55">
        <v>60</v>
      </c>
      <c r="G9" s="55">
        <v>125</v>
      </c>
      <c r="H9" s="55">
        <v>63828</v>
      </c>
      <c r="I9" s="55" t="s">
        <v>77</v>
      </c>
      <c r="J9" s="55">
        <v>63309</v>
      </c>
      <c r="K9" s="55" t="s">
        <v>54</v>
      </c>
      <c r="L9" s="11" t="str">
        <f>VLOOKUP(C9,'Trips&amp;Operators'!$C$2:$E$10000,3,FALSE)</f>
        <v>STEWART</v>
      </c>
      <c r="M9" s="10" t="s">
        <v>131</v>
      </c>
      <c r="N9" s="11" t="s">
        <v>222</v>
      </c>
      <c r="P9" s="43" t="str">
        <f>VLOOKUP(C9,'Train Runs'!$A$13:$V$998,22,0)</f>
        <v>https://search-rtdc-monitor-bjffxe2xuh6vdkpspy63sjmuny.us-east-1.es.amazonaws.com/_plugin/kibana/#/discover/Steve-Slow-Train-Analysis-(2080s-and-2083s)?_g=(refreshInterval:(display:Off,section:0,value:0),time:(from:'2016-06-29 13:04:04-0600',mode:absolute,to:'2016-06-29 13:53:00-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Q9" s="9" t="str">
        <f t="shared" si="0"/>
        <v>4015</v>
      </c>
    </row>
    <row r="10" spans="1:17" s="1" customFormat="1" x14ac:dyDescent="0.25">
      <c r="A10" s="66">
        <v>42550.61042824074</v>
      </c>
      <c r="B10" s="55" t="s">
        <v>194</v>
      </c>
      <c r="C10" s="55" t="s">
        <v>321</v>
      </c>
      <c r="D10" s="55" t="s">
        <v>50</v>
      </c>
      <c r="E10" s="55" t="s">
        <v>76</v>
      </c>
      <c r="F10" s="55">
        <v>0</v>
      </c>
      <c r="G10" s="55">
        <v>25</v>
      </c>
      <c r="H10" s="55">
        <v>53353</v>
      </c>
      <c r="I10" s="55" t="s">
        <v>77</v>
      </c>
      <c r="J10" s="55">
        <v>53277</v>
      </c>
      <c r="K10" s="55" t="s">
        <v>54</v>
      </c>
      <c r="L10" s="11" t="str">
        <f>VLOOKUP(C10,'Trips&amp;Operators'!$C$2:$E$10000,3,FALSE)</f>
        <v>BONDS</v>
      </c>
      <c r="M10" s="10" t="s">
        <v>131</v>
      </c>
      <c r="N10" s="11" t="s">
        <v>222</v>
      </c>
      <c r="P10" s="43" t="str">
        <f>VLOOKUP(C10,'Train Runs'!$A$13:$V$998,22,0)</f>
        <v>https://search-rtdc-monitor-bjffxe2xuh6vdkpspy63sjmuny.us-east-1.es.amazonaws.com/_plugin/kibana/#/discover/Steve-Slow-Train-Analysis-(2080s-and-2083s)?_g=(refreshInterval:(display:Off,section:0,value:0),time:(from:'2016-06-29 14:01:02-0600',mode:absolute,to:'2016-06-29 14:53: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10" s="9" t="str">
        <f t="shared" si="0"/>
        <v>4039</v>
      </c>
    </row>
    <row r="11" spans="1:17" s="1" customFormat="1" x14ac:dyDescent="0.25">
      <c r="A11" s="66">
        <v>42550.70789351852</v>
      </c>
      <c r="B11" s="55" t="s">
        <v>193</v>
      </c>
      <c r="C11" s="55" t="s">
        <v>360</v>
      </c>
      <c r="D11" s="55" t="s">
        <v>50</v>
      </c>
      <c r="E11" s="55" t="s">
        <v>76</v>
      </c>
      <c r="F11" s="55">
        <v>0</v>
      </c>
      <c r="G11" s="55">
        <v>54</v>
      </c>
      <c r="H11" s="55">
        <v>62874</v>
      </c>
      <c r="I11" s="55" t="s">
        <v>77</v>
      </c>
      <c r="J11" s="55">
        <v>63068</v>
      </c>
      <c r="K11" s="55" t="s">
        <v>53</v>
      </c>
      <c r="L11" s="11" t="str">
        <f>VLOOKUP(C11,'Trips&amp;Operators'!$C$2:$E$10000,3,FALSE)</f>
        <v>BONDS</v>
      </c>
      <c r="M11" s="55" t="s">
        <v>131</v>
      </c>
      <c r="N11" s="55" t="s">
        <v>222</v>
      </c>
      <c r="P11" s="43" t="str">
        <f>VLOOKUP(C11,'Train Runs'!$A$13:$V$998,22,0)</f>
        <v>https://search-rtdc-monitor-bjffxe2xuh6vdkpspy63sjmuny.us-east-1.es.amazonaws.com/_plugin/kibana/#/discover/Steve-Slow-Train-Analysis-(2080s-and-2083s)?_g=(refreshInterval:(display:Off,section:0,value:0),time:(from:'2016-06-29 16:35:51-0600',mode:absolute,to:'2016-06-29 17:24:23-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Q11" s="9" t="str">
        <f t="shared" si="0"/>
        <v>4040</v>
      </c>
    </row>
    <row r="12" spans="1:17" s="1" customFormat="1" x14ac:dyDescent="0.25">
      <c r="A12" s="66">
        <v>42550.908310185187</v>
      </c>
      <c r="B12" s="55" t="s">
        <v>219</v>
      </c>
      <c r="C12" s="55" t="s">
        <v>395</v>
      </c>
      <c r="D12" s="55" t="s">
        <v>50</v>
      </c>
      <c r="E12" s="55" t="s">
        <v>76</v>
      </c>
      <c r="F12" s="55">
        <v>150</v>
      </c>
      <c r="G12" s="55">
        <v>242</v>
      </c>
      <c r="H12" s="55">
        <v>62436</v>
      </c>
      <c r="I12" s="55" t="s">
        <v>77</v>
      </c>
      <c r="J12" s="55">
        <v>63068</v>
      </c>
      <c r="K12" s="55" t="s">
        <v>53</v>
      </c>
      <c r="L12" s="11" t="str">
        <f>VLOOKUP(C12,'Trips&amp;Operators'!$C$2:$E$10000,3,FALSE)</f>
        <v>MOSES</v>
      </c>
      <c r="M12" s="55" t="s">
        <v>131</v>
      </c>
      <c r="N12" s="55" t="s">
        <v>222</v>
      </c>
      <c r="P12" s="43" t="str">
        <f>VLOOKUP(C12,'Train Runs'!$A$13:$V$998,22,0)</f>
        <v>https://search-rtdc-monitor-bjffxe2xuh6vdkpspy63sjmuny.us-east-1.es.amazonaws.com/_plugin/kibana/#/discover/Steve-Slow-Train-Analysis-(2080s-and-2083s)?_g=(refreshInterval:(display:Off,section:0,value:0),time:(from:'2016-06-29 21:13:57-0600',mode:absolute,to:'2016-06-29 22:13:38-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Q12" s="9" t="str">
        <f t="shared" si="0"/>
        <v>4044</v>
      </c>
    </row>
    <row r="13" spans="1:17" s="1" customFormat="1" x14ac:dyDescent="0.25">
      <c r="A13" s="66">
        <v>42550.183680555558</v>
      </c>
      <c r="B13" s="55" t="s">
        <v>156</v>
      </c>
      <c r="C13" s="55" t="s">
        <v>230</v>
      </c>
      <c r="D13" s="55" t="s">
        <v>50</v>
      </c>
      <c r="E13" s="55" t="s">
        <v>58</v>
      </c>
      <c r="F13" s="55">
        <v>600</v>
      </c>
      <c r="G13" s="55">
        <v>679</v>
      </c>
      <c r="H13" s="55">
        <v>182024</v>
      </c>
      <c r="I13" s="55" t="s">
        <v>59</v>
      </c>
      <c r="J13" s="55">
        <v>183829</v>
      </c>
      <c r="K13" s="55" t="s">
        <v>53</v>
      </c>
      <c r="L13" s="11" t="str">
        <f>VLOOKUP(C13,'Trips&amp;Operators'!$C$2:$E$10000,3,FALSE)</f>
        <v>STARKS</v>
      </c>
      <c r="M13" s="10" t="s">
        <v>131</v>
      </c>
      <c r="N13" s="11"/>
      <c r="P13" s="43" t="str">
        <f>VLOOKUP(C13,'Train Runs'!$A$13:$V$998,22,0)</f>
        <v>https://search-rtdc-monitor-bjffxe2xuh6vdkpspy63sjmuny.us-east-1.es.amazonaws.com/_plugin/kibana/#/discover/Steve-Slow-Train-Analysis-(2080s-and-2083s)?_g=(refreshInterval:(display:Off,section:0,value:0),time:(from:'2016-06-29 03:47:52-0600',mode:absolute,to:'2016-06-29 04:32:54-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Q13" s="9" t="str">
        <f t="shared" si="0"/>
        <v>4024</v>
      </c>
    </row>
    <row r="14" spans="1:17" s="1" customFormat="1" x14ac:dyDescent="0.25">
      <c r="A14" s="66">
        <v>42550.192766203705</v>
      </c>
      <c r="B14" s="55" t="s">
        <v>193</v>
      </c>
      <c r="C14" s="55" t="s">
        <v>239</v>
      </c>
      <c r="D14" s="55" t="s">
        <v>50</v>
      </c>
      <c r="E14" s="55" t="s">
        <v>58</v>
      </c>
      <c r="F14" s="55">
        <v>200</v>
      </c>
      <c r="G14" s="55">
        <v>225</v>
      </c>
      <c r="H14" s="55">
        <v>27133</v>
      </c>
      <c r="I14" s="55" t="s">
        <v>59</v>
      </c>
      <c r="J14" s="55">
        <v>27333</v>
      </c>
      <c r="K14" s="55" t="s">
        <v>53</v>
      </c>
      <c r="L14" s="11" t="str">
        <f>VLOOKUP(C14,'Trips&amp;Operators'!$C$2:$E$10000,3,FALSE)</f>
        <v>KILLION</v>
      </c>
      <c r="M14" s="55" t="s">
        <v>131</v>
      </c>
      <c r="N14" s="11"/>
      <c r="P14" s="43" t="str">
        <f>VLOOKUP(C14,'Train Runs'!$A$13:$V$998,22,0)</f>
        <v>https://search-rtdc-monitor-bjffxe2xuh6vdkpspy63sjmuny.us-east-1.es.amazonaws.com/_plugin/kibana/#/discover/Steve-Slow-Train-Analysis-(2080s-and-2083s)?_g=(refreshInterval:(display:Off,section:0,value:0),time:(from:'2016-06-29 04:20:23-0600',mode:absolute,to:'2016-06-29 05:11:28-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Q14" s="9" t="str">
        <f t="shared" si="0"/>
        <v>4040</v>
      </c>
    </row>
    <row r="15" spans="1:17" s="1" customFormat="1" x14ac:dyDescent="0.25">
      <c r="A15" s="66">
        <v>42550.342407407406</v>
      </c>
      <c r="B15" s="55" t="s">
        <v>159</v>
      </c>
      <c r="C15" s="55" t="s">
        <v>267</v>
      </c>
      <c r="D15" s="55" t="s">
        <v>50</v>
      </c>
      <c r="E15" s="55" t="s">
        <v>58</v>
      </c>
      <c r="F15" s="55">
        <v>300</v>
      </c>
      <c r="G15" s="55">
        <v>374</v>
      </c>
      <c r="H15" s="55">
        <v>23064</v>
      </c>
      <c r="I15" s="55" t="s">
        <v>59</v>
      </c>
      <c r="J15" s="55">
        <v>21848</v>
      </c>
      <c r="K15" s="55" t="s">
        <v>54</v>
      </c>
      <c r="L15" s="11" t="str">
        <f>VLOOKUP(C15,'Trips&amp;Operators'!$C$2:$E$10000,3,FALSE)</f>
        <v>SANTIZO</v>
      </c>
      <c r="M15" s="10" t="s">
        <v>131</v>
      </c>
      <c r="N15" s="11"/>
      <c r="P15" s="43" t="str">
        <f>VLOOKUP(C15,'Train Runs'!$A$13:$V$998,22,0)</f>
        <v>https://search-rtdc-monitor-bjffxe2xuh6vdkpspy63sjmuny.us-east-1.es.amazonaws.com/_plugin/kibana/#/discover/Steve-Slow-Train-Analysis-(2080s-and-2083s)?_g=(refreshInterval:(display:Off,section:0,value:0),time:(from:'2016-06-29 07:22:14-0600',mode:absolute,to:'2016-06-29 08:14: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15" s="9" t="str">
        <f t="shared" si="0"/>
        <v>4012</v>
      </c>
    </row>
    <row r="16" spans="1:17" s="1" customFormat="1" x14ac:dyDescent="0.25">
      <c r="A16" s="66">
        <v>42550.358344907407</v>
      </c>
      <c r="B16" s="55" t="s">
        <v>158</v>
      </c>
      <c r="C16" s="55" t="s">
        <v>526</v>
      </c>
      <c r="D16" s="55" t="s">
        <v>50</v>
      </c>
      <c r="E16" s="55" t="s">
        <v>58</v>
      </c>
      <c r="F16" s="55">
        <v>300</v>
      </c>
      <c r="G16" s="55">
        <v>290</v>
      </c>
      <c r="H16" s="55">
        <v>20221</v>
      </c>
      <c r="I16" s="55" t="s">
        <v>59</v>
      </c>
      <c r="J16" s="55">
        <v>20338</v>
      </c>
      <c r="K16" s="55" t="s">
        <v>53</v>
      </c>
      <c r="L16" s="11" t="str">
        <f>VLOOKUP(C16,'Trips&amp;Operators'!$C$2:$E$10000,3,FALSE)</f>
        <v>SANTIZO</v>
      </c>
      <c r="M16" s="10" t="s">
        <v>131</v>
      </c>
      <c r="N16" s="11"/>
      <c r="P16" s="43" t="str">
        <f>VLOOKUP(C16,'Train Runs'!$A$13:$V$998,22,0)</f>
        <v>https://search-rtdc-monitor-bjffxe2xuh6vdkpspy63sjmuny.us-east-1.es.amazonaws.com/_plugin/kibana/#/discover/Steve-Slow-Train-Analysis-(2080s-and-2083s)?_g=(refreshInterval:(display:Off,section:0,value:0),time:(from:'2016-06-29 08:23:17-0600',mode:absolute,to:'2016-06-29 09:07:41-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Q16" s="9" t="str">
        <f t="shared" si="0"/>
        <v>4011</v>
      </c>
    </row>
    <row r="17" spans="1:17" s="1" customFormat="1" x14ac:dyDescent="0.25">
      <c r="A17" s="66">
        <v>42550.417233796295</v>
      </c>
      <c r="B17" s="55" t="s">
        <v>159</v>
      </c>
      <c r="C17" s="55" t="s">
        <v>532</v>
      </c>
      <c r="D17" s="55" t="s">
        <v>50</v>
      </c>
      <c r="E17" s="55" t="s">
        <v>58</v>
      </c>
      <c r="F17" s="55">
        <v>150</v>
      </c>
      <c r="G17" s="55">
        <v>199</v>
      </c>
      <c r="H17" s="55">
        <v>5124</v>
      </c>
      <c r="I17" s="55" t="s">
        <v>59</v>
      </c>
      <c r="J17" s="55">
        <v>4677</v>
      </c>
      <c r="K17" s="55" t="s">
        <v>54</v>
      </c>
      <c r="L17" s="11" t="str">
        <f>VLOOKUP(C17,'Trips&amp;Operators'!$C$2:$E$10000,3,FALSE)</f>
        <v>SANTIZO</v>
      </c>
      <c r="M17" s="10" t="s">
        <v>131</v>
      </c>
      <c r="N17" s="11"/>
      <c r="P17" s="43" t="str">
        <f>VLOOKUP(C17,'Train Runs'!$A$13:$V$998,22,0)</f>
        <v>https://search-rtdc-monitor-bjffxe2xuh6vdkpspy63sjmuny.us-east-1.es.amazonaws.com/_plugin/kibana/#/discover/Steve-Slow-Train-Analysis-(2080s-and-2083s)?_g=(refreshInterval:(display:Off,section:0,value:0),time:(from:'2016-06-29 09:08:42-0600',mode:absolute,to:'2016-06-29 10:04:50-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17" s="9" t="str">
        <f t="shared" si="0"/>
        <v>4012</v>
      </c>
    </row>
    <row r="18" spans="1:17" s="1" customFormat="1" x14ac:dyDescent="0.25">
      <c r="A18" s="66">
        <v>42550.431458333333</v>
      </c>
      <c r="B18" s="55" t="s">
        <v>70</v>
      </c>
      <c r="C18" s="55" t="s">
        <v>535</v>
      </c>
      <c r="D18" s="55" t="s">
        <v>50</v>
      </c>
      <c r="E18" s="55" t="s">
        <v>58</v>
      </c>
      <c r="F18" s="55">
        <v>450</v>
      </c>
      <c r="G18" s="55">
        <v>589</v>
      </c>
      <c r="H18" s="55">
        <v>158745</v>
      </c>
      <c r="I18" s="55" t="s">
        <v>59</v>
      </c>
      <c r="J18" s="55">
        <v>156300</v>
      </c>
      <c r="K18" s="55" t="s">
        <v>54</v>
      </c>
      <c r="L18" s="11" t="str">
        <f>VLOOKUP(C18,'Trips&amp;Operators'!$C$2:$E$10000,3,FALSE)</f>
        <v>STARKS</v>
      </c>
      <c r="M18" s="10" t="s">
        <v>131</v>
      </c>
      <c r="N18" s="11"/>
      <c r="P18" s="43" t="str">
        <f>VLOOKUP(C18,'Train Runs'!$A$13:$V$998,22,0)</f>
        <v>https://search-rtdc-monitor-bjffxe2xuh6vdkpspy63sjmuny.us-east-1.es.amazonaws.com/_plugin/kibana/#/discover/Steve-Slow-Train-Analysis-(2080s-and-2083s)?_g=(refreshInterval:(display:Off,section:0,value:0),time:(from:'2016-06-29 10:08:39-0600',mode:absolute,to:'2016-06-29 10:51:29-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Q18" s="9" t="str">
        <f t="shared" si="0"/>
        <v>4032</v>
      </c>
    </row>
    <row r="19" spans="1:17" s="1" customFormat="1" x14ac:dyDescent="0.25">
      <c r="A19" s="66">
        <v>42550.530266203707</v>
      </c>
      <c r="B19" s="55" t="s">
        <v>158</v>
      </c>
      <c r="C19" s="55" t="s">
        <v>300</v>
      </c>
      <c r="D19" s="55" t="s">
        <v>50</v>
      </c>
      <c r="E19" s="55" t="s">
        <v>58</v>
      </c>
      <c r="F19" s="55">
        <v>150</v>
      </c>
      <c r="G19" s="55">
        <v>300</v>
      </c>
      <c r="H19" s="55">
        <v>229479</v>
      </c>
      <c r="I19" s="55" t="s">
        <v>59</v>
      </c>
      <c r="J19" s="55">
        <v>230436</v>
      </c>
      <c r="K19" s="55" t="s">
        <v>53</v>
      </c>
      <c r="L19" s="11" t="str">
        <f>VLOOKUP(C19,'Trips&amp;Operators'!$C$2:$E$10000,3,FALSE)</f>
        <v>SPECTOR</v>
      </c>
      <c r="M19" s="10" t="s">
        <v>131</v>
      </c>
      <c r="N19" s="11"/>
      <c r="P19" s="43" t="str">
        <f>VLOOKUP(C19,'Train Runs'!$A$13:$V$998,22,0)</f>
        <v>https://search-rtdc-monitor-bjffxe2xuh6vdkpspy63sjmuny.us-east-1.es.amazonaws.com/_plugin/kibana/#/discover/Steve-Slow-Train-Analysis-(2080s-and-2083s)?_g=(refreshInterval:(display:Off,section:0,value:0),time:(from:'2016-06-29 12:00:25-0600',mode:absolute,to:'2016-06-29 12:47:04-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Q19" s="9" t="str">
        <f t="shared" si="0"/>
        <v>4011</v>
      </c>
    </row>
    <row r="20" spans="1:17" s="1" customFormat="1" x14ac:dyDescent="0.25">
      <c r="A20" s="13">
        <v>42550.525902777779</v>
      </c>
      <c r="B20" s="12" t="s">
        <v>156</v>
      </c>
      <c r="C20" s="12" t="s">
        <v>305</v>
      </c>
      <c r="D20" s="12" t="s">
        <v>50</v>
      </c>
      <c r="E20" s="12" t="s">
        <v>58</v>
      </c>
      <c r="F20" s="12">
        <v>300</v>
      </c>
      <c r="G20" s="12">
        <v>317</v>
      </c>
      <c r="H20" s="12">
        <v>20217</v>
      </c>
      <c r="I20" s="12" t="s">
        <v>59</v>
      </c>
      <c r="J20" s="12">
        <v>20338</v>
      </c>
      <c r="K20" s="11" t="s">
        <v>53</v>
      </c>
      <c r="L20" s="11" t="str">
        <f>VLOOKUP(C20,'Trips&amp;Operators'!$C$2:$E$10000,3,FALSE)</f>
        <v>STAMBAUGH</v>
      </c>
      <c r="M20" s="10" t="s">
        <v>131</v>
      </c>
      <c r="N20" s="11"/>
      <c r="P20" s="43" t="str">
        <f>VLOOKUP(C20,'Train Runs'!$A$13:$V$998,22,0)</f>
        <v>https://search-rtdc-monitor-bjffxe2xuh6vdkpspy63sjmuny.us-east-1.es.amazonaws.com/_plugin/kibana/#/discover/Steve-Slow-Train-Analysis-(2080s-and-2083s)?_g=(refreshInterval:(display:Off,section:0,value:0),time:(from:'2016-06-29 12:27:59-0600',mode:absolute,to:'2016-06-29 13:18:36-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Q20" s="9" t="str">
        <f t="shared" si="0"/>
        <v>4024</v>
      </c>
    </row>
    <row r="21" spans="1:17" s="1" customFormat="1" x14ac:dyDescent="0.25">
      <c r="A21" s="13">
        <v>42550.546967592592</v>
      </c>
      <c r="B21" s="12" t="s">
        <v>98</v>
      </c>
      <c r="C21" s="12" t="s">
        <v>312</v>
      </c>
      <c r="D21" s="12" t="s">
        <v>55</v>
      </c>
      <c r="E21" s="12" t="s">
        <v>58</v>
      </c>
      <c r="F21" s="12">
        <v>300</v>
      </c>
      <c r="G21" s="12">
        <v>350</v>
      </c>
      <c r="H21" s="12">
        <v>21651</v>
      </c>
      <c r="I21" s="12" t="s">
        <v>59</v>
      </c>
      <c r="J21" s="12">
        <v>20338</v>
      </c>
      <c r="K21" s="11" t="s">
        <v>53</v>
      </c>
      <c r="L21" s="11" t="str">
        <f>VLOOKUP(C21,'Trips&amp;Operators'!$C$2:$E$10000,3,FALSE)</f>
        <v>SHOOK</v>
      </c>
      <c r="M21" s="10" t="s">
        <v>131</v>
      </c>
      <c r="N21" s="11"/>
      <c r="P21" s="43" t="str">
        <f>VLOOKUP(C21,'Train Runs'!$A$13:$V$998,22,0)</f>
        <v>https://search-rtdc-monitor-bjffxe2xuh6vdkpspy63sjmuny.us-east-1.es.amazonaws.com/_plugin/kibana/#/discover/Steve-Slow-Train-Analysis-(2080s-and-2083s)?_g=(refreshInterval:(display:Off,section:0,value:0),time:(from:'2016-06-29 12:54:32-0600',mode:absolute,to:'2016-06-29 13:16: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Q21" s="9" t="str">
        <f t="shared" si="0"/>
        <v>4042</v>
      </c>
    </row>
    <row r="22" spans="1:17" s="1" customFormat="1" x14ac:dyDescent="0.25">
      <c r="A22" s="66">
        <v>42550.605590277781</v>
      </c>
      <c r="B22" s="55" t="s">
        <v>525</v>
      </c>
      <c r="C22" s="55" t="s">
        <v>329</v>
      </c>
      <c r="D22" s="55" t="s">
        <v>50</v>
      </c>
      <c r="E22" s="55" t="s">
        <v>58</v>
      </c>
      <c r="F22" s="55">
        <v>400</v>
      </c>
      <c r="G22" s="55">
        <v>578</v>
      </c>
      <c r="H22" s="55">
        <v>114877</v>
      </c>
      <c r="I22" s="55" t="s">
        <v>59</v>
      </c>
      <c r="J22" s="55">
        <v>116838</v>
      </c>
      <c r="K22" s="55" t="s">
        <v>53</v>
      </c>
      <c r="L22" s="11" t="str">
        <f>VLOOKUP(C22,'Trips&amp;Operators'!$C$2:$E$10000,3,FALSE)</f>
        <v>STEWART</v>
      </c>
      <c r="M22" s="10" t="s">
        <v>131</v>
      </c>
      <c r="N22" s="11"/>
      <c r="P22" s="43" t="str">
        <f>VLOOKUP(C22,'Train Runs'!$A$13:$V$998,22,0)</f>
        <v>https://search-rtdc-monitor-bjffxe2xuh6vdkpspy63sjmuny.us-east-1.es.amazonaws.com/_plugin/kibana/#/discover/Steve-Slow-Train-Analysis-(2080s-and-2083s)?_g=(refreshInterval:(display:Off,section:0,value:0),time:(from:'2016-06-29 13:54:59-0600',mode:absolute,to:'2016-06-29 14:51:01-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Q22" s="9" t="str">
        <f t="shared" si="0"/>
        <v>4016</v>
      </c>
    </row>
    <row r="23" spans="1:17" s="1" customFormat="1" x14ac:dyDescent="0.25">
      <c r="A23" s="66">
        <v>42550.606817129628</v>
      </c>
      <c r="B23" s="55" t="s">
        <v>525</v>
      </c>
      <c r="C23" s="55" t="s">
        <v>329</v>
      </c>
      <c r="D23" s="55" t="s">
        <v>55</v>
      </c>
      <c r="E23" s="55" t="s">
        <v>58</v>
      </c>
      <c r="F23" s="55">
        <v>400</v>
      </c>
      <c r="G23" s="55">
        <v>453</v>
      </c>
      <c r="H23" s="55">
        <v>119596</v>
      </c>
      <c r="I23" s="55" t="s">
        <v>59</v>
      </c>
      <c r="J23" s="55">
        <v>116838</v>
      </c>
      <c r="K23" s="55" t="s">
        <v>53</v>
      </c>
      <c r="L23" s="11" t="str">
        <f>VLOOKUP(C23,'Trips&amp;Operators'!$C$2:$E$10000,3,FALSE)</f>
        <v>STEWART</v>
      </c>
      <c r="M23" s="10" t="s">
        <v>131</v>
      </c>
      <c r="N23" s="11"/>
      <c r="P23" s="43" t="str">
        <f>VLOOKUP(C23,'Train Runs'!$A$13:$V$998,22,0)</f>
        <v>https://search-rtdc-monitor-bjffxe2xuh6vdkpspy63sjmuny.us-east-1.es.amazonaws.com/_plugin/kibana/#/discover/Steve-Slow-Train-Analysis-(2080s-and-2083s)?_g=(refreshInterval:(display:Off,section:0,value:0),time:(from:'2016-06-29 13:54:59-0600',mode:absolute,to:'2016-06-29 14:51:01-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Q23" s="9" t="str">
        <f t="shared" si="0"/>
        <v>4016</v>
      </c>
    </row>
    <row r="24" spans="1:17" s="1" customFormat="1" x14ac:dyDescent="0.25">
      <c r="A24" s="66">
        <v>42550.620868055557</v>
      </c>
      <c r="B24" s="55" t="s">
        <v>156</v>
      </c>
      <c r="C24" s="55" t="s">
        <v>330</v>
      </c>
      <c r="D24" s="55" t="s">
        <v>50</v>
      </c>
      <c r="E24" s="55" t="s">
        <v>58</v>
      </c>
      <c r="F24" s="55">
        <v>150</v>
      </c>
      <c r="G24" s="55">
        <v>289</v>
      </c>
      <c r="H24" s="55">
        <v>227561</v>
      </c>
      <c r="I24" s="55" t="s">
        <v>59</v>
      </c>
      <c r="J24" s="55">
        <v>228668</v>
      </c>
      <c r="K24" s="55" t="s">
        <v>53</v>
      </c>
      <c r="L24" s="11" t="str">
        <f>VLOOKUP(C24,'Trips&amp;Operators'!$C$2:$E$10000,3,FALSE)</f>
        <v>STAMBAUGH</v>
      </c>
      <c r="M24" s="10" t="s">
        <v>131</v>
      </c>
      <c r="N24" s="11"/>
      <c r="P24" s="43" t="str">
        <f>VLOOKUP(C24,'Train Runs'!$A$13:$V$998,22,0)</f>
        <v>https://search-rtdc-monitor-bjffxe2xuh6vdkpspy63sjmuny.us-east-1.es.amazonaws.com/_plugin/kibana/#/discover/Steve-Slow-Train-Analysis-(2080s-and-2083s)?_g=(refreshInterval:(display:Off,section:0,value:0),time:(from:'2016-06-29 14:10:04-0600',mode:absolute,to:'2016-06-29 14:58:06-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4024%22')),sort:!(Time,asc))</v>
      </c>
      <c r="Q24" s="9" t="str">
        <f t="shared" si="0"/>
        <v>4024</v>
      </c>
    </row>
    <row r="25" spans="1:17" s="1" customFormat="1" x14ac:dyDescent="0.25">
      <c r="A25" s="66">
        <v>42550.685590277775</v>
      </c>
      <c r="B25" s="55" t="s">
        <v>194</v>
      </c>
      <c r="C25" s="55" t="s">
        <v>342</v>
      </c>
      <c r="D25" s="55" t="s">
        <v>50</v>
      </c>
      <c r="E25" s="55" t="s">
        <v>58</v>
      </c>
      <c r="F25" s="55">
        <v>300</v>
      </c>
      <c r="G25" s="55">
        <v>388</v>
      </c>
      <c r="H25" s="55">
        <v>23002</v>
      </c>
      <c r="I25" s="55" t="s">
        <v>59</v>
      </c>
      <c r="J25" s="55">
        <v>21848</v>
      </c>
      <c r="K25" s="55" t="s">
        <v>54</v>
      </c>
      <c r="L25" s="11" t="str">
        <f>VLOOKUP(C25,'Trips&amp;Operators'!$C$2:$E$10000,3,FALSE)</f>
        <v>BONDS</v>
      </c>
      <c r="M25" s="10" t="s">
        <v>131</v>
      </c>
      <c r="N25" s="11"/>
      <c r="P25" s="43" t="str">
        <f>VLOOKUP(C25,'Train Runs'!$A$13:$V$998,22,0)</f>
        <v>https://search-rtdc-monitor-bjffxe2xuh6vdkpspy63sjmuny.us-east-1.es.amazonaws.com/_plugin/kibana/#/discover/Steve-Slow-Train-Analysis-(2080s-and-2083s)?_g=(refreshInterval:(display:Off,section:0,value:0),time:(from:'2016-06-29 15:47:03-0600',mode:absolute,to:'2016-06-29 16:35:49-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25" s="9" t="str">
        <f t="shared" si="0"/>
        <v>4039</v>
      </c>
    </row>
    <row r="26" spans="1:17" s="1" customFormat="1" x14ac:dyDescent="0.25">
      <c r="A26" s="66">
        <v>42550.702499999999</v>
      </c>
      <c r="B26" s="55" t="s">
        <v>540</v>
      </c>
      <c r="C26" s="55" t="s">
        <v>350</v>
      </c>
      <c r="D26" s="55" t="s">
        <v>55</v>
      </c>
      <c r="E26" s="55" t="s">
        <v>58</v>
      </c>
      <c r="F26" s="55">
        <v>700</v>
      </c>
      <c r="G26" s="55">
        <v>751</v>
      </c>
      <c r="H26" s="55">
        <v>179670</v>
      </c>
      <c r="I26" s="55" t="s">
        <v>59</v>
      </c>
      <c r="J26" s="55">
        <v>183829</v>
      </c>
      <c r="K26" s="55" t="s">
        <v>54</v>
      </c>
      <c r="L26" s="11" t="str">
        <f>VLOOKUP(C26,'Trips&amp;Operators'!$C$2:$E$10000,3,FALSE)</f>
        <v>STEWART</v>
      </c>
      <c r="M26" s="10" t="s">
        <v>131</v>
      </c>
      <c r="N26" s="11"/>
      <c r="P26" s="43" t="str">
        <f>VLOOKUP(C26,'Train Runs'!$A$13:$V$998,22,0)</f>
        <v>https://search-rtdc-monitor-bjffxe2xuh6vdkpspy63sjmuny.us-east-1.es.amazonaws.com/_plugin/kibana/#/discover/Steve-Slow-Train-Analysis-(2080s-and-2083s)?_g=(refreshInterval:(display:Off,section:0,value:0),time:(from:'2016-06-29 16:39:38-0600',mode:absolute,to:'2016-06-29 17:25:14-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Q26" s="9" t="str">
        <f t="shared" si="0"/>
        <v>4043</v>
      </c>
    </row>
    <row r="27" spans="1:17" s="1" customFormat="1" x14ac:dyDescent="0.25">
      <c r="A27" s="66">
        <v>42550.873703703706</v>
      </c>
      <c r="B27" s="55" t="s">
        <v>97</v>
      </c>
      <c r="C27" s="55" t="s">
        <v>390</v>
      </c>
      <c r="D27" s="55" t="s">
        <v>50</v>
      </c>
      <c r="E27" s="55" t="s">
        <v>58</v>
      </c>
      <c r="F27" s="55">
        <v>150</v>
      </c>
      <c r="G27" s="55">
        <v>170</v>
      </c>
      <c r="H27" s="55">
        <v>229339</v>
      </c>
      <c r="I27" s="55" t="s">
        <v>59</v>
      </c>
      <c r="J27" s="55">
        <v>229055</v>
      </c>
      <c r="K27" s="55" t="s">
        <v>54</v>
      </c>
      <c r="L27" s="11" t="str">
        <f>VLOOKUP(C27,'Trips&amp;Operators'!$C$2:$E$10000,3,FALSE)</f>
        <v>ADANE</v>
      </c>
      <c r="M27" s="55" t="s">
        <v>131</v>
      </c>
      <c r="N27" s="55"/>
      <c r="P27" s="43" t="str">
        <f>VLOOKUP(C27,'Train Runs'!$A$13:$V$998,22,0)</f>
        <v>https://search-rtdc-monitor-bjffxe2xuh6vdkpspy63sjmuny.us-east-1.es.amazonaws.com/_plugin/kibana/#/discover/Steve-Slow-Train-Analysis-(2080s-and-2083s)?_g=(refreshInterval:(display:Off,section:0,value:0),time:(from:'2016-06-29 20:48:05-0600',mode:absolute,to:'2016-06-29 21:34: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Q27" s="9" t="str">
        <f t="shared" si="0"/>
        <v>4041</v>
      </c>
    </row>
    <row r="28" spans="1:17" s="1" customFormat="1" x14ac:dyDescent="0.25">
      <c r="A28" s="66">
        <v>42550.956064814818</v>
      </c>
      <c r="B28" s="55" t="s">
        <v>97</v>
      </c>
      <c r="C28" s="55" t="s">
        <v>399</v>
      </c>
      <c r="D28" s="55" t="s">
        <v>55</v>
      </c>
      <c r="E28" s="55" t="s">
        <v>58</v>
      </c>
      <c r="F28" s="55">
        <v>150</v>
      </c>
      <c r="G28" s="55">
        <v>223</v>
      </c>
      <c r="H28" s="55">
        <v>232383</v>
      </c>
      <c r="I28" s="55" t="s">
        <v>59</v>
      </c>
      <c r="J28" s="55">
        <v>233492</v>
      </c>
      <c r="K28" s="55" t="s">
        <v>54</v>
      </c>
      <c r="L28" s="11" t="str">
        <f>VLOOKUP(C28,'Trips&amp;Operators'!$C$2:$E$10000,3,FALSE)</f>
        <v>ADANE</v>
      </c>
      <c r="M28" s="55" t="s">
        <v>131</v>
      </c>
      <c r="N28" s="55"/>
      <c r="P28" s="43" t="str">
        <f>VLOOKUP(C28,'Train Runs'!$A$13:$V$998,22,0)</f>
        <v>https://search-rtdc-monitor-bjffxe2xuh6vdkpspy63sjmuny.us-east-1.es.amazonaws.com/_plugin/kibana/#/discover/Steve-Slow-Train-Analysis-(2080s-and-2083s)?_g=(refreshInterval:(display:Off,section:0,value:0),time:(from:'2016-06-29 22:50:57-0600',mode:absolute,to:'2016-06-29 23:36: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Q28" s="9" t="str">
        <f t="shared" si="0"/>
        <v>4041</v>
      </c>
    </row>
    <row r="29" spans="1:17" s="1" customFormat="1" x14ac:dyDescent="0.25">
      <c r="A29" s="66">
        <v>42550.274259259262</v>
      </c>
      <c r="B29" s="55" t="s">
        <v>82</v>
      </c>
      <c r="C29" s="55" t="s">
        <v>422</v>
      </c>
      <c r="D29" s="55" t="s">
        <v>55</v>
      </c>
      <c r="E29" s="55" t="s">
        <v>58</v>
      </c>
      <c r="F29" s="55">
        <v>400</v>
      </c>
      <c r="G29" s="55">
        <v>452</v>
      </c>
      <c r="H29" s="55">
        <v>43936</v>
      </c>
      <c r="I29" s="55" t="s">
        <v>59</v>
      </c>
      <c r="J29" s="55">
        <v>41797</v>
      </c>
      <c r="K29" s="55" t="s">
        <v>53</v>
      </c>
      <c r="L29" s="11" t="str">
        <f>VLOOKUP(C29,'Trips&amp;Operators'!$C$2:$E$10000,3,FALSE)</f>
        <v>MAYBERRY</v>
      </c>
      <c r="M29" s="10" t="s">
        <v>131</v>
      </c>
      <c r="N29" s="11"/>
      <c r="P29" s="43">
        <f>VLOOKUP(C29,'Train Runs'!$A$13:$V$998,22,0)</f>
        <v>0</v>
      </c>
      <c r="Q29" s="9" t="str">
        <f t="shared" si="0"/>
        <v>4018</v>
      </c>
    </row>
    <row r="30" spans="1:17" s="1" customFormat="1" x14ac:dyDescent="0.25">
      <c r="A30" s="66">
        <v>42550.280902777777</v>
      </c>
      <c r="B30" s="55" t="s">
        <v>83</v>
      </c>
      <c r="C30" s="55" t="s">
        <v>425</v>
      </c>
      <c r="D30" s="55" t="s">
        <v>55</v>
      </c>
      <c r="E30" s="55" t="s">
        <v>58</v>
      </c>
      <c r="F30" s="55">
        <v>150</v>
      </c>
      <c r="G30" s="55">
        <v>211</v>
      </c>
      <c r="H30" s="55">
        <v>56891</v>
      </c>
      <c r="I30" s="55" t="s">
        <v>59</v>
      </c>
      <c r="J30" s="55">
        <v>59050</v>
      </c>
      <c r="K30" s="55" t="s">
        <v>54</v>
      </c>
      <c r="L30" s="11" t="str">
        <f>VLOOKUP(C30,'Trips&amp;Operators'!$C$2:$E$10000,3,FALSE)</f>
        <v>MAYBERRY</v>
      </c>
      <c r="M30" s="10" t="s">
        <v>131</v>
      </c>
      <c r="N30" s="11"/>
      <c r="P30" s="43">
        <f>VLOOKUP(C30,'Train Runs'!$A$13:$V$998,22,0)</f>
        <v>0</v>
      </c>
      <c r="Q30" s="9" t="str">
        <f t="shared" si="0"/>
        <v>4017</v>
      </c>
    </row>
    <row r="31" spans="1:17" s="1" customFormat="1" x14ac:dyDescent="0.25">
      <c r="A31" s="66">
        <v>42550.394756944443</v>
      </c>
      <c r="B31" s="55" t="s">
        <v>82</v>
      </c>
      <c r="C31" s="55" t="s">
        <v>529</v>
      </c>
      <c r="D31" s="55" t="s">
        <v>50</v>
      </c>
      <c r="E31" s="55" t="s">
        <v>58</v>
      </c>
      <c r="F31" s="55">
        <v>500</v>
      </c>
      <c r="G31" s="55">
        <v>546</v>
      </c>
      <c r="H31" s="55">
        <v>34867</v>
      </c>
      <c r="I31" s="55" t="s">
        <v>59</v>
      </c>
      <c r="J31" s="55">
        <v>36535</v>
      </c>
      <c r="K31" s="55" t="s">
        <v>53</v>
      </c>
      <c r="L31" s="11" t="str">
        <f>VLOOKUP(C31,'Trips&amp;Operators'!$C$2:$E$10000,3,FALSE)</f>
        <v>MAYBERRY</v>
      </c>
      <c r="M31" s="10" t="s">
        <v>131</v>
      </c>
      <c r="N31" s="11"/>
      <c r="P31" s="43">
        <f>VLOOKUP(C31,'Train Runs'!$A$13:$V$998,22,0)</f>
        <v>0</v>
      </c>
      <c r="Q31" s="9" t="str">
        <f t="shared" si="0"/>
        <v>4018</v>
      </c>
    </row>
    <row r="32" spans="1:17" s="1" customFormat="1" x14ac:dyDescent="0.25">
      <c r="A32" s="66">
        <v>42550.439386574071</v>
      </c>
      <c r="B32" s="55" t="s">
        <v>82</v>
      </c>
      <c r="C32" s="55" t="s">
        <v>536</v>
      </c>
      <c r="D32" s="55" t="s">
        <v>50</v>
      </c>
      <c r="E32" s="55" t="s">
        <v>58</v>
      </c>
      <c r="F32" s="55">
        <v>150</v>
      </c>
      <c r="G32" s="55">
        <v>533</v>
      </c>
      <c r="H32" s="55">
        <v>53715</v>
      </c>
      <c r="I32" s="55" t="s">
        <v>59</v>
      </c>
      <c r="J32" s="55">
        <v>57008</v>
      </c>
      <c r="K32" s="55" t="s">
        <v>53</v>
      </c>
      <c r="L32" s="11" t="str">
        <f>VLOOKUP(C32,'Trips&amp;Operators'!$C$2:$E$10000,3,FALSE)</f>
        <v>MAYBERRY</v>
      </c>
      <c r="M32" s="10" t="s">
        <v>131</v>
      </c>
      <c r="N32" s="11"/>
      <c r="O32" s="33"/>
      <c r="P32" s="43">
        <f>VLOOKUP(C32,'Train Runs'!$A$13:$V$998,22,0)</f>
        <v>0</v>
      </c>
      <c r="Q32" s="9" t="str">
        <f t="shared" si="0"/>
        <v>4018</v>
      </c>
    </row>
    <row r="33" spans="1:17" x14ac:dyDescent="0.25">
      <c r="A33" s="66">
        <v>42550.480034722219</v>
      </c>
      <c r="B33" s="55" t="s">
        <v>82</v>
      </c>
      <c r="C33" s="55" t="s">
        <v>445</v>
      </c>
      <c r="D33" s="55" t="s">
        <v>50</v>
      </c>
      <c r="E33" s="55" t="s">
        <v>58</v>
      </c>
      <c r="F33" s="55">
        <v>150</v>
      </c>
      <c r="G33" s="55">
        <v>492</v>
      </c>
      <c r="H33" s="55">
        <v>54738</v>
      </c>
      <c r="I33" s="55" t="s">
        <v>59</v>
      </c>
      <c r="J33" s="55">
        <v>57008</v>
      </c>
      <c r="K33" s="55" t="s">
        <v>53</v>
      </c>
      <c r="L33" s="11" t="str">
        <f>VLOOKUP(C33,'Trips&amp;Operators'!$C$2:$E$10000,3,FALSE)</f>
        <v>MAYBERRY</v>
      </c>
      <c r="M33" s="55" t="s">
        <v>131</v>
      </c>
      <c r="N33" s="55"/>
      <c r="O33" s="33"/>
      <c r="P33" s="43">
        <f>VLOOKUP(C33,'Train Runs'!$A$13:$V$998,22,0)</f>
        <v>0</v>
      </c>
      <c r="Q33" s="9" t="str">
        <f t="shared" si="0"/>
        <v>4018</v>
      </c>
    </row>
    <row r="34" spans="1:17" x14ac:dyDescent="0.25">
      <c r="A34" s="13">
        <v>42550.562592592592</v>
      </c>
      <c r="B34" s="12" t="s">
        <v>82</v>
      </c>
      <c r="C34" s="12" t="s">
        <v>456</v>
      </c>
      <c r="D34" s="12" t="s">
        <v>50</v>
      </c>
      <c r="E34" s="12" t="s">
        <v>58</v>
      </c>
      <c r="F34" s="12">
        <v>300</v>
      </c>
      <c r="G34" s="12">
        <v>314</v>
      </c>
      <c r="H34" s="12">
        <v>40321</v>
      </c>
      <c r="I34" s="12" t="s">
        <v>59</v>
      </c>
      <c r="J34" s="12">
        <v>40977</v>
      </c>
      <c r="K34" s="11" t="s">
        <v>53</v>
      </c>
      <c r="L34" s="11" t="str">
        <f>VLOOKUP(C34,'Trips&amp;Operators'!$C$2:$E$10000,3,FALSE)</f>
        <v>MAYBERRY</v>
      </c>
      <c r="M34" s="10" t="s">
        <v>131</v>
      </c>
      <c r="N34" s="11"/>
      <c r="O34" s="33"/>
      <c r="P34" s="43">
        <f>VLOOKUP(C34,'Train Runs'!$A$13:$V$998,22,0)</f>
        <v>0</v>
      </c>
      <c r="Q34" s="9" t="str">
        <f t="shared" si="0"/>
        <v>4018</v>
      </c>
    </row>
    <row r="35" spans="1:17" x14ac:dyDescent="0.25">
      <c r="A35" s="66">
        <v>42550.577870370369</v>
      </c>
      <c r="B35" s="55" t="s">
        <v>83</v>
      </c>
      <c r="C35" s="55" t="s">
        <v>459</v>
      </c>
      <c r="D35" s="55" t="s">
        <v>50</v>
      </c>
      <c r="E35" s="55" t="s">
        <v>58</v>
      </c>
      <c r="F35" s="55">
        <v>150</v>
      </c>
      <c r="G35" s="55">
        <v>181</v>
      </c>
      <c r="H35" s="55">
        <v>6018</v>
      </c>
      <c r="I35" s="55" t="s">
        <v>59</v>
      </c>
      <c r="J35" s="55">
        <v>5315</v>
      </c>
      <c r="K35" s="55" t="s">
        <v>54</v>
      </c>
      <c r="L35" s="11" t="str">
        <f>VLOOKUP(C35,'Trips&amp;Operators'!$C$2:$E$10000,3,FALSE)</f>
        <v>MAYBERRY</v>
      </c>
      <c r="M35" s="10" t="s">
        <v>131</v>
      </c>
      <c r="N35" s="11"/>
      <c r="O35" s="33"/>
      <c r="P35" s="43">
        <f>VLOOKUP(C35,'Train Runs'!$A$13:$V$998,22,0)</f>
        <v>0</v>
      </c>
      <c r="Q35" s="9" t="str">
        <f t="shared" si="0"/>
        <v>4017</v>
      </c>
    </row>
    <row r="36" spans="1:17" x14ac:dyDescent="0.25">
      <c r="A36" s="66">
        <v>42550.706423611111</v>
      </c>
      <c r="B36" s="55" t="s">
        <v>190</v>
      </c>
      <c r="C36" s="55" t="s">
        <v>482</v>
      </c>
      <c r="D36" s="55" t="s">
        <v>50</v>
      </c>
      <c r="E36" s="55" t="s">
        <v>58</v>
      </c>
      <c r="F36" s="55">
        <v>600</v>
      </c>
      <c r="G36" s="55">
        <v>650</v>
      </c>
      <c r="H36" s="55">
        <v>29326</v>
      </c>
      <c r="I36" s="55" t="s">
        <v>59</v>
      </c>
      <c r="J36" s="55">
        <v>30784</v>
      </c>
      <c r="K36" s="55" t="s">
        <v>53</v>
      </c>
      <c r="L36" s="11" t="str">
        <f>VLOOKUP(C36,'Trips&amp;Operators'!$C$2:$E$10000,3,FALSE)</f>
        <v>DE LA ROSA</v>
      </c>
      <c r="M36" s="55" t="s">
        <v>131</v>
      </c>
      <c r="N36" s="55"/>
      <c r="O36" s="33"/>
      <c r="P36" s="43">
        <f>VLOOKUP(C36,'Train Runs'!$A$13:$V$998,22,0)</f>
        <v>0</v>
      </c>
      <c r="Q36" s="9" t="str">
        <f t="shared" si="0"/>
        <v>4029</v>
      </c>
    </row>
    <row r="37" spans="1:17" x14ac:dyDescent="0.25">
      <c r="A37" s="66">
        <v>42550.220173611109</v>
      </c>
      <c r="B37" s="55" t="s">
        <v>173</v>
      </c>
      <c r="C37" s="55" t="s">
        <v>237</v>
      </c>
      <c r="D37" s="55" t="s">
        <v>50</v>
      </c>
      <c r="E37" s="55" t="s">
        <v>56</v>
      </c>
      <c r="F37" s="55">
        <v>0</v>
      </c>
      <c r="G37" s="55">
        <v>448</v>
      </c>
      <c r="H37" s="55">
        <v>194669</v>
      </c>
      <c r="I37" s="55" t="s">
        <v>57</v>
      </c>
      <c r="J37" s="55">
        <v>191723</v>
      </c>
      <c r="K37" s="55" t="s">
        <v>54</v>
      </c>
      <c r="L37" s="11" t="str">
        <f>VLOOKUP(C37,'Trips&amp;Operators'!$C$2:$E$10000,3,FALSE)</f>
        <v>MAELZER</v>
      </c>
      <c r="M37" s="10" t="s">
        <v>131</v>
      </c>
      <c r="N37" s="11" t="s">
        <v>675</v>
      </c>
      <c r="O37" s="1"/>
      <c r="P37" s="43" t="str">
        <f>VLOOKUP(C37,'Train Runs'!$A$13:$V$998,22,0)</f>
        <v>https://search-rtdc-monitor-bjffxe2xuh6vdkpspy63sjmuny.us-east-1.es.amazonaws.com/_plugin/kibana/#/discover/Steve-Slow-Train-Analysis-(2080s-and-2083s)?_g=(refreshInterval:(display:Off,section:0,value:0),time:(from:'2016-06-29 05:03:36-0600',mode:absolute,to:'2016-06-29 05:51: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4013%22')),sort:!(Time,asc))</v>
      </c>
      <c r="Q37" s="9" t="str">
        <f t="shared" si="0"/>
        <v>4013</v>
      </c>
    </row>
    <row r="38" spans="1:17" x14ac:dyDescent="0.25">
      <c r="A38" s="66">
        <v>42550.313657407409</v>
      </c>
      <c r="B38" s="55" t="s">
        <v>88</v>
      </c>
      <c r="C38" s="55" t="s">
        <v>275</v>
      </c>
      <c r="D38" s="55" t="s">
        <v>50</v>
      </c>
      <c r="E38" s="55" t="s">
        <v>56</v>
      </c>
      <c r="F38" s="55">
        <v>0</v>
      </c>
      <c r="G38" s="55">
        <v>53</v>
      </c>
      <c r="H38" s="55">
        <v>1488</v>
      </c>
      <c r="I38" s="55" t="s">
        <v>57</v>
      </c>
      <c r="J38" s="55">
        <v>1692</v>
      </c>
      <c r="K38" s="55" t="s">
        <v>53</v>
      </c>
      <c r="L38" s="11" t="str">
        <f>VLOOKUP(C38,'Trips&amp;Operators'!$C$2:$E$10000,3,FALSE)</f>
        <v>STARKS</v>
      </c>
      <c r="M38" s="10" t="s">
        <v>131</v>
      </c>
      <c r="N38" s="11" t="s">
        <v>671</v>
      </c>
      <c r="O38" s="1"/>
      <c r="P38" s="43" t="str">
        <f>VLOOKUP(C38,'Train Runs'!$A$13:$V$998,22,0)</f>
        <v>https://search-rtdc-monitor-bjffxe2xuh6vdkpspy63sjmuny.us-east-1.es.amazonaws.com/_plugin/kibana/#/discover/Steve-Slow-Train-Analysis-(2080s-and-2083s)?_g=(refreshInterval:(display:Off,section:0,value:0),time:(from:'2016-06-29 07:39:21-0600',mode:absolute,to:'2016-06-29 08:10: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Q38" s="9" t="str">
        <f t="shared" si="0"/>
        <v>4031</v>
      </c>
    </row>
    <row r="39" spans="1:17" x14ac:dyDescent="0.25">
      <c r="A39" s="66">
        <v>42550.361215277779</v>
      </c>
      <c r="B39" s="55" t="s">
        <v>70</v>
      </c>
      <c r="C39" s="55" t="s">
        <v>527</v>
      </c>
      <c r="D39" s="55" t="s">
        <v>55</v>
      </c>
      <c r="E39" s="55" t="s">
        <v>56</v>
      </c>
      <c r="F39" s="55">
        <v>200</v>
      </c>
      <c r="G39" s="55">
        <v>250</v>
      </c>
      <c r="H39" s="55">
        <v>152114</v>
      </c>
      <c r="I39" s="55" t="s">
        <v>57</v>
      </c>
      <c r="J39" s="55">
        <v>157300</v>
      </c>
      <c r="K39" s="55" t="s">
        <v>54</v>
      </c>
      <c r="L39" s="11" t="str">
        <f>VLOOKUP(C39,'Trips&amp;Operators'!$C$2:$E$10000,3,FALSE)</f>
        <v>STARKS</v>
      </c>
      <c r="M39" s="10" t="s">
        <v>131</v>
      </c>
      <c r="N39" s="11" t="s">
        <v>676</v>
      </c>
      <c r="O39" s="1"/>
      <c r="P39" s="43" t="str">
        <f>VLOOKUP(C39,'Train Runs'!$A$13:$V$998,22,0)</f>
        <v>https://search-rtdc-monitor-bjffxe2xuh6vdkpspy63sjmuny.us-east-1.es.amazonaws.com/_plugin/kibana/#/discover/Steve-Slow-Train-Analysis-(2080s-and-2083s)?_g=(refreshInterval:(display:Off,section:0,value:0),time:(from:'2016-06-29 08:22:26-0600',mode:absolute,to:'2016-06-29 09:10:48-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4032%22')),sort:!(Time,asc))</v>
      </c>
      <c r="Q39" s="9" t="str">
        <f t="shared" ref="Q39:Q70" si="1">MID(B39,13,4)</f>
        <v>4032</v>
      </c>
    </row>
    <row r="40" spans="1:17" x14ac:dyDescent="0.25">
      <c r="A40" s="66">
        <v>42550.407372685186</v>
      </c>
      <c r="B40" s="55" t="s">
        <v>530</v>
      </c>
      <c r="C40" s="55" t="s">
        <v>531</v>
      </c>
      <c r="D40" s="55" t="s">
        <v>50</v>
      </c>
      <c r="E40" s="55" t="s">
        <v>56</v>
      </c>
      <c r="F40" s="55">
        <v>0</v>
      </c>
      <c r="G40" s="55">
        <v>739</v>
      </c>
      <c r="H40" s="55">
        <v>201902</v>
      </c>
      <c r="I40" s="55" t="s">
        <v>57</v>
      </c>
      <c r="J40" s="55">
        <v>198256</v>
      </c>
      <c r="K40" s="55" t="s">
        <v>54</v>
      </c>
      <c r="L40" s="11" t="str">
        <f>VLOOKUP(C40,'Trips&amp;Operators'!$C$2:$E$10000,3,FALSE)</f>
        <v>YORK</v>
      </c>
      <c r="M40" s="10" t="s">
        <v>130</v>
      </c>
      <c r="N40" s="11" t="s">
        <v>224</v>
      </c>
      <c r="O40" s="1"/>
      <c r="P40" s="43" t="str">
        <f>VLOOKUP(C40,'Train Runs'!$A$13:$V$998,22,0)</f>
        <v>https://search-rtdc-monitor-bjffxe2xuh6vdkpspy63sjmuny.us-east-1.es.amazonaws.com/_plugin/kibana/#/discover/Steve-Slow-Train-Analysis-(2080s-and-2083s)?_g=(refreshInterval:(display:Off,section:0,value:0),time:(from:'2016-06-29 09:23:17-0600',mode:absolute,to:'2016-06-29 10:18:31-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Q40" s="9" t="str">
        <f t="shared" si="1"/>
        <v>4015</v>
      </c>
    </row>
    <row r="41" spans="1:17" x14ac:dyDescent="0.25">
      <c r="A41" s="13">
        <v>42550.427905092591</v>
      </c>
      <c r="B41" s="12" t="s">
        <v>193</v>
      </c>
      <c r="C41" s="12" t="s">
        <v>534</v>
      </c>
      <c r="D41" s="12" t="s">
        <v>50</v>
      </c>
      <c r="E41" s="12" t="s">
        <v>56</v>
      </c>
      <c r="F41" s="12">
        <v>0</v>
      </c>
      <c r="G41" s="12">
        <v>751</v>
      </c>
      <c r="H41" s="12">
        <v>196546</v>
      </c>
      <c r="I41" s="12" t="s">
        <v>57</v>
      </c>
      <c r="J41" s="12">
        <v>198242</v>
      </c>
      <c r="K41" s="11" t="s">
        <v>53</v>
      </c>
      <c r="L41" s="11" t="str">
        <f>VLOOKUP(C41,'Trips&amp;Operators'!$C$2:$E$10000,3,FALSE)</f>
        <v>KILLION</v>
      </c>
      <c r="M41" s="10" t="s">
        <v>130</v>
      </c>
      <c r="N41" s="11" t="s">
        <v>223</v>
      </c>
      <c r="O41" s="1"/>
      <c r="P41" s="43" t="str">
        <f>VLOOKUP(C41,'Train Runs'!$A$13:$V$998,22,0)</f>
        <v>https://search-rtdc-monitor-bjffxe2xuh6vdkpspy63sjmuny.us-east-1.es.amazonaws.com/_plugin/kibana/#/discover/Steve-Slow-Train-Analysis-(2080s-and-2083s)?_g=(refreshInterval:(display:Off,section:0,value:0),time:(from:'2016-06-29 09:42:34-0600',mode:absolute,to:'2016-06-29 10:17:42-0600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4040%22')),sort:!(Time,asc))</v>
      </c>
      <c r="Q41" s="9" t="str">
        <f t="shared" si="1"/>
        <v>4040</v>
      </c>
    </row>
    <row r="42" spans="1:17" x14ac:dyDescent="0.25">
      <c r="A42" s="13">
        <v>42550.575497685182</v>
      </c>
      <c r="B42" s="12" t="s">
        <v>530</v>
      </c>
      <c r="C42" s="12" t="s">
        <v>304</v>
      </c>
      <c r="D42" s="12" t="s">
        <v>50</v>
      </c>
      <c r="E42" s="12" t="s">
        <v>56</v>
      </c>
      <c r="F42" s="12">
        <v>0</v>
      </c>
      <c r="G42" s="12">
        <v>152</v>
      </c>
      <c r="H42" s="12">
        <v>5332</v>
      </c>
      <c r="I42" s="12" t="s">
        <v>57</v>
      </c>
      <c r="J42" s="12">
        <v>4677</v>
      </c>
      <c r="K42" s="11" t="s">
        <v>54</v>
      </c>
      <c r="L42" s="11" t="str">
        <f>VLOOKUP(C42,'Trips&amp;Operators'!$C$2:$E$10000,3,FALSE)</f>
        <v>STEWART</v>
      </c>
      <c r="M42" s="10" t="s">
        <v>130</v>
      </c>
      <c r="N42" s="11" t="s">
        <v>224</v>
      </c>
      <c r="O42" s="1"/>
      <c r="P42" s="43" t="str">
        <f>VLOOKUP(C42,'Train Runs'!$A$13:$V$998,22,0)</f>
        <v>https://search-rtdc-monitor-bjffxe2xuh6vdkpspy63sjmuny.us-east-1.es.amazonaws.com/_plugin/kibana/#/discover/Steve-Slow-Train-Analysis-(2080s-and-2083s)?_g=(refreshInterval:(display:Off,section:0,value:0),time:(from:'2016-06-29 13:04:04-0600',mode:absolute,to:'2016-06-29 13:53:00-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Q42" s="9" t="str">
        <f t="shared" si="1"/>
        <v>4015</v>
      </c>
    </row>
    <row r="43" spans="1:17" x14ac:dyDescent="0.25">
      <c r="A43" s="13">
        <v>42550.594699074078</v>
      </c>
      <c r="B43" s="12" t="s">
        <v>194</v>
      </c>
      <c r="C43" s="12" t="s">
        <v>321</v>
      </c>
      <c r="D43" s="12" t="s">
        <v>50</v>
      </c>
      <c r="E43" s="12" t="s">
        <v>56</v>
      </c>
      <c r="F43" s="12">
        <v>0</v>
      </c>
      <c r="G43" s="12">
        <v>362</v>
      </c>
      <c r="H43" s="12">
        <v>193572</v>
      </c>
      <c r="I43" s="12" t="s">
        <v>57</v>
      </c>
      <c r="J43" s="12">
        <v>191723</v>
      </c>
      <c r="K43" s="11" t="s">
        <v>54</v>
      </c>
      <c r="L43" s="11" t="str">
        <f>VLOOKUP(C43,'Trips&amp;Operators'!$C$2:$E$10000,3,FALSE)</f>
        <v>BONDS</v>
      </c>
      <c r="M43" s="10" t="s">
        <v>131</v>
      </c>
      <c r="N43" s="11" t="s">
        <v>675</v>
      </c>
      <c r="O43" s="1"/>
      <c r="P43" s="43" t="str">
        <f>VLOOKUP(C43,'Train Runs'!$A$13:$V$998,22,0)</f>
        <v>https://search-rtdc-monitor-bjffxe2xuh6vdkpspy63sjmuny.us-east-1.es.amazonaws.com/_plugin/kibana/#/discover/Steve-Slow-Train-Analysis-(2080s-and-2083s)?_g=(refreshInterval:(display:Off,section:0,value:0),time:(from:'2016-06-29 14:01:02-0600',mode:absolute,to:'2016-06-29 14:53:05-0600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43" s="9" t="str">
        <f t="shared" si="1"/>
        <v>4039</v>
      </c>
    </row>
    <row r="44" spans="1:17" x14ac:dyDescent="0.25">
      <c r="A44" s="66">
        <v>42550.695092592592</v>
      </c>
      <c r="B44" s="55" t="s">
        <v>159</v>
      </c>
      <c r="C44" s="55" t="s">
        <v>347</v>
      </c>
      <c r="D44" s="55" t="s">
        <v>50</v>
      </c>
      <c r="E44" s="55" t="s">
        <v>56</v>
      </c>
      <c r="F44" s="55">
        <v>0</v>
      </c>
      <c r="G44" s="55">
        <v>428</v>
      </c>
      <c r="H44" s="55">
        <v>129515</v>
      </c>
      <c r="I44" s="55" t="s">
        <v>57</v>
      </c>
      <c r="J44" s="55">
        <v>127587</v>
      </c>
      <c r="K44" s="55" t="s">
        <v>54</v>
      </c>
      <c r="L44" s="11" t="str">
        <f>VLOOKUP(C44,'Trips&amp;Operators'!$C$2:$E$10000,3,FALSE)</f>
        <v>SPECTOR</v>
      </c>
      <c r="M44" s="10" t="s">
        <v>131</v>
      </c>
      <c r="N44" s="11" t="s">
        <v>677</v>
      </c>
      <c r="O44" s="1"/>
      <c r="P44" s="43" t="str">
        <f>VLOOKUP(C44,'Train Runs'!$A$13:$V$998,22,0)</f>
        <v>https://search-rtdc-monitor-bjffxe2xuh6vdkpspy63sjmuny.us-east-1.es.amazonaws.com/_plugin/kibana/#/discover/Steve-Slow-Train-Analysis-(2080s-and-2083s)?_g=(refreshInterval:(display:Off,section:0,value:0),time:(from:'2016-06-29 16:22:29-0600',mode:absolute,to:'2016-06-29 17:14:08-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44" s="9" t="str">
        <f t="shared" si="1"/>
        <v>4012</v>
      </c>
    </row>
    <row r="45" spans="1:17" x14ac:dyDescent="0.25">
      <c r="A45" s="66">
        <v>42550.772523148145</v>
      </c>
      <c r="B45" s="55" t="s">
        <v>159</v>
      </c>
      <c r="C45" s="55" t="s">
        <v>370</v>
      </c>
      <c r="D45" s="55" t="s">
        <v>50</v>
      </c>
      <c r="E45" s="55" t="s">
        <v>56</v>
      </c>
      <c r="F45" s="55">
        <v>0</v>
      </c>
      <c r="G45" s="55">
        <v>48</v>
      </c>
      <c r="H45" s="55">
        <v>127750</v>
      </c>
      <c r="I45" s="55" t="s">
        <v>57</v>
      </c>
      <c r="J45" s="55">
        <v>127587</v>
      </c>
      <c r="K45" s="55" t="s">
        <v>54</v>
      </c>
      <c r="L45" s="11" t="str">
        <f>VLOOKUP(C45,'Trips&amp;Operators'!$C$2:$E$10000,3,FALSE)</f>
        <v>BARTLETT</v>
      </c>
      <c r="M45" s="55" t="s">
        <v>131</v>
      </c>
      <c r="N45" s="11" t="s">
        <v>677</v>
      </c>
      <c r="O45" s="1"/>
      <c r="P45" s="43" t="str">
        <f>VLOOKUP(C45,'Train Runs'!$A$13:$V$998,22,0)</f>
        <v>https://search-rtdc-monitor-bjffxe2xuh6vdkpspy63sjmuny.us-east-1.es.amazonaws.com/_plugin/kibana/#/discover/Steve-Slow-Train-Analysis-(2080s-and-2083s)?_g=(refreshInterval:(display:Off,section:0,value:0),time:(from:'2016-06-29 18:06:54-0600',mode:absolute,to:'2016-06-29 18:57: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45" s="9" t="str">
        <f t="shared" si="1"/>
        <v>4012</v>
      </c>
    </row>
    <row r="46" spans="1:17" x14ac:dyDescent="0.25">
      <c r="A46" s="66">
        <v>42551.004374999997</v>
      </c>
      <c r="B46" s="55" t="s">
        <v>98</v>
      </c>
      <c r="C46" s="55" t="s">
        <v>409</v>
      </c>
      <c r="D46" s="55" t="s">
        <v>50</v>
      </c>
      <c r="E46" s="55" t="s">
        <v>56</v>
      </c>
      <c r="F46" s="55">
        <v>0</v>
      </c>
      <c r="G46" s="55">
        <v>239</v>
      </c>
      <c r="H46" s="55">
        <v>19850</v>
      </c>
      <c r="I46" s="55" t="s">
        <v>57</v>
      </c>
      <c r="J46" s="55">
        <v>20617</v>
      </c>
      <c r="K46" s="55" t="s">
        <v>53</v>
      </c>
      <c r="L46" s="11" t="str">
        <f>VLOOKUP(C46,'Trips&amp;Operators'!$C$2:$E$10000,3,FALSE)</f>
        <v>ADANE</v>
      </c>
      <c r="M46" s="55" t="s">
        <v>130</v>
      </c>
      <c r="N46" s="55" t="s">
        <v>678</v>
      </c>
      <c r="O46" s="1"/>
      <c r="P46" s="43" t="str">
        <f>VLOOKUP(C46,'Train Runs'!$A$13:$V$998,22,0)</f>
        <v>https://search-rtdc-monitor-bjffxe2xuh6vdkpspy63sjmuny.us-east-1.es.amazonaws.com/_plugin/kibana/#/discover/Steve-Slow-Train-Analysis-(2080s-and-2083s)?_g=(refreshInterval:(display:Off,section:0,value:0),time:(from:'2016-06-29 23:55:53-0600',mode:absolute,to:'2016-06-30 00:18:54-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Q46" s="9" t="str">
        <f t="shared" si="1"/>
        <v>4042</v>
      </c>
    </row>
    <row r="47" spans="1:17" x14ac:dyDescent="0.25">
      <c r="A47" s="66">
        <v>42550.273796296293</v>
      </c>
      <c r="B47" s="55" t="s">
        <v>191</v>
      </c>
      <c r="C47" s="55" t="s">
        <v>419</v>
      </c>
      <c r="D47" s="55" t="s">
        <v>50</v>
      </c>
      <c r="E47" s="55" t="s">
        <v>56</v>
      </c>
      <c r="F47" s="55">
        <v>0</v>
      </c>
      <c r="G47" s="55">
        <v>24</v>
      </c>
      <c r="H47" s="55">
        <v>11020</v>
      </c>
      <c r="I47" s="55" t="s">
        <v>57</v>
      </c>
      <c r="J47" s="55">
        <v>11016</v>
      </c>
      <c r="K47" s="55" t="s">
        <v>54</v>
      </c>
      <c r="L47" s="11" t="str">
        <f>VLOOKUP(C47,'Trips&amp;Operators'!$C$2:$E$10000,3,FALSE)</f>
        <v>STURGEON</v>
      </c>
      <c r="M47" s="10" t="s">
        <v>130</v>
      </c>
      <c r="N47" s="11" t="s">
        <v>679</v>
      </c>
      <c r="O47" s="1"/>
      <c r="P47" s="43">
        <f>VLOOKUP(C47,'Train Runs'!$A$13:$V$998,22,0)</f>
        <v>0</v>
      </c>
      <c r="Q47" s="9" t="str">
        <f t="shared" si="1"/>
        <v>4030</v>
      </c>
    </row>
    <row r="48" spans="1:17" x14ac:dyDescent="0.25">
      <c r="A48" s="66">
        <v>42550.328900462962</v>
      </c>
      <c r="B48" s="55" t="s">
        <v>83</v>
      </c>
      <c r="C48" s="55" t="s">
        <v>437</v>
      </c>
      <c r="D48" s="55" t="s">
        <v>50</v>
      </c>
      <c r="E48" s="55" t="s">
        <v>56</v>
      </c>
      <c r="F48" s="55">
        <v>0</v>
      </c>
      <c r="G48" s="55">
        <v>99</v>
      </c>
      <c r="H48" s="55">
        <v>14420</v>
      </c>
      <c r="I48" s="55" t="s">
        <v>57</v>
      </c>
      <c r="J48" s="55">
        <v>14077</v>
      </c>
      <c r="K48" s="55" t="s">
        <v>54</v>
      </c>
      <c r="L48" s="11" t="str">
        <f>VLOOKUP(C48,'Trips&amp;Operators'!$C$2:$E$10000,3,FALSE)</f>
        <v>MAYBERRY</v>
      </c>
      <c r="M48" s="10" t="s">
        <v>131</v>
      </c>
      <c r="N48" s="11" t="s">
        <v>680</v>
      </c>
      <c r="O48" s="1"/>
      <c r="P48" s="43">
        <f>VLOOKUP(C48,'Train Runs'!$A$13:$V$998,22,0)</f>
        <v>0</v>
      </c>
      <c r="Q48" s="9" t="str">
        <f t="shared" si="1"/>
        <v>4017</v>
      </c>
    </row>
    <row r="49" spans="1:17" x14ac:dyDescent="0.25">
      <c r="A49" s="66">
        <v>42550.48883101852</v>
      </c>
      <c r="B49" s="55" t="s">
        <v>83</v>
      </c>
      <c r="C49" s="55" t="s">
        <v>448</v>
      </c>
      <c r="D49" s="55" t="s">
        <v>55</v>
      </c>
      <c r="E49" s="55" t="s">
        <v>56</v>
      </c>
      <c r="F49" s="55">
        <v>200</v>
      </c>
      <c r="G49" s="55">
        <v>256</v>
      </c>
      <c r="H49" s="55">
        <v>55907</v>
      </c>
      <c r="I49" s="55" t="s">
        <v>57</v>
      </c>
      <c r="J49" s="55">
        <v>58472</v>
      </c>
      <c r="K49" s="55" t="s">
        <v>54</v>
      </c>
      <c r="L49" s="11" t="str">
        <f>VLOOKUP(C49,'Trips&amp;Operators'!$C$2:$E$10000,3,FALSE)</f>
        <v>MAYBERRY</v>
      </c>
      <c r="M49" s="10" t="s">
        <v>131</v>
      </c>
      <c r="N49" s="11" t="s">
        <v>676</v>
      </c>
      <c r="O49" s="33"/>
      <c r="P49" s="43">
        <f>VLOOKUP(C49,'Train Runs'!$A$13:$V$998,22,0)</f>
        <v>0</v>
      </c>
      <c r="Q49" s="9" t="str">
        <f t="shared" si="1"/>
        <v>4017</v>
      </c>
    </row>
    <row r="50" spans="1:17" x14ac:dyDescent="0.25">
      <c r="A50" s="66">
        <v>42550.359351851854</v>
      </c>
      <c r="B50" s="55" t="s">
        <v>157</v>
      </c>
      <c r="C50" s="55" t="s">
        <v>274</v>
      </c>
      <c r="D50" s="55" t="s">
        <v>50</v>
      </c>
      <c r="E50" s="55" t="s">
        <v>128</v>
      </c>
      <c r="F50" s="55">
        <v>0</v>
      </c>
      <c r="G50" s="55">
        <v>492</v>
      </c>
      <c r="H50" s="55">
        <v>58820</v>
      </c>
      <c r="I50" s="55" t="s">
        <v>129</v>
      </c>
      <c r="J50" s="55">
        <v>57801</v>
      </c>
      <c r="K50" s="55" t="s">
        <v>54</v>
      </c>
      <c r="L50" s="11" t="str">
        <f>VLOOKUP(C50,'Trips&amp;Operators'!$C$2:$E$10000,3,FALSE)</f>
        <v>ROCHA</v>
      </c>
      <c r="M50" s="10" t="s">
        <v>130</v>
      </c>
      <c r="N50" s="11" t="s">
        <v>224</v>
      </c>
      <c r="O50" s="1"/>
      <c r="P50" s="43" t="str">
        <f>VLOOKUP(C50,'Train Runs'!$A$13:$V$998,22,0)</f>
        <v>https://search-rtdc-monitor-bjffxe2xuh6vdkpspy63sjmuny.us-east-1.es.amazonaws.com/_plugin/kibana/#/discover/Steve-Slow-Train-Analysis-(2080s-and-2083s)?_g=(refreshInterval:(display:Off,section:0,value:0),time:(from:'2016-06-29 08:05:56-0600',mode:absolute,to:'2016-06-29 08:51:07-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Q50" s="9" t="str">
        <f t="shared" si="1"/>
        <v>4023</v>
      </c>
    </row>
    <row r="51" spans="1:17" x14ac:dyDescent="0.25">
      <c r="A51" s="66">
        <v>42550.517002314817</v>
      </c>
      <c r="B51" s="55" t="s">
        <v>82</v>
      </c>
      <c r="C51" s="55" t="s">
        <v>451</v>
      </c>
      <c r="D51" s="55" t="s">
        <v>50</v>
      </c>
      <c r="E51" s="55" t="s">
        <v>538</v>
      </c>
      <c r="F51" s="55">
        <v>470</v>
      </c>
      <c r="G51" s="55">
        <v>477</v>
      </c>
      <c r="H51" s="55">
        <v>9547</v>
      </c>
      <c r="I51" s="55" t="s">
        <v>539</v>
      </c>
      <c r="J51" s="55">
        <v>10716</v>
      </c>
      <c r="K51" s="55" t="s">
        <v>53</v>
      </c>
      <c r="L51" s="11" t="str">
        <f>VLOOKUP(C51,'Trips&amp;Operators'!$C$2:$E$10000,3,FALSE)</f>
        <v>MAYBERRY</v>
      </c>
      <c r="M51" s="10" t="s">
        <v>130</v>
      </c>
      <c r="N51" s="11" t="s">
        <v>224</v>
      </c>
      <c r="P51" s="43">
        <f>VLOOKUP(C51,'Train Runs'!$A$13:$V$998,22,0)</f>
        <v>0</v>
      </c>
      <c r="Q51" s="9" t="str">
        <f t="shared" si="1"/>
        <v>4018</v>
      </c>
    </row>
    <row r="52" spans="1:17" x14ac:dyDescent="0.25">
      <c r="A52" s="13">
        <v>42550.234803240739</v>
      </c>
      <c r="B52" s="12" t="s">
        <v>158</v>
      </c>
      <c r="C52" s="12" t="s">
        <v>244</v>
      </c>
      <c r="D52" s="12" t="s">
        <v>50</v>
      </c>
      <c r="E52" s="12" t="s">
        <v>51</v>
      </c>
      <c r="F52" s="12">
        <v>0</v>
      </c>
      <c r="G52" s="12">
        <v>65</v>
      </c>
      <c r="H52" s="12">
        <v>233238</v>
      </c>
      <c r="I52" s="12" t="s">
        <v>52</v>
      </c>
      <c r="J52" s="12">
        <v>233491</v>
      </c>
      <c r="K52" s="11" t="s">
        <v>53</v>
      </c>
      <c r="L52" s="11" t="str">
        <f>VLOOKUP(C52,'Trips&amp;Operators'!$C$2:$E$10000,3,FALSE)</f>
        <v>SANTIZO</v>
      </c>
      <c r="M52" s="10" t="s">
        <v>131</v>
      </c>
      <c r="N52" s="11"/>
      <c r="O52" s="1"/>
      <c r="P52" s="43" t="str">
        <f>VLOOKUP(C52,'Train Runs'!$A$13:$V$998,22,0)</f>
        <v>https://search-rtdc-monitor-bjffxe2xuh6vdkpspy63sjmuny.us-east-1.es.amazonaws.com/_plugin/kibana/#/discover/Steve-Slow-Train-Analysis-(2080s-and-2083s)?_g=(refreshInterval:(display:Off,section:0,value:0),time:(from:'2016-06-29 04:50:57-0600',mode:absolute,to:'2016-06-29 05:40:40-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4011%22')),sort:!(Time,asc))</v>
      </c>
      <c r="Q52" s="9" t="str">
        <f t="shared" si="1"/>
        <v>4011</v>
      </c>
    </row>
    <row r="53" spans="1:17" x14ac:dyDescent="0.25">
      <c r="A53" s="66">
        <v>42550.316296296296</v>
      </c>
      <c r="B53" s="55" t="s">
        <v>525</v>
      </c>
      <c r="C53" s="55" t="s">
        <v>269</v>
      </c>
      <c r="D53" s="55" t="s">
        <v>50</v>
      </c>
      <c r="E53" s="55" t="s">
        <v>51</v>
      </c>
      <c r="F53" s="55">
        <v>0</v>
      </c>
      <c r="G53" s="55">
        <v>8</v>
      </c>
      <c r="H53" s="55">
        <v>233338</v>
      </c>
      <c r="I53" s="55" t="s">
        <v>52</v>
      </c>
      <c r="J53" s="55">
        <v>233491</v>
      </c>
      <c r="K53" s="55" t="s">
        <v>53</v>
      </c>
      <c r="L53" s="11" t="str">
        <f>VLOOKUP(C53,'Trips&amp;Operators'!$C$2:$E$10000,3,FALSE)</f>
        <v>YORK</v>
      </c>
      <c r="M53" s="10" t="s">
        <v>131</v>
      </c>
      <c r="N53" s="11"/>
      <c r="O53" s="1"/>
      <c r="P53" s="43" t="str">
        <f>VLOOKUP(C53,'Train Runs'!$A$13:$V$998,22,0)</f>
        <v>https://search-rtdc-monitor-bjffxe2xuh6vdkpspy63sjmuny.us-east-1.es.amazonaws.com/_plugin/kibana/#/discover/Steve-Slow-Train-Analysis-(2080s-and-2083s)?_g=(refreshInterval:(display:Off,section:0,value:0),time:(from:'2016-06-29 06:51:43-0600',mode:absolute,to:'2016-06-29 07:36:36-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Q53" s="9" t="str">
        <f t="shared" si="1"/>
        <v>4016</v>
      </c>
    </row>
    <row r="54" spans="1:17" x14ac:dyDescent="0.25">
      <c r="A54" s="66">
        <v>42550.368043981478</v>
      </c>
      <c r="B54" s="55" t="s">
        <v>157</v>
      </c>
      <c r="C54" s="55" t="s">
        <v>274</v>
      </c>
      <c r="D54" s="55" t="s">
        <v>50</v>
      </c>
      <c r="E54" s="55" t="s">
        <v>51</v>
      </c>
      <c r="F54" s="55">
        <v>0</v>
      </c>
      <c r="G54" s="55">
        <v>8</v>
      </c>
      <c r="H54" s="55">
        <v>112</v>
      </c>
      <c r="I54" s="55" t="s">
        <v>52</v>
      </c>
      <c r="J54" s="55">
        <v>1</v>
      </c>
      <c r="K54" s="55" t="s">
        <v>54</v>
      </c>
      <c r="L54" s="11" t="str">
        <f>VLOOKUP(C54,'Trips&amp;Operators'!$C$2:$E$10000,3,FALSE)</f>
        <v>ROCHA</v>
      </c>
      <c r="M54" s="10" t="s">
        <v>131</v>
      </c>
      <c r="N54" s="11"/>
      <c r="O54" s="1"/>
      <c r="P54" s="43" t="str">
        <f>VLOOKUP(C54,'Train Runs'!$A$13:$V$998,22,0)</f>
        <v>https://search-rtdc-monitor-bjffxe2xuh6vdkpspy63sjmuny.us-east-1.es.amazonaws.com/_plugin/kibana/#/discover/Steve-Slow-Train-Analysis-(2080s-and-2083s)?_g=(refreshInterval:(display:Off,section:0,value:0),time:(from:'2016-06-29 08:05:56-0600',mode:absolute,to:'2016-06-29 08:51:07-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Q54" s="9" t="str">
        <f t="shared" si="1"/>
        <v>4023</v>
      </c>
    </row>
    <row r="55" spans="1:17" x14ac:dyDescent="0.25">
      <c r="A55" s="66">
        <v>42550.339826388888</v>
      </c>
      <c r="B55" s="55" t="s">
        <v>88</v>
      </c>
      <c r="C55" s="55" t="s">
        <v>275</v>
      </c>
      <c r="D55" s="55" t="s">
        <v>50</v>
      </c>
      <c r="E55" s="55" t="s">
        <v>51</v>
      </c>
      <c r="F55" s="55">
        <v>0</v>
      </c>
      <c r="G55" s="55">
        <v>78</v>
      </c>
      <c r="H55" s="55">
        <v>233187</v>
      </c>
      <c r="I55" s="55" t="s">
        <v>52</v>
      </c>
      <c r="J55" s="55">
        <v>233491</v>
      </c>
      <c r="K55" s="55" t="s">
        <v>53</v>
      </c>
      <c r="L55" s="11" t="str">
        <f>VLOOKUP(C55,'Trips&amp;Operators'!$C$2:$E$10000,3,FALSE)</f>
        <v>STARKS</v>
      </c>
      <c r="M55" s="10" t="s">
        <v>131</v>
      </c>
      <c r="N55" s="11"/>
      <c r="O55" s="1"/>
      <c r="P55" s="43" t="str">
        <f>VLOOKUP(C55,'Train Runs'!$A$13:$V$998,22,0)</f>
        <v>https://search-rtdc-monitor-bjffxe2xuh6vdkpspy63sjmuny.us-east-1.es.amazonaws.com/_plugin/kibana/#/discover/Steve-Slow-Train-Analysis-(2080s-and-2083s)?_g=(refreshInterval:(display:Off,section:0,value:0),time:(from:'2016-06-29 07:39:21-0600',mode:absolute,to:'2016-06-29 08:10: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4031%22')),sort:!(Time,asc))</v>
      </c>
      <c r="Q55" s="9" t="str">
        <f t="shared" si="1"/>
        <v>4031</v>
      </c>
    </row>
    <row r="56" spans="1:17" x14ac:dyDescent="0.25">
      <c r="A56" s="66">
        <v>42550.46292824074</v>
      </c>
      <c r="B56" s="55" t="s">
        <v>525</v>
      </c>
      <c r="C56" s="55" t="s">
        <v>537</v>
      </c>
      <c r="D56" s="55" t="s">
        <v>50</v>
      </c>
      <c r="E56" s="55" t="s">
        <v>51</v>
      </c>
      <c r="F56" s="55">
        <v>0</v>
      </c>
      <c r="G56" s="55">
        <v>5</v>
      </c>
      <c r="H56" s="55">
        <v>233317</v>
      </c>
      <c r="I56" s="55" t="s">
        <v>52</v>
      </c>
      <c r="J56" s="55">
        <v>233491</v>
      </c>
      <c r="K56" s="55" t="s">
        <v>53</v>
      </c>
      <c r="L56" s="11" t="str">
        <f>VLOOKUP(C56,'Trips&amp;Operators'!$C$2:$E$10000,3,FALSE)</f>
        <v>SANTIZO</v>
      </c>
      <c r="M56" s="55" t="s">
        <v>131</v>
      </c>
      <c r="N56" s="55"/>
      <c r="O56" s="1"/>
      <c r="P56" s="43" t="str">
        <f>VLOOKUP(C56,'Train Runs'!$A$13:$V$998,22,0)</f>
        <v>https://search-rtdc-monitor-bjffxe2xuh6vdkpspy63sjmuny.us-east-1.es.amazonaws.com/_plugin/kibana/#/discover/Steve-Slow-Train-Analysis-(2080s-and-2083s)?_g=(refreshInterval:(display:Off,section:0,value:0),time:(from:'2016-06-29 10:20:06-0600',mode:absolute,to:'2016-06-29 11:07:46-0600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4016%22')),sort:!(Time,asc))</v>
      </c>
      <c r="Q56" s="9" t="str">
        <f t="shared" si="1"/>
        <v>4016</v>
      </c>
    </row>
    <row r="57" spans="1:17" x14ac:dyDescent="0.25">
      <c r="A57" s="13">
        <v>42550.518576388888</v>
      </c>
      <c r="B57" s="12" t="s">
        <v>157</v>
      </c>
      <c r="C57" s="12" t="s">
        <v>287</v>
      </c>
      <c r="D57" s="12" t="s">
        <v>50</v>
      </c>
      <c r="E57" s="12" t="s">
        <v>51</v>
      </c>
      <c r="F57" s="12">
        <v>0</v>
      </c>
      <c r="G57" s="12">
        <v>5</v>
      </c>
      <c r="H57" s="12">
        <v>112</v>
      </c>
      <c r="I57" s="12" t="s">
        <v>52</v>
      </c>
      <c r="J57" s="12">
        <v>1</v>
      </c>
      <c r="K57" s="11" t="s">
        <v>54</v>
      </c>
      <c r="L57" s="11" t="str">
        <f>VLOOKUP(C57,'Trips&amp;Operators'!$C$2:$E$10000,3,FALSE)</f>
        <v>STAMBAUGH</v>
      </c>
      <c r="M57" s="10" t="s">
        <v>131</v>
      </c>
      <c r="N57" s="11"/>
      <c r="O57" s="1"/>
      <c r="P57" s="43" t="str">
        <f>VLOOKUP(C57,'Train Runs'!$A$13:$V$998,22,0)</f>
        <v>https://search-rtdc-monitor-bjffxe2xuh6vdkpspy63sjmuny.us-east-1.es.amazonaws.com/_plugin/kibana/#/discover/Steve-Slow-Train-Analysis-(2080s-and-2083s)?_g=(refreshInterval:(display:Off,section:0,value:0),time:(from:'2016-06-29 11:35:12-0600',mode:absolute,to:'2016-06-29 12:28:04-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4023%22')),sort:!(Time,asc))</v>
      </c>
      <c r="Q57" s="9" t="str">
        <f t="shared" si="1"/>
        <v>4023</v>
      </c>
    </row>
    <row r="58" spans="1:17" x14ac:dyDescent="0.25">
      <c r="A58" s="66">
        <v>42550.498506944445</v>
      </c>
      <c r="B58" s="55" t="s">
        <v>98</v>
      </c>
      <c r="C58" s="55" t="s">
        <v>290</v>
      </c>
      <c r="D58" s="55" t="s">
        <v>50</v>
      </c>
      <c r="E58" s="55" t="s">
        <v>51</v>
      </c>
      <c r="F58" s="55">
        <v>0</v>
      </c>
      <c r="G58" s="55">
        <v>3</v>
      </c>
      <c r="H58" s="55">
        <v>232998</v>
      </c>
      <c r="I58" s="55" t="s">
        <v>52</v>
      </c>
      <c r="J58" s="55">
        <v>233491</v>
      </c>
      <c r="K58" s="55" t="s">
        <v>53</v>
      </c>
      <c r="L58" s="11" t="str">
        <f>VLOOKUP(C58,'Trips&amp;Operators'!$C$2:$E$10000,3,FALSE)</f>
        <v>SHOOK</v>
      </c>
      <c r="M58" s="55" t="s">
        <v>131</v>
      </c>
      <c r="N58" s="55"/>
      <c r="O58" s="1"/>
      <c r="P58" s="43" t="str">
        <f>VLOOKUP(C58,'Train Runs'!$A$13:$V$998,22,0)</f>
        <v>https://search-rtdc-monitor-bjffxe2xuh6vdkpspy63sjmuny.us-east-1.es.amazonaws.com/_plugin/kibana/#/discover/Steve-Slow-Train-Analysis-(2080s-and-2083s)?_g=(refreshInterval:(display:Off,section:0,value:0),time:(from:'2016-06-29 11:09:50-0600',mode:absolute,to:'2016-06-29 12:01: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Q58" s="9" t="str">
        <f t="shared" si="1"/>
        <v>4042</v>
      </c>
    </row>
    <row r="59" spans="1:17" x14ac:dyDescent="0.25">
      <c r="A59" s="66">
        <v>42550.500173611108</v>
      </c>
      <c r="B59" s="55" t="s">
        <v>98</v>
      </c>
      <c r="C59" s="55" t="s">
        <v>290</v>
      </c>
      <c r="D59" s="55" t="s">
        <v>50</v>
      </c>
      <c r="E59" s="55" t="s">
        <v>51</v>
      </c>
      <c r="F59" s="55">
        <v>0</v>
      </c>
      <c r="G59" s="55">
        <v>9</v>
      </c>
      <c r="H59" s="55">
        <v>233042</v>
      </c>
      <c r="I59" s="55" t="s">
        <v>52</v>
      </c>
      <c r="J59" s="55">
        <v>233491</v>
      </c>
      <c r="K59" s="55" t="s">
        <v>53</v>
      </c>
      <c r="L59" s="11" t="str">
        <f>VLOOKUP(C59,'Trips&amp;Operators'!$C$2:$E$10000,3,FALSE)</f>
        <v>SHOOK</v>
      </c>
      <c r="M59" s="55" t="s">
        <v>131</v>
      </c>
      <c r="N59" s="55"/>
      <c r="O59" s="1"/>
      <c r="P59" s="43" t="str">
        <f>VLOOKUP(C59,'Train Runs'!$A$13:$V$998,22,0)</f>
        <v>https://search-rtdc-monitor-bjffxe2xuh6vdkpspy63sjmuny.us-east-1.es.amazonaws.com/_plugin/kibana/#/discover/Steve-Slow-Train-Analysis-(2080s-and-2083s)?_g=(refreshInterval:(display:Off,section:0,value:0),time:(from:'2016-06-29 11:09:50-0600',mode:absolute,to:'2016-06-29 12:01: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Q59" s="9" t="str">
        <f t="shared" si="1"/>
        <v>4042</v>
      </c>
    </row>
    <row r="60" spans="1:17" x14ac:dyDescent="0.25">
      <c r="A60" s="66">
        <v>42550.569594907407</v>
      </c>
      <c r="B60" s="55" t="s">
        <v>159</v>
      </c>
      <c r="C60" s="55" t="s">
        <v>301</v>
      </c>
      <c r="D60" s="55" t="s">
        <v>50</v>
      </c>
      <c r="E60" s="55" t="s">
        <v>51</v>
      </c>
      <c r="F60" s="55">
        <v>0</v>
      </c>
      <c r="G60" s="55">
        <v>54</v>
      </c>
      <c r="H60" s="55">
        <v>187</v>
      </c>
      <c r="I60" s="55" t="s">
        <v>52</v>
      </c>
      <c r="J60" s="55">
        <v>1</v>
      </c>
      <c r="K60" s="55" t="s">
        <v>54</v>
      </c>
      <c r="L60" s="11" t="str">
        <f>VLOOKUP(C60,'Trips&amp;Operators'!$C$2:$E$10000,3,FALSE)</f>
        <v>SPECTOR</v>
      </c>
      <c r="M60" s="10" t="s">
        <v>131</v>
      </c>
      <c r="N60" s="11"/>
      <c r="O60" s="1"/>
      <c r="P60" s="43" t="str">
        <f>VLOOKUP(C60,'Train Runs'!$A$13:$V$998,22,0)</f>
        <v>https://search-rtdc-monitor-bjffxe2xuh6vdkpspy63sjmuny.us-east-1.es.amazonaws.com/_plugin/kibana/#/discover/Steve-Slow-Train-Analysis-(2080s-and-2083s)?_g=(refreshInterval:(display:Off,section:0,value:0),time:(from:'2016-06-29 12:52:20-0600',mode:absolute,to:'2016-06-29 13:41:21-0600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60" s="9" t="str">
        <f t="shared" si="1"/>
        <v>4012</v>
      </c>
    </row>
    <row r="61" spans="1:17" x14ac:dyDescent="0.25">
      <c r="A61" s="66">
        <v>42550.577673611115</v>
      </c>
      <c r="B61" s="55" t="s">
        <v>530</v>
      </c>
      <c r="C61" s="55" t="s">
        <v>304</v>
      </c>
      <c r="D61" s="55" t="s">
        <v>50</v>
      </c>
      <c r="E61" s="55" t="s">
        <v>51</v>
      </c>
      <c r="F61" s="55">
        <v>0</v>
      </c>
      <c r="G61" s="55">
        <v>7</v>
      </c>
      <c r="H61" s="55">
        <v>119</v>
      </c>
      <c r="I61" s="55" t="s">
        <v>52</v>
      </c>
      <c r="J61" s="55">
        <v>1</v>
      </c>
      <c r="K61" s="55" t="s">
        <v>54</v>
      </c>
      <c r="L61" s="11" t="str">
        <f>VLOOKUP(C61,'Trips&amp;Operators'!$C$2:$E$10000,3,FALSE)</f>
        <v>STEWART</v>
      </c>
      <c r="M61" s="10" t="s">
        <v>131</v>
      </c>
      <c r="N61" s="11"/>
      <c r="O61" s="1"/>
      <c r="P61" s="43" t="str">
        <f>VLOOKUP(C61,'Train Runs'!$A$13:$V$998,22,0)</f>
        <v>https://search-rtdc-monitor-bjffxe2xuh6vdkpspy63sjmuny.us-east-1.es.amazonaws.com/_plugin/kibana/#/discover/Steve-Slow-Train-Analysis-(2080s-and-2083s)?_g=(refreshInterval:(display:Off,section:0,value:0),time:(from:'2016-06-29 13:04:04-0600',mode:absolute,to:'2016-06-29 13:53:00-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4015%22')),sort:!(Time,asc))</v>
      </c>
      <c r="Q61" s="9" t="str">
        <f t="shared" si="1"/>
        <v>4015</v>
      </c>
    </row>
    <row r="62" spans="1:17" x14ac:dyDescent="0.25">
      <c r="A62" s="66">
        <v>42550.69021990741</v>
      </c>
      <c r="B62" s="55" t="s">
        <v>194</v>
      </c>
      <c r="C62" s="55" t="s">
        <v>342</v>
      </c>
      <c r="D62" s="55" t="s">
        <v>50</v>
      </c>
      <c r="E62" s="55" t="s">
        <v>51</v>
      </c>
      <c r="F62" s="55">
        <v>0</v>
      </c>
      <c r="G62" s="55">
        <v>51</v>
      </c>
      <c r="H62" s="55">
        <v>1011</v>
      </c>
      <c r="I62" s="55" t="s">
        <v>52</v>
      </c>
      <c r="J62" s="55">
        <v>839</v>
      </c>
      <c r="K62" s="55" t="s">
        <v>54</v>
      </c>
      <c r="L62" s="11" t="str">
        <f>VLOOKUP(C62,'Trips&amp;Operators'!$C$2:$E$10000,3,FALSE)</f>
        <v>BONDS</v>
      </c>
      <c r="M62" s="10" t="s">
        <v>131</v>
      </c>
      <c r="N62" s="11"/>
      <c r="O62" s="1"/>
      <c r="P62" s="43" t="str">
        <f>VLOOKUP(C62,'Train Runs'!$A$13:$V$998,22,0)</f>
        <v>https://search-rtdc-monitor-bjffxe2xuh6vdkpspy63sjmuny.us-east-1.es.amazonaws.com/_plugin/kibana/#/discover/Steve-Slow-Train-Analysis-(2080s-and-2083s)?_g=(refreshInterval:(display:Off,section:0,value:0),time:(from:'2016-06-29 15:47:03-0600',mode:absolute,to:'2016-06-29 16:35:49-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62" s="9" t="str">
        <f t="shared" si="1"/>
        <v>4039</v>
      </c>
    </row>
    <row r="63" spans="1:17" x14ac:dyDescent="0.25">
      <c r="A63" s="66">
        <v>42550.690694444442</v>
      </c>
      <c r="B63" s="55" t="s">
        <v>194</v>
      </c>
      <c r="C63" s="55" t="s">
        <v>342</v>
      </c>
      <c r="D63" s="55" t="s">
        <v>50</v>
      </c>
      <c r="E63" s="55" t="s">
        <v>51</v>
      </c>
      <c r="F63" s="55">
        <v>0</v>
      </c>
      <c r="G63" s="55">
        <v>20</v>
      </c>
      <c r="H63" s="55">
        <v>911</v>
      </c>
      <c r="I63" s="55" t="s">
        <v>52</v>
      </c>
      <c r="J63" s="55">
        <v>839</v>
      </c>
      <c r="K63" s="55" t="s">
        <v>54</v>
      </c>
      <c r="L63" s="11" t="str">
        <f>VLOOKUP(C63,'Trips&amp;Operators'!$C$2:$E$10000,3,FALSE)</f>
        <v>BONDS</v>
      </c>
      <c r="M63" s="10" t="s">
        <v>131</v>
      </c>
      <c r="N63" s="11"/>
      <c r="O63" s="1"/>
      <c r="P63" s="43" t="str">
        <f>VLOOKUP(C63,'Train Runs'!$A$13:$V$998,22,0)</f>
        <v>https://search-rtdc-monitor-bjffxe2xuh6vdkpspy63sjmuny.us-east-1.es.amazonaws.com/_plugin/kibana/#/discover/Steve-Slow-Train-Analysis-(2080s-and-2083s)?_g=(refreshInterval:(display:Off,section:0,value:0),time:(from:'2016-06-29 15:47:03-0600',mode:absolute,to:'2016-06-29 16:35:49-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63" s="9" t="str">
        <f t="shared" si="1"/>
        <v>4039</v>
      </c>
    </row>
    <row r="64" spans="1:17" x14ac:dyDescent="0.25">
      <c r="A64" s="66">
        <v>42550.716886574075</v>
      </c>
      <c r="B64" s="55" t="s">
        <v>159</v>
      </c>
      <c r="C64" s="55" t="s">
        <v>347</v>
      </c>
      <c r="D64" s="55" t="s">
        <v>50</v>
      </c>
      <c r="E64" s="55" t="s">
        <v>51</v>
      </c>
      <c r="F64" s="55">
        <v>0</v>
      </c>
      <c r="G64" s="55">
        <v>98</v>
      </c>
      <c r="H64" s="55">
        <v>1222</v>
      </c>
      <c r="I64" s="55" t="s">
        <v>52</v>
      </c>
      <c r="J64" s="55">
        <v>839</v>
      </c>
      <c r="K64" s="55" t="s">
        <v>54</v>
      </c>
      <c r="L64" s="11" t="str">
        <f>VLOOKUP(C64,'Trips&amp;Operators'!$C$2:$E$10000,3,FALSE)</f>
        <v>SPECTOR</v>
      </c>
      <c r="M64" s="55" t="s">
        <v>131</v>
      </c>
      <c r="N64" s="55"/>
      <c r="O64" s="1"/>
      <c r="P64" s="43" t="str">
        <f>VLOOKUP(C64,'Train Runs'!$A$13:$V$998,22,0)</f>
        <v>https://search-rtdc-monitor-bjffxe2xuh6vdkpspy63sjmuny.us-east-1.es.amazonaws.com/_plugin/kibana/#/discover/Steve-Slow-Train-Analysis-(2080s-and-2083s)?_g=(refreshInterval:(display:Off,section:0,value:0),time:(from:'2016-06-29 16:22:29-0600',mode:absolute,to:'2016-06-29 17:14:08-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64" s="9" t="str">
        <f t="shared" si="1"/>
        <v>4012</v>
      </c>
    </row>
    <row r="65" spans="1:17" x14ac:dyDescent="0.25">
      <c r="A65" s="66">
        <v>42550.717349537037</v>
      </c>
      <c r="B65" s="55" t="s">
        <v>159</v>
      </c>
      <c r="C65" s="55" t="s">
        <v>347</v>
      </c>
      <c r="D65" s="55" t="s">
        <v>50</v>
      </c>
      <c r="E65" s="55" t="s">
        <v>51</v>
      </c>
      <c r="F65" s="55">
        <v>0</v>
      </c>
      <c r="G65" s="55">
        <v>57</v>
      </c>
      <c r="H65" s="55">
        <v>1062</v>
      </c>
      <c r="I65" s="55" t="s">
        <v>52</v>
      </c>
      <c r="J65" s="55">
        <v>839</v>
      </c>
      <c r="K65" s="55" t="s">
        <v>54</v>
      </c>
      <c r="L65" s="11" t="str">
        <f>VLOOKUP(C65,'Trips&amp;Operators'!$C$2:$E$10000,3,FALSE)</f>
        <v>SPECTOR</v>
      </c>
      <c r="M65" s="55" t="s">
        <v>131</v>
      </c>
      <c r="N65" s="55"/>
      <c r="O65" s="1"/>
      <c r="P65" s="43" t="str">
        <f>VLOOKUP(C65,'Train Runs'!$A$13:$V$998,22,0)</f>
        <v>https://search-rtdc-monitor-bjffxe2xuh6vdkpspy63sjmuny.us-east-1.es.amazonaws.com/_plugin/kibana/#/discover/Steve-Slow-Train-Analysis-(2080s-and-2083s)?_g=(refreshInterval:(display:Off,section:0,value:0),time:(from:'2016-06-29 16:22:29-0600',mode:absolute,to:'2016-06-29 17:14:08-0600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65" s="9" t="str">
        <f t="shared" si="1"/>
        <v>4012</v>
      </c>
    </row>
    <row r="66" spans="1:17" x14ac:dyDescent="0.25">
      <c r="A66" s="66">
        <v>42550.71539351852</v>
      </c>
      <c r="B66" s="55" t="s">
        <v>98</v>
      </c>
      <c r="C66" s="55" t="s">
        <v>356</v>
      </c>
      <c r="D66" s="55" t="s">
        <v>50</v>
      </c>
      <c r="E66" s="55" t="s">
        <v>51</v>
      </c>
      <c r="F66" s="55">
        <v>0</v>
      </c>
      <c r="G66" s="55">
        <v>5</v>
      </c>
      <c r="H66" s="55">
        <v>233421</v>
      </c>
      <c r="I66" s="55" t="s">
        <v>52</v>
      </c>
      <c r="J66" s="55">
        <v>233491</v>
      </c>
      <c r="K66" s="55" t="s">
        <v>53</v>
      </c>
      <c r="L66" s="11" t="str">
        <f>VLOOKUP(C66,'Trips&amp;Operators'!$C$2:$E$10000,3,FALSE)</f>
        <v>SHOOK</v>
      </c>
      <c r="M66" s="55" t="s">
        <v>131</v>
      </c>
      <c r="N66" s="55"/>
      <c r="O66" s="1"/>
      <c r="P66" s="43" t="str">
        <f>VLOOKUP(C66,'Train Runs'!$A$13:$V$998,22,0)</f>
        <v>https://search-rtdc-monitor-bjffxe2xuh6vdkpspy63sjmuny.us-east-1.es.amazonaws.com/_plugin/kibana/#/discover/Steve-Slow-Train-Analysis-(2080s-and-2083s)?_g=(refreshInterval:(display:Off,section:0,value:0),time:(from:'2016-06-29 16:26:33-0600',mode:absolute,to:'2016-06-29 17:11:19-0600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4042%22')),sort:!(Time,asc))</v>
      </c>
      <c r="Q66" s="9" t="str">
        <f t="shared" si="1"/>
        <v>4042</v>
      </c>
    </row>
    <row r="67" spans="1:17" x14ac:dyDescent="0.25">
      <c r="A67" s="66">
        <v>42550.788923611108</v>
      </c>
      <c r="B67" s="55" t="s">
        <v>159</v>
      </c>
      <c r="C67" s="55" t="s">
        <v>370</v>
      </c>
      <c r="D67" s="55" t="s">
        <v>50</v>
      </c>
      <c r="E67" s="55" t="s">
        <v>51</v>
      </c>
      <c r="F67" s="55">
        <v>0</v>
      </c>
      <c r="G67" s="55">
        <v>55</v>
      </c>
      <c r="H67" s="55">
        <v>178</v>
      </c>
      <c r="I67" s="55" t="s">
        <v>52</v>
      </c>
      <c r="J67" s="55">
        <v>1</v>
      </c>
      <c r="K67" s="55" t="s">
        <v>54</v>
      </c>
      <c r="L67" s="11" t="str">
        <f>VLOOKUP(C67,'Trips&amp;Operators'!$C$2:$E$10000,3,FALSE)</f>
        <v>BARTLETT</v>
      </c>
      <c r="M67" s="55" t="s">
        <v>131</v>
      </c>
      <c r="N67" s="55"/>
      <c r="O67" s="1"/>
      <c r="P67" s="43" t="str">
        <f>VLOOKUP(C67,'Train Runs'!$A$13:$V$998,22,0)</f>
        <v>https://search-rtdc-monitor-bjffxe2xuh6vdkpspy63sjmuny.us-east-1.es.amazonaws.com/_plugin/kibana/#/discover/Steve-Slow-Train-Analysis-(2080s-and-2083s)?_g=(refreshInterval:(display:Off,section:0,value:0),time:(from:'2016-06-29 18:06:54-0600',mode:absolute,to:'2016-06-29 18:57:13-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4012%22')),sort:!(Time,asc))</v>
      </c>
      <c r="Q67" s="9" t="str">
        <f t="shared" si="1"/>
        <v>4012</v>
      </c>
    </row>
    <row r="68" spans="1:17" x14ac:dyDescent="0.25">
      <c r="A68" s="66">
        <v>42550.755798611113</v>
      </c>
      <c r="B68" s="55" t="s">
        <v>219</v>
      </c>
      <c r="C68" s="55" t="s">
        <v>372</v>
      </c>
      <c r="D68" s="55" t="s">
        <v>50</v>
      </c>
      <c r="E68" s="55" t="s">
        <v>51</v>
      </c>
      <c r="F68" s="55">
        <v>0</v>
      </c>
      <c r="G68" s="55">
        <v>90</v>
      </c>
      <c r="H68" s="55">
        <v>233094</v>
      </c>
      <c r="I68" s="55" t="s">
        <v>52</v>
      </c>
      <c r="J68" s="55">
        <v>233491</v>
      </c>
      <c r="K68" s="55" t="s">
        <v>53</v>
      </c>
      <c r="L68" s="11" t="str">
        <f>VLOOKUP(C68,'Trips&amp;Operators'!$C$2:$E$10000,3,FALSE)</f>
        <v>STEWART</v>
      </c>
      <c r="M68" s="55" t="s">
        <v>131</v>
      </c>
      <c r="N68" s="55"/>
      <c r="O68" s="1"/>
      <c r="P68" s="43" t="str">
        <f>VLOOKUP(C68,'Train Runs'!$A$13:$V$998,22,0)</f>
        <v>https://search-rtdc-monitor-bjffxe2xuh6vdkpspy63sjmuny.us-east-1.es.amazonaws.com/_plugin/kibana/#/discover/Steve-Slow-Train-Analysis-(2080s-and-2083s)?_g=(refreshInterval:(display:Off,section:0,value:0),time:(from:'2016-06-29 17:26:12-0600',mode:absolute,to:'2016-06-29 18:09:30-0600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4044%22')),sort:!(Time,asc))</v>
      </c>
      <c r="Q68" s="9" t="str">
        <f t="shared" si="1"/>
        <v>4044</v>
      </c>
    </row>
    <row r="69" spans="1:17" x14ac:dyDescent="0.25">
      <c r="A69" s="66">
        <v>42550.878587962965</v>
      </c>
      <c r="B69" s="55" t="s">
        <v>540</v>
      </c>
      <c r="C69" s="55" t="s">
        <v>388</v>
      </c>
      <c r="D69" s="55" t="s">
        <v>50</v>
      </c>
      <c r="E69" s="55" t="s">
        <v>51</v>
      </c>
      <c r="F69" s="55">
        <v>0</v>
      </c>
      <c r="G69" s="55">
        <v>9</v>
      </c>
      <c r="H69" s="55">
        <v>125</v>
      </c>
      <c r="I69" s="55" t="s">
        <v>52</v>
      </c>
      <c r="J69" s="55">
        <v>1</v>
      </c>
      <c r="K69" s="55" t="s">
        <v>54</v>
      </c>
      <c r="L69" s="11" t="str">
        <f>VLOOKUP(C69,'Trips&amp;Operators'!$C$2:$E$10000,3,FALSE)</f>
        <v>STRICKLAND</v>
      </c>
      <c r="M69" s="55" t="s">
        <v>131</v>
      </c>
      <c r="N69" s="55"/>
      <c r="O69" s="1"/>
      <c r="P69" s="43" t="str">
        <f>VLOOKUP(C69,'Train Runs'!$A$13:$V$998,22,0)</f>
        <v>https://search-rtdc-monitor-bjffxe2xuh6vdkpspy63sjmuny.us-east-1.es.amazonaws.com/_plugin/kibana/#/discover/Steve-Slow-Train-Analysis-(2080s-and-2083s)?_g=(refreshInterval:(display:Off,section:0,value:0),time:(from:'2016-06-29 20:18:11-0600',mode:absolute,to:'2016-06-29 21:06:23-0600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4043%22')),sort:!(Time,asc))</v>
      </c>
      <c r="Q69" s="9" t="str">
        <f t="shared" si="1"/>
        <v>4043</v>
      </c>
    </row>
    <row r="70" spans="1:17" x14ac:dyDescent="0.25">
      <c r="A70" s="66">
        <v>42550.921724537038</v>
      </c>
      <c r="B70" s="55" t="s">
        <v>194</v>
      </c>
      <c r="C70" s="55" t="s">
        <v>392</v>
      </c>
      <c r="D70" s="55" t="s">
        <v>50</v>
      </c>
      <c r="E70" s="55" t="s">
        <v>51</v>
      </c>
      <c r="F70" s="55">
        <v>0</v>
      </c>
      <c r="G70" s="55">
        <v>8</v>
      </c>
      <c r="H70" s="55">
        <v>127</v>
      </c>
      <c r="I70" s="55" t="s">
        <v>52</v>
      </c>
      <c r="J70" s="55">
        <v>1</v>
      </c>
      <c r="K70" s="55" t="s">
        <v>54</v>
      </c>
      <c r="L70" s="11" t="str">
        <f>VLOOKUP(C70,'Trips&amp;Operators'!$C$2:$E$10000,3,FALSE)</f>
        <v>DAVIS</v>
      </c>
      <c r="M70" s="55" t="s">
        <v>131</v>
      </c>
      <c r="N70" s="55"/>
      <c r="O70" s="1"/>
      <c r="P70" s="43" t="str">
        <f>VLOOKUP(C70,'Train Runs'!$A$13:$V$998,22,0)</f>
        <v>https://search-rtdc-monitor-bjffxe2xuh6vdkpspy63sjmuny.us-east-1.es.amazonaws.com/_plugin/kibana/#/discover/Steve-Slow-Train-Analysis-(2080s-and-2083s)?_g=(refreshInterval:(display:Off,section:0,value:0),time:(from:'2016-06-29 21:20:39-0600',mode:absolute,to:'2016-06-29 22:08:24-0600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4039%22')),sort:!(Time,asc))</v>
      </c>
      <c r="Q70" s="9" t="str">
        <f t="shared" si="1"/>
        <v>4039</v>
      </c>
    </row>
    <row r="71" spans="1:17" x14ac:dyDescent="0.25">
      <c r="A71" s="66">
        <v>42550.982916666668</v>
      </c>
      <c r="B71" s="55" t="s">
        <v>97</v>
      </c>
      <c r="C71" s="55" t="s">
        <v>399</v>
      </c>
      <c r="D71" s="55" t="s">
        <v>50</v>
      </c>
      <c r="E71" s="55" t="s">
        <v>51</v>
      </c>
      <c r="F71" s="55">
        <v>0</v>
      </c>
      <c r="G71" s="55">
        <v>73</v>
      </c>
      <c r="H71" s="55">
        <v>229</v>
      </c>
      <c r="I71" s="55" t="s">
        <v>52</v>
      </c>
      <c r="J71" s="55">
        <v>1</v>
      </c>
      <c r="K71" s="55" t="s">
        <v>54</v>
      </c>
      <c r="L71" s="11" t="str">
        <f>VLOOKUP(C71,'Trips&amp;Operators'!$C$2:$E$10000,3,FALSE)</f>
        <v>ADANE</v>
      </c>
      <c r="M71" s="55" t="s">
        <v>131</v>
      </c>
      <c r="N71" s="55"/>
      <c r="O71" s="1"/>
      <c r="P71" s="43" t="str">
        <f>VLOOKUP(C71,'Train Runs'!$A$13:$V$998,22,0)</f>
        <v>https://search-rtdc-monitor-bjffxe2xuh6vdkpspy63sjmuny.us-east-1.es.amazonaws.com/_plugin/kibana/#/discover/Steve-Slow-Train-Analysis-(2080s-and-2083s)?_g=(refreshInterval:(display:Off,section:0,value:0),time:(from:'2016-06-29 22:50:57-0600',mode:absolute,to:'2016-06-29 23:36:37-0600'))&amp;_a=(columns:!(Source,'Data.Head%20End%20Milepost',Data.Speed,'Data.Locomotive%20State','Data.Train%20ID','Data.Warning%2FEnforcement%20Type','Data.Target%20Start%20Milepost','Data.Target%20Description','Data.Target%20Speed','Data.Enforcement%20Train%20Speed','Data.Enforcement%20Start%20Milepost','Data.Target%20Type','Data.Enforcement%20Direction%20of%20Travel','Message%20ID','Data.Body%20of%20Summary%20Text'),filters:!(),index:'emp_*',interval:auto,query:(query_string:(analyze_wildcard:!t,query:'Message%5C%20ID:(2083%20OR%202080%20OR%201041)%20AND%20%22rtdc.l.rtdc.4041%22')),sort:!(Time,asc))</v>
      </c>
      <c r="Q71" s="9" t="str">
        <f t="shared" ref="Q71:Q85" si="2">MID(B71,13,4)</f>
        <v>4041</v>
      </c>
    </row>
    <row r="72" spans="1:17" x14ac:dyDescent="0.25">
      <c r="A72" s="66">
        <v>42550.296226851853</v>
      </c>
      <c r="B72" s="55" t="s">
        <v>83</v>
      </c>
      <c r="C72" s="55" t="s">
        <v>425</v>
      </c>
      <c r="D72" s="55" t="s">
        <v>50</v>
      </c>
      <c r="E72" s="55" t="s">
        <v>51</v>
      </c>
      <c r="F72" s="55">
        <v>0</v>
      </c>
      <c r="G72" s="55">
        <v>5</v>
      </c>
      <c r="H72" s="55">
        <v>245</v>
      </c>
      <c r="I72" s="55" t="s">
        <v>52</v>
      </c>
      <c r="J72" s="55">
        <v>1</v>
      </c>
      <c r="K72" s="55" t="s">
        <v>54</v>
      </c>
      <c r="L72" s="11" t="str">
        <f>VLOOKUP(C72,'Trips&amp;Operators'!$C$2:$E$10000,3,FALSE)</f>
        <v>MAYBERRY</v>
      </c>
      <c r="M72" s="10" t="s">
        <v>131</v>
      </c>
      <c r="N72" s="11"/>
      <c r="O72" s="1"/>
      <c r="P72" s="43">
        <f>VLOOKUP(C72,'Train Runs'!$A$13:$V$998,22,0)</f>
        <v>0</v>
      </c>
      <c r="Q72" s="9" t="str">
        <f t="shared" si="2"/>
        <v>4017</v>
      </c>
    </row>
    <row r="73" spans="1:17" x14ac:dyDescent="0.25">
      <c r="A73" s="66">
        <v>42550.296724537038</v>
      </c>
      <c r="B73" s="55" t="s">
        <v>190</v>
      </c>
      <c r="C73" s="55" t="s">
        <v>428</v>
      </c>
      <c r="D73" s="55" t="s">
        <v>50</v>
      </c>
      <c r="E73" s="55" t="s">
        <v>51</v>
      </c>
      <c r="F73" s="55">
        <v>0</v>
      </c>
      <c r="G73" s="55">
        <v>7</v>
      </c>
      <c r="H73" s="55">
        <v>58937</v>
      </c>
      <c r="I73" s="55" t="s">
        <v>52</v>
      </c>
      <c r="J73" s="55">
        <v>59048</v>
      </c>
      <c r="K73" s="55" t="s">
        <v>53</v>
      </c>
      <c r="L73" s="11" t="str">
        <f>VLOOKUP(C73,'Trips&amp;Operators'!$C$2:$E$10000,3,FALSE)</f>
        <v>STURGEON</v>
      </c>
      <c r="M73" s="10" t="s">
        <v>131</v>
      </c>
      <c r="N73" s="11"/>
      <c r="O73" s="1"/>
      <c r="P73" s="43">
        <f>VLOOKUP(C73,'Train Runs'!$A$13:$V$998,22,0)</f>
        <v>0</v>
      </c>
      <c r="Q73" s="9" t="str">
        <f t="shared" si="2"/>
        <v>4029</v>
      </c>
    </row>
    <row r="74" spans="1:17" x14ac:dyDescent="0.25">
      <c r="A74" s="66">
        <v>42550.315578703703</v>
      </c>
      <c r="B74" s="55" t="s">
        <v>82</v>
      </c>
      <c r="C74" s="55" t="s">
        <v>434</v>
      </c>
      <c r="D74" s="55" t="s">
        <v>50</v>
      </c>
      <c r="E74" s="55" t="s">
        <v>51</v>
      </c>
      <c r="F74" s="55">
        <v>0</v>
      </c>
      <c r="G74" s="55">
        <v>83</v>
      </c>
      <c r="H74" s="55">
        <v>58805</v>
      </c>
      <c r="I74" s="55" t="s">
        <v>52</v>
      </c>
      <c r="J74" s="55">
        <v>59048</v>
      </c>
      <c r="K74" s="55" t="s">
        <v>53</v>
      </c>
      <c r="L74" s="11" t="str">
        <f>VLOOKUP(C74,'Trips&amp;Operators'!$C$2:$E$10000,3,FALSE)</f>
        <v>MAYBERRY</v>
      </c>
      <c r="M74" s="10" t="s">
        <v>131</v>
      </c>
      <c r="N74" s="11"/>
      <c r="O74" s="1"/>
      <c r="P74" s="43">
        <f>VLOOKUP(C74,'Train Runs'!$A$13:$V$998,22,0)</f>
        <v>0</v>
      </c>
      <c r="Q74" s="9" t="str">
        <f t="shared" si="2"/>
        <v>4018</v>
      </c>
    </row>
    <row r="75" spans="1:17" x14ac:dyDescent="0.25">
      <c r="A75" s="66">
        <v>42550.372245370374</v>
      </c>
      <c r="B75" s="55" t="s">
        <v>83</v>
      </c>
      <c r="C75" s="55" t="s">
        <v>528</v>
      </c>
      <c r="D75" s="55" t="s">
        <v>50</v>
      </c>
      <c r="E75" s="55" t="s">
        <v>51</v>
      </c>
      <c r="F75" s="55">
        <v>0</v>
      </c>
      <c r="G75" s="55">
        <v>79</v>
      </c>
      <c r="H75" s="55">
        <v>1119</v>
      </c>
      <c r="I75" s="55" t="s">
        <v>52</v>
      </c>
      <c r="J75" s="55">
        <v>826</v>
      </c>
      <c r="K75" s="55" t="s">
        <v>54</v>
      </c>
      <c r="L75" s="11" t="str">
        <f>VLOOKUP(C75,'Trips&amp;Operators'!$C$2:$E$10000,3,FALSE)</f>
        <v>MAYBERRY</v>
      </c>
      <c r="M75" s="10" t="s">
        <v>131</v>
      </c>
      <c r="N75" s="11"/>
      <c r="O75" s="1"/>
      <c r="P75" s="43">
        <f>VLOOKUP(C75,'Train Runs'!$A$13:$V$998,22,0)</f>
        <v>0</v>
      </c>
      <c r="Q75" s="9" t="str">
        <f t="shared" si="2"/>
        <v>4017</v>
      </c>
    </row>
    <row r="76" spans="1:17" x14ac:dyDescent="0.25">
      <c r="A76" s="13">
        <v>42550.481990740744</v>
      </c>
      <c r="B76" s="12" t="s">
        <v>82</v>
      </c>
      <c r="C76" s="12" t="s">
        <v>445</v>
      </c>
      <c r="D76" s="12" t="s">
        <v>50</v>
      </c>
      <c r="E76" s="12" t="s">
        <v>51</v>
      </c>
      <c r="F76" s="12">
        <v>0</v>
      </c>
      <c r="G76" s="12">
        <v>95</v>
      </c>
      <c r="H76" s="12">
        <v>58709</v>
      </c>
      <c r="I76" s="12" t="s">
        <v>52</v>
      </c>
      <c r="J76" s="12">
        <v>59048</v>
      </c>
      <c r="K76" s="11" t="s">
        <v>53</v>
      </c>
      <c r="L76" s="11" t="str">
        <f>VLOOKUP(C76,'Trips&amp;Operators'!$C$2:$E$10000,3,FALSE)</f>
        <v>MAYBERRY</v>
      </c>
      <c r="M76" s="10" t="s">
        <v>131</v>
      </c>
      <c r="N76" s="11"/>
      <c r="P76" s="43">
        <f>VLOOKUP(C76,'Train Runs'!$A$13:$V$998,22,0)</f>
        <v>0</v>
      </c>
      <c r="Q76" s="9" t="str">
        <f t="shared" si="2"/>
        <v>4018</v>
      </c>
    </row>
    <row r="77" spans="1:17" x14ac:dyDescent="0.25">
      <c r="A77" s="66">
        <v>42550.482453703706</v>
      </c>
      <c r="B77" s="55" t="s">
        <v>82</v>
      </c>
      <c r="C77" s="55" t="s">
        <v>445</v>
      </c>
      <c r="D77" s="55" t="s">
        <v>50</v>
      </c>
      <c r="E77" s="55" t="s">
        <v>51</v>
      </c>
      <c r="F77" s="55">
        <v>0</v>
      </c>
      <c r="G77" s="55">
        <v>7</v>
      </c>
      <c r="H77" s="55">
        <v>58839</v>
      </c>
      <c r="I77" s="55" t="s">
        <v>52</v>
      </c>
      <c r="J77" s="55">
        <v>59048</v>
      </c>
      <c r="K77" s="55" t="s">
        <v>53</v>
      </c>
      <c r="L77" s="11" t="str">
        <f>VLOOKUP(C77,'Trips&amp;Operators'!$C$2:$E$10000,3,FALSE)</f>
        <v>MAYBERRY</v>
      </c>
      <c r="M77" s="10" t="s">
        <v>131</v>
      </c>
      <c r="N77" s="11"/>
      <c r="P77" s="43">
        <f>VLOOKUP(C77,'Train Runs'!$A$13:$V$998,22,0)</f>
        <v>0</v>
      </c>
      <c r="Q77" s="9" t="str">
        <f t="shared" si="2"/>
        <v>4018</v>
      </c>
    </row>
    <row r="78" spans="1:17" x14ac:dyDescent="0.25">
      <c r="A78" s="13">
        <v>42550.566354166665</v>
      </c>
      <c r="B78" s="12" t="s">
        <v>82</v>
      </c>
      <c r="C78" s="12" t="s">
        <v>456</v>
      </c>
      <c r="D78" s="12" t="s">
        <v>50</v>
      </c>
      <c r="E78" s="12" t="s">
        <v>51</v>
      </c>
      <c r="F78" s="12">
        <v>0</v>
      </c>
      <c r="G78" s="12">
        <v>6</v>
      </c>
      <c r="H78" s="12">
        <v>58997</v>
      </c>
      <c r="I78" s="12" t="s">
        <v>52</v>
      </c>
      <c r="J78" s="12">
        <v>59048</v>
      </c>
      <c r="K78" s="11" t="s">
        <v>53</v>
      </c>
      <c r="L78" s="11" t="str">
        <f>VLOOKUP(C78,'Trips&amp;Operators'!$C$2:$E$10000,3,FALSE)</f>
        <v>MAYBERRY</v>
      </c>
      <c r="M78" s="10" t="s">
        <v>131</v>
      </c>
      <c r="N78" s="11"/>
      <c r="P78" s="43">
        <f>VLOOKUP(C78,'Train Runs'!$A$13:$V$998,22,0)</f>
        <v>0</v>
      </c>
      <c r="Q78" s="9" t="str">
        <f t="shared" si="2"/>
        <v>4018</v>
      </c>
    </row>
    <row r="79" spans="1:17" x14ac:dyDescent="0.25">
      <c r="A79" s="66">
        <v>42550.726412037038</v>
      </c>
      <c r="B79" s="55" t="s">
        <v>191</v>
      </c>
      <c r="C79" s="55" t="s">
        <v>484</v>
      </c>
      <c r="D79" s="55" t="s">
        <v>50</v>
      </c>
      <c r="E79" s="55" t="s">
        <v>51</v>
      </c>
      <c r="F79" s="55">
        <v>0</v>
      </c>
      <c r="G79" s="55">
        <v>7</v>
      </c>
      <c r="H79" s="55">
        <v>113</v>
      </c>
      <c r="I79" s="55" t="s">
        <v>52</v>
      </c>
      <c r="J79" s="55">
        <v>1</v>
      </c>
      <c r="K79" s="55" t="s">
        <v>54</v>
      </c>
      <c r="L79" s="11" t="str">
        <f>VLOOKUP(C79,'Trips&amp;Operators'!$C$2:$E$10000,3,FALSE)</f>
        <v>DE LA ROSA</v>
      </c>
      <c r="M79" s="55" t="s">
        <v>131</v>
      </c>
      <c r="N79" s="55"/>
      <c r="P79" s="43">
        <f>VLOOKUP(C79,'Train Runs'!$A$13:$V$998,22,0)</f>
        <v>0</v>
      </c>
      <c r="Q79" s="9" t="str">
        <f t="shared" si="2"/>
        <v>4030</v>
      </c>
    </row>
    <row r="80" spans="1:17" x14ac:dyDescent="0.25">
      <c r="A80" s="66">
        <v>42550.72997685185</v>
      </c>
      <c r="B80" s="55" t="s">
        <v>82</v>
      </c>
      <c r="C80" s="55" t="s">
        <v>487</v>
      </c>
      <c r="D80" s="55" t="s">
        <v>50</v>
      </c>
      <c r="E80" s="55" t="s">
        <v>51</v>
      </c>
      <c r="F80" s="55">
        <v>0</v>
      </c>
      <c r="G80" s="55">
        <v>6</v>
      </c>
      <c r="H80" s="55">
        <v>57031</v>
      </c>
      <c r="I80" s="55" t="s">
        <v>52</v>
      </c>
      <c r="J80" s="55">
        <v>59048</v>
      </c>
      <c r="K80" s="55" t="s">
        <v>53</v>
      </c>
      <c r="L80" s="11" t="str">
        <f>VLOOKUP(C80,'Trips&amp;Operators'!$C$2:$E$10000,3,FALSE)</f>
        <v>HELVIE</v>
      </c>
      <c r="M80" s="55" t="s">
        <v>131</v>
      </c>
      <c r="N80" s="55"/>
      <c r="P80" s="43">
        <f>VLOOKUP(C80,'Train Runs'!$A$13:$V$998,22,0)</f>
        <v>0</v>
      </c>
      <c r="Q80" s="9" t="str">
        <f t="shared" si="2"/>
        <v>4018</v>
      </c>
    </row>
    <row r="81" spans="1:17" x14ac:dyDescent="0.25">
      <c r="A81" s="66">
        <v>42550.731435185182</v>
      </c>
      <c r="B81" s="55" t="s">
        <v>82</v>
      </c>
      <c r="C81" s="55" t="s">
        <v>487</v>
      </c>
      <c r="D81" s="55" t="s">
        <v>50</v>
      </c>
      <c r="E81" s="55" t="s">
        <v>51</v>
      </c>
      <c r="F81" s="55">
        <v>0</v>
      </c>
      <c r="G81" s="55">
        <v>48</v>
      </c>
      <c r="H81" s="55">
        <v>58937</v>
      </c>
      <c r="I81" s="55" t="s">
        <v>52</v>
      </c>
      <c r="J81" s="55">
        <v>59048</v>
      </c>
      <c r="K81" s="55" t="s">
        <v>53</v>
      </c>
      <c r="L81" s="11" t="str">
        <f>VLOOKUP(C81,'Trips&amp;Operators'!$C$2:$E$10000,3,FALSE)</f>
        <v>HELVIE</v>
      </c>
      <c r="M81" s="55" t="s">
        <v>131</v>
      </c>
      <c r="N81" s="55"/>
      <c r="P81" s="43">
        <f>VLOOKUP(C81,'Train Runs'!$A$13:$V$998,22,0)</f>
        <v>0</v>
      </c>
      <c r="Q81" s="9" t="str">
        <f t="shared" si="2"/>
        <v>4018</v>
      </c>
    </row>
    <row r="82" spans="1:17" x14ac:dyDescent="0.25">
      <c r="A82" s="66">
        <v>42550.767430555556</v>
      </c>
      <c r="B82" s="55" t="s">
        <v>191</v>
      </c>
      <c r="C82" s="55" t="s">
        <v>494</v>
      </c>
      <c r="D82" s="55" t="s">
        <v>50</v>
      </c>
      <c r="E82" s="55" t="s">
        <v>51</v>
      </c>
      <c r="F82" s="55">
        <v>0</v>
      </c>
      <c r="G82" s="55">
        <v>6</v>
      </c>
      <c r="H82" s="55">
        <v>706</v>
      </c>
      <c r="I82" s="55" t="s">
        <v>52</v>
      </c>
      <c r="J82" s="55">
        <v>575</v>
      </c>
      <c r="K82" s="55" t="s">
        <v>54</v>
      </c>
      <c r="L82" s="11" t="str">
        <f>VLOOKUP(C82,'Trips&amp;Operators'!$C$2:$E$10000,3,FALSE)</f>
        <v>DE LA ROSA</v>
      </c>
      <c r="M82" s="55" t="s">
        <v>131</v>
      </c>
      <c r="N82" s="55"/>
      <c r="P82" s="43">
        <f>VLOOKUP(C82,'Train Runs'!$A$13:$V$998,22,0)</f>
        <v>0</v>
      </c>
      <c r="Q82" s="9" t="str">
        <f t="shared" si="2"/>
        <v>4030</v>
      </c>
    </row>
    <row r="83" spans="1:17" x14ac:dyDescent="0.25">
      <c r="A83" s="66">
        <v>42550.771979166668</v>
      </c>
      <c r="B83" s="55" t="s">
        <v>82</v>
      </c>
      <c r="C83" s="55" t="s">
        <v>497</v>
      </c>
      <c r="D83" s="55" t="s">
        <v>50</v>
      </c>
      <c r="E83" s="55" t="s">
        <v>51</v>
      </c>
      <c r="F83" s="55">
        <v>0</v>
      </c>
      <c r="G83" s="55">
        <v>4</v>
      </c>
      <c r="H83" s="55">
        <v>57058</v>
      </c>
      <c r="I83" s="55" t="s">
        <v>52</v>
      </c>
      <c r="J83" s="55">
        <v>59048</v>
      </c>
      <c r="K83" s="55" t="s">
        <v>53</v>
      </c>
      <c r="L83" s="11" t="str">
        <f>VLOOKUP(C83,'Trips&amp;Operators'!$C$2:$E$10000,3,FALSE)</f>
        <v>HELVIE</v>
      </c>
      <c r="M83" s="55" t="s">
        <v>131</v>
      </c>
      <c r="N83" s="55"/>
      <c r="P83" s="43">
        <f>VLOOKUP(C83,'Train Runs'!$A$13:$V$998,22,0)</f>
        <v>0</v>
      </c>
      <c r="Q83" s="9" t="str">
        <f t="shared" si="2"/>
        <v>4018</v>
      </c>
    </row>
    <row r="84" spans="1:17" x14ac:dyDescent="0.25">
      <c r="A84" s="66">
        <v>42550.857129629629</v>
      </c>
      <c r="B84" s="55" t="s">
        <v>82</v>
      </c>
      <c r="C84" s="55" t="s">
        <v>514</v>
      </c>
      <c r="D84" s="55" t="s">
        <v>50</v>
      </c>
      <c r="E84" s="55" t="s">
        <v>51</v>
      </c>
      <c r="F84" s="55">
        <v>0</v>
      </c>
      <c r="G84" s="55">
        <v>58</v>
      </c>
      <c r="H84" s="55">
        <v>58894</v>
      </c>
      <c r="I84" s="55" t="s">
        <v>52</v>
      </c>
      <c r="J84" s="55">
        <v>59048</v>
      </c>
      <c r="K84" s="55" t="s">
        <v>53</v>
      </c>
      <c r="L84" s="11" t="str">
        <f>VLOOKUP(C84,'Trips&amp;Operators'!$C$2:$E$10000,3,FALSE)</f>
        <v>HELVIE</v>
      </c>
      <c r="M84" s="55" t="s">
        <v>131</v>
      </c>
      <c r="N84" s="55"/>
      <c r="P84" s="43">
        <f>VLOOKUP(C84,'Train Runs'!$A$13:$V$998,22,0)</f>
        <v>0</v>
      </c>
      <c r="Q84" s="9" t="str">
        <f t="shared" si="2"/>
        <v>4018</v>
      </c>
    </row>
    <row r="85" spans="1:17" x14ac:dyDescent="0.25">
      <c r="A85" s="66">
        <v>42550.940289351849</v>
      </c>
      <c r="B85" s="55" t="s">
        <v>82</v>
      </c>
      <c r="C85" s="55" t="s">
        <v>521</v>
      </c>
      <c r="D85" s="55" t="s">
        <v>50</v>
      </c>
      <c r="E85" s="55" t="s">
        <v>51</v>
      </c>
      <c r="F85" s="55">
        <v>0</v>
      </c>
      <c r="G85" s="55">
        <v>4</v>
      </c>
      <c r="H85" s="55">
        <v>58916</v>
      </c>
      <c r="I85" s="55" t="s">
        <v>52</v>
      </c>
      <c r="J85" s="55">
        <v>59048</v>
      </c>
      <c r="K85" s="55" t="s">
        <v>53</v>
      </c>
      <c r="L85" s="11" t="str">
        <f>VLOOKUP(C85,'Trips&amp;Operators'!$C$2:$E$10000,3,FALSE)</f>
        <v>HELVIE</v>
      </c>
      <c r="M85" s="55" t="s">
        <v>131</v>
      </c>
      <c r="N85" s="55"/>
      <c r="P85" s="43">
        <f>VLOOKUP(C85,'Train Runs'!$A$13:$V$998,22,0)</f>
        <v>0</v>
      </c>
      <c r="Q85" s="9" t="str">
        <f t="shared" si="2"/>
        <v>4018</v>
      </c>
    </row>
    <row r="86" spans="1:17" x14ac:dyDescent="0.25">
      <c r="A86" s="68"/>
      <c r="B86" s="69"/>
      <c r="C86" s="69"/>
      <c r="D86" s="69"/>
      <c r="E86" s="69"/>
      <c r="F86" s="69"/>
      <c r="G86" s="69"/>
      <c r="H86" s="69"/>
      <c r="I86" s="69"/>
      <c r="J86" s="69"/>
      <c r="K86" s="70"/>
      <c r="L86" s="11"/>
      <c r="M86" s="71"/>
      <c r="N86" s="70"/>
    </row>
    <row r="87" spans="1:17" x14ac:dyDescent="0.25">
      <c r="A87" s="48"/>
      <c r="B87" s="41"/>
      <c r="C87" s="41"/>
      <c r="D87" s="41"/>
      <c r="E87" s="41"/>
      <c r="F87" s="41"/>
      <c r="G87" s="41"/>
      <c r="H87" s="41"/>
      <c r="I87" s="41"/>
      <c r="J87" s="41"/>
      <c r="K87" s="41"/>
      <c r="L87" s="11"/>
      <c r="M87" s="71"/>
      <c r="N87" s="70"/>
    </row>
    <row r="88" spans="1:17" x14ac:dyDescent="0.25">
      <c r="A88" s="48"/>
      <c r="B88" s="41"/>
      <c r="C88" s="41"/>
      <c r="D88" s="41"/>
      <c r="E88" s="41"/>
      <c r="F88" s="41"/>
      <c r="G88" s="41"/>
      <c r="H88" s="41"/>
      <c r="I88" s="41"/>
      <c r="J88" s="41"/>
      <c r="K88" s="41"/>
      <c r="L88" s="11"/>
      <c r="M88" s="71"/>
      <c r="N88" s="70"/>
    </row>
    <row r="89" spans="1:17" x14ac:dyDescent="0.25">
      <c r="A89" s="68"/>
      <c r="B89" s="69"/>
      <c r="C89" s="69"/>
      <c r="D89" s="69"/>
      <c r="E89" s="69"/>
      <c r="F89" s="69"/>
      <c r="G89" s="69"/>
      <c r="H89" s="69"/>
      <c r="I89" s="69"/>
      <c r="J89" s="69"/>
      <c r="K89" s="70"/>
      <c r="L89" s="11"/>
      <c r="M89" s="71"/>
      <c r="N89" s="70"/>
    </row>
    <row r="90" spans="1:17" x14ac:dyDescent="0.25">
      <c r="A90" s="48"/>
      <c r="B90" s="41"/>
      <c r="C90" s="41"/>
      <c r="D90" s="41"/>
      <c r="E90" s="41"/>
      <c r="F90" s="41"/>
      <c r="G90" s="41"/>
      <c r="H90" s="41"/>
      <c r="I90" s="41"/>
      <c r="J90" s="41"/>
      <c r="K90" s="41"/>
      <c r="L90" s="11"/>
      <c r="M90" s="71"/>
      <c r="N90" s="70"/>
    </row>
    <row r="91" spans="1:17" x14ac:dyDescent="0.25">
      <c r="A91" s="68"/>
      <c r="B91" s="69"/>
      <c r="C91" s="69"/>
      <c r="D91" s="69"/>
      <c r="E91" s="69"/>
      <c r="F91" s="69"/>
      <c r="G91" s="69"/>
      <c r="H91" s="69"/>
      <c r="I91" s="69"/>
      <c r="J91" s="69"/>
      <c r="K91" s="70"/>
      <c r="L91" s="11"/>
      <c r="M91" s="71"/>
      <c r="N91" s="70"/>
    </row>
    <row r="92" spans="1:17" x14ac:dyDescent="0.25">
      <c r="A92" s="68"/>
      <c r="B92" s="69"/>
      <c r="C92" s="69"/>
      <c r="D92" s="69"/>
      <c r="E92" s="69"/>
      <c r="F92" s="69"/>
      <c r="G92" s="69"/>
      <c r="H92" s="69"/>
      <c r="I92" s="69"/>
      <c r="J92" s="69"/>
      <c r="K92" s="70"/>
      <c r="L92" s="11"/>
      <c r="M92" s="71"/>
      <c r="N92" s="70"/>
    </row>
    <row r="93" spans="1:17" x14ac:dyDescent="0.25">
      <c r="A93" s="48"/>
      <c r="B93" s="41"/>
      <c r="C93" s="41"/>
      <c r="D93" s="41"/>
      <c r="E93" s="41"/>
      <c r="F93" s="41"/>
      <c r="G93" s="41"/>
      <c r="H93" s="41"/>
      <c r="I93" s="41"/>
      <c r="J93" s="41"/>
      <c r="K93" s="41"/>
      <c r="L93" s="11"/>
      <c r="M93" s="71"/>
      <c r="N93" s="70"/>
    </row>
    <row r="94" spans="1:17" x14ac:dyDescent="0.25">
      <c r="A94" s="48"/>
      <c r="B94" s="41"/>
      <c r="C94" s="41"/>
      <c r="D94" s="41"/>
      <c r="E94" s="41"/>
      <c r="F94" s="41"/>
      <c r="G94" s="41"/>
      <c r="H94" s="41"/>
      <c r="I94" s="41"/>
      <c r="J94" s="41"/>
      <c r="K94" s="41"/>
      <c r="L94" s="11"/>
      <c r="M94" s="71"/>
      <c r="N94" s="70"/>
    </row>
    <row r="95" spans="1:17" x14ac:dyDescent="0.25">
      <c r="A95" s="48"/>
      <c r="B95" s="41"/>
      <c r="C95" s="41"/>
      <c r="D95" s="41"/>
      <c r="E95" s="41"/>
      <c r="F95" s="41"/>
      <c r="G95" s="41"/>
      <c r="H95" s="41"/>
      <c r="I95" s="41"/>
      <c r="J95" s="41"/>
      <c r="K95" s="41"/>
      <c r="L95" s="11"/>
      <c r="M95" s="71"/>
      <c r="N95" s="70"/>
    </row>
    <row r="96" spans="1:17" x14ac:dyDescent="0.25">
      <c r="A96" s="68"/>
      <c r="B96" s="69"/>
      <c r="C96" s="69"/>
      <c r="D96" s="69"/>
      <c r="E96" s="69"/>
      <c r="F96" s="69"/>
      <c r="G96" s="69"/>
      <c r="H96" s="69"/>
      <c r="I96" s="69"/>
      <c r="J96" s="69"/>
      <c r="K96" s="70"/>
      <c r="L96" s="11"/>
      <c r="M96" s="71"/>
      <c r="N96" s="70"/>
    </row>
    <row r="97" spans="1:14" x14ac:dyDescent="0.25">
      <c r="A97" s="48"/>
      <c r="B97" s="41"/>
      <c r="C97" s="41"/>
      <c r="D97" s="41"/>
      <c r="E97" s="41"/>
      <c r="F97" s="41"/>
      <c r="G97" s="41"/>
      <c r="H97" s="41"/>
      <c r="I97" s="41"/>
      <c r="J97" s="41"/>
      <c r="K97" s="41"/>
      <c r="L97" s="11"/>
      <c r="M97" s="71"/>
      <c r="N97" s="70"/>
    </row>
    <row r="98" spans="1:14" x14ac:dyDescent="0.25">
      <c r="A98" s="48"/>
      <c r="B98" s="41"/>
      <c r="C98" s="41"/>
      <c r="D98" s="41"/>
      <c r="E98" s="41"/>
      <c r="F98" s="41"/>
      <c r="G98" s="41"/>
      <c r="H98" s="41"/>
      <c r="I98" s="41"/>
      <c r="J98" s="41"/>
      <c r="K98" s="41"/>
      <c r="L98" s="11"/>
      <c r="M98" s="71"/>
      <c r="N98" s="70"/>
    </row>
    <row r="99" spans="1:14" x14ac:dyDescent="0.25">
      <c r="A99" s="48"/>
      <c r="B99" s="41"/>
      <c r="C99" s="41"/>
      <c r="D99" s="41"/>
      <c r="E99" s="41"/>
      <c r="F99" s="41"/>
      <c r="G99" s="41"/>
      <c r="H99" s="41"/>
      <c r="I99" s="41"/>
      <c r="J99" s="41"/>
      <c r="K99" s="41"/>
      <c r="L99" s="11"/>
      <c r="M99" s="71"/>
      <c r="N99" s="70"/>
    </row>
    <row r="100" spans="1:14" x14ac:dyDescent="0.25">
      <c r="B100" s="33"/>
      <c r="C100" s="33"/>
      <c r="D100" s="33"/>
      <c r="E100" s="33"/>
      <c r="F100" s="33"/>
      <c r="G100" s="33"/>
      <c r="H100" s="33"/>
      <c r="I100" s="33"/>
      <c r="J100" s="33"/>
      <c r="K100" s="33"/>
      <c r="L100" s="11"/>
    </row>
    <row r="101" spans="1:14" x14ac:dyDescent="0.25">
      <c r="B101" s="33"/>
      <c r="C101" s="33"/>
      <c r="D101" s="33"/>
      <c r="E101" s="33"/>
      <c r="F101" s="33"/>
      <c r="G101" s="33"/>
      <c r="H101" s="33"/>
      <c r="I101" s="33"/>
      <c r="J101" s="33"/>
      <c r="K101" s="33"/>
      <c r="L101" s="11"/>
    </row>
    <row r="102" spans="1:14" x14ac:dyDescent="0.25">
      <c r="B102" s="33"/>
      <c r="C102" s="33"/>
      <c r="D102" s="33"/>
      <c r="E102" s="33"/>
      <c r="F102" s="33"/>
      <c r="G102" s="33"/>
      <c r="H102" s="33"/>
      <c r="I102" s="33"/>
      <c r="J102" s="33"/>
      <c r="K102" s="33"/>
      <c r="L102" s="11"/>
    </row>
    <row r="103" spans="1:14" x14ac:dyDescent="0.25">
      <c r="B103" s="33"/>
      <c r="C103" s="33"/>
      <c r="D103" s="33"/>
      <c r="E103" s="33"/>
      <c r="F103" s="33"/>
      <c r="G103" s="33"/>
      <c r="H103" s="33"/>
      <c r="I103" s="33"/>
      <c r="J103" s="33"/>
      <c r="K103" s="33"/>
      <c r="L103" s="11"/>
    </row>
    <row r="104" spans="1:14" x14ac:dyDescent="0.25">
      <c r="B104" s="33"/>
      <c r="C104" s="33"/>
      <c r="D104" s="33"/>
      <c r="E104" s="33"/>
      <c r="F104" s="33"/>
      <c r="G104" s="33"/>
      <c r="H104" s="33"/>
      <c r="I104" s="33"/>
      <c r="J104" s="33"/>
      <c r="K104" s="33"/>
      <c r="L104" s="11"/>
    </row>
    <row r="105" spans="1:14" x14ac:dyDescent="0.25">
      <c r="B105" s="33"/>
      <c r="C105" s="33"/>
      <c r="D105" s="33"/>
      <c r="E105" s="33"/>
      <c r="F105" s="33"/>
      <c r="G105" s="33"/>
      <c r="H105" s="33"/>
      <c r="I105" s="33"/>
      <c r="J105" s="33"/>
      <c r="K105" s="33"/>
      <c r="L105" s="11"/>
    </row>
    <row r="106" spans="1:14" x14ac:dyDescent="0.25">
      <c r="B106" s="33"/>
      <c r="C106" s="33"/>
      <c r="D106" s="33"/>
      <c r="E106" s="33"/>
      <c r="F106" s="33"/>
      <c r="G106" s="33"/>
      <c r="H106" s="33"/>
      <c r="I106" s="33"/>
      <c r="J106" s="33"/>
      <c r="K106" s="33"/>
      <c r="L106" s="11"/>
    </row>
    <row r="107" spans="1:14" x14ac:dyDescent="0.25">
      <c r="B107" s="33"/>
      <c r="C107" s="33"/>
      <c r="D107" s="33"/>
      <c r="E107" s="33"/>
      <c r="F107" s="33"/>
      <c r="G107" s="33"/>
      <c r="H107" s="33"/>
      <c r="I107" s="33"/>
      <c r="J107" s="33"/>
      <c r="K107" s="33"/>
      <c r="L107" s="11"/>
    </row>
    <row r="108" spans="1:14" x14ac:dyDescent="0.25">
      <c r="B108" s="33"/>
      <c r="C108" s="33"/>
      <c r="D108" s="33"/>
      <c r="E108" s="33"/>
      <c r="F108" s="33"/>
      <c r="G108" s="33"/>
      <c r="H108" s="33"/>
      <c r="I108" s="33"/>
      <c r="J108" s="33"/>
      <c r="K108" s="33"/>
      <c r="L108" s="11"/>
    </row>
    <row r="109" spans="1:14" x14ac:dyDescent="0.25">
      <c r="B109" s="33"/>
      <c r="C109" s="33"/>
      <c r="D109" s="33"/>
      <c r="E109" s="33"/>
      <c r="F109" s="33"/>
      <c r="G109" s="33"/>
      <c r="H109" s="33"/>
      <c r="I109" s="33"/>
      <c r="J109" s="33"/>
      <c r="K109" s="33"/>
      <c r="L109" s="11"/>
    </row>
    <row r="110" spans="1:14" x14ac:dyDescent="0.25">
      <c r="B110" s="33"/>
      <c r="C110" s="33"/>
      <c r="D110" s="33"/>
      <c r="E110" s="33"/>
      <c r="F110" s="33"/>
      <c r="G110" s="33"/>
      <c r="H110" s="33"/>
      <c r="I110" s="33"/>
      <c r="J110" s="33"/>
      <c r="K110" s="33"/>
      <c r="L110" s="11"/>
    </row>
    <row r="111" spans="1:14" x14ac:dyDescent="0.25">
      <c r="B111" s="33"/>
      <c r="C111" s="33"/>
      <c r="D111" s="33"/>
      <c r="E111" s="33"/>
      <c r="F111" s="33"/>
      <c r="G111" s="33"/>
      <c r="H111" s="33"/>
      <c r="I111" s="33"/>
      <c r="J111" s="33"/>
      <c r="K111" s="33"/>
      <c r="L111" s="11"/>
    </row>
    <row r="112" spans="1:14" x14ac:dyDescent="0.25">
      <c r="B112" s="33"/>
      <c r="C112" s="33"/>
      <c r="D112" s="33"/>
      <c r="E112" s="33"/>
      <c r="F112" s="33"/>
      <c r="G112" s="33"/>
      <c r="H112" s="33"/>
      <c r="I112" s="33"/>
      <c r="J112" s="33"/>
      <c r="K112" s="33"/>
      <c r="L112" s="11"/>
    </row>
    <row r="113" spans="1:14" x14ac:dyDescent="0.25">
      <c r="B113" s="33"/>
      <c r="C113" s="33"/>
      <c r="D113" s="33"/>
      <c r="E113" s="33"/>
      <c r="F113" s="33"/>
      <c r="G113" s="33"/>
      <c r="H113" s="33"/>
      <c r="I113" s="33"/>
      <c r="J113" s="33"/>
      <c r="K113" s="33"/>
      <c r="L113" s="11"/>
    </row>
    <row r="114" spans="1:14" x14ac:dyDescent="0.25">
      <c r="B114" s="33"/>
      <c r="C114" s="33"/>
      <c r="D114" s="33"/>
      <c r="E114" s="33"/>
      <c r="F114" s="33"/>
      <c r="G114" s="33"/>
      <c r="H114" s="33"/>
      <c r="I114" s="33"/>
      <c r="J114" s="33"/>
      <c r="K114" s="33"/>
      <c r="L114" s="11"/>
    </row>
    <row r="115" spans="1:14" x14ac:dyDescent="0.25">
      <c r="A115" s="48"/>
      <c r="B115" s="41"/>
      <c r="C115" s="41"/>
      <c r="D115" s="41"/>
      <c r="E115" s="41"/>
      <c r="F115" s="41"/>
      <c r="G115" s="41"/>
      <c r="H115" s="41"/>
      <c r="I115" s="41"/>
      <c r="J115" s="41"/>
      <c r="K115" s="41"/>
      <c r="L115" s="11"/>
      <c r="M115" s="71"/>
      <c r="N115" s="70"/>
    </row>
    <row r="116" spans="1:14" x14ac:dyDescent="0.25">
      <c r="B116" s="33"/>
      <c r="C116" s="33"/>
      <c r="D116" s="33"/>
      <c r="E116" s="33"/>
      <c r="F116" s="33"/>
      <c r="G116" s="33"/>
      <c r="H116" s="33"/>
      <c r="I116" s="33"/>
      <c r="J116" s="33"/>
      <c r="K116" s="33"/>
      <c r="L116" s="11"/>
    </row>
  </sheetData>
  <autoFilter ref="A6:N85"/>
  <sortState ref="A7:Q85">
    <sortCondition ref="E7:E85"/>
    <sortCondition ref="C7:C85"/>
    <sortCondition ref="J7:J85"/>
    <sortCondition ref="F7:F85"/>
  </sortState>
  <mergeCells count="1">
    <mergeCell ref="A5:M5"/>
  </mergeCells>
  <conditionalFormatting sqref="P6 M6:N6 M7:M1048576">
    <cfRule type="cellIs" dxfId="3" priority="12" operator="equal">
      <formula>"Y"</formula>
    </cfRule>
  </conditionalFormatting>
  <conditionalFormatting sqref="M52:N69 L52:L116 A52:K69 A7:N51">
    <cfRule type="expression" dxfId="2" priority="5">
      <formula>$M7="Y"</formula>
    </cfRule>
  </conditionalFormatting>
  <conditionalFormatting sqref="M2:M3">
    <cfRule type="cellIs" dxfId="1" priority="3" operator="equal">
      <formula>"Y"</formula>
    </cfRule>
  </conditionalFormatting>
  <conditionalFormatting sqref="M51">
    <cfRule type="cellIs" dxfId="0" priority="2"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2"/>
  <sheetViews>
    <sheetView workbookViewId="0">
      <selection activeCell="A4" sqref="A4"/>
    </sheetView>
  </sheetViews>
  <sheetFormatPr defaultRowHeight="15" x14ac:dyDescent="0.25"/>
  <cols>
    <col min="1" max="1" width="9.140625" customWidth="1"/>
    <col min="2" max="2" width="8" style="49" bestFit="1" customWidth="1"/>
    <col min="3" max="3" width="7.85546875" style="51" bestFit="1" customWidth="1"/>
    <col min="4" max="4" width="34.7109375" bestFit="1" customWidth="1"/>
    <col min="5" max="5" width="18.140625" bestFit="1" customWidth="1"/>
    <col min="6" max="6" width="17" bestFit="1" customWidth="1"/>
    <col min="7" max="7" width="14.140625" bestFit="1" customWidth="1"/>
  </cols>
  <sheetData>
    <row r="1" spans="1:10" s="33" customFormat="1" x14ac:dyDescent="0.25">
      <c r="A1" s="105" t="str">
        <f>"Trips that did not appear in PTC Data "&amp;TEXT(Variables!$A$2,"YYYY-mm-dd")</f>
        <v>Trips that did not appear in PTC Data 2016-06-29</v>
      </c>
      <c r="B1" s="105"/>
      <c r="C1" s="105"/>
      <c r="D1" s="105"/>
      <c r="E1" s="105"/>
    </row>
    <row r="2" spans="1:10" s="41" customFormat="1" ht="45" x14ac:dyDescent="0.25">
      <c r="A2" s="40" t="s">
        <v>92</v>
      </c>
      <c r="B2" s="52" t="s">
        <v>93</v>
      </c>
      <c r="C2" s="50" t="s">
        <v>94</v>
      </c>
      <c r="D2" s="41" t="s">
        <v>90</v>
      </c>
      <c r="E2" s="41" t="s">
        <v>91</v>
      </c>
      <c r="F2" s="41" t="s">
        <v>102</v>
      </c>
      <c r="G2" s="53" t="s">
        <v>103</v>
      </c>
    </row>
    <row r="3" spans="1:10" x14ac:dyDescent="0.25">
      <c r="A3" s="55" t="s">
        <v>585</v>
      </c>
      <c r="B3" s="55"/>
      <c r="C3" s="55"/>
      <c r="D3" s="55"/>
      <c r="E3" s="34" t="str">
        <f>VLOOKUP(A3,'Trips&amp;Operators'!$C$2:$E$10000,3,FALSE)</f>
        <v>MOSES</v>
      </c>
      <c r="F3" s="34" t="str">
        <f>VLOOKUP(A3,'Trips&amp;Operators'!$C$1:$F$10000,4,FALSE)</f>
        <v>rtdc.l.rtdc.4023:itc</v>
      </c>
      <c r="G3" s="54">
        <f>VLOOKUP(A3,'Trips&amp;Operators'!$C$1:$H$10000,5,FALSE)</f>
        <v>42550.774212962962</v>
      </c>
      <c r="H3" s="33"/>
      <c r="I3" s="33"/>
      <c r="J3" s="33"/>
    </row>
    <row r="4" spans="1:10" x14ac:dyDescent="0.25">
      <c r="A4" s="55" t="s">
        <v>627</v>
      </c>
      <c r="B4" s="55"/>
      <c r="C4" s="55"/>
      <c r="D4" s="55"/>
      <c r="E4" s="34" t="str">
        <f>VLOOKUP(A4,'Trips&amp;Operators'!$C$2:$E$10000,3,FALSE)</f>
        <v>REBOLETTI</v>
      </c>
      <c r="F4" s="34" t="str">
        <f>VLOOKUP(A4,'Trips&amp;Operators'!$C$1:$F$10000,4,FALSE)</f>
        <v>rtdc.l.rtdc.4043:itc</v>
      </c>
      <c r="G4" s="54">
        <f>VLOOKUP(A4,'Trips&amp;Operators'!$C$1:$H$10000,5,FALSE)</f>
        <v>42550.52747685185</v>
      </c>
      <c r="H4" s="33"/>
      <c r="I4" s="33"/>
      <c r="J4" s="33"/>
    </row>
    <row r="5" spans="1:10" x14ac:dyDescent="0.25">
      <c r="A5" s="55"/>
      <c r="B5" s="55"/>
      <c r="C5" s="55"/>
      <c r="D5" s="55"/>
      <c r="E5" s="34" t="e">
        <f>VLOOKUP(A5,'Trips&amp;Operators'!$C$2:$E$10000,3,FALSE)</f>
        <v>#N/A</v>
      </c>
      <c r="F5" s="34" t="e">
        <f>VLOOKUP(A5,'Trips&amp;Operators'!$C$1:$F$10000,4,FALSE)</f>
        <v>#N/A</v>
      </c>
      <c r="G5" s="54" t="e">
        <f>VLOOKUP(A5,'Trips&amp;Operators'!$C$1:$H$10000,5,FALSE)</f>
        <v>#N/A</v>
      </c>
      <c r="H5" s="33"/>
      <c r="I5" s="33"/>
      <c r="J5" s="33"/>
    </row>
    <row r="6" spans="1:10" x14ac:dyDescent="0.25">
      <c r="A6" s="55"/>
      <c r="B6" s="55"/>
      <c r="C6" s="55"/>
      <c r="D6" s="55"/>
      <c r="E6" s="34" t="e">
        <f>VLOOKUP(A6,'Trips&amp;Operators'!$C$2:$E$10000,3,FALSE)</f>
        <v>#N/A</v>
      </c>
      <c r="F6" s="34" t="e">
        <f>VLOOKUP(A6,'Trips&amp;Operators'!$C$1:$F$10000,4,FALSE)</f>
        <v>#N/A</v>
      </c>
      <c r="G6" s="54" t="e">
        <f>VLOOKUP(A6,'Trips&amp;Operators'!$C$1:$H$10000,5,FALSE)</f>
        <v>#N/A</v>
      </c>
      <c r="H6" s="33"/>
      <c r="I6" s="33"/>
      <c r="J6" s="33"/>
    </row>
    <row r="7" spans="1:10" x14ac:dyDescent="0.25">
      <c r="B7"/>
      <c r="C7"/>
      <c r="H7" s="33"/>
      <c r="I7" s="33"/>
      <c r="J7" s="33"/>
    </row>
    <row r="8" spans="1:10" x14ac:dyDescent="0.25">
      <c r="B8"/>
      <c r="C8"/>
      <c r="H8" s="33"/>
      <c r="I8" s="33"/>
      <c r="J8" s="33"/>
    </row>
    <row r="9" spans="1:10" x14ac:dyDescent="0.25">
      <c r="B9"/>
      <c r="C9"/>
      <c r="H9" s="33"/>
      <c r="I9" s="33"/>
      <c r="J9" s="33"/>
    </row>
    <row r="10" spans="1:10" x14ac:dyDescent="0.25">
      <c r="B10"/>
      <c r="C10"/>
      <c r="H10" s="33"/>
      <c r="I10" s="33"/>
      <c r="J10" s="33"/>
    </row>
    <row r="11" spans="1:10" x14ac:dyDescent="0.25">
      <c r="B11"/>
      <c r="C11"/>
      <c r="H11" s="33"/>
      <c r="I11" s="33"/>
      <c r="J11" s="33"/>
    </row>
    <row r="12" spans="1:10" x14ac:dyDescent="0.25">
      <c r="B12"/>
      <c r="C12"/>
      <c r="H12" s="33"/>
      <c r="I12" s="33"/>
      <c r="J12" s="33"/>
    </row>
    <row r="13" spans="1:10" x14ac:dyDescent="0.25">
      <c r="B13"/>
      <c r="C13"/>
      <c r="H13" s="33"/>
      <c r="I13" s="33"/>
      <c r="J13" s="33"/>
    </row>
    <row r="14" spans="1:10" x14ac:dyDescent="0.25">
      <c r="B14"/>
      <c r="C14"/>
      <c r="H14" s="33"/>
      <c r="I14" s="33"/>
      <c r="J14" s="33"/>
    </row>
    <row r="15" spans="1:10" x14ac:dyDescent="0.25">
      <c r="B15"/>
      <c r="C15"/>
      <c r="H15" s="33"/>
      <c r="I15" s="33"/>
      <c r="J15" s="33"/>
    </row>
    <row r="16" spans="1:10" x14ac:dyDescent="0.25">
      <c r="B16"/>
      <c r="C16"/>
      <c r="H16" s="33"/>
      <c r="I16" s="33"/>
      <c r="J16" s="33"/>
    </row>
    <row r="17" spans="2:10" x14ac:dyDescent="0.25">
      <c r="B17"/>
      <c r="C17"/>
      <c r="H17" s="33"/>
      <c r="I17" s="33"/>
      <c r="J17" s="33"/>
    </row>
    <row r="18" spans="2:10" x14ac:dyDescent="0.25">
      <c r="B18"/>
      <c r="C18"/>
      <c r="H18" s="33"/>
      <c r="I18" s="33"/>
      <c r="J18" s="33"/>
    </row>
    <row r="19" spans="2:10" x14ac:dyDescent="0.25">
      <c r="B19"/>
      <c r="C19"/>
      <c r="H19" s="33"/>
      <c r="I19" s="33"/>
      <c r="J19" s="33"/>
    </row>
    <row r="20" spans="2:10" x14ac:dyDescent="0.25">
      <c r="B20"/>
      <c r="C20"/>
      <c r="H20" s="33"/>
      <c r="I20" s="33"/>
      <c r="J20" s="33"/>
    </row>
    <row r="21" spans="2:10" x14ac:dyDescent="0.25">
      <c r="B21"/>
      <c r="C21"/>
      <c r="H21" s="33"/>
      <c r="I21" s="33"/>
      <c r="J21" s="33"/>
    </row>
    <row r="22" spans="2:10" x14ac:dyDescent="0.25">
      <c r="B22"/>
      <c r="C22"/>
      <c r="H22" s="33"/>
      <c r="I22" s="33"/>
      <c r="J22" s="33"/>
    </row>
    <row r="23" spans="2:10" x14ac:dyDescent="0.25">
      <c r="B23"/>
      <c r="C23"/>
      <c r="H23" s="33"/>
      <c r="I23" s="33"/>
      <c r="J23" s="33"/>
    </row>
    <row r="24" spans="2:10" x14ac:dyDescent="0.25">
      <c r="B24"/>
      <c r="C24"/>
      <c r="H24" s="33"/>
      <c r="I24" s="33"/>
      <c r="J24" s="33"/>
    </row>
    <row r="25" spans="2:10" x14ac:dyDescent="0.25">
      <c r="B25"/>
      <c r="C25"/>
      <c r="H25" s="33"/>
      <c r="I25" s="33"/>
      <c r="J25" s="33"/>
    </row>
    <row r="26" spans="2:10" x14ac:dyDescent="0.25">
      <c r="B26"/>
      <c r="C26"/>
      <c r="H26" s="33"/>
      <c r="I26" s="33"/>
      <c r="J26" s="33"/>
    </row>
    <row r="27" spans="2:10" x14ac:dyDescent="0.25">
      <c r="B27"/>
      <c r="C27"/>
      <c r="H27" s="33"/>
      <c r="I27" s="33"/>
      <c r="J27" s="33"/>
    </row>
    <row r="28" spans="2:10" x14ac:dyDescent="0.25">
      <c r="B28"/>
      <c r="C28"/>
      <c r="H28" s="33"/>
      <c r="I28" s="33"/>
      <c r="J28" s="33"/>
    </row>
    <row r="29" spans="2:10" x14ac:dyDescent="0.25">
      <c r="B29"/>
      <c r="C29"/>
      <c r="H29" s="33"/>
      <c r="I29" s="33"/>
      <c r="J29" s="33"/>
    </row>
    <row r="30" spans="2:10" x14ac:dyDescent="0.25">
      <c r="B30"/>
      <c r="C30"/>
      <c r="H30" s="33"/>
      <c r="I30" s="33"/>
      <c r="J30" s="33"/>
    </row>
    <row r="31" spans="2:10" x14ac:dyDescent="0.25">
      <c r="B31"/>
      <c r="C31"/>
      <c r="H31" s="33"/>
      <c r="I31" s="33"/>
      <c r="J31" s="33"/>
    </row>
    <row r="32" spans="2:10" x14ac:dyDescent="0.25">
      <c r="B32"/>
      <c r="C32"/>
      <c r="H32" s="33"/>
      <c r="I32" s="33"/>
      <c r="J32" s="33"/>
    </row>
    <row r="33" spans="2:10" x14ac:dyDescent="0.25">
      <c r="B33"/>
      <c r="C33"/>
      <c r="H33" s="33"/>
      <c r="I33" s="33"/>
      <c r="J33" s="33"/>
    </row>
    <row r="34" spans="2:10" x14ac:dyDescent="0.25">
      <c r="B34"/>
      <c r="C34"/>
      <c r="H34" s="33"/>
      <c r="I34" s="33"/>
      <c r="J34" s="33"/>
    </row>
    <row r="35" spans="2:10" x14ac:dyDescent="0.25">
      <c r="B35"/>
      <c r="C35"/>
      <c r="H35" s="33"/>
      <c r="I35" s="33"/>
      <c r="J35" s="33"/>
    </row>
    <row r="36" spans="2:10" x14ac:dyDescent="0.25">
      <c r="B36"/>
      <c r="C36"/>
      <c r="H36" s="33"/>
      <c r="I36" s="33"/>
      <c r="J36" s="33"/>
    </row>
    <row r="37" spans="2:10" x14ac:dyDescent="0.25">
      <c r="B37"/>
      <c r="C37"/>
      <c r="H37" s="33"/>
      <c r="I37" s="33"/>
      <c r="J37" s="33"/>
    </row>
    <row r="38" spans="2:10" x14ac:dyDescent="0.25">
      <c r="B38"/>
      <c r="C38"/>
      <c r="H38" s="33"/>
      <c r="I38" s="33"/>
      <c r="J38" s="33"/>
    </row>
    <row r="39" spans="2:10" x14ac:dyDescent="0.25">
      <c r="B39"/>
      <c r="C39"/>
      <c r="H39" s="33"/>
      <c r="I39" s="33"/>
      <c r="J39" s="33"/>
    </row>
    <row r="40" spans="2:10" x14ac:dyDescent="0.25">
      <c r="B40"/>
      <c r="C40"/>
      <c r="H40" s="33"/>
      <c r="I40" s="33"/>
      <c r="J40" s="33"/>
    </row>
    <row r="41" spans="2:10" x14ac:dyDescent="0.25">
      <c r="B41"/>
      <c r="C41"/>
      <c r="H41" s="33"/>
      <c r="I41" s="33"/>
      <c r="J41" s="33"/>
    </row>
    <row r="42" spans="2:10" x14ac:dyDescent="0.25">
      <c r="B42"/>
      <c r="C42"/>
      <c r="H42" s="33"/>
      <c r="I42" s="33"/>
      <c r="J42" s="33"/>
    </row>
    <row r="43" spans="2:10" x14ac:dyDescent="0.25">
      <c r="B43"/>
      <c r="C43"/>
      <c r="H43" s="33"/>
      <c r="I43" s="33"/>
      <c r="J43" s="33"/>
    </row>
    <row r="44" spans="2:10" x14ac:dyDescent="0.25">
      <c r="B44"/>
      <c r="C44"/>
      <c r="H44" s="33"/>
      <c r="I44" s="33"/>
      <c r="J44" s="33"/>
    </row>
    <row r="45" spans="2:10" x14ac:dyDescent="0.25">
      <c r="B45"/>
      <c r="C45"/>
      <c r="H45" s="33"/>
      <c r="I45" s="33"/>
      <c r="J45" s="33"/>
    </row>
    <row r="46" spans="2:10" x14ac:dyDescent="0.25">
      <c r="B46"/>
      <c r="C46"/>
      <c r="H46" s="33"/>
      <c r="I46" s="33"/>
      <c r="J46" s="33"/>
    </row>
    <row r="47" spans="2:10" x14ac:dyDescent="0.25">
      <c r="B47"/>
      <c r="C47"/>
      <c r="H47" s="33"/>
      <c r="I47" s="33"/>
      <c r="J47" s="33"/>
    </row>
    <row r="48" spans="2:10" x14ac:dyDescent="0.25">
      <c r="B48"/>
      <c r="C48"/>
      <c r="H48" s="33"/>
      <c r="I48" s="33"/>
      <c r="J48" s="33"/>
    </row>
    <row r="49" spans="2:10" x14ac:dyDescent="0.25">
      <c r="B49"/>
      <c r="C49"/>
      <c r="H49" s="33"/>
      <c r="I49" s="33"/>
      <c r="J49" s="33"/>
    </row>
    <row r="50" spans="2:10" x14ac:dyDescent="0.25">
      <c r="B50"/>
      <c r="C50"/>
      <c r="H50" s="33"/>
      <c r="I50" s="33"/>
      <c r="J50" s="33"/>
    </row>
    <row r="51" spans="2:10" x14ac:dyDescent="0.25">
      <c r="B51"/>
      <c r="C51"/>
      <c r="H51" s="33"/>
      <c r="I51" s="33"/>
      <c r="J51" s="33"/>
    </row>
    <row r="52" spans="2:10" x14ac:dyDescent="0.25">
      <c r="B52"/>
      <c r="C52"/>
      <c r="H52" s="33"/>
      <c r="I52" s="33"/>
      <c r="J52" s="33"/>
    </row>
    <row r="53" spans="2:10" x14ac:dyDescent="0.25">
      <c r="B53"/>
      <c r="C53"/>
      <c r="H53" s="33"/>
      <c r="I53" s="33"/>
      <c r="J53" s="33"/>
    </row>
    <row r="54" spans="2:10" x14ac:dyDescent="0.25">
      <c r="B54"/>
      <c r="C54"/>
      <c r="H54" s="33"/>
      <c r="I54" s="33"/>
      <c r="J54" s="33"/>
    </row>
    <row r="55" spans="2:10" x14ac:dyDescent="0.25">
      <c r="B55"/>
      <c r="C55"/>
      <c r="H55" s="33"/>
      <c r="I55" s="33"/>
      <c r="J55" s="33"/>
    </row>
    <row r="56" spans="2:10" x14ac:dyDescent="0.25">
      <c r="B56"/>
      <c r="C56"/>
      <c r="H56" s="33"/>
      <c r="I56" s="33"/>
      <c r="J56" s="33"/>
    </row>
    <row r="57" spans="2:10" x14ac:dyDescent="0.25">
      <c r="B57"/>
      <c r="C57"/>
      <c r="H57" s="33"/>
      <c r="I57" s="33"/>
      <c r="J57" s="33"/>
    </row>
    <row r="58" spans="2:10" x14ac:dyDescent="0.25">
      <c r="B58"/>
      <c r="C58"/>
      <c r="H58" s="33"/>
      <c r="I58" s="33"/>
      <c r="J58" s="33"/>
    </row>
    <row r="59" spans="2:10" x14ac:dyDescent="0.25">
      <c r="B59"/>
      <c r="C59"/>
      <c r="H59" s="33"/>
      <c r="I59" s="33"/>
      <c r="J59" s="33"/>
    </row>
    <row r="60" spans="2:10" x14ac:dyDescent="0.25">
      <c r="B60"/>
      <c r="C60"/>
      <c r="H60" s="33"/>
      <c r="I60" s="33"/>
      <c r="J60" s="33"/>
    </row>
    <row r="61" spans="2:10" x14ac:dyDescent="0.25">
      <c r="B61"/>
      <c r="C61"/>
      <c r="H61" s="33"/>
      <c r="I61" s="33"/>
      <c r="J61" s="33"/>
    </row>
    <row r="62" spans="2:10" x14ac:dyDescent="0.25">
      <c r="B62"/>
      <c r="C62"/>
      <c r="H62" s="33"/>
      <c r="I62" s="33"/>
      <c r="J62" s="33"/>
    </row>
    <row r="63" spans="2:10" x14ac:dyDescent="0.25">
      <c r="B63"/>
      <c r="C63"/>
      <c r="H63" s="33"/>
      <c r="I63" s="33"/>
      <c r="J63" s="33"/>
    </row>
    <row r="64" spans="2:10" x14ac:dyDescent="0.25">
      <c r="B64"/>
      <c r="C64"/>
      <c r="H64" s="33"/>
      <c r="I64" s="33"/>
      <c r="J64" s="33"/>
    </row>
    <row r="65" spans="2:10" x14ac:dyDescent="0.25">
      <c r="B65"/>
      <c r="C65"/>
      <c r="H65" s="33"/>
      <c r="I65" s="33"/>
      <c r="J65" s="33"/>
    </row>
    <row r="66" spans="2:10" x14ac:dyDescent="0.25">
      <c r="B66"/>
      <c r="C66"/>
      <c r="H66" s="33"/>
      <c r="I66" s="33"/>
      <c r="J66" s="33"/>
    </row>
    <row r="67" spans="2:10" x14ac:dyDescent="0.25">
      <c r="B67"/>
      <c r="C67"/>
      <c r="H67" s="33"/>
      <c r="I67" s="33"/>
      <c r="J67" s="33"/>
    </row>
    <row r="68" spans="2:10" x14ac:dyDescent="0.25">
      <c r="B68"/>
      <c r="C68"/>
      <c r="H68" s="33"/>
      <c r="I68" s="33"/>
      <c r="J68" s="33"/>
    </row>
    <row r="69" spans="2:10" x14ac:dyDescent="0.25">
      <c r="B69"/>
      <c r="C69"/>
      <c r="H69" s="33"/>
      <c r="I69" s="33"/>
      <c r="J69" s="33"/>
    </row>
    <row r="70" spans="2:10" x14ac:dyDescent="0.25">
      <c r="B70"/>
      <c r="C70"/>
      <c r="H70" s="33"/>
      <c r="I70" s="33"/>
      <c r="J70" s="33"/>
    </row>
    <row r="71" spans="2:10" x14ac:dyDescent="0.25">
      <c r="B71"/>
      <c r="C71"/>
      <c r="H71" s="33"/>
      <c r="I71" s="33"/>
      <c r="J71" s="33"/>
    </row>
    <row r="72" spans="2:10" x14ac:dyDescent="0.25">
      <c r="B72"/>
      <c r="C72"/>
      <c r="H72" s="33"/>
      <c r="I72" s="33"/>
      <c r="J72" s="33"/>
    </row>
    <row r="73" spans="2:10" x14ac:dyDescent="0.25">
      <c r="B73"/>
      <c r="C73"/>
      <c r="H73" s="33"/>
      <c r="I73" s="33"/>
      <c r="J73" s="33"/>
    </row>
    <row r="74" spans="2:10" x14ac:dyDescent="0.25">
      <c r="B74"/>
      <c r="C74"/>
      <c r="H74" s="33"/>
      <c r="I74" s="33"/>
      <c r="J74" s="33"/>
    </row>
    <row r="75" spans="2:10" x14ac:dyDescent="0.25">
      <c r="B75"/>
      <c r="C75"/>
      <c r="H75" s="33"/>
      <c r="I75" s="33"/>
      <c r="J75" s="33"/>
    </row>
    <row r="76" spans="2:10" x14ac:dyDescent="0.25">
      <c r="B76"/>
      <c r="C76"/>
      <c r="H76" s="33"/>
      <c r="I76" s="33"/>
      <c r="J76" s="33"/>
    </row>
    <row r="77" spans="2:10" x14ac:dyDescent="0.25">
      <c r="B77"/>
      <c r="C77"/>
      <c r="H77" s="33"/>
      <c r="I77" s="33"/>
      <c r="J77" s="33"/>
    </row>
    <row r="78" spans="2:10" x14ac:dyDescent="0.25">
      <c r="B78"/>
      <c r="C78"/>
      <c r="H78" s="33"/>
      <c r="I78" s="33"/>
      <c r="J78" s="33"/>
    </row>
    <row r="79" spans="2:10" x14ac:dyDescent="0.25">
      <c r="B79"/>
      <c r="C79"/>
      <c r="H79" s="33"/>
      <c r="I79" s="33"/>
      <c r="J79" s="33"/>
    </row>
    <row r="80" spans="2:10" x14ac:dyDescent="0.25">
      <c r="B80"/>
      <c r="C80"/>
      <c r="H80" s="33"/>
      <c r="I80" s="33"/>
      <c r="J80" s="33"/>
    </row>
    <row r="81" spans="2:10" x14ac:dyDescent="0.25">
      <c r="B81"/>
      <c r="C81"/>
      <c r="H81" s="33"/>
      <c r="I81" s="33"/>
      <c r="J81" s="33"/>
    </row>
    <row r="82" spans="2:10" x14ac:dyDescent="0.25">
      <c r="B82"/>
      <c r="C82"/>
      <c r="H82" s="33"/>
      <c r="I82" s="33"/>
      <c r="J82" s="33"/>
    </row>
    <row r="83" spans="2:10" x14ac:dyDescent="0.25">
      <c r="B83"/>
      <c r="C83"/>
      <c r="H83" s="33"/>
      <c r="I83" s="33"/>
      <c r="J83" s="33"/>
    </row>
    <row r="84" spans="2:10" x14ac:dyDescent="0.25">
      <c r="B84"/>
      <c r="C84"/>
      <c r="H84" s="33"/>
      <c r="I84" s="33"/>
      <c r="J84" s="33"/>
    </row>
    <row r="85" spans="2:10" x14ac:dyDescent="0.25">
      <c r="B85"/>
      <c r="C85"/>
      <c r="H85" s="33"/>
      <c r="I85" s="33"/>
      <c r="J85" s="33"/>
    </row>
    <row r="86" spans="2:10" x14ac:dyDescent="0.25">
      <c r="B86"/>
      <c r="C86"/>
      <c r="H86" s="33"/>
      <c r="I86" s="33"/>
      <c r="J86" s="33"/>
    </row>
    <row r="87" spans="2:10" x14ac:dyDescent="0.25">
      <c r="B87"/>
      <c r="C87"/>
      <c r="H87" s="33"/>
      <c r="I87" s="33"/>
      <c r="J87" s="33"/>
    </row>
    <row r="88" spans="2:10" x14ac:dyDescent="0.25">
      <c r="B88"/>
      <c r="C88"/>
      <c r="H88" s="33"/>
      <c r="I88" s="33"/>
      <c r="J88" s="33"/>
    </row>
    <row r="89" spans="2:10" x14ac:dyDescent="0.25">
      <c r="B89"/>
      <c r="C89"/>
      <c r="H89" s="33"/>
      <c r="I89" s="33"/>
      <c r="J89" s="33"/>
    </row>
    <row r="90" spans="2:10" x14ac:dyDescent="0.25">
      <c r="B90"/>
      <c r="C90"/>
      <c r="H90" s="33"/>
      <c r="I90" s="33"/>
      <c r="J90" s="33"/>
    </row>
    <row r="91" spans="2:10" x14ac:dyDescent="0.25">
      <c r="B91"/>
      <c r="C91"/>
      <c r="H91" s="33"/>
      <c r="I91" s="33"/>
      <c r="J91" s="33"/>
    </row>
    <row r="92" spans="2:10" x14ac:dyDescent="0.25">
      <c r="B92"/>
      <c r="C92"/>
      <c r="H92" s="33"/>
      <c r="I92" s="33"/>
      <c r="J92" s="33"/>
    </row>
    <row r="93" spans="2:10" x14ac:dyDescent="0.25">
      <c r="B93"/>
      <c r="C93"/>
      <c r="H93" s="33"/>
      <c r="I93" s="33"/>
      <c r="J93" s="33"/>
    </row>
    <row r="94" spans="2:10" x14ac:dyDescent="0.25">
      <c r="B94"/>
      <c r="C94"/>
      <c r="H94" s="33"/>
      <c r="I94" s="33"/>
      <c r="J94" s="33"/>
    </row>
    <row r="95" spans="2:10" x14ac:dyDescent="0.25">
      <c r="B95"/>
      <c r="C95"/>
      <c r="H95" s="33"/>
      <c r="I95" s="33"/>
      <c r="J95" s="33"/>
    </row>
    <row r="96" spans="2:10" x14ac:dyDescent="0.25">
      <c r="B96"/>
      <c r="C96"/>
      <c r="H96" s="33"/>
      <c r="I96" s="33"/>
      <c r="J96" s="33"/>
    </row>
    <row r="97" spans="2:10" x14ac:dyDescent="0.25">
      <c r="B97"/>
      <c r="C97"/>
      <c r="H97" s="33"/>
      <c r="I97" s="33"/>
      <c r="J97" s="33"/>
    </row>
    <row r="98" spans="2:10" x14ac:dyDescent="0.25">
      <c r="B98"/>
      <c r="C98"/>
      <c r="H98" s="33"/>
      <c r="I98" s="33"/>
      <c r="J98" s="33"/>
    </row>
    <row r="99" spans="2:10" x14ac:dyDescent="0.25">
      <c r="B99"/>
      <c r="C99"/>
      <c r="H99" s="33"/>
      <c r="I99" s="33"/>
      <c r="J99" s="33"/>
    </row>
    <row r="100" spans="2:10" x14ac:dyDescent="0.25">
      <c r="B100"/>
      <c r="C100"/>
      <c r="H100" s="33"/>
      <c r="I100" s="33"/>
      <c r="J100" s="33"/>
    </row>
    <row r="101" spans="2:10" x14ac:dyDescent="0.25">
      <c r="B101"/>
      <c r="C101"/>
      <c r="H101" s="33"/>
      <c r="I101" s="33"/>
      <c r="J101" s="33"/>
    </row>
    <row r="102" spans="2:10" x14ac:dyDescent="0.25">
      <c r="B102"/>
      <c r="C102"/>
      <c r="H102" s="33"/>
      <c r="I102" s="33"/>
      <c r="J102" s="33"/>
    </row>
    <row r="103" spans="2:10" x14ac:dyDescent="0.25">
      <c r="B103"/>
      <c r="C103"/>
      <c r="H103" s="33"/>
      <c r="I103" s="33"/>
      <c r="J103" s="33"/>
    </row>
    <row r="104" spans="2:10" x14ac:dyDescent="0.25">
      <c r="B104"/>
      <c r="C104"/>
      <c r="H104" s="33"/>
      <c r="I104" s="33"/>
      <c r="J104" s="33"/>
    </row>
    <row r="105" spans="2:10" x14ac:dyDescent="0.25">
      <c r="B105"/>
      <c r="C105"/>
      <c r="H105" s="33"/>
      <c r="I105" s="33"/>
      <c r="J105" s="33"/>
    </row>
    <row r="106" spans="2:10" x14ac:dyDescent="0.25">
      <c r="B106"/>
      <c r="C106"/>
      <c r="H106" s="33"/>
      <c r="I106" s="33"/>
      <c r="J106" s="33"/>
    </row>
    <row r="107" spans="2:10" x14ac:dyDescent="0.25">
      <c r="B107"/>
      <c r="C107"/>
      <c r="H107" s="33"/>
      <c r="I107" s="33"/>
      <c r="J107" s="33"/>
    </row>
    <row r="108" spans="2:10" x14ac:dyDescent="0.25">
      <c r="B108"/>
      <c r="C108"/>
      <c r="H108" s="33"/>
      <c r="I108" s="33"/>
      <c r="J108" s="33"/>
    </row>
    <row r="109" spans="2:10" x14ac:dyDescent="0.25">
      <c r="B109"/>
      <c r="C109"/>
      <c r="H109" s="33"/>
      <c r="I109" s="33"/>
      <c r="J109" s="33"/>
    </row>
    <row r="110" spans="2:10" x14ac:dyDescent="0.25">
      <c r="B110"/>
      <c r="C110"/>
      <c r="H110" s="33"/>
      <c r="I110" s="33"/>
      <c r="J110" s="33"/>
    </row>
    <row r="111" spans="2:10" x14ac:dyDescent="0.25">
      <c r="B111"/>
      <c r="C111"/>
      <c r="H111" s="33"/>
      <c r="I111" s="33"/>
      <c r="J111" s="33"/>
    </row>
    <row r="112" spans="2:10" x14ac:dyDescent="0.25">
      <c r="B112"/>
      <c r="C112"/>
      <c r="H112" s="33"/>
      <c r="I112" s="33"/>
      <c r="J112" s="33"/>
    </row>
    <row r="113" spans="2:10" x14ac:dyDescent="0.25">
      <c r="B113"/>
      <c r="C113"/>
      <c r="H113" s="33"/>
      <c r="I113" s="33"/>
      <c r="J113" s="33"/>
    </row>
    <row r="114" spans="2:10" x14ac:dyDescent="0.25">
      <c r="B114"/>
      <c r="C114"/>
      <c r="H114" s="33"/>
      <c r="I114" s="33"/>
      <c r="J114" s="33"/>
    </row>
    <row r="115" spans="2:10" x14ac:dyDescent="0.25">
      <c r="B115"/>
      <c r="C115"/>
      <c r="H115" s="33"/>
      <c r="I115" s="33"/>
      <c r="J115" s="33"/>
    </row>
    <row r="116" spans="2:10" x14ac:dyDescent="0.25">
      <c r="B116"/>
      <c r="C116"/>
      <c r="H116" s="33"/>
      <c r="I116" s="33"/>
      <c r="J116" s="33"/>
    </row>
    <row r="117" spans="2:10" x14ac:dyDescent="0.25">
      <c r="B117"/>
      <c r="C117"/>
      <c r="H117" s="33"/>
      <c r="I117" s="33"/>
      <c r="J117" s="33"/>
    </row>
    <row r="118" spans="2:10" x14ac:dyDescent="0.25">
      <c r="B118"/>
      <c r="C118"/>
      <c r="H118" s="33"/>
      <c r="I118" s="33"/>
      <c r="J118" s="33"/>
    </row>
    <row r="119" spans="2:10" x14ac:dyDescent="0.25">
      <c r="B119"/>
      <c r="C119"/>
      <c r="H119" s="33"/>
      <c r="I119" s="33"/>
      <c r="J119" s="33"/>
    </row>
    <row r="120" spans="2:10" x14ac:dyDescent="0.25">
      <c r="B120"/>
      <c r="C120"/>
      <c r="H120" s="33"/>
      <c r="I120" s="33"/>
      <c r="J120" s="33"/>
    </row>
    <row r="121" spans="2:10" x14ac:dyDescent="0.25">
      <c r="B121"/>
      <c r="C121"/>
      <c r="H121" s="33"/>
      <c r="I121" s="33"/>
      <c r="J121" s="33"/>
    </row>
    <row r="122" spans="2:10" x14ac:dyDescent="0.25">
      <c r="B122"/>
      <c r="C122"/>
      <c r="H122" s="33"/>
      <c r="I122" s="33"/>
      <c r="J122" s="33"/>
    </row>
    <row r="123" spans="2:10" x14ac:dyDescent="0.25">
      <c r="B123"/>
      <c r="C123"/>
      <c r="H123" s="33"/>
      <c r="I123" s="33"/>
      <c r="J123" s="33"/>
    </row>
    <row r="124" spans="2:10" x14ac:dyDescent="0.25">
      <c r="B124"/>
      <c r="C124"/>
      <c r="H124" s="33"/>
      <c r="I124" s="33"/>
      <c r="J124" s="33"/>
    </row>
    <row r="125" spans="2:10" x14ac:dyDescent="0.25">
      <c r="B125"/>
      <c r="C125"/>
      <c r="H125" s="33"/>
      <c r="I125" s="33"/>
      <c r="J125" s="33"/>
    </row>
    <row r="126" spans="2:10" x14ac:dyDescent="0.25">
      <c r="B126"/>
      <c r="C126"/>
      <c r="H126" s="33"/>
      <c r="I126" s="33"/>
      <c r="J126" s="33"/>
    </row>
    <row r="127" spans="2:10" x14ac:dyDescent="0.25">
      <c r="B127"/>
      <c r="C127"/>
      <c r="H127" s="33"/>
      <c r="I127" s="33"/>
      <c r="J127" s="33"/>
    </row>
    <row r="128" spans="2:10" x14ac:dyDescent="0.25">
      <c r="B128"/>
      <c r="C128"/>
      <c r="H128" s="33"/>
      <c r="I128" s="33"/>
      <c r="J128" s="33"/>
    </row>
    <row r="129" spans="2:10" x14ac:dyDescent="0.25">
      <c r="B129"/>
      <c r="C129"/>
      <c r="H129" s="33"/>
      <c r="I129" s="33"/>
      <c r="J129" s="33"/>
    </row>
    <row r="130" spans="2:10" x14ac:dyDescent="0.25">
      <c r="B130"/>
      <c r="C130"/>
      <c r="H130" s="33"/>
      <c r="I130" s="33"/>
      <c r="J130" s="33"/>
    </row>
    <row r="131" spans="2:10" x14ac:dyDescent="0.25">
      <c r="B131"/>
      <c r="C131"/>
      <c r="H131" s="33"/>
      <c r="I131" s="33"/>
      <c r="J131" s="33"/>
    </row>
    <row r="132" spans="2:10" x14ac:dyDescent="0.25">
      <c r="H132" s="33"/>
      <c r="I132" s="33"/>
      <c r="J132" s="33"/>
    </row>
  </sheetData>
  <autoFilter ref="A2:G2">
    <sortState ref="A3:G6">
      <sortCondition ref="A2"/>
    </sortState>
  </autoFilter>
  <mergeCells count="1">
    <mergeCell ref="A1:E1"/>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G309"/>
  <sheetViews>
    <sheetView topLeftCell="A238" workbookViewId="0">
      <selection activeCell="G258" sqref="G258"/>
    </sheetView>
  </sheetViews>
  <sheetFormatPr defaultRowHeight="15" x14ac:dyDescent="0.25"/>
  <cols>
    <col min="1" max="1" width="18.28515625" style="8" bestFit="1" customWidth="1"/>
    <col min="2" max="2" width="17" bestFit="1" customWidth="1"/>
    <col min="3" max="3" width="10.140625" bestFit="1" customWidth="1"/>
    <col min="4" max="4" width="8" bestFit="1" customWidth="1"/>
    <col min="5" max="5" width="12.140625" bestFit="1" customWidth="1"/>
    <col min="6" max="6" width="17" style="33" bestFit="1" customWidth="1"/>
    <col min="7" max="7" width="18.28515625" style="8" bestFit="1" customWidth="1"/>
  </cols>
  <sheetData>
    <row r="1" spans="1:7" s="33" customFormat="1" x14ac:dyDescent="0.25">
      <c r="A1" s="8">
        <v>42550.16815972222</v>
      </c>
      <c r="B1" s="33" t="s">
        <v>530</v>
      </c>
      <c r="C1" s="33" t="s">
        <v>227</v>
      </c>
      <c r="D1" s="33">
        <v>1830000</v>
      </c>
      <c r="E1" s="33" t="s">
        <v>541</v>
      </c>
      <c r="F1" s="33" t="str">
        <f>B1</f>
        <v>rtdc.l.rtdc.4015:itc</v>
      </c>
      <c r="G1" s="8">
        <f>A1</f>
        <v>42550.16815972222</v>
      </c>
    </row>
    <row r="2" spans="1:7" x14ac:dyDescent="0.25">
      <c r="A2" s="8">
        <v>42550.405624999999</v>
      </c>
      <c r="B2" s="33" t="s">
        <v>193</v>
      </c>
      <c r="C2" s="33" t="s">
        <v>534</v>
      </c>
      <c r="D2" s="33">
        <v>2030000</v>
      </c>
      <c r="E2" s="33" t="s">
        <v>214</v>
      </c>
      <c r="F2" s="33" t="str">
        <f t="shared" ref="F2:F65" si="0">B2</f>
        <v>rtdc.l.rtdc.4040:itc</v>
      </c>
      <c r="G2" s="8">
        <f t="shared" ref="G2:G65" si="1">A2</f>
        <v>42550.405624999999</v>
      </c>
    </row>
    <row r="3" spans="1:7" x14ac:dyDescent="0.25">
      <c r="A3" s="8">
        <v>42550.512673611112</v>
      </c>
      <c r="B3" s="33" t="s">
        <v>194</v>
      </c>
      <c r="C3" s="33" t="s">
        <v>297</v>
      </c>
      <c r="D3" s="33">
        <v>940000</v>
      </c>
      <c r="E3" s="33" t="s">
        <v>542</v>
      </c>
      <c r="F3" s="33" t="str">
        <f t="shared" si="0"/>
        <v>rtdc.l.rtdc.4039:itc</v>
      </c>
      <c r="G3" s="8">
        <f t="shared" si="1"/>
        <v>42550.512673611112</v>
      </c>
    </row>
    <row r="4" spans="1:7" x14ac:dyDescent="0.25">
      <c r="A4" s="8">
        <v>42550.531342592592</v>
      </c>
      <c r="B4" s="33" t="s">
        <v>88</v>
      </c>
      <c r="C4" s="33" t="s">
        <v>308</v>
      </c>
      <c r="D4" s="33">
        <v>1140000</v>
      </c>
      <c r="E4" s="33" t="s">
        <v>220</v>
      </c>
      <c r="F4" s="33" t="str">
        <f t="shared" si="0"/>
        <v>rtdc.l.rtdc.4031:itc</v>
      </c>
      <c r="G4" s="8">
        <f t="shared" si="1"/>
        <v>42550.531342592592</v>
      </c>
    </row>
    <row r="5" spans="1:7" x14ac:dyDescent="0.25">
      <c r="A5" s="8">
        <v>42550.038541666669</v>
      </c>
      <c r="B5" s="33" t="s">
        <v>171</v>
      </c>
      <c r="C5" s="33" t="s">
        <v>543</v>
      </c>
      <c r="D5" s="33">
        <v>1820000</v>
      </c>
      <c r="E5" s="33" t="s">
        <v>127</v>
      </c>
      <c r="F5" s="33" t="str">
        <f t="shared" si="0"/>
        <v>rtdc.l.rtdc.4026:itc</v>
      </c>
      <c r="G5" s="8">
        <f t="shared" si="1"/>
        <v>42550.038541666669</v>
      </c>
    </row>
    <row r="6" spans="1:7" x14ac:dyDescent="0.25">
      <c r="A6" s="8">
        <v>42550.608171296299</v>
      </c>
      <c r="B6" s="33" t="s">
        <v>83</v>
      </c>
      <c r="C6" s="33" t="s">
        <v>467</v>
      </c>
      <c r="D6" s="33">
        <v>1540000</v>
      </c>
      <c r="E6" s="33" t="s">
        <v>177</v>
      </c>
      <c r="F6" s="33" t="str">
        <f t="shared" si="0"/>
        <v>rtdc.l.rtdc.4017:itc</v>
      </c>
      <c r="G6" s="8">
        <f t="shared" si="1"/>
        <v>42550.608171296299</v>
      </c>
    </row>
    <row r="7" spans="1:7" x14ac:dyDescent="0.25">
      <c r="A7" s="8">
        <v>42550.658784722225</v>
      </c>
      <c r="B7" s="33" t="s">
        <v>194</v>
      </c>
      <c r="C7" s="33" t="s">
        <v>342</v>
      </c>
      <c r="D7" s="33">
        <v>940000</v>
      </c>
      <c r="E7" s="33" t="s">
        <v>542</v>
      </c>
      <c r="F7" s="33" t="str">
        <f t="shared" si="0"/>
        <v>rtdc.l.rtdc.4039:itc</v>
      </c>
      <c r="G7" s="8">
        <f t="shared" si="1"/>
        <v>42550.658784722225</v>
      </c>
    </row>
    <row r="8" spans="1:7" x14ac:dyDescent="0.25">
      <c r="A8" s="8">
        <v>42550.695231481484</v>
      </c>
      <c r="B8" s="33" t="s">
        <v>540</v>
      </c>
      <c r="C8" s="33" t="s">
        <v>350</v>
      </c>
      <c r="D8" s="33">
        <v>880000</v>
      </c>
      <c r="E8" s="33" t="s">
        <v>544</v>
      </c>
      <c r="F8" s="33" t="str">
        <f t="shared" si="0"/>
        <v>rtdc.l.rtdc.4043:itc</v>
      </c>
      <c r="G8" s="8">
        <f t="shared" si="1"/>
        <v>42550.695231481484</v>
      </c>
    </row>
    <row r="9" spans="1:7" ht="15.75" thickBot="1" x14ac:dyDescent="0.3">
      <c r="A9" s="46">
        <v>42550.850208333337</v>
      </c>
      <c r="B9" s="33" t="s">
        <v>193</v>
      </c>
      <c r="C9" s="33" t="s">
        <v>391</v>
      </c>
      <c r="D9" s="33">
        <v>1990000</v>
      </c>
      <c r="E9" s="33" t="s">
        <v>217</v>
      </c>
      <c r="F9" s="33" t="str">
        <f t="shared" si="0"/>
        <v>rtdc.l.rtdc.4040:itc</v>
      </c>
      <c r="G9" s="8">
        <f t="shared" si="1"/>
        <v>42550.850208333337</v>
      </c>
    </row>
    <row r="10" spans="1:7" x14ac:dyDescent="0.25">
      <c r="A10" s="8">
        <v>42550.900219907409</v>
      </c>
      <c r="B10" s="33" t="s">
        <v>83</v>
      </c>
      <c r="C10" s="33" t="s">
        <v>516</v>
      </c>
      <c r="D10" s="33">
        <v>1540000</v>
      </c>
      <c r="E10" s="33" t="s">
        <v>177</v>
      </c>
      <c r="F10" s="33" t="str">
        <f t="shared" si="0"/>
        <v>rtdc.l.rtdc.4017:itc</v>
      </c>
      <c r="G10" s="8">
        <f t="shared" si="1"/>
        <v>42550.900219907409</v>
      </c>
    </row>
    <row r="11" spans="1:7" x14ac:dyDescent="0.25">
      <c r="A11" s="8">
        <v>42549.848287037035</v>
      </c>
      <c r="B11" s="33" t="s">
        <v>192</v>
      </c>
      <c r="C11" s="33" t="s">
        <v>545</v>
      </c>
      <c r="D11" s="33">
        <v>1280000</v>
      </c>
      <c r="E11" s="33" t="s">
        <v>187</v>
      </c>
      <c r="F11" s="33" t="str">
        <f t="shared" si="0"/>
        <v>rtdc.l.rtdc.4027:itc</v>
      </c>
      <c r="G11" s="8">
        <f t="shared" si="1"/>
        <v>42549.848287037035</v>
      </c>
    </row>
    <row r="12" spans="1:7" x14ac:dyDescent="0.25">
      <c r="A12" s="8">
        <v>42551.245949074073</v>
      </c>
      <c r="B12" s="33" t="s">
        <v>525</v>
      </c>
      <c r="C12" s="33" t="s">
        <v>546</v>
      </c>
      <c r="D12" s="33">
        <v>1830000</v>
      </c>
      <c r="E12" s="33" t="s">
        <v>541</v>
      </c>
      <c r="F12" s="33" t="str">
        <f t="shared" si="0"/>
        <v>rtdc.l.rtdc.4016:itc</v>
      </c>
      <c r="G12" s="8">
        <f t="shared" si="1"/>
        <v>42551.245949074073</v>
      </c>
    </row>
    <row r="13" spans="1:7" x14ac:dyDescent="0.25">
      <c r="A13" s="8">
        <v>42550.45113425926</v>
      </c>
      <c r="B13" s="33" t="s">
        <v>540</v>
      </c>
      <c r="C13" s="33" t="s">
        <v>547</v>
      </c>
      <c r="D13" s="33">
        <v>1260000</v>
      </c>
      <c r="E13" s="33" t="s">
        <v>176</v>
      </c>
      <c r="F13" s="33" t="str">
        <f t="shared" si="0"/>
        <v>rtdc.l.rtdc.4043:itc</v>
      </c>
      <c r="G13" s="8">
        <f t="shared" si="1"/>
        <v>42550.45113425926</v>
      </c>
    </row>
    <row r="14" spans="1:7" x14ac:dyDescent="0.25">
      <c r="A14" s="8">
        <v>42550.743217592593</v>
      </c>
      <c r="B14" s="33" t="s">
        <v>173</v>
      </c>
      <c r="C14" s="33" t="s">
        <v>366</v>
      </c>
      <c r="D14" s="33">
        <v>1750000</v>
      </c>
      <c r="E14" s="33" t="s">
        <v>188</v>
      </c>
      <c r="F14" s="33" t="str">
        <f t="shared" si="0"/>
        <v>rtdc.l.rtdc.4013:itc</v>
      </c>
      <c r="G14" s="8">
        <f t="shared" si="1"/>
        <v>42550.743217592593</v>
      </c>
    </row>
    <row r="15" spans="1:7" x14ac:dyDescent="0.25">
      <c r="A15" s="8">
        <v>42550.400462962964</v>
      </c>
      <c r="B15" s="33" t="s">
        <v>83</v>
      </c>
      <c r="C15" s="33" t="s">
        <v>548</v>
      </c>
      <c r="D15" s="33">
        <v>1520000</v>
      </c>
      <c r="E15" s="33" t="s">
        <v>549</v>
      </c>
      <c r="F15" s="33" t="str">
        <f t="shared" si="0"/>
        <v>rtdc.l.rtdc.4017:itc</v>
      </c>
      <c r="G15" s="8">
        <f t="shared" si="1"/>
        <v>42550.400462962964</v>
      </c>
    </row>
    <row r="16" spans="1:7" x14ac:dyDescent="0.25">
      <c r="A16" s="8">
        <v>42550.749027777776</v>
      </c>
      <c r="B16" s="33" t="s">
        <v>87</v>
      </c>
      <c r="C16" s="33" t="s">
        <v>377</v>
      </c>
      <c r="D16" s="33">
        <v>1140000</v>
      </c>
      <c r="E16" s="33" t="s">
        <v>220</v>
      </c>
      <c r="F16" s="33" t="str">
        <f t="shared" si="0"/>
        <v>rtdc.l.rtdc.4007:itc</v>
      </c>
      <c r="G16" s="8">
        <f t="shared" si="1"/>
        <v>42550.749027777776</v>
      </c>
    </row>
    <row r="17" spans="1:7" x14ac:dyDescent="0.25">
      <c r="A17" s="8">
        <v>42550.350960648146</v>
      </c>
      <c r="B17" s="33" t="s">
        <v>158</v>
      </c>
      <c r="C17" s="33" t="s">
        <v>526</v>
      </c>
      <c r="D17" s="33">
        <v>1360000</v>
      </c>
      <c r="E17" s="33" t="s">
        <v>550</v>
      </c>
      <c r="F17" s="33" t="str">
        <f t="shared" si="0"/>
        <v>rtdc.l.rtdc.4011:itc</v>
      </c>
      <c r="G17" s="8">
        <f t="shared" si="1"/>
        <v>42550.350960648146</v>
      </c>
    </row>
    <row r="18" spans="1:7" x14ac:dyDescent="0.25">
      <c r="A18" s="8">
        <v>42551.183865740742</v>
      </c>
      <c r="B18" s="33" t="s">
        <v>190</v>
      </c>
      <c r="C18" s="33" t="s">
        <v>551</v>
      </c>
      <c r="D18" s="33">
        <v>2000000</v>
      </c>
      <c r="E18" s="33" t="s">
        <v>211</v>
      </c>
      <c r="F18" s="33" t="str">
        <f t="shared" si="0"/>
        <v>rtdc.l.rtdc.4029:itc</v>
      </c>
      <c r="G18" s="8">
        <f t="shared" si="1"/>
        <v>42551.183865740742</v>
      </c>
    </row>
    <row r="19" spans="1:7" x14ac:dyDescent="0.25">
      <c r="A19" s="8">
        <v>42550.280868055554</v>
      </c>
      <c r="B19" s="33" t="s">
        <v>190</v>
      </c>
      <c r="C19" s="33" t="s">
        <v>428</v>
      </c>
      <c r="D19" s="33">
        <v>1480000</v>
      </c>
      <c r="E19" s="33" t="s">
        <v>160</v>
      </c>
      <c r="F19" s="33" t="str">
        <f t="shared" si="0"/>
        <v>rtdc.l.rtdc.4029:itc</v>
      </c>
      <c r="G19" s="8">
        <f t="shared" si="1"/>
        <v>42550.280868055554</v>
      </c>
    </row>
    <row r="20" spans="1:7" x14ac:dyDescent="0.25">
      <c r="A20" s="8">
        <v>42550.756215277775</v>
      </c>
      <c r="B20" s="33" t="s">
        <v>159</v>
      </c>
      <c r="C20" s="33" t="s">
        <v>370</v>
      </c>
      <c r="D20" s="33">
        <v>1280000</v>
      </c>
      <c r="E20" s="33" t="s">
        <v>187</v>
      </c>
      <c r="F20" s="33" t="str">
        <f t="shared" si="0"/>
        <v>rtdc.l.rtdc.4012:itc</v>
      </c>
      <c r="G20" s="8">
        <f t="shared" si="1"/>
        <v>42550.756215277775</v>
      </c>
    </row>
    <row r="21" spans="1:7" x14ac:dyDescent="0.25">
      <c r="A21" s="8">
        <v>42550.265185185184</v>
      </c>
      <c r="B21" s="33" t="s">
        <v>82</v>
      </c>
      <c r="C21" s="33" t="s">
        <v>422</v>
      </c>
      <c r="D21" s="33">
        <v>1520000</v>
      </c>
      <c r="E21" s="33" t="s">
        <v>549</v>
      </c>
      <c r="F21" s="33" t="str">
        <f t="shared" si="0"/>
        <v>rtdc.l.rtdc.4018:itc</v>
      </c>
      <c r="G21" s="8">
        <f t="shared" si="1"/>
        <v>42550.265185185184</v>
      </c>
    </row>
    <row r="22" spans="1:7" x14ac:dyDescent="0.25">
      <c r="A22" s="48">
        <v>42550.93346064815</v>
      </c>
      <c r="B22" s="33" t="s">
        <v>193</v>
      </c>
      <c r="C22" s="33" t="s">
        <v>402</v>
      </c>
      <c r="D22" s="33">
        <v>1990000</v>
      </c>
      <c r="E22" s="33" t="s">
        <v>217</v>
      </c>
      <c r="F22" s="33" t="str">
        <f t="shared" si="0"/>
        <v>rtdc.l.rtdc.4040:itc</v>
      </c>
      <c r="G22" s="8">
        <f t="shared" si="1"/>
        <v>42550.93346064815</v>
      </c>
    </row>
    <row r="23" spans="1:7" x14ac:dyDescent="0.25">
      <c r="A23" s="8">
        <v>42549.943958333337</v>
      </c>
      <c r="B23" s="33" t="s">
        <v>191</v>
      </c>
      <c r="C23" s="33" t="s">
        <v>552</v>
      </c>
      <c r="D23" s="33">
        <v>1740000</v>
      </c>
      <c r="E23" s="33" t="s">
        <v>553</v>
      </c>
      <c r="F23" s="33" t="str">
        <f t="shared" si="0"/>
        <v>rtdc.l.rtdc.4030:itc</v>
      </c>
      <c r="G23" s="8">
        <f t="shared" si="1"/>
        <v>42549.943958333337</v>
      </c>
    </row>
    <row r="24" spans="1:7" x14ac:dyDescent="0.25">
      <c r="A24" s="8">
        <v>42551.276805555557</v>
      </c>
      <c r="B24" s="33" t="s">
        <v>80</v>
      </c>
      <c r="C24" s="33" t="s">
        <v>554</v>
      </c>
      <c r="D24" s="33">
        <v>2010000</v>
      </c>
      <c r="E24" s="33" t="s">
        <v>212</v>
      </c>
      <c r="F24" s="33" t="str">
        <f t="shared" si="0"/>
        <v>rtdc.l.rtdc.4020:itc</v>
      </c>
      <c r="G24" s="8">
        <f t="shared" si="1"/>
        <v>42551.276805555557</v>
      </c>
    </row>
    <row r="25" spans="1:7" x14ac:dyDescent="0.25">
      <c r="A25" s="8">
        <v>42549.928587962961</v>
      </c>
      <c r="B25" s="33" t="s">
        <v>190</v>
      </c>
      <c r="C25" s="33" t="s">
        <v>555</v>
      </c>
      <c r="D25" s="33">
        <v>1790000</v>
      </c>
      <c r="E25" s="33" t="s">
        <v>556</v>
      </c>
      <c r="F25" s="33" t="str">
        <f t="shared" si="0"/>
        <v>rtdc.l.rtdc.4029:itc</v>
      </c>
      <c r="G25" s="8">
        <f t="shared" si="1"/>
        <v>42549.928587962961</v>
      </c>
    </row>
    <row r="26" spans="1:7" x14ac:dyDescent="0.25">
      <c r="A26" s="8">
        <v>42550.843958333331</v>
      </c>
      <c r="B26" s="33" t="s">
        <v>82</v>
      </c>
      <c r="C26" s="33" t="s">
        <v>514</v>
      </c>
      <c r="D26" s="33">
        <v>1540000</v>
      </c>
      <c r="E26" s="33" t="s">
        <v>177</v>
      </c>
      <c r="F26" s="33" t="str">
        <f t="shared" si="0"/>
        <v>rtdc.l.rtdc.4018:itc</v>
      </c>
      <c r="G26" s="8">
        <f t="shared" si="1"/>
        <v>42550.843958333331</v>
      </c>
    </row>
    <row r="27" spans="1:7" x14ac:dyDescent="0.25">
      <c r="A27" s="8">
        <v>42550.500185185185</v>
      </c>
      <c r="B27" s="33" t="s">
        <v>82</v>
      </c>
      <c r="C27" s="33" t="s">
        <v>451</v>
      </c>
      <c r="D27" s="33">
        <v>1520000</v>
      </c>
      <c r="E27" s="33" t="s">
        <v>549</v>
      </c>
      <c r="F27" s="33" t="str">
        <f t="shared" si="0"/>
        <v>rtdc.l.rtdc.4018:itc</v>
      </c>
      <c r="G27" s="8">
        <f t="shared" si="1"/>
        <v>42550.500185185185</v>
      </c>
    </row>
    <row r="28" spans="1:7" x14ac:dyDescent="0.25">
      <c r="A28" s="8">
        <v>42550.927199074074</v>
      </c>
      <c r="B28" s="33" t="s">
        <v>82</v>
      </c>
      <c r="C28" s="33" t="s">
        <v>521</v>
      </c>
      <c r="D28" s="33">
        <v>1540000</v>
      </c>
      <c r="E28" s="33" t="s">
        <v>177</v>
      </c>
      <c r="F28" s="33" t="str">
        <f t="shared" si="0"/>
        <v>rtdc.l.rtdc.4018:itc</v>
      </c>
      <c r="G28" s="8">
        <f t="shared" si="1"/>
        <v>42550.927199074074</v>
      </c>
    </row>
    <row r="29" spans="1:7" x14ac:dyDescent="0.25">
      <c r="A29" s="8">
        <v>42550.277025462965</v>
      </c>
      <c r="B29" s="33" t="s">
        <v>158</v>
      </c>
      <c r="C29" s="33" t="s">
        <v>265</v>
      </c>
      <c r="D29" s="33">
        <v>1360000</v>
      </c>
      <c r="E29" s="33" t="s">
        <v>550</v>
      </c>
      <c r="F29" s="33" t="str">
        <f t="shared" si="0"/>
        <v>rtdc.l.rtdc.4011:itc</v>
      </c>
      <c r="G29" s="8">
        <f t="shared" si="1"/>
        <v>42550.277025462965</v>
      </c>
    </row>
    <row r="30" spans="1:7" x14ac:dyDescent="0.25">
      <c r="A30" s="8">
        <v>42551.30096064815</v>
      </c>
      <c r="B30" s="33" t="s">
        <v>158</v>
      </c>
      <c r="C30" s="33" t="s">
        <v>557</v>
      </c>
      <c r="D30" s="33">
        <v>1340000</v>
      </c>
      <c r="E30" s="33" t="s">
        <v>558</v>
      </c>
      <c r="F30" s="33" t="str">
        <f t="shared" si="0"/>
        <v>rtdc.l.rtdc.4011:itc</v>
      </c>
      <c r="G30" s="8">
        <f t="shared" si="1"/>
        <v>42551.30096064815</v>
      </c>
    </row>
    <row r="31" spans="1:7" x14ac:dyDescent="0.25">
      <c r="A31" s="8">
        <v>42550.012291666666</v>
      </c>
      <c r="B31" s="33" t="s">
        <v>192</v>
      </c>
      <c r="C31" s="33" t="s">
        <v>559</v>
      </c>
      <c r="D31" s="33">
        <v>1280000</v>
      </c>
      <c r="E31" s="33" t="s">
        <v>187</v>
      </c>
      <c r="F31" s="33" t="str">
        <f t="shared" si="0"/>
        <v>rtdc.l.rtdc.4027:itc</v>
      </c>
      <c r="G31" s="8">
        <f t="shared" si="1"/>
        <v>42550.012291666666</v>
      </c>
    </row>
    <row r="32" spans="1:7" x14ac:dyDescent="0.25">
      <c r="A32" s="8">
        <v>42550.930486111109</v>
      </c>
      <c r="B32" s="33" t="s">
        <v>540</v>
      </c>
      <c r="C32" s="33" t="s">
        <v>396</v>
      </c>
      <c r="D32" s="33">
        <v>2040000</v>
      </c>
      <c r="E32" s="33" t="s">
        <v>213</v>
      </c>
      <c r="F32" s="33" t="str">
        <f t="shared" si="0"/>
        <v>rtdc.l.rtdc.4043:itc</v>
      </c>
      <c r="G32" s="8">
        <f t="shared" si="1"/>
        <v>42550.930486111109</v>
      </c>
    </row>
    <row r="33" spans="1:7" x14ac:dyDescent="0.25">
      <c r="A33" s="8">
        <v>42549.991805555554</v>
      </c>
      <c r="B33" s="33" t="s">
        <v>79</v>
      </c>
      <c r="C33" s="33" t="s">
        <v>560</v>
      </c>
      <c r="D33" s="33">
        <v>1180000</v>
      </c>
      <c r="E33" s="33" t="s">
        <v>561</v>
      </c>
      <c r="F33" s="33" t="str">
        <f t="shared" si="0"/>
        <v>rtdc.l.rtdc.4019:itc</v>
      </c>
      <c r="G33" s="8">
        <f t="shared" si="1"/>
        <v>42549.991805555554</v>
      </c>
    </row>
    <row r="34" spans="1:7" x14ac:dyDescent="0.25">
      <c r="A34" s="8">
        <v>42550.970682870371</v>
      </c>
      <c r="B34" s="33" t="s">
        <v>562</v>
      </c>
      <c r="C34" s="33" t="s">
        <v>563</v>
      </c>
      <c r="D34" s="33">
        <v>780000</v>
      </c>
      <c r="E34" s="33" t="s">
        <v>564</v>
      </c>
      <c r="F34" s="33" t="str">
        <f t="shared" si="0"/>
        <v>rtdc.l.rtdc.4005:itc</v>
      </c>
      <c r="G34" s="8">
        <f t="shared" si="1"/>
        <v>42550.970682870371</v>
      </c>
    </row>
    <row r="35" spans="1:7" x14ac:dyDescent="0.25">
      <c r="A35" s="8">
        <v>42549.93545138889</v>
      </c>
      <c r="B35" s="33" t="s">
        <v>192</v>
      </c>
      <c r="C35" s="33" t="s">
        <v>565</v>
      </c>
      <c r="D35" s="33">
        <v>1280000</v>
      </c>
      <c r="E35" s="33" t="s">
        <v>187</v>
      </c>
      <c r="F35" s="33" t="str">
        <f t="shared" si="0"/>
        <v>rtdc.l.rtdc.4027:itc</v>
      </c>
      <c r="G35" s="8">
        <f t="shared" si="1"/>
        <v>42549.93545138889</v>
      </c>
    </row>
    <row r="36" spans="1:7" x14ac:dyDescent="0.25">
      <c r="A36" s="8">
        <v>42551.196168981478</v>
      </c>
      <c r="B36" s="33" t="s">
        <v>173</v>
      </c>
      <c r="C36" s="33" t="s">
        <v>566</v>
      </c>
      <c r="D36" s="33">
        <v>1110000</v>
      </c>
      <c r="E36" s="33" t="s">
        <v>567</v>
      </c>
      <c r="F36" s="33" t="str">
        <f t="shared" si="0"/>
        <v>rtdc.l.rtdc.4013:itc</v>
      </c>
      <c r="G36" s="8">
        <f t="shared" si="1"/>
        <v>42551.196168981478</v>
      </c>
    </row>
    <row r="37" spans="1:7" x14ac:dyDescent="0.25">
      <c r="A37" s="8">
        <v>42550.670717592591</v>
      </c>
      <c r="B37" s="33" t="s">
        <v>173</v>
      </c>
      <c r="C37" s="33" t="s">
        <v>345</v>
      </c>
      <c r="D37" s="33">
        <v>1750000</v>
      </c>
      <c r="E37" s="33" t="s">
        <v>188</v>
      </c>
      <c r="F37" s="33" t="str">
        <f t="shared" si="0"/>
        <v>rtdc.l.rtdc.4013:itc</v>
      </c>
      <c r="G37" s="8">
        <f t="shared" si="1"/>
        <v>42550.670717592591</v>
      </c>
    </row>
    <row r="38" spans="1:7" x14ac:dyDescent="0.25">
      <c r="A38" s="8">
        <v>42551.320567129631</v>
      </c>
      <c r="B38" s="33" t="s">
        <v>79</v>
      </c>
      <c r="C38" s="33" t="s">
        <v>568</v>
      </c>
      <c r="D38" s="33">
        <v>2010000</v>
      </c>
      <c r="E38" s="33" t="s">
        <v>212</v>
      </c>
      <c r="F38" s="33" t="str">
        <f t="shared" si="0"/>
        <v>rtdc.l.rtdc.4019:itc</v>
      </c>
      <c r="G38" s="8">
        <f t="shared" si="1"/>
        <v>42551.320567129631</v>
      </c>
    </row>
    <row r="39" spans="1:7" x14ac:dyDescent="0.25">
      <c r="A39" s="8">
        <v>42550.48746527778</v>
      </c>
      <c r="B39" s="33" t="s">
        <v>219</v>
      </c>
      <c r="C39" s="33" t="s">
        <v>299</v>
      </c>
      <c r="D39" s="33">
        <v>1750000</v>
      </c>
      <c r="E39" s="33" t="s">
        <v>188</v>
      </c>
      <c r="F39" s="33" t="str">
        <f t="shared" si="0"/>
        <v>rtdc.l.rtdc.4044:itc</v>
      </c>
      <c r="G39" s="8">
        <f t="shared" si="1"/>
        <v>42550.48746527778</v>
      </c>
    </row>
    <row r="40" spans="1:7" x14ac:dyDescent="0.25">
      <c r="A40" s="8">
        <v>42550.182349537034</v>
      </c>
      <c r="B40" s="47" t="s">
        <v>193</v>
      </c>
      <c r="C40" s="33" t="s">
        <v>239</v>
      </c>
      <c r="D40" s="33">
        <v>2030000</v>
      </c>
      <c r="E40" s="33" t="s">
        <v>214</v>
      </c>
      <c r="F40" s="33" t="str">
        <f t="shared" si="0"/>
        <v>rtdc.l.rtdc.4040:itc</v>
      </c>
      <c r="G40" s="8">
        <f t="shared" si="1"/>
        <v>42550.182349537034</v>
      </c>
    </row>
    <row r="41" spans="1:7" x14ac:dyDescent="0.25">
      <c r="A41" s="8">
        <v>42550.338761574072</v>
      </c>
      <c r="B41" s="33" t="s">
        <v>219</v>
      </c>
      <c r="C41" s="33" t="s">
        <v>283</v>
      </c>
      <c r="D41" s="33">
        <v>1260000</v>
      </c>
      <c r="E41" s="33" t="s">
        <v>176</v>
      </c>
      <c r="F41" s="33" t="str">
        <f t="shared" si="0"/>
        <v>rtdc.l.rtdc.4044:itc</v>
      </c>
      <c r="G41" s="8">
        <f t="shared" si="1"/>
        <v>42550.338761574072</v>
      </c>
    </row>
    <row r="42" spans="1:7" x14ac:dyDescent="0.25">
      <c r="A42" s="8">
        <v>42550.317233796297</v>
      </c>
      <c r="B42" s="33" t="s">
        <v>83</v>
      </c>
      <c r="C42" s="33" t="s">
        <v>437</v>
      </c>
      <c r="D42" s="33">
        <v>1520000</v>
      </c>
      <c r="E42" s="33" t="s">
        <v>549</v>
      </c>
      <c r="F42" s="33" t="str">
        <f t="shared" si="0"/>
        <v>rtdc.l.rtdc.4017:itc</v>
      </c>
      <c r="G42" s="8">
        <f t="shared" si="1"/>
        <v>42550.317233796297</v>
      </c>
    </row>
    <row r="43" spans="1:7" x14ac:dyDescent="0.25">
      <c r="A43" s="8">
        <v>42550.220960648148</v>
      </c>
      <c r="B43" s="33" t="s">
        <v>194</v>
      </c>
      <c r="C43" s="33" t="s">
        <v>240</v>
      </c>
      <c r="D43" s="33">
        <v>2030000</v>
      </c>
      <c r="E43" s="33" t="s">
        <v>214</v>
      </c>
      <c r="F43" s="33" t="str">
        <f t="shared" si="0"/>
        <v>rtdc.l.rtdc.4039:itc</v>
      </c>
      <c r="G43" s="8">
        <f t="shared" si="1"/>
        <v>42550.220960648148</v>
      </c>
    </row>
    <row r="44" spans="1:7" x14ac:dyDescent="0.25">
      <c r="A44" s="8">
        <v>42550.568460648145</v>
      </c>
      <c r="B44" s="33" t="s">
        <v>70</v>
      </c>
      <c r="C44" s="33" t="s">
        <v>309</v>
      </c>
      <c r="D44" s="33">
        <v>1140000</v>
      </c>
      <c r="E44" s="33" t="s">
        <v>220</v>
      </c>
      <c r="F44" s="33" t="str">
        <f t="shared" si="0"/>
        <v>rtdc.l.rtdc.4032:itc</v>
      </c>
      <c r="G44" s="8">
        <f t="shared" si="1"/>
        <v>42550.568460648145</v>
      </c>
    </row>
    <row r="45" spans="1:7" x14ac:dyDescent="0.25">
      <c r="A45" s="8">
        <v>42549.974108796298</v>
      </c>
      <c r="B45" s="33" t="s">
        <v>175</v>
      </c>
      <c r="C45" s="33" t="s">
        <v>569</v>
      </c>
      <c r="D45" s="33">
        <v>1280000</v>
      </c>
      <c r="E45" s="33" t="s">
        <v>187</v>
      </c>
      <c r="F45" s="33" t="str">
        <f t="shared" si="0"/>
        <v>rtdc.l.rtdc.4028:itc</v>
      </c>
      <c r="G45" s="8">
        <f t="shared" si="1"/>
        <v>42549.974108796298</v>
      </c>
    </row>
    <row r="46" spans="1:7" x14ac:dyDescent="0.25">
      <c r="A46" s="8">
        <v>42549.858124999999</v>
      </c>
      <c r="B46" s="33" t="s">
        <v>191</v>
      </c>
      <c r="C46" s="33" t="s">
        <v>570</v>
      </c>
      <c r="D46" s="33">
        <v>1740000</v>
      </c>
      <c r="E46" s="33" t="s">
        <v>553</v>
      </c>
      <c r="F46" s="33" t="str">
        <f t="shared" si="0"/>
        <v>rtdc.l.rtdc.4030:itc</v>
      </c>
      <c r="G46" s="8">
        <f t="shared" si="1"/>
        <v>42549.858124999999</v>
      </c>
    </row>
    <row r="47" spans="1:7" x14ac:dyDescent="0.25">
      <c r="A47" s="8">
        <v>42549.868217592593</v>
      </c>
      <c r="B47" s="33" t="s">
        <v>171</v>
      </c>
      <c r="C47" s="33" t="s">
        <v>571</v>
      </c>
      <c r="D47" s="33">
        <v>1820000</v>
      </c>
      <c r="E47" s="33" t="s">
        <v>127</v>
      </c>
      <c r="F47" s="33" t="str">
        <f t="shared" si="0"/>
        <v>rtdc.l.rtdc.4026:itc</v>
      </c>
      <c r="G47" s="8">
        <f t="shared" si="1"/>
        <v>42549.868217592593</v>
      </c>
    </row>
    <row r="48" spans="1:7" x14ac:dyDescent="0.25">
      <c r="A48" s="8">
        <v>42549.891435185185</v>
      </c>
      <c r="B48" s="33" t="s">
        <v>82</v>
      </c>
      <c r="C48" s="33" t="s">
        <v>572</v>
      </c>
      <c r="D48" s="33">
        <v>2040000</v>
      </c>
      <c r="E48" s="33" t="s">
        <v>213</v>
      </c>
      <c r="F48" s="33" t="str">
        <f t="shared" si="0"/>
        <v>rtdc.l.rtdc.4018:itc</v>
      </c>
      <c r="G48" s="8">
        <f t="shared" si="1"/>
        <v>42549.891435185185</v>
      </c>
    </row>
    <row r="49" spans="1:7" x14ac:dyDescent="0.25">
      <c r="A49" s="8">
        <v>42550.248657407406</v>
      </c>
      <c r="B49" s="33" t="s">
        <v>98</v>
      </c>
      <c r="C49" s="33" t="s">
        <v>257</v>
      </c>
      <c r="D49" s="33">
        <v>2010000</v>
      </c>
      <c r="E49" s="33" t="s">
        <v>212</v>
      </c>
      <c r="F49" s="33" t="str">
        <f t="shared" si="0"/>
        <v>rtdc.l.rtdc.4042:itc</v>
      </c>
      <c r="G49" s="8">
        <f t="shared" si="1"/>
        <v>42550.248657407406</v>
      </c>
    </row>
    <row r="50" spans="1:7" x14ac:dyDescent="0.25">
      <c r="A50" s="8">
        <v>42550.014351851853</v>
      </c>
      <c r="B50" s="33" t="s">
        <v>192</v>
      </c>
      <c r="C50" s="33" t="s">
        <v>559</v>
      </c>
      <c r="D50" s="33">
        <v>1280000</v>
      </c>
      <c r="E50" s="33" t="s">
        <v>187</v>
      </c>
      <c r="F50" s="33" t="str">
        <f t="shared" si="0"/>
        <v>rtdc.l.rtdc.4027:itc</v>
      </c>
      <c r="G50" s="8">
        <f t="shared" si="1"/>
        <v>42550.014351851853</v>
      </c>
    </row>
    <row r="51" spans="1:7" x14ac:dyDescent="0.25">
      <c r="A51" s="8">
        <v>42550.226666666669</v>
      </c>
      <c r="B51" s="33" t="s">
        <v>156</v>
      </c>
      <c r="C51" s="33" t="s">
        <v>252</v>
      </c>
      <c r="D51" s="33">
        <v>900000</v>
      </c>
      <c r="E51" s="33" t="s">
        <v>216</v>
      </c>
      <c r="F51" s="33" t="str">
        <f t="shared" si="0"/>
        <v>rtdc.l.rtdc.4024:itc</v>
      </c>
      <c r="G51" s="8">
        <f t="shared" si="1"/>
        <v>42550.226666666669</v>
      </c>
    </row>
    <row r="52" spans="1:7" x14ac:dyDescent="0.25">
      <c r="A52" s="8">
        <v>42550.203368055554</v>
      </c>
      <c r="B52" s="33" t="s">
        <v>158</v>
      </c>
      <c r="C52" s="33" t="s">
        <v>244</v>
      </c>
      <c r="D52" s="33">
        <v>1360000</v>
      </c>
      <c r="E52" s="33" t="s">
        <v>550</v>
      </c>
      <c r="F52" s="33" t="str">
        <f t="shared" si="0"/>
        <v>rtdc.l.rtdc.4011:itc</v>
      </c>
      <c r="G52" s="8">
        <f t="shared" si="1"/>
        <v>42550.203368055554</v>
      </c>
    </row>
    <row r="53" spans="1:7" x14ac:dyDescent="0.25">
      <c r="A53" s="8">
        <v>42549.993750000001</v>
      </c>
      <c r="B53" s="33" t="s">
        <v>174</v>
      </c>
      <c r="C53" s="33" t="s">
        <v>573</v>
      </c>
      <c r="D53" s="33">
        <v>1820000</v>
      </c>
      <c r="E53" s="33" t="s">
        <v>127</v>
      </c>
      <c r="F53" s="33" t="str">
        <f t="shared" si="0"/>
        <v>rtdc.l.rtdc.4025:itc</v>
      </c>
      <c r="G53" s="8">
        <f t="shared" si="1"/>
        <v>42549.993750000001</v>
      </c>
    </row>
    <row r="54" spans="1:7" x14ac:dyDescent="0.25">
      <c r="A54" s="8">
        <v>42550.23773148148</v>
      </c>
      <c r="B54" s="33" t="s">
        <v>159</v>
      </c>
      <c r="C54" s="33" t="s">
        <v>246</v>
      </c>
      <c r="D54" s="33">
        <v>1360000</v>
      </c>
      <c r="E54" s="33" t="s">
        <v>550</v>
      </c>
      <c r="F54" s="33" t="str">
        <f t="shared" si="0"/>
        <v>rtdc.l.rtdc.4012:itc</v>
      </c>
      <c r="G54" s="8">
        <f t="shared" si="1"/>
        <v>42550.23773148148</v>
      </c>
    </row>
    <row r="55" spans="1:7" x14ac:dyDescent="0.25">
      <c r="A55" s="8">
        <v>42550.677685185183</v>
      </c>
      <c r="B55" s="33" t="s">
        <v>82</v>
      </c>
      <c r="C55" s="33" t="s">
        <v>477</v>
      </c>
      <c r="D55" s="33">
        <v>1540000</v>
      </c>
      <c r="E55" s="33" t="s">
        <v>177</v>
      </c>
      <c r="F55" s="33" t="str">
        <f t="shared" si="0"/>
        <v>rtdc.l.rtdc.4018:itc</v>
      </c>
      <c r="G55" s="8">
        <f t="shared" si="1"/>
        <v>42550.677685185183</v>
      </c>
    </row>
    <row r="56" spans="1:7" x14ac:dyDescent="0.25">
      <c r="A56" s="8">
        <v>42550.319849537038</v>
      </c>
      <c r="B56" s="33" t="s">
        <v>88</v>
      </c>
      <c r="C56" s="33" t="s">
        <v>275</v>
      </c>
      <c r="D56" s="33">
        <v>1110000</v>
      </c>
      <c r="E56" s="33" t="s">
        <v>567</v>
      </c>
      <c r="F56" s="33" t="str">
        <f t="shared" si="0"/>
        <v>rtdc.l.rtdc.4031:itc</v>
      </c>
      <c r="G56" s="8">
        <f t="shared" si="1"/>
        <v>42550.319849537038</v>
      </c>
    </row>
    <row r="57" spans="1:7" x14ac:dyDescent="0.25">
      <c r="A57" s="8">
        <v>42550.46670138889</v>
      </c>
      <c r="B57" s="33" t="s">
        <v>98</v>
      </c>
      <c r="C57" s="33" t="s">
        <v>290</v>
      </c>
      <c r="D57" s="33">
        <v>2020000</v>
      </c>
      <c r="E57" s="33" t="s">
        <v>215</v>
      </c>
      <c r="F57" s="33" t="str">
        <f t="shared" si="0"/>
        <v>rtdc.l.rtdc.4042:itc</v>
      </c>
      <c r="G57" s="8">
        <f t="shared" si="1"/>
        <v>42550.46670138889</v>
      </c>
    </row>
    <row r="58" spans="1:7" x14ac:dyDescent="0.25">
      <c r="A58" s="8">
        <v>42550.362615740742</v>
      </c>
      <c r="B58" s="33" t="s">
        <v>525</v>
      </c>
      <c r="C58" s="33" t="s">
        <v>574</v>
      </c>
      <c r="D58" s="33">
        <v>1830000</v>
      </c>
      <c r="E58" s="33" t="s">
        <v>541</v>
      </c>
      <c r="F58" s="33" t="str">
        <f t="shared" si="0"/>
        <v>rtdc.l.rtdc.4016:itc</v>
      </c>
      <c r="G58" s="8">
        <f t="shared" si="1"/>
        <v>42550.362615740742</v>
      </c>
    </row>
    <row r="59" spans="1:7" x14ac:dyDescent="0.25">
      <c r="A59" s="8">
        <v>42550.443287037036</v>
      </c>
      <c r="B59" s="33" t="s">
        <v>194</v>
      </c>
      <c r="C59" s="33" t="s">
        <v>575</v>
      </c>
      <c r="D59" s="33">
        <v>2030000</v>
      </c>
      <c r="E59" s="33" t="s">
        <v>214</v>
      </c>
      <c r="F59" s="33" t="str">
        <f t="shared" si="0"/>
        <v>rtdc.l.rtdc.4039:itc</v>
      </c>
      <c r="G59" s="8">
        <f t="shared" si="1"/>
        <v>42550.443287037036</v>
      </c>
    </row>
    <row r="60" spans="1:7" x14ac:dyDescent="0.25">
      <c r="A60" s="8">
        <v>42550.558692129627</v>
      </c>
      <c r="B60" s="33" t="s">
        <v>157</v>
      </c>
      <c r="C60" s="33" t="s">
        <v>306</v>
      </c>
      <c r="D60" s="33">
        <v>2000000</v>
      </c>
      <c r="E60" s="33" t="s">
        <v>211</v>
      </c>
      <c r="F60" s="33" t="str">
        <f t="shared" si="0"/>
        <v>rtdc.l.rtdc.4023:itc</v>
      </c>
      <c r="G60" s="8">
        <f t="shared" si="1"/>
        <v>42550.558692129627</v>
      </c>
    </row>
    <row r="61" spans="1:7" x14ac:dyDescent="0.25">
      <c r="A61" s="8">
        <v>42551.317627314813</v>
      </c>
      <c r="B61" s="33" t="s">
        <v>98</v>
      </c>
      <c r="C61" s="33" t="s">
        <v>576</v>
      </c>
      <c r="D61" s="33">
        <v>1460000</v>
      </c>
      <c r="E61" s="33" t="s">
        <v>139</v>
      </c>
      <c r="F61" s="33" t="str">
        <f t="shared" si="0"/>
        <v>rtdc.l.rtdc.4042:itc</v>
      </c>
      <c r="G61" s="8">
        <f t="shared" si="1"/>
        <v>42551.317627314813</v>
      </c>
    </row>
    <row r="62" spans="1:7" x14ac:dyDescent="0.25">
      <c r="A62" s="8">
        <v>42550.578796296293</v>
      </c>
      <c r="B62" s="33" t="s">
        <v>97</v>
      </c>
      <c r="C62" s="33" t="s">
        <v>315</v>
      </c>
      <c r="D62" s="33">
        <v>2020000</v>
      </c>
      <c r="E62" s="33" t="s">
        <v>215</v>
      </c>
      <c r="F62" s="33" t="str">
        <f t="shared" si="0"/>
        <v>rtdc.l.rtdc.4041:itc</v>
      </c>
      <c r="G62" s="8">
        <f t="shared" si="1"/>
        <v>42550.578796296293</v>
      </c>
    </row>
    <row r="63" spans="1:7" x14ac:dyDescent="0.25">
      <c r="A63" s="8">
        <v>42551.236643518518</v>
      </c>
      <c r="B63" s="33" t="s">
        <v>172</v>
      </c>
      <c r="C63" s="33" t="s">
        <v>577</v>
      </c>
      <c r="D63" s="33">
        <v>1110000</v>
      </c>
      <c r="E63" s="33" t="s">
        <v>567</v>
      </c>
      <c r="F63" s="33" t="str">
        <f t="shared" si="0"/>
        <v>rtdc.l.rtdc.4014:itc</v>
      </c>
      <c r="G63" s="8">
        <f t="shared" si="1"/>
        <v>42551.236643518518</v>
      </c>
    </row>
    <row r="64" spans="1:7" x14ac:dyDescent="0.25">
      <c r="A64" s="48">
        <v>42550.671597222223</v>
      </c>
      <c r="B64" s="33" t="s">
        <v>191</v>
      </c>
      <c r="C64" s="33" t="s">
        <v>476</v>
      </c>
      <c r="D64" s="33">
        <v>1780000</v>
      </c>
      <c r="E64" s="33" t="s">
        <v>189</v>
      </c>
      <c r="F64" s="33" t="str">
        <f t="shared" si="0"/>
        <v>rtdc.l.rtdc.4030:itc</v>
      </c>
      <c r="G64" s="8">
        <f t="shared" si="1"/>
        <v>42550.671597222223</v>
      </c>
    </row>
    <row r="65" spans="1:7" x14ac:dyDescent="0.25">
      <c r="A65" s="8">
        <v>42551.1330787037</v>
      </c>
      <c r="B65" s="33" t="s">
        <v>578</v>
      </c>
      <c r="C65" s="33" t="s">
        <v>579</v>
      </c>
      <c r="D65" s="33">
        <v>1840000</v>
      </c>
      <c r="E65" s="33" t="s">
        <v>138</v>
      </c>
      <c r="F65" s="33" t="str">
        <f t="shared" si="0"/>
        <v>rtdc.l.rtdc.4002:itc</v>
      </c>
      <c r="G65" s="8">
        <f t="shared" si="1"/>
        <v>42551.1330787037</v>
      </c>
    </row>
    <row r="66" spans="1:7" x14ac:dyDescent="0.25">
      <c r="A66" s="8">
        <v>42550.258414351854</v>
      </c>
      <c r="B66" s="33" t="s">
        <v>193</v>
      </c>
      <c r="C66" s="33" t="s">
        <v>260</v>
      </c>
      <c r="D66" s="33">
        <v>2030000</v>
      </c>
      <c r="E66" s="33" t="s">
        <v>214</v>
      </c>
      <c r="F66" s="33" t="str">
        <f t="shared" ref="F66:F129" si="2">B66</f>
        <v>rtdc.l.rtdc.4040:itc</v>
      </c>
      <c r="G66" s="8">
        <f t="shared" ref="G66:G129" si="3">A66</f>
        <v>42550.258414351854</v>
      </c>
    </row>
    <row r="67" spans="1:7" x14ac:dyDescent="0.25">
      <c r="A67" s="8">
        <v>42550.829502314817</v>
      </c>
      <c r="B67" s="33" t="s">
        <v>98</v>
      </c>
      <c r="C67" s="33" t="s">
        <v>389</v>
      </c>
      <c r="D67" s="33">
        <v>1820000</v>
      </c>
      <c r="E67" s="33" t="s">
        <v>127</v>
      </c>
      <c r="F67" s="33" t="str">
        <f t="shared" si="2"/>
        <v>rtdc.l.rtdc.4042:itc</v>
      </c>
      <c r="G67" s="8">
        <f t="shared" si="3"/>
        <v>42550.829502314817</v>
      </c>
    </row>
    <row r="68" spans="1:7" x14ac:dyDescent="0.25">
      <c r="A68" s="8">
        <v>42550.258321759262</v>
      </c>
      <c r="B68" s="33" t="s">
        <v>191</v>
      </c>
      <c r="C68" s="33" t="s">
        <v>419</v>
      </c>
      <c r="D68" s="33">
        <v>1480000</v>
      </c>
      <c r="E68" s="33" t="s">
        <v>160</v>
      </c>
      <c r="F68" s="33" t="str">
        <f t="shared" si="2"/>
        <v>rtdc.l.rtdc.4030:itc</v>
      </c>
      <c r="G68" s="8">
        <f t="shared" si="3"/>
        <v>42550.258321759262</v>
      </c>
    </row>
    <row r="69" spans="1:7" x14ac:dyDescent="0.25">
      <c r="A69" s="8">
        <v>42551.245821759258</v>
      </c>
      <c r="B69" s="33" t="s">
        <v>79</v>
      </c>
      <c r="C69" s="33" t="s">
        <v>580</v>
      </c>
      <c r="D69" s="33">
        <v>2010000</v>
      </c>
      <c r="E69" s="33" t="s">
        <v>212</v>
      </c>
      <c r="F69" s="33" t="str">
        <f t="shared" si="2"/>
        <v>rtdc.l.rtdc.4019:itc</v>
      </c>
      <c r="G69" s="8">
        <f t="shared" si="3"/>
        <v>42551.245821759258</v>
      </c>
    </row>
    <row r="70" spans="1:7" x14ac:dyDescent="0.25">
      <c r="A70" s="8">
        <v>42550.42391203704</v>
      </c>
      <c r="B70" s="33" t="s">
        <v>70</v>
      </c>
      <c r="C70" s="33" t="s">
        <v>535</v>
      </c>
      <c r="D70" s="33">
        <v>1110000</v>
      </c>
      <c r="E70" s="33" t="s">
        <v>567</v>
      </c>
      <c r="F70" s="33" t="str">
        <f t="shared" si="2"/>
        <v>rtdc.l.rtdc.4032:itc</v>
      </c>
      <c r="G70" s="8">
        <f t="shared" si="3"/>
        <v>42550.42391203704</v>
      </c>
    </row>
    <row r="71" spans="1:7" x14ac:dyDescent="0.25">
      <c r="A71" s="8">
        <v>42551.244085648148</v>
      </c>
      <c r="B71" s="33" t="s">
        <v>79</v>
      </c>
      <c r="C71" s="33" t="s">
        <v>580</v>
      </c>
      <c r="D71" s="33">
        <v>2010000</v>
      </c>
      <c r="E71" s="33" t="s">
        <v>212</v>
      </c>
      <c r="F71" s="33" t="str">
        <f t="shared" si="2"/>
        <v>rtdc.l.rtdc.4019:itc</v>
      </c>
      <c r="G71" s="8">
        <f t="shared" si="3"/>
        <v>42551.244085648148</v>
      </c>
    </row>
    <row r="72" spans="1:7" x14ac:dyDescent="0.25">
      <c r="A72" s="8">
        <v>42550.430891203701</v>
      </c>
      <c r="B72" s="33" t="s">
        <v>97</v>
      </c>
      <c r="C72" s="33" t="s">
        <v>581</v>
      </c>
      <c r="D72" s="33">
        <v>2010000</v>
      </c>
      <c r="E72" s="33" t="s">
        <v>212</v>
      </c>
      <c r="F72" s="33" t="str">
        <f t="shared" si="2"/>
        <v>rtdc.l.rtdc.4041:itc</v>
      </c>
      <c r="G72" s="8">
        <f t="shared" si="3"/>
        <v>42550.430891203701</v>
      </c>
    </row>
    <row r="73" spans="1:7" x14ac:dyDescent="0.25">
      <c r="A73" s="8">
        <v>42551.206956018519</v>
      </c>
      <c r="B73" s="33" t="s">
        <v>175</v>
      </c>
      <c r="C73" s="33" t="s">
        <v>582</v>
      </c>
      <c r="D73" s="33">
        <v>1830000</v>
      </c>
      <c r="E73" s="33" t="s">
        <v>541</v>
      </c>
      <c r="F73" s="33" t="str">
        <f t="shared" si="2"/>
        <v>rtdc.l.rtdc.4028:itc</v>
      </c>
      <c r="G73" s="8">
        <f t="shared" si="3"/>
        <v>42551.206956018519</v>
      </c>
    </row>
    <row r="74" spans="1:7" x14ac:dyDescent="0.25">
      <c r="A74" s="8">
        <v>42549.906261574077</v>
      </c>
      <c r="B74" s="33" t="s">
        <v>79</v>
      </c>
      <c r="C74" s="33" t="s">
        <v>583</v>
      </c>
      <c r="D74" s="33">
        <v>1180000</v>
      </c>
      <c r="E74" s="33" t="s">
        <v>561</v>
      </c>
      <c r="F74" s="33" t="str">
        <f t="shared" si="2"/>
        <v>rtdc.l.rtdc.4019:itc</v>
      </c>
      <c r="G74" s="8">
        <f t="shared" si="3"/>
        <v>42549.906261574077</v>
      </c>
    </row>
    <row r="75" spans="1:7" x14ac:dyDescent="0.25">
      <c r="A75" s="8">
        <v>42551.154664351852</v>
      </c>
      <c r="B75" s="33" t="s">
        <v>88</v>
      </c>
      <c r="C75" s="33" t="s">
        <v>584</v>
      </c>
      <c r="D75" s="33">
        <v>1110000</v>
      </c>
      <c r="E75" s="33" t="s">
        <v>567</v>
      </c>
      <c r="F75" s="33" t="str">
        <f t="shared" si="2"/>
        <v>rtdc.l.rtdc.4031:itc</v>
      </c>
      <c r="G75" s="8">
        <f t="shared" si="3"/>
        <v>42551.154664351852</v>
      </c>
    </row>
    <row r="76" spans="1:7" x14ac:dyDescent="0.25">
      <c r="A76" s="8">
        <v>42550.328715277778</v>
      </c>
      <c r="B76" s="33" t="s">
        <v>193</v>
      </c>
      <c r="C76" s="33" t="s">
        <v>281</v>
      </c>
      <c r="D76" s="33">
        <v>2030000</v>
      </c>
      <c r="E76" s="33" t="s">
        <v>214</v>
      </c>
      <c r="F76" s="33" t="str">
        <f t="shared" si="2"/>
        <v>rtdc.l.rtdc.4040:itc</v>
      </c>
      <c r="G76" s="8">
        <f t="shared" si="3"/>
        <v>42550.328715277778</v>
      </c>
    </row>
    <row r="77" spans="1:7" x14ac:dyDescent="0.25">
      <c r="A77" s="8">
        <v>42550.953831018516</v>
      </c>
      <c r="B77" s="33" t="s">
        <v>80</v>
      </c>
      <c r="C77" s="33" t="s">
        <v>404</v>
      </c>
      <c r="D77" s="33">
        <v>1280000</v>
      </c>
      <c r="E77" s="33" t="s">
        <v>187</v>
      </c>
      <c r="F77" s="33" t="str">
        <f t="shared" si="2"/>
        <v>rtdc.l.rtdc.4020:itc</v>
      </c>
      <c r="G77" s="8">
        <f t="shared" si="3"/>
        <v>42550.953831018516</v>
      </c>
    </row>
    <row r="78" spans="1:7" x14ac:dyDescent="0.25">
      <c r="A78" s="8">
        <v>42550.69258101852</v>
      </c>
      <c r="B78" s="33" t="s">
        <v>193</v>
      </c>
      <c r="C78" s="33" t="s">
        <v>360</v>
      </c>
      <c r="D78" s="33">
        <v>940000</v>
      </c>
      <c r="E78" s="33" t="s">
        <v>542</v>
      </c>
      <c r="F78" s="33" t="str">
        <f t="shared" si="2"/>
        <v>rtdc.l.rtdc.4040:itc</v>
      </c>
      <c r="G78" s="8">
        <f t="shared" si="3"/>
        <v>42550.69258101852</v>
      </c>
    </row>
    <row r="79" spans="1:7" x14ac:dyDescent="0.25">
      <c r="A79" s="8">
        <v>42550.774212962962</v>
      </c>
      <c r="B79" s="33" t="s">
        <v>157</v>
      </c>
      <c r="C79" s="33" t="s">
        <v>585</v>
      </c>
      <c r="D79" s="33">
        <v>2040000</v>
      </c>
      <c r="E79" s="33" t="s">
        <v>213</v>
      </c>
      <c r="F79" s="33" t="str">
        <f t="shared" si="2"/>
        <v>rtdc.l.rtdc.4023:itc</v>
      </c>
      <c r="G79" s="8">
        <f t="shared" si="3"/>
        <v>42550.774212962962</v>
      </c>
    </row>
    <row r="80" spans="1:7" x14ac:dyDescent="0.25">
      <c r="A80" s="8">
        <v>42549.843877314815</v>
      </c>
      <c r="B80" s="33" t="s">
        <v>190</v>
      </c>
      <c r="C80" s="33" t="s">
        <v>586</v>
      </c>
      <c r="D80" s="33">
        <v>1790000</v>
      </c>
      <c r="E80" s="33" t="s">
        <v>556</v>
      </c>
      <c r="F80" s="33" t="str">
        <f t="shared" si="2"/>
        <v>rtdc.l.rtdc.4029:itc</v>
      </c>
      <c r="G80" s="8">
        <f t="shared" si="3"/>
        <v>42549.843877314815</v>
      </c>
    </row>
    <row r="81" spans="1:7" x14ac:dyDescent="0.25">
      <c r="A81" s="8">
        <v>42551.267106481479</v>
      </c>
      <c r="B81" s="33" t="s">
        <v>137</v>
      </c>
      <c r="C81" s="33" t="s">
        <v>587</v>
      </c>
      <c r="D81" s="33">
        <v>2030000</v>
      </c>
      <c r="E81" s="33" t="s">
        <v>214</v>
      </c>
      <c r="F81" s="33" t="str">
        <f t="shared" si="2"/>
        <v>rtdc.l.rtdc.4038:itc</v>
      </c>
      <c r="G81" s="8">
        <f t="shared" si="3"/>
        <v>42551.267106481479</v>
      </c>
    </row>
    <row r="82" spans="1:7" x14ac:dyDescent="0.25">
      <c r="A82" s="8">
        <v>42549.846689814818</v>
      </c>
      <c r="B82" s="33" t="s">
        <v>192</v>
      </c>
      <c r="C82" s="33" t="s">
        <v>545</v>
      </c>
      <c r="D82" s="33">
        <v>1280000</v>
      </c>
      <c r="E82" s="33" t="s">
        <v>187</v>
      </c>
      <c r="F82" s="33" t="str">
        <f t="shared" si="2"/>
        <v>rtdc.l.rtdc.4027:itc</v>
      </c>
      <c r="G82" s="8">
        <f t="shared" si="3"/>
        <v>42549.846689814818</v>
      </c>
    </row>
    <row r="83" spans="1:7" x14ac:dyDescent="0.25">
      <c r="A83" s="8">
        <v>42550.993148148147</v>
      </c>
      <c r="B83" s="33" t="s">
        <v>79</v>
      </c>
      <c r="C83" s="33" t="s">
        <v>405</v>
      </c>
      <c r="D83" s="33">
        <v>1280000</v>
      </c>
      <c r="E83" s="33" t="s">
        <v>187</v>
      </c>
      <c r="F83" s="33" t="str">
        <f t="shared" si="2"/>
        <v>rtdc.l.rtdc.4019:itc</v>
      </c>
      <c r="G83" s="8">
        <f t="shared" si="3"/>
        <v>42550.993148148147</v>
      </c>
    </row>
    <row r="84" spans="1:7" x14ac:dyDescent="0.25">
      <c r="A84" s="8">
        <v>42549.912083333336</v>
      </c>
      <c r="B84" s="33" t="s">
        <v>174</v>
      </c>
      <c r="C84" s="33" t="s">
        <v>588</v>
      </c>
      <c r="D84" s="33">
        <v>1820000</v>
      </c>
      <c r="E84" s="33" t="s">
        <v>127</v>
      </c>
      <c r="F84" s="33" t="str">
        <f t="shared" si="2"/>
        <v>rtdc.l.rtdc.4025:itc</v>
      </c>
      <c r="G84" s="8">
        <f t="shared" si="3"/>
        <v>42549.912083333336</v>
      </c>
    </row>
    <row r="85" spans="1:7" x14ac:dyDescent="0.25">
      <c r="A85" s="8">
        <v>42550.782870370371</v>
      </c>
      <c r="B85" s="33" t="s">
        <v>190</v>
      </c>
      <c r="C85" s="33" t="s">
        <v>502</v>
      </c>
      <c r="D85" s="33">
        <v>1780000</v>
      </c>
      <c r="E85" s="33" t="s">
        <v>189</v>
      </c>
      <c r="F85" s="33" t="str">
        <f t="shared" si="2"/>
        <v>rtdc.l.rtdc.4029:itc</v>
      </c>
      <c r="G85" s="8">
        <f t="shared" si="3"/>
        <v>42550.782870370371</v>
      </c>
    </row>
    <row r="86" spans="1:7" x14ac:dyDescent="0.25">
      <c r="A86" s="8">
        <v>42550.158078703702</v>
      </c>
      <c r="B86" s="33" t="s">
        <v>156</v>
      </c>
      <c r="C86" s="33" t="s">
        <v>230</v>
      </c>
      <c r="D86" s="33">
        <v>1110000</v>
      </c>
      <c r="E86" s="33" t="s">
        <v>567</v>
      </c>
      <c r="F86" s="33" t="str">
        <f t="shared" si="2"/>
        <v>rtdc.l.rtdc.4024:itc</v>
      </c>
      <c r="G86" s="8">
        <f t="shared" si="3"/>
        <v>42550.158078703702</v>
      </c>
    </row>
    <row r="87" spans="1:7" x14ac:dyDescent="0.25">
      <c r="A87" s="8">
        <v>42551.203969907408</v>
      </c>
      <c r="B87" s="33" t="s">
        <v>173</v>
      </c>
      <c r="C87" s="33" t="s">
        <v>566</v>
      </c>
      <c r="D87" s="33">
        <v>1110000</v>
      </c>
      <c r="E87" s="33" t="s">
        <v>567</v>
      </c>
      <c r="F87" s="33" t="str">
        <f t="shared" si="2"/>
        <v>rtdc.l.rtdc.4013:itc</v>
      </c>
      <c r="G87" s="8">
        <f t="shared" si="3"/>
        <v>42551.203969907408</v>
      </c>
    </row>
    <row r="88" spans="1:7" x14ac:dyDescent="0.25">
      <c r="A88" s="8">
        <v>42550.207094907404</v>
      </c>
      <c r="B88" s="33" t="s">
        <v>190</v>
      </c>
      <c r="C88" s="33" t="s">
        <v>589</v>
      </c>
      <c r="D88" s="33">
        <v>1480000</v>
      </c>
      <c r="E88" s="33" t="s">
        <v>160</v>
      </c>
      <c r="F88" s="33" t="str">
        <f t="shared" si="2"/>
        <v>rtdc.l.rtdc.4029:itc</v>
      </c>
      <c r="G88" s="8">
        <f t="shared" si="3"/>
        <v>42550.207094907404</v>
      </c>
    </row>
    <row r="89" spans="1:7" x14ac:dyDescent="0.25">
      <c r="A89" s="8">
        <v>42551.182256944441</v>
      </c>
      <c r="B89" s="33" t="s">
        <v>190</v>
      </c>
      <c r="C89" s="33" t="s">
        <v>551</v>
      </c>
      <c r="D89" s="33">
        <v>2000000</v>
      </c>
      <c r="E89" s="33" t="s">
        <v>211</v>
      </c>
      <c r="F89" s="33" t="str">
        <f t="shared" si="2"/>
        <v>rtdc.l.rtdc.4029:itc</v>
      </c>
      <c r="G89" s="8">
        <f t="shared" si="3"/>
        <v>42551.182256944441</v>
      </c>
    </row>
    <row r="90" spans="1:7" x14ac:dyDescent="0.25">
      <c r="A90" s="8">
        <v>42550.287881944445</v>
      </c>
      <c r="B90" s="33" t="s">
        <v>525</v>
      </c>
      <c r="C90" s="33" t="s">
        <v>269</v>
      </c>
      <c r="D90" s="33">
        <v>1830000</v>
      </c>
      <c r="E90" s="33" t="s">
        <v>541</v>
      </c>
      <c r="F90" s="33" t="str">
        <f t="shared" si="2"/>
        <v>rtdc.l.rtdc.4016:itc</v>
      </c>
      <c r="G90" s="8">
        <f t="shared" si="3"/>
        <v>42550.287881944445</v>
      </c>
    </row>
    <row r="91" spans="1:7" x14ac:dyDescent="0.25">
      <c r="A91" s="8">
        <v>42550.695879629631</v>
      </c>
      <c r="B91" s="33" t="s">
        <v>190</v>
      </c>
      <c r="C91" s="33" t="s">
        <v>482</v>
      </c>
      <c r="D91" s="33">
        <v>1780000</v>
      </c>
      <c r="E91" s="33" t="s">
        <v>189</v>
      </c>
      <c r="F91" s="33" t="str">
        <f t="shared" si="2"/>
        <v>rtdc.l.rtdc.4029:itc</v>
      </c>
      <c r="G91" s="8">
        <f t="shared" si="3"/>
        <v>42550.695879629631</v>
      </c>
    </row>
    <row r="92" spans="1:7" x14ac:dyDescent="0.25">
      <c r="A92" s="8">
        <v>42550.585069444445</v>
      </c>
      <c r="B92" s="33" t="s">
        <v>194</v>
      </c>
      <c r="C92" s="33" t="s">
        <v>321</v>
      </c>
      <c r="D92" s="33">
        <v>940000</v>
      </c>
      <c r="E92" s="33" t="s">
        <v>542</v>
      </c>
      <c r="F92" s="33" t="str">
        <f t="shared" si="2"/>
        <v>rtdc.l.rtdc.4039:itc</v>
      </c>
      <c r="G92" s="8">
        <f t="shared" si="3"/>
        <v>42550.585069444445</v>
      </c>
    </row>
    <row r="93" spans="1:7" x14ac:dyDescent="0.25">
      <c r="A93" s="8">
        <v>42550.520532407405</v>
      </c>
      <c r="B93" s="33" t="s">
        <v>156</v>
      </c>
      <c r="C93" s="33" t="s">
        <v>305</v>
      </c>
      <c r="D93" s="33">
        <v>2000000</v>
      </c>
      <c r="E93" s="33" t="s">
        <v>211</v>
      </c>
      <c r="F93" s="33" t="str">
        <f t="shared" si="2"/>
        <v>rtdc.l.rtdc.4024:itc</v>
      </c>
      <c r="G93" s="8">
        <f t="shared" si="3"/>
        <v>42550.520532407405</v>
      </c>
    </row>
    <row r="94" spans="1:7" x14ac:dyDescent="0.25">
      <c r="A94" s="8">
        <v>42549.849282407406</v>
      </c>
      <c r="B94" s="33" t="s">
        <v>83</v>
      </c>
      <c r="C94" s="33" t="s">
        <v>590</v>
      </c>
      <c r="D94" s="33">
        <v>2040000</v>
      </c>
      <c r="E94" s="33" t="s">
        <v>213</v>
      </c>
      <c r="F94" s="33" t="str">
        <f t="shared" si="2"/>
        <v>rtdc.l.rtdc.4017:itc</v>
      </c>
      <c r="G94" s="8">
        <f t="shared" si="3"/>
        <v>42549.849282407406</v>
      </c>
    </row>
    <row r="95" spans="1:7" x14ac:dyDescent="0.25">
      <c r="A95" s="8">
        <v>42550.338587962964</v>
      </c>
      <c r="B95" s="33" t="s">
        <v>157</v>
      </c>
      <c r="C95" s="33" t="s">
        <v>274</v>
      </c>
      <c r="D95" s="33">
        <v>900000</v>
      </c>
      <c r="E95" s="33" t="s">
        <v>216</v>
      </c>
      <c r="F95" s="33" t="str">
        <f t="shared" si="2"/>
        <v>rtdc.l.rtdc.4023:itc</v>
      </c>
      <c r="G95" s="8">
        <f t="shared" si="3"/>
        <v>42550.338587962964</v>
      </c>
    </row>
    <row r="96" spans="1:7" x14ac:dyDescent="0.25">
      <c r="A96" s="8">
        <v>42550.265555555554</v>
      </c>
      <c r="B96" s="33" t="s">
        <v>219</v>
      </c>
      <c r="C96" s="33" t="s">
        <v>262</v>
      </c>
      <c r="D96" s="33">
        <v>1260000</v>
      </c>
      <c r="E96" s="33" t="s">
        <v>176</v>
      </c>
      <c r="F96" s="33" t="str">
        <f t="shared" si="2"/>
        <v>rtdc.l.rtdc.4044:itc</v>
      </c>
      <c r="G96" s="8">
        <f t="shared" si="3"/>
        <v>42550.265555555554</v>
      </c>
    </row>
    <row r="97" spans="1:7" x14ac:dyDescent="0.25">
      <c r="A97" s="8">
        <v>42550.206979166665</v>
      </c>
      <c r="B97" s="33" t="s">
        <v>525</v>
      </c>
      <c r="C97" s="33" t="s">
        <v>249</v>
      </c>
      <c r="D97" s="33">
        <v>1830000</v>
      </c>
      <c r="E97" s="33" t="s">
        <v>541</v>
      </c>
      <c r="F97" s="33" t="str">
        <f t="shared" si="2"/>
        <v>rtdc.l.rtdc.4016:itc</v>
      </c>
      <c r="G97" s="8">
        <f t="shared" si="3"/>
        <v>42550.206979166665</v>
      </c>
    </row>
    <row r="98" spans="1:7" x14ac:dyDescent="0.25">
      <c r="A98" s="8">
        <v>42550.26767361111</v>
      </c>
      <c r="B98" s="33" t="s">
        <v>157</v>
      </c>
      <c r="C98" s="33" t="s">
        <v>254</v>
      </c>
      <c r="D98" s="33">
        <v>900000</v>
      </c>
      <c r="E98" s="33" t="s">
        <v>216</v>
      </c>
      <c r="F98" s="33" t="str">
        <f t="shared" si="2"/>
        <v>rtdc.l.rtdc.4023:itc</v>
      </c>
      <c r="G98" s="8">
        <f t="shared" si="3"/>
        <v>42550.26767361111</v>
      </c>
    </row>
    <row r="99" spans="1:7" x14ac:dyDescent="0.25">
      <c r="A99" s="8">
        <v>42550.178333333337</v>
      </c>
      <c r="B99" s="33" t="s">
        <v>98</v>
      </c>
      <c r="C99" s="33" t="s">
        <v>234</v>
      </c>
      <c r="D99" s="33">
        <v>2010000</v>
      </c>
      <c r="E99" s="33" t="s">
        <v>212</v>
      </c>
      <c r="F99" s="33" t="str">
        <f t="shared" si="2"/>
        <v>rtdc.l.rtdc.4042:itc</v>
      </c>
      <c r="G99" s="8">
        <f t="shared" si="3"/>
        <v>42550.178333333337</v>
      </c>
    </row>
    <row r="100" spans="1:7" x14ac:dyDescent="0.25">
      <c r="A100" s="8">
        <v>42550.416192129633</v>
      </c>
      <c r="B100" s="33" t="s">
        <v>82</v>
      </c>
      <c r="C100" s="33" t="s">
        <v>536</v>
      </c>
      <c r="D100" s="33">
        <v>1520000</v>
      </c>
      <c r="E100" s="33" t="s">
        <v>549</v>
      </c>
      <c r="F100" s="33" t="str">
        <f t="shared" si="2"/>
        <v>rtdc.l.rtdc.4018:itc</v>
      </c>
      <c r="G100" s="8">
        <f t="shared" si="3"/>
        <v>42550.416192129633</v>
      </c>
    </row>
    <row r="101" spans="1:7" x14ac:dyDescent="0.25">
      <c r="A101" s="8">
        <v>42550.138124999998</v>
      </c>
      <c r="B101" s="33" t="s">
        <v>158</v>
      </c>
      <c r="C101" s="33" t="s">
        <v>225</v>
      </c>
      <c r="D101" s="33">
        <v>1830000</v>
      </c>
      <c r="E101" s="33" t="s">
        <v>541</v>
      </c>
      <c r="F101" s="33" t="str">
        <f t="shared" si="2"/>
        <v>rtdc.l.rtdc.4011:itc</v>
      </c>
      <c r="G101" s="8">
        <f t="shared" si="3"/>
        <v>42550.138124999998</v>
      </c>
    </row>
    <row r="102" spans="1:7" x14ac:dyDescent="0.25">
      <c r="A102" s="8">
        <v>42550.545613425929</v>
      </c>
      <c r="B102" s="33" t="s">
        <v>193</v>
      </c>
      <c r="C102" s="33" t="s">
        <v>319</v>
      </c>
      <c r="D102" s="33">
        <v>940000</v>
      </c>
      <c r="E102" s="33" t="s">
        <v>542</v>
      </c>
      <c r="F102" s="33" t="str">
        <f t="shared" si="2"/>
        <v>rtdc.l.rtdc.4040:itc</v>
      </c>
      <c r="G102" s="8">
        <f t="shared" si="3"/>
        <v>42550.545613425929</v>
      </c>
    </row>
    <row r="103" spans="1:7" x14ac:dyDescent="0.25">
      <c r="A103" s="8">
        <v>42549.951331018521</v>
      </c>
      <c r="B103" s="33" t="s">
        <v>171</v>
      </c>
      <c r="C103" s="33" t="s">
        <v>591</v>
      </c>
      <c r="D103" s="33">
        <v>1820000</v>
      </c>
      <c r="E103" s="33" t="s">
        <v>127</v>
      </c>
      <c r="F103" s="33" t="str">
        <f t="shared" si="2"/>
        <v>rtdc.l.rtdc.4026:itc</v>
      </c>
      <c r="G103" s="8">
        <f t="shared" si="3"/>
        <v>42549.951331018521</v>
      </c>
    </row>
    <row r="104" spans="1:7" x14ac:dyDescent="0.25">
      <c r="A104" s="8">
        <v>42550.582615740743</v>
      </c>
      <c r="B104" s="33" t="s">
        <v>158</v>
      </c>
      <c r="C104" s="33" t="s">
        <v>324</v>
      </c>
      <c r="D104" s="33">
        <v>1090000</v>
      </c>
      <c r="E104" s="33" t="s">
        <v>218</v>
      </c>
      <c r="F104" s="33" t="str">
        <f t="shared" si="2"/>
        <v>rtdc.l.rtdc.4011:itc</v>
      </c>
      <c r="G104" s="8">
        <f t="shared" si="3"/>
        <v>42550.582615740743</v>
      </c>
    </row>
    <row r="105" spans="1:7" x14ac:dyDescent="0.25">
      <c r="A105" s="8">
        <v>42550.744386574072</v>
      </c>
      <c r="B105" s="33" t="s">
        <v>173</v>
      </c>
      <c r="C105" s="33" t="s">
        <v>366</v>
      </c>
      <c r="D105" s="33">
        <v>1750000</v>
      </c>
      <c r="E105" s="33" t="s">
        <v>188</v>
      </c>
      <c r="F105" s="33" t="str">
        <f t="shared" si="2"/>
        <v>rtdc.l.rtdc.4013:itc</v>
      </c>
      <c r="G105" s="8">
        <f t="shared" si="3"/>
        <v>42550.744386574072</v>
      </c>
    </row>
    <row r="106" spans="1:7" x14ac:dyDescent="0.25">
      <c r="A106" s="8">
        <v>42550.644236111111</v>
      </c>
      <c r="B106" s="33" t="s">
        <v>191</v>
      </c>
      <c r="C106" s="33" t="s">
        <v>592</v>
      </c>
      <c r="D106" s="33">
        <v>1780000</v>
      </c>
      <c r="E106" s="33" t="s">
        <v>189</v>
      </c>
      <c r="F106" s="33" t="str">
        <f t="shared" si="2"/>
        <v>rtdc.l.rtdc.4030:itc</v>
      </c>
      <c r="G106" s="8">
        <f t="shared" si="3"/>
        <v>42550.644236111111</v>
      </c>
    </row>
    <row r="107" spans="1:7" x14ac:dyDescent="0.25">
      <c r="A107" s="8">
        <v>42550.737500000003</v>
      </c>
      <c r="B107" s="33" t="s">
        <v>156</v>
      </c>
      <c r="C107" s="33" t="s">
        <v>376</v>
      </c>
      <c r="D107" s="33">
        <v>2040000</v>
      </c>
      <c r="E107" s="33" t="s">
        <v>213</v>
      </c>
      <c r="F107" s="33" t="str">
        <f t="shared" si="2"/>
        <v>rtdc.l.rtdc.4024:itc</v>
      </c>
      <c r="G107" s="8">
        <f t="shared" si="3"/>
        <v>42550.737500000003</v>
      </c>
    </row>
    <row r="108" spans="1:7" x14ac:dyDescent="0.25">
      <c r="A108" s="8">
        <v>42550.298078703701</v>
      </c>
      <c r="B108" s="33" t="s">
        <v>194</v>
      </c>
      <c r="C108" s="33" t="s">
        <v>261</v>
      </c>
      <c r="D108" s="33">
        <v>2030000</v>
      </c>
      <c r="E108" s="33" t="s">
        <v>214</v>
      </c>
      <c r="F108" s="33" t="str">
        <f t="shared" si="2"/>
        <v>rtdc.l.rtdc.4039:itc</v>
      </c>
      <c r="G108" s="8">
        <f t="shared" si="3"/>
        <v>42550.298078703701</v>
      </c>
    </row>
    <row r="109" spans="1:7" x14ac:dyDescent="0.25">
      <c r="A109" s="8">
        <v>42550.70107638889</v>
      </c>
      <c r="B109" s="33" t="s">
        <v>157</v>
      </c>
      <c r="C109" s="33" t="s">
        <v>352</v>
      </c>
      <c r="D109" s="33">
        <v>2000000</v>
      </c>
      <c r="E109" s="33" t="s">
        <v>211</v>
      </c>
      <c r="F109" s="33" t="str">
        <f t="shared" si="2"/>
        <v>rtdc.l.rtdc.4023:itc</v>
      </c>
      <c r="G109" s="8">
        <f t="shared" si="3"/>
        <v>42550.70107638889</v>
      </c>
    </row>
    <row r="110" spans="1:7" x14ac:dyDescent="0.25">
      <c r="A110" s="8">
        <v>42549.95107638889</v>
      </c>
      <c r="B110" s="33" t="s">
        <v>80</v>
      </c>
      <c r="C110" s="33" t="s">
        <v>593</v>
      </c>
      <c r="D110" s="33">
        <v>1180000</v>
      </c>
      <c r="E110" s="33" t="s">
        <v>561</v>
      </c>
      <c r="F110" s="33" t="str">
        <f t="shared" si="2"/>
        <v>rtdc.l.rtdc.4020:itc</v>
      </c>
      <c r="G110" s="8">
        <f t="shared" si="3"/>
        <v>42549.95107638889</v>
      </c>
    </row>
    <row r="111" spans="1:7" x14ac:dyDescent="0.25">
      <c r="A111" s="8">
        <v>42550.683287037034</v>
      </c>
      <c r="B111" s="33" t="s">
        <v>159</v>
      </c>
      <c r="C111" s="33" t="s">
        <v>347</v>
      </c>
      <c r="D111" s="33">
        <v>1090000</v>
      </c>
      <c r="E111" s="33" t="s">
        <v>218</v>
      </c>
      <c r="F111" s="33" t="str">
        <f t="shared" si="2"/>
        <v>rtdc.l.rtdc.4012:itc</v>
      </c>
      <c r="G111" s="8">
        <f t="shared" si="3"/>
        <v>42550.683287037034</v>
      </c>
    </row>
    <row r="112" spans="1:7" x14ac:dyDescent="0.25">
      <c r="A112" s="8">
        <v>42550.309236111112</v>
      </c>
      <c r="B112" s="33" t="s">
        <v>88</v>
      </c>
      <c r="C112" s="33" t="s">
        <v>275</v>
      </c>
      <c r="D112" s="33">
        <v>1110000</v>
      </c>
      <c r="E112" s="33" t="s">
        <v>567</v>
      </c>
      <c r="F112" s="33" t="str">
        <f t="shared" si="2"/>
        <v>rtdc.l.rtdc.4031:itc</v>
      </c>
      <c r="G112" s="8">
        <f t="shared" si="3"/>
        <v>42550.309236111112</v>
      </c>
    </row>
    <row r="113" spans="1:7" x14ac:dyDescent="0.25">
      <c r="A113" s="8">
        <v>42550.649872685186</v>
      </c>
      <c r="B113" s="33" t="s">
        <v>83</v>
      </c>
      <c r="C113" s="33" t="s">
        <v>470</v>
      </c>
      <c r="D113" s="33">
        <v>1540000</v>
      </c>
      <c r="E113" s="33" t="s">
        <v>177</v>
      </c>
      <c r="F113" s="33" t="str">
        <f t="shared" si="2"/>
        <v>rtdc.l.rtdc.4017:itc</v>
      </c>
      <c r="G113" s="8">
        <f t="shared" si="3"/>
        <v>42550.649872685186</v>
      </c>
    </row>
    <row r="114" spans="1:7" x14ac:dyDescent="0.25">
      <c r="A114" s="8">
        <v>42550.384027777778</v>
      </c>
      <c r="B114" s="33" t="s">
        <v>82</v>
      </c>
      <c r="C114" s="33" t="s">
        <v>529</v>
      </c>
      <c r="D114" s="33">
        <v>1520000</v>
      </c>
      <c r="E114" s="33" t="s">
        <v>549</v>
      </c>
      <c r="F114" s="33" t="str">
        <f t="shared" si="2"/>
        <v>rtdc.l.rtdc.4018:itc</v>
      </c>
      <c r="G114" s="8">
        <f t="shared" si="3"/>
        <v>42550.384027777778</v>
      </c>
    </row>
    <row r="115" spans="1:7" x14ac:dyDescent="0.25">
      <c r="A115" s="8">
        <v>42550.592627314814</v>
      </c>
      <c r="B115" s="33" t="s">
        <v>82</v>
      </c>
      <c r="C115" s="33" t="s">
        <v>462</v>
      </c>
      <c r="D115" s="33">
        <v>1540000</v>
      </c>
      <c r="E115" s="33" t="s">
        <v>177</v>
      </c>
      <c r="F115" s="33" t="str">
        <f t="shared" si="2"/>
        <v>rtdc.l.rtdc.4018:itc</v>
      </c>
      <c r="G115" s="8">
        <f t="shared" si="3"/>
        <v>42550.592627314814</v>
      </c>
    </row>
    <row r="116" spans="1:7" x14ac:dyDescent="0.25">
      <c r="A116" s="8">
        <v>42550.384027777778</v>
      </c>
      <c r="B116" s="33" t="s">
        <v>88</v>
      </c>
      <c r="C116" s="33" t="s">
        <v>594</v>
      </c>
      <c r="D116" s="33">
        <v>1110000</v>
      </c>
      <c r="E116" s="33" t="s">
        <v>567</v>
      </c>
      <c r="F116" s="33" t="str">
        <f t="shared" si="2"/>
        <v>rtdc.l.rtdc.4031:itc</v>
      </c>
      <c r="G116" s="8">
        <f t="shared" si="3"/>
        <v>42550.384027777778</v>
      </c>
    </row>
    <row r="117" spans="1:7" x14ac:dyDescent="0.25">
      <c r="A117" s="8">
        <v>42550.48474537037</v>
      </c>
      <c r="B117" s="33" t="s">
        <v>157</v>
      </c>
      <c r="C117" s="33" t="s">
        <v>287</v>
      </c>
      <c r="D117" s="33">
        <v>2000000</v>
      </c>
      <c r="E117" s="33" t="s">
        <v>211</v>
      </c>
      <c r="F117" s="33" t="str">
        <f t="shared" si="2"/>
        <v>rtdc.l.rtdc.4023:itc</v>
      </c>
      <c r="G117" s="8">
        <f t="shared" si="3"/>
        <v>42550.48474537037</v>
      </c>
    </row>
    <row r="118" spans="1:7" x14ac:dyDescent="0.25">
      <c r="A118" s="8">
        <v>42550.704930555556</v>
      </c>
      <c r="B118" s="33" t="s">
        <v>172</v>
      </c>
      <c r="C118" s="33" t="s">
        <v>364</v>
      </c>
      <c r="D118" s="33">
        <v>1750000</v>
      </c>
      <c r="E118" s="33" t="s">
        <v>188</v>
      </c>
      <c r="F118" s="33" t="str">
        <f t="shared" si="2"/>
        <v>rtdc.l.rtdc.4014:itc</v>
      </c>
      <c r="G118" s="8">
        <f t="shared" si="3"/>
        <v>42550.704930555556</v>
      </c>
    </row>
    <row r="119" spans="1:7" x14ac:dyDescent="0.25">
      <c r="A119" s="8">
        <v>42550.412256944444</v>
      </c>
      <c r="B119" s="33" t="s">
        <v>219</v>
      </c>
      <c r="C119" s="33" t="s">
        <v>533</v>
      </c>
      <c r="D119" s="33">
        <v>1260000</v>
      </c>
      <c r="E119" s="33" t="s">
        <v>176</v>
      </c>
      <c r="F119" s="33" t="str">
        <f t="shared" si="2"/>
        <v>rtdc.l.rtdc.4044:itc</v>
      </c>
      <c r="G119" s="8">
        <f t="shared" si="3"/>
        <v>42550.412256944444</v>
      </c>
    </row>
    <row r="120" spans="1:7" x14ac:dyDescent="0.25">
      <c r="A120" s="8">
        <v>42550.734074074076</v>
      </c>
      <c r="B120" s="33" t="s">
        <v>83</v>
      </c>
      <c r="C120" s="33" t="s">
        <v>490</v>
      </c>
      <c r="D120" s="33">
        <v>1540000</v>
      </c>
      <c r="E120" s="33" t="s">
        <v>177</v>
      </c>
      <c r="F120" s="33" t="str">
        <f t="shared" si="2"/>
        <v>rtdc.l.rtdc.4017:itc</v>
      </c>
      <c r="G120" s="8">
        <f t="shared" si="3"/>
        <v>42550.734074074076</v>
      </c>
    </row>
    <row r="121" spans="1:7" x14ac:dyDescent="0.25">
      <c r="A121" s="8">
        <v>42550.339618055557</v>
      </c>
      <c r="B121" s="33" t="s">
        <v>191</v>
      </c>
      <c r="C121" s="33" t="s">
        <v>442</v>
      </c>
      <c r="D121" s="33">
        <v>1480000</v>
      </c>
      <c r="E121" s="33" t="s">
        <v>160</v>
      </c>
      <c r="F121" s="33" t="str">
        <f t="shared" si="2"/>
        <v>rtdc.l.rtdc.4030:itc</v>
      </c>
      <c r="G121" s="8">
        <f t="shared" si="3"/>
        <v>42550.339618055557</v>
      </c>
    </row>
    <row r="122" spans="1:7" x14ac:dyDescent="0.25">
      <c r="A122" s="8">
        <v>42550.93178240741</v>
      </c>
      <c r="B122" s="47" t="s">
        <v>540</v>
      </c>
      <c r="C122" s="33" t="s">
        <v>396</v>
      </c>
      <c r="D122" s="33">
        <v>2040000</v>
      </c>
      <c r="E122" s="33" t="s">
        <v>213</v>
      </c>
      <c r="F122" s="33" t="str">
        <f t="shared" si="2"/>
        <v>rtdc.l.rtdc.4043:itc</v>
      </c>
      <c r="G122" s="8">
        <f t="shared" si="3"/>
        <v>42550.93178240741</v>
      </c>
    </row>
    <row r="123" spans="1:7" x14ac:dyDescent="0.25">
      <c r="A123" s="8">
        <v>42550.298750000002</v>
      </c>
      <c r="B123" s="33" t="s">
        <v>191</v>
      </c>
      <c r="C123" s="33" t="s">
        <v>431</v>
      </c>
      <c r="D123" s="33">
        <v>1480000</v>
      </c>
      <c r="E123" s="33" t="s">
        <v>160</v>
      </c>
      <c r="F123" s="33" t="str">
        <f t="shared" si="2"/>
        <v>rtdc.l.rtdc.4030:itc</v>
      </c>
      <c r="G123" s="8">
        <f t="shared" si="3"/>
        <v>42550.298750000002</v>
      </c>
    </row>
    <row r="124" spans="1:7" x14ac:dyDescent="0.25">
      <c r="A124" s="8">
        <v>42550.973344907405</v>
      </c>
      <c r="B124" s="33" t="s">
        <v>219</v>
      </c>
      <c r="C124" s="33" t="s">
        <v>407</v>
      </c>
      <c r="D124" s="33">
        <v>2040000</v>
      </c>
      <c r="E124" s="33" t="s">
        <v>213</v>
      </c>
      <c r="F124" s="33" t="str">
        <f t="shared" si="2"/>
        <v>rtdc.l.rtdc.4044:itc</v>
      </c>
      <c r="G124" s="8">
        <f t="shared" si="3"/>
        <v>42550.973344907405</v>
      </c>
    </row>
    <row r="125" spans="1:7" x14ac:dyDescent="0.25">
      <c r="A125" s="8">
        <v>42550.233124999999</v>
      </c>
      <c r="B125" s="33" t="s">
        <v>540</v>
      </c>
      <c r="C125" s="33" t="s">
        <v>243</v>
      </c>
      <c r="D125" s="33">
        <v>1260000</v>
      </c>
      <c r="E125" s="33" t="s">
        <v>176</v>
      </c>
      <c r="F125" s="33" t="str">
        <f t="shared" si="2"/>
        <v>rtdc.l.rtdc.4043:itc</v>
      </c>
      <c r="G125" s="8">
        <f t="shared" si="3"/>
        <v>42550.233124999999</v>
      </c>
    </row>
    <row r="126" spans="1:7" x14ac:dyDescent="0.25">
      <c r="A126" s="8">
        <v>42551.227361111109</v>
      </c>
      <c r="B126" s="33" t="s">
        <v>88</v>
      </c>
      <c r="C126" s="33" t="s">
        <v>595</v>
      </c>
      <c r="D126" s="33">
        <v>1310000</v>
      </c>
      <c r="E126" s="33" t="s">
        <v>140</v>
      </c>
      <c r="F126" s="33" t="str">
        <f t="shared" si="2"/>
        <v>rtdc.l.rtdc.4031:itc</v>
      </c>
      <c r="G126" s="8">
        <f t="shared" si="3"/>
        <v>42551.227361111109</v>
      </c>
    </row>
    <row r="127" spans="1:7" x14ac:dyDescent="0.25">
      <c r="A127" s="8">
        <v>42550.194849537038</v>
      </c>
      <c r="B127" s="33" t="s">
        <v>219</v>
      </c>
      <c r="C127" s="33" t="s">
        <v>242</v>
      </c>
      <c r="D127" s="33">
        <v>1260000</v>
      </c>
      <c r="E127" s="33" t="s">
        <v>176</v>
      </c>
      <c r="F127" s="33" t="str">
        <f t="shared" si="2"/>
        <v>rtdc.l.rtdc.4044:itc</v>
      </c>
      <c r="G127" s="8">
        <f t="shared" si="3"/>
        <v>42550.194849537038</v>
      </c>
    </row>
    <row r="128" spans="1:7" x14ac:dyDescent="0.25">
      <c r="A128" s="8">
        <v>42550.817476851851</v>
      </c>
      <c r="B128" s="33" t="s">
        <v>83</v>
      </c>
      <c r="C128" s="33" t="s">
        <v>505</v>
      </c>
      <c r="D128" s="33">
        <v>1540000</v>
      </c>
      <c r="E128" s="33" t="s">
        <v>177</v>
      </c>
      <c r="F128" s="33" t="str">
        <f t="shared" si="2"/>
        <v>rtdc.l.rtdc.4017:itc</v>
      </c>
      <c r="G128" s="8">
        <f t="shared" si="3"/>
        <v>42550.817476851851</v>
      </c>
    </row>
    <row r="129" spans="1:7" x14ac:dyDescent="0.25">
      <c r="A129" s="8">
        <v>42549.890509259261</v>
      </c>
      <c r="B129" s="33" t="s">
        <v>175</v>
      </c>
      <c r="C129" s="33" t="s">
        <v>596</v>
      </c>
      <c r="D129" s="33">
        <v>1280000</v>
      </c>
      <c r="E129" s="33" t="s">
        <v>187</v>
      </c>
      <c r="F129" s="33" t="str">
        <f t="shared" si="2"/>
        <v>rtdc.l.rtdc.4028:itc</v>
      </c>
      <c r="G129" s="8">
        <f t="shared" si="3"/>
        <v>42549.890509259261</v>
      </c>
    </row>
    <row r="130" spans="1:7" x14ac:dyDescent="0.25">
      <c r="A130" s="8">
        <v>42550.827210648145</v>
      </c>
      <c r="B130" s="33" t="s">
        <v>159</v>
      </c>
      <c r="C130" s="33" t="s">
        <v>385</v>
      </c>
      <c r="D130" s="33">
        <v>1280000</v>
      </c>
      <c r="E130" s="33" t="s">
        <v>187</v>
      </c>
      <c r="F130" s="33" t="str">
        <f t="shared" ref="F130:F193" si="4">B130</f>
        <v>rtdc.l.rtdc.4012:itc</v>
      </c>
      <c r="G130" s="8">
        <f t="shared" ref="G130:G193" si="5">A130</f>
        <v>42550.827210648145</v>
      </c>
    </row>
    <row r="131" spans="1:7" x14ac:dyDescent="0.25">
      <c r="A131" s="8">
        <v>42549.881539351853</v>
      </c>
      <c r="B131" s="33" t="s">
        <v>190</v>
      </c>
      <c r="C131" s="33" t="s">
        <v>597</v>
      </c>
      <c r="D131" s="33">
        <v>1790000</v>
      </c>
      <c r="E131" s="33" t="s">
        <v>556</v>
      </c>
      <c r="F131" s="33" t="str">
        <f t="shared" si="4"/>
        <v>rtdc.l.rtdc.4029:itc</v>
      </c>
      <c r="G131" s="8">
        <f t="shared" si="5"/>
        <v>42549.881539351853</v>
      </c>
    </row>
    <row r="132" spans="1:7" x14ac:dyDescent="0.25">
      <c r="A132" s="8">
        <v>42551.237650462965</v>
      </c>
      <c r="B132" s="33" t="s">
        <v>98</v>
      </c>
      <c r="C132" s="33" t="s">
        <v>598</v>
      </c>
      <c r="D132" s="33">
        <v>1460000</v>
      </c>
      <c r="E132" s="33" t="s">
        <v>139</v>
      </c>
      <c r="F132" s="33" t="str">
        <f t="shared" si="4"/>
        <v>rtdc.l.rtdc.4042:itc</v>
      </c>
      <c r="G132" s="8">
        <f t="shared" si="5"/>
        <v>42551.237650462965</v>
      </c>
    </row>
    <row r="133" spans="1:7" x14ac:dyDescent="0.25">
      <c r="A133" s="8">
        <v>42550.648993055554</v>
      </c>
      <c r="B133" s="33" t="s">
        <v>158</v>
      </c>
      <c r="C133" s="33" t="s">
        <v>346</v>
      </c>
      <c r="D133" s="33">
        <v>1090000</v>
      </c>
      <c r="E133" s="33" t="s">
        <v>218</v>
      </c>
      <c r="F133" s="33" t="str">
        <f t="shared" si="4"/>
        <v>rtdc.l.rtdc.4011:itc</v>
      </c>
      <c r="G133" s="8">
        <f t="shared" si="5"/>
        <v>42550.648993055554</v>
      </c>
    </row>
    <row r="134" spans="1:7" x14ac:dyDescent="0.25">
      <c r="A134" s="8">
        <v>42551.259884259256</v>
      </c>
      <c r="B134" s="33" t="s">
        <v>158</v>
      </c>
      <c r="C134" s="33" t="s">
        <v>599</v>
      </c>
      <c r="D134" s="33">
        <v>1340000</v>
      </c>
      <c r="E134" s="33" t="s">
        <v>558</v>
      </c>
      <c r="F134" s="33" t="str">
        <f t="shared" si="4"/>
        <v>rtdc.l.rtdc.4011:itc</v>
      </c>
      <c r="G134" s="8">
        <f t="shared" si="5"/>
        <v>42551.259884259256</v>
      </c>
    </row>
    <row r="135" spans="1:7" x14ac:dyDescent="0.25">
      <c r="A135" s="8">
        <v>42550.580914351849</v>
      </c>
      <c r="B135" s="33" t="s">
        <v>525</v>
      </c>
      <c r="C135" s="33" t="s">
        <v>329</v>
      </c>
      <c r="D135" s="33">
        <v>880000</v>
      </c>
      <c r="E135" s="33" t="s">
        <v>544</v>
      </c>
      <c r="F135" s="33" t="str">
        <f t="shared" si="4"/>
        <v>rtdc.l.rtdc.4016:itc</v>
      </c>
      <c r="G135" s="8">
        <f t="shared" si="5"/>
        <v>42550.580914351849</v>
      </c>
    </row>
    <row r="136" spans="1:7" x14ac:dyDescent="0.25">
      <c r="A136" s="8">
        <v>42550.732858796298</v>
      </c>
      <c r="B136" s="33" t="s">
        <v>194</v>
      </c>
      <c r="C136" s="33" t="s">
        <v>362</v>
      </c>
      <c r="D136" s="33">
        <v>940000</v>
      </c>
      <c r="E136" s="33" t="s">
        <v>542</v>
      </c>
      <c r="F136" s="33" t="str">
        <f t="shared" si="4"/>
        <v>rtdc.l.rtdc.4039:itc</v>
      </c>
      <c r="G136" s="8">
        <f t="shared" si="5"/>
        <v>42550.732858796298</v>
      </c>
    </row>
    <row r="137" spans="1:7" x14ac:dyDescent="0.25">
      <c r="A137" s="8">
        <v>42550.348807870374</v>
      </c>
      <c r="B137" s="33" t="s">
        <v>82</v>
      </c>
      <c r="C137" s="33" t="s">
        <v>600</v>
      </c>
      <c r="D137" s="33">
        <v>1520000</v>
      </c>
      <c r="E137" s="33" t="s">
        <v>549</v>
      </c>
      <c r="F137" s="33" t="str">
        <f t="shared" si="4"/>
        <v>rtdc.l.rtdc.4018:itc</v>
      </c>
      <c r="G137" s="8">
        <f t="shared" si="5"/>
        <v>42550.348807870374</v>
      </c>
    </row>
    <row r="138" spans="1:7" x14ac:dyDescent="0.25">
      <c r="A138" s="8">
        <v>42550.911932870367</v>
      </c>
      <c r="B138" s="33" t="s">
        <v>79</v>
      </c>
      <c r="C138" s="33" t="s">
        <v>394</v>
      </c>
      <c r="D138" s="33">
        <v>1280000</v>
      </c>
      <c r="E138" s="33" t="s">
        <v>187</v>
      </c>
      <c r="F138" s="33" t="str">
        <f t="shared" si="4"/>
        <v>rtdc.l.rtdc.4019:itc</v>
      </c>
      <c r="G138" s="8">
        <f t="shared" si="5"/>
        <v>42550.911932870367</v>
      </c>
    </row>
    <row r="139" spans="1:7" x14ac:dyDescent="0.25">
      <c r="A139" s="8">
        <v>42550.247418981482</v>
      </c>
      <c r="B139" s="33" t="s">
        <v>530</v>
      </c>
      <c r="C139" s="33" t="s">
        <v>251</v>
      </c>
      <c r="D139" s="33">
        <v>1830000</v>
      </c>
      <c r="E139" s="33" t="s">
        <v>541</v>
      </c>
      <c r="F139" s="33" t="str">
        <f t="shared" si="4"/>
        <v>rtdc.l.rtdc.4015:itc</v>
      </c>
      <c r="G139" s="8">
        <f t="shared" si="5"/>
        <v>42550.247418981482</v>
      </c>
    </row>
    <row r="140" spans="1:7" x14ac:dyDescent="0.25">
      <c r="A140" s="8">
        <v>42551.30028935185</v>
      </c>
      <c r="B140" s="33" t="s">
        <v>88</v>
      </c>
      <c r="C140" s="33" t="s">
        <v>601</v>
      </c>
      <c r="D140" s="33">
        <v>1310000</v>
      </c>
      <c r="E140" s="33" t="s">
        <v>140</v>
      </c>
      <c r="F140" s="33" t="str">
        <f t="shared" si="4"/>
        <v>rtdc.l.rtdc.4031:itc</v>
      </c>
      <c r="G140" s="8">
        <f t="shared" si="5"/>
        <v>42551.30028935185</v>
      </c>
    </row>
    <row r="141" spans="1:7" x14ac:dyDescent="0.25">
      <c r="A141" s="8">
        <v>42549.832152777781</v>
      </c>
      <c r="B141" s="33" t="s">
        <v>174</v>
      </c>
      <c r="C141" s="33" t="s">
        <v>602</v>
      </c>
      <c r="D141" s="33">
        <v>1820000</v>
      </c>
      <c r="E141" s="33" t="s">
        <v>127</v>
      </c>
      <c r="F141" s="33" t="str">
        <f t="shared" si="4"/>
        <v>rtdc.l.rtdc.4025:itc</v>
      </c>
      <c r="G141" s="8">
        <f t="shared" si="5"/>
        <v>42549.832152777781</v>
      </c>
    </row>
    <row r="142" spans="1:7" x14ac:dyDescent="0.25">
      <c r="A142" s="8">
        <v>42550.719375000001</v>
      </c>
      <c r="B142" s="33" t="s">
        <v>158</v>
      </c>
      <c r="C142" s="33" t="s">
        <v>367</v>
      </c>
      <c r="D142" s="33">
        <v>1280000</v>
      </c>
      <c r="E142" s="33" t="s">
        <v>187</v>
      </c>
      <c r="F142" s="33" t="str">
        <f t="shared" si="4"/>
        <v>rtdc.l.rtdc.4011:itc</v>
      </c>
      <c r="G142" s="8">
        <f t="shared" si="5"/>
        <v>42550.719375000001</v>
      </c>
    </row>
    <row r="143" spans="1:7" x14ac:dyDescent="0.25">
      <c r="A143" s="8">
        <v>42550.664942129632</v>
      </c>
      <c r="B143" s="33" t="s">
        <v>156</v>
      </c>
      <c r="C143" s="33" t="s">
        <v>351</v>
      </c>
      <c r="D143" s="33">
        <v>2000000</v>
      </c>
      <c r="E143" s="33" t="s">
        <v>211</v>
      </c>
      <c r="F143" s="33" t="str">
        <f t="shared" si="4"/>
        <v>rtdc.l.rtdc.4024:itc</v>
      </c>
      <c r="G143" s="8">
        <f t="shared" si="5"/>
        <v>42550.664942129632</v>
      </c>
    </row>
    <row r="144" spans="1:7" x14ac:dyDescent="0.25">
      <c r="A144" s="8">
        <v>42550.886041666665</v>
      </c>
      <c r="B144" s="33" t="s">
        <v>219</v>
      </c>
      <c r="C144" s="33" t="s">
        <v>395</v>
      </c>
      <c r="D144" s="33">
        <v>2040000</v>
      </c>
      <c r="E144" s="33" t="s">
        <v>213</v>
      </c>
      <c r="F144" s="33" t="str">
        <f t="shared" si="4"/>
        <v>rtdc.l.rtdc.4044:itc</v>
      </c>
      <c r="G144" s="8">
        <f t="shared" si="5"/>
        <v>42550.886041666665</v>
      </c>
    </row>
    <row r="145" spans="1:7" x14ac:dyDescent="0.25">
      <c r="A145" s="8">
        <v>42550.591469907406</v>
      </c>
      <c r="B145" s="33" t="s">
        <v>156</v>
      </c>
      <c r="C145" s="33" t="s">
        <v>330</v>
      </c>
      <c r="D145" s="33">
        <v>2000000</v>
      </c>
      <c r="E145" s="33" t="s">
        <v>211</v>
      </c>
      <c r="F145" s="33" t="str">
        <f t="shared" si="4"/>
        <v>rtdc.l.rtdc.4024:itc</v>
      </c>
      <c r="G145" s="8">
        <f t="shared" si="5"/>
        <v>42550.591469907406</v>
      </c>
    </row>
    <row r="146" spans="1:7" x14ac:dyDescent="0.25">
      <c r="A146" s="8">
        <v>42550.890428240738</v>
      </c>
      <c r="B146" s="33" t="s">
        <v>194</v>
      </c>
      <c r="C146" s="33" t="s">
        <v>392</v>
      </c>
      <c r="D146" s="33">
        <v>1990000</v>
      </c>
      <c r="E146" s="33" t="s">
        <v>217</v>
      </c>
      <c r="F146" s="33" t="str">
        <f t="shared" si="4"/>
        <v>rtdc.l.rtdc.4039:itc</v>
      </c>
      <c r="G146" s="8">
        <f t="shared" si="5"/>
        <v>42550.890428240738</v>
      </c>
    </row>
    <row r="147" spans="1:7" x14ac:dyDescent="0.25">
      <c r="A147" s="8">
        <v>42550.537488425929</v>
      </c>
      <c r="B147" s="33" t="s">
        <v>159</v>
      </c>
      <c r="C147" s="33" t="s">
        <v>301</v>
      </c>
      <c r="D147" s="33">
        <v>1090000</v>
      </c>
      <c r="E147" s="33" t="s">
        <v>218</v>
      </c>
      <c r="F147" s="33" t="str">
        <f t="shared" si="4"/>
        <v>rtdc.l.rtdc.4012:itc</v>
      </c>
      <c r="G147" s="8">
        <f t="shared" si="5"/>
        <v>42550.537488425929</v>
      </c>
    </row>
    <row r="148" spans="1:7" x14ac:dyDescent="0.25">
      <c r="A148" s="8">
        <v>42551.038402777776</v>
      </c>
      <c r="B148" s="33" t="s">
        <v>97</v>
      </c>
      <c r="C148" s="33" t="s">
        <v>411</v>
      </c>
      <c r="D148" s="33">
        <v>1820000</v>
      </c>
      <c r="E148" s="33" t="s">
        <v>127</v>
      </c>
      <c r="F148" s="33" t="str">
        <f t="shared" si="4"/>
        <v>rtdc.l.rtdc.4041:itc</v>
      </c>
      <c r="G148" s="8">
        <f t="shared" si="5"/>
        <v>42551.038402777776</v>
      </c>
    </row>
    <row r="149" spans="1:7" x14ac:dyDescent="0.25">
      <c r="A149" s="8">
        <v>42550.510879629626</v>
      </c>
      <c r="B149" s="33" t="s">
        <v>525</v>
      </c>
      <c r="C149" s="33" t="s">
        <v>302</v>
      </c>
      <c r="D149" s="33">
        <v>880000</v>
      </c>
      <c r="E149" s="33" t="s">
        <v>544</v>
      </c>
      <c r="F149" s="33" t="str">
        <f t="shared" si="4"/>
        <v>rtdc.l.rtdc.4016:itc</v>
      </c>
      <c r="G149" s="8">
        <f t="shared" si="5"/>
        <v>42550.510879629626</v>
      </c>
    </row>
    <row r="150" spans="1:7" x14ac:dyDescent="0.25">
      <c r="A150" s="8">
        <v>42551.276562500003</v>
      </c>
      <c r="B150" s="33" t="s">
        <v>173</v>
      </c>
      <c r="C150" s="33" t="s">
        <v>603</v>
      </c>
      <c r="D150" s="33">
        <v>1110000</v>
      </c>
      <c r="E150" s="33" t="s">
        <v>567</v>
      </c>
      <c r="F150" s="33" t="str">
        <f t="shared" si="4"/>
        <v>rtdc.l.rtdc.4013:itc</v>
      </c>
      <c r="G150" s="8">
        <f t="shared" si="5"/>
        <v>42551.276562500003</v>
      </c>
    </row>
    <row r="151" spans="1:7" x14ac:dyDescent="0.25">
      <c r="A151" s="8">
        <v>42550.501527777778</v>
      </c>
      <c r="B151" s="33" t="s">
        <v>158</v>
      </c>
      <c r="C151" s="33" t="s">
        <v>300</v>
      </c>
      <c r="D151" s="33">
        <v>1090000</v>
      </c>
      <c r="E151" s="33" t="s">
        <v>218</v>
      </c>
      <c r="F151" s="33" t="str">
        <f t="shared" si="4"/>
        <v>rtdc.l.rtdc.4011:itc</v>
      </c>
      <c r="G151" s="8">
        <f t="shared" si="5"/>
        <v>42550.501527777778</v>
      </c>
    </row>
    <row r="152" spans="1:7" x14ac:dyDescent="0.25">
      <c r="A152" s="8">
        <v>42550.716990740744</v>
      </c>
      <c r="B152" s="33" t="s">
        <v>86</v>
      </c>
      <c r="C152" s="33" t="s">
        <v>355</v>
      </c>
      <c r="D152" s="33">
        <v>1140000</v>
      </c>
      <c r="E152" s="33" t="s">
        <v>220</v>
      </c>
      <c r="F152" s="33" t="str">
        <f t="shared" si="4"/>
        <v>rtdc.l.rtdc.4008:itc</v>
      </c>
      <c r="G152" s="8">
        <f t="shared" si="5"/>
        <v>42550.716990740744</v>
      </c>
    </row>
    <row r="153" spans="1:7" x14ac:dyDescent="0.25">
      <c r="A153" s="8">
        <v>42550.444155092591</v>
      </c>
      <c r="B153" s="33" t="s">
        <v>156</v>
      </c>
      <c r="C153" s="33" t="s">
        <v>604</v>
      </c>
      <c r="D153" s="33">
        <v>2000000</v>
      </c>
      <c r="E153" s="33" t="s">
        <v>211</v>
      </c>
      <c r="F153" s="33" t="str">
        <f t="shared" si="4"/>
        <v>rtdc.l.rtdc.4024:itc</v>
      </c>
      <c r="G153" s="8">
        <f t="shared" si="5"/>
        <v>42550.444155092591</v>
      </c>
    </row>
    <row r="154" spans="1:7" x14ac:dyDescent="0.25">
      <c r="A154" s="8">
        <v>42550.809976851851</v>
      </c>
      <c r="B154" s="33" t="s">
        <v>219</v>
      </c>
      <c r="C154" s="33" t="s">
        <v>387</v>
      </c>
      <c r="D154" s="33">
        <v>1760000</v>
      </c>
      <c r="E154" s="33" t="s">
        <v>605</v>
      </c>
      <c r="F154" s="33" t="str">
        <f t="shared" si="4"/>
        <v>rtdc.l.rtdc.4044:itc</v>
      </c>
      <c r="G154" s="8">
        <f t="shared" si="5"/>
        <v>42550.809976851851</v>
      </c>
    </row>
    <row r="155" spans="1:7" x14ac:dyDescent="0.25">
      <c r="A155" s="8">
        <v>42550.277187500003</v>
      </c>
      <c r="B155" s="33" t="s">
        <v>70</v>
      </c>
      <c r="C155" s="33" t="s">
        <v>256</v>
      </c>
      <c r="D155" s="33">
        <v>1110000</v>
      </c>
      <c r="E155" s="33" t="s">
        <v>567</v>
      </c>
      <c r="F155" s="33" t="str">
        <f t="shared" si="4"/>
        <v>rtdc.l.rtdc.4032:itc</v>
      </c>
      <c r="G155" s="8">
        <f t="shared" si="5"/>
        <v>42550.277187500003</v>
      </c>
    </row>
    <row r="156" spans="1:7" x14ac:dyDescent="0.25">
      <c r="A156" s="8">
        <v>42550.867384259262</v>
      </c>
      <c r="B156" s="33" t="s">
        <v>80</v>
      </c>
      <c r="C156" s="33" t="s">
        <v>393</v>
      </c>
      <c r="D156" s="33">
        <v>1280000</v>
      </c>
      <c r="E156" s="33" t="s">
        <v>187</v>
      </c>
      <c r="F156" s="33" t="str">
        <f t="shared" si="4"/>
        <v>rtdc.l.rtdc.4020:itc</v>
      </c>
      <c r="G156" s="8">
        <f t="shared" si="5"/>
        <v>42550.867384259262</v>
      </c>
    </row>
    <row r="157" spans="1:7" x14ac:dyDescent="0.25">
      <c r="A157" s="8">
        <v>42550.237233796295</v>
      </c>
      <c r="B157" s="33" t="s">
        <v>190</v>
      </c>
      <c r="C157" s="33" t="s">
        <v>417</v>
      </c>
      <c r="D157" s="33">
        <v>1480000</v>
      </c>
      <c r="E157" s="33" t="s">
        <v>160</v>
      </c>
      <c r="F157" s="33" t="str">
        <f t="shared" si="4"/>
        <v>rtdc.l.rtdc.4029:itc</v>
      </c>
      <c r="G157" s="8">
        <f t="shared" si="5"/>
        <v>42550.237233796295</v>
      </c>
    </row>
    <row r="158" spans="1:7" x14ac:dyDescent="0.25">
      <c r="A158" s="8">
        <v>42550.867777777778</v>
      </c>
      <c r="B158" s="33" t="s">
        <v>97</v>
      </c>
      <c r="C158" s="33" t="s">
        <v>390</v>
      </c>
      <c r="D158" s="33">
        <v>1820000</v>
      </c>
      <c r="E158" s="33" t="s">
        <v>127</v>
      </c>
      <c r="F158" s="33" t="str">
        <f t="shared" si="4"/>
        <v>rtdc.l.rtdc.4041:itc</v>
      </c>
      <c r="G158" s="8">
        <f t="shared" si="5"/>
        <v>42550.867777777778</v>
      </c>
    </row>
    <row r="159" spans="1:7" x14ac:dyDescent="0.25">
      <c r="A159" s="8">
        <v>42550.739212962966</v>
      </c>
      <c r="B159" s="33" t="s">
        <v>190</v>
      </c>
      <c r="C159" s="33" t="s">
        <v>492</v>
      </c>
      <c r="D159" s="33">
        <v>1780000</v>
      </c>
      <c r="E159" s="33" t="s">
        <v>189</v>
      </c>
      <c r="F159" s="33" t="str">
        <f t="shared" si="4"/>
        <v>rtdc.l.rtdc.4029:itc</v>
      </c>
      <c r="G159" s="8">
        <f t="shared" si="5"/>
        <v>42550.739212962966</v>
      </c>
    </row>
    <row r="160" spans="1:7" x14ac:dyDescent="0.25">
      <c r="A160" s="8">
        <v>42550.952696759261</v>
      </c>
      <c r="B160" s="33" t="s">
        <v>80</v>
      </c>
      <c r="C160" s="33" t="s">
        <v>404</v>
      </c>
      <c r="D160" s="33">
        <v>1280000</v>
      </c>
      <c r="E160" s="33" t="s">
        <v>187</v>
      </c>
      <c r="F160" s="33" t="str">
        <f t="shared" si="4"/>
        <v>rtdc.l.rtdc.4020:itc</v>
      </c>
      <c r="G160" s="8">
        <f t="shared" si="5"/>
        <v>42550.952696759261</v>
      </c>
    </row>
    <row r="161" spans="1:7" x14ac:dyDescent="0.25">
      <c r="A161" s="8">
        <v>42550.713437500002</v>
      </c>
      <c r="B161" s="33" t="s">
        <v>191</v>
      </c>
      <c r="C161" s="33" t="s">
        <v>484</v>
      </c>
      <c r="D161" s="33">
        <v>1780000</v>
      </c>
      <c r="E161" s="33" t="s">
        <v>189</v>
      </c>
      <c r="F161" s="33" t="str">
        <f t="shared" si="4"/>
        <v>rtdc.l.rtdc.4030:itc</v>
      </c>
      <c r="G161" s="8">
        <f t="shared" si="5"/>
        <v>42550.713437500002</v>
      </c>
    </row>
    <row r="162" spans="1:7" x14ac:dyDescent="0.25">
      <c r="A162" s="8">
        <v>42551.244780092595</v>
      </c>
      <c r="B162" s="33" t="s">
        <v>79</v>
      </c>
      <c r="C162" s="33" t="s">
        <v>580</v>
      </c>
      <c r="D162" s="33">
        <v>2010000</v>
      </c>
      <c r="E162" s="33" t="s">
        <v>212</v>
      </c>
      <c r="F162" s="33" t="str">
        <f t="shared" si="4"/>
        <v>rtdc.l.rtdc.4019:itc</v>
      </c>
      <c r="G162" s="8">
        <f t="shared" si="5"/>
        <v>42551.244780092595</v>
      </c>
    </row>
    <row r="163" spans="1:7" x14ac:dyDescent="0.25">
      <c r="A163" s="8">
        <v>42550.56759259259</v>
      </c>
      <c r="B163" s="33" t="s">
        <v>83</v>
      </c>
      <c r="C163" s="33" t="s">
        <v>459</v>
      </c>
      <c r="D163" s="33">
        <v>1520000</v>
      </c>
      <c r="E163" s="33" t="s">
        <v>549</v>
      </c>
      <c r="F163" s="33" t="str">
        <f t="shared" si="4"/>
        <v>rtdc.l.rtdc.4017:itc</v>
      </c>
      <c r="G163" s="8">
        <f t="shared" si="5"/>
        <v>42550.56759259259</v>
      </c>
    </row>
    <row r="164" spans="1:7" x14ac:dyDescent="0.25">
      <c r="A164" s="8">
        <v>42551.27306712963</v>
      </c>
      <c r="B164" s="33" t="s">
        <v>98</v>
      </c>
      <c r="C164" s="33" t="s">
        <v>606</v>
      </c>
      <c r="D164" s="33">
        <v>1460000</v>
      </c>
      <c r="E164" s="33" t="s">
        <v>139</v>
      </c>
      <c r="F164" s="33" t="str">
        <f t="shared" si="4"/>
        <v>rtdc.l.rtdc.4042:itc</v>
      </c>
      <c r="G164" s="8">
        <f t="shared" si="5"/>
        <v>42551.27306712963</v>
      </c>
    </row>
    <row r="165" spans="1:7" x14ac:dyDescent="0.25">
      <c r="A165" s="8">
        <v>42550.539085648146</v>
      </c>
      <c r="B165" s="33" t="s">
        <v>98</v>
      </c>
      <c r="C165" s="33" t="s">
        <v>312</v>
      </c>
      <c r="D165" s="33">
        <v>2020000</v>
      </c>
      <c r="E165" s="33" t="s">
        <v>215</v>
      </c>
      <c r="F165" s="33" t="str">
        <f t="shared" si="4"/>
        <v>rtdc.l.rtdc.4042:itc</v>
      </c>
      <c r="G165" s="8">
        <f t="shared" si="5"/>
        <v>42550.539085648146</v>
      </c>
    </row>
    <row r="166" spans="1:7" x14ac:dyDescent="0.25">
      <c r="A166" s="8">
        <v>42551.317037037035</v>
      </c>
      <c r="B166" s="33" t="s">
        <v>159</v>
      </c>
      <c r="C166" s="33" t="s">
        <v>607</v>
      </c>
      <c r="D166" s="33">
        <v>1340000</v>
      </c>
      <c r="E166" s="33" t="s">
        <v>558</v>
      </c>
      <c r="F166" s="33" t="str">
        <f t="shared" si="4"/>
        <v>rtdc.l.rtdc.4012:itc</v>
      </c>
      <c r="G166" s="8">
        <f t="shared" si="5"/>
        <v>42551.317037037035</v>
      </c>
    </row>
    <row r="167" spans="1:7" x14ac:dyDescent="0.25">
      <c r="A167" s="8">
        <v>42550.493668981479</v>
      </c>
      <c r="B167" s="33" t="s">
        <v>70</v>
      </c>
      <c r="C167" s="33" t="s">
        <v>289</v>
      </c>
      <c r="D167" s="33">
        <v>900000</v>
      </c>
      <c r="E167" s="33" t="s">
        <v>216</v>
      </c>
      <c r="F167" s="33" t="str">
        <f t="shared" si="4"/>
        <v>rtdc.l.rtdc.4032:itc</v>
      </c>
      <c r="G167" s="8">
        <f t="shared" si="5"/>
        <v>42550.493668981479</v>
      </c>
    </row>
    <row r="168" spans="1:7" x14ac:dyDescent="0.25">
      <c r="A168" s="8">
        <v>42550.777962962966</v>
      </c>
      <c r="B168" s="33" t="s">
        <v>83</v>
      </c>
      <c r="C168" s="33" t="s">
        <v>499</v>
      </c>
      <c r="D168" s="33">
        <v>1540000</v>
      </c>
      <c r="E168" s="33" t="s">
        <v>177</v>
      </c>
      <c r="F168" s="33" t="str">
        <f t="shared" si="4"/>
        <v>rtdc.l.rtdc.4017:itc</v>
      </c>
      <c r="G168" s="8">
        <f t="shared" si="5"/>
        <v>42550.777962962966</v>
      </c>
    </row>
    <row r="169" spans="1:7" x14ac:dyDescent="0.25">
      <c r="A169" s="8">
        <v>42550.376701388886</v>
      </c>
      <c r="B169" s="33" t="s">
        <v>540</v>
      </c>
      <c r="C169" s="33" t="s">
        <v>608</v>
      </c>
      <c r="D169" s="33">
        <v>1260000</v>
      </c>
      <c r="E169" s="33" t="s">
        <v>176</v>
      </c>
      <c r="F169" s="33" t="str">
        <f t="shared" si="4"/>
        <v>rtdc.l.rtdc.4043:itc</v>
      </c>
      <c r="G169" s="8">
        <f t="shared" si="5"/>
        <v>42550.376701388886</v>
      </c>
    </row>
    <row r="170" spans="1:7" x14ac:dyDescent="0.25">
      <c r="A170" s="8">
        <v>42550.802604166667</v>
      </c>
      <c r="B170" s="33" t="s">
        <v>82</v>
      </c>
      <c r="C170" s="33" t="s">
        <v>505</v>
      </c>
      <c r="D170" s="33">
        <v>1540000</v>
      </c>
      <c r="E170" s="33" t="s">
        <v>177</v>
      </c>
      <c r="F170" s="33" t="str">
        <f t="shared" si="4"/>
        <v>rtdc.l.rtdc.4018:itc</v>
      </c>
      <c r="G170" s="8">
        <f t="shared" si="5"/>
        <v>42550.802604166667</v>
      </c>
    </row>
    <row r="171" spans="1:7" x14ac:dyDescent="0.25">
      <c r="A171" s="8">
        <v>42550.302974537037</v>
      </c>
      <c r="B171" s="33" t="s">
        <v>540</v>
      </c>
      <c r="C171" s="33" t="s">
        <v>264</v>
      </c>
      <c r="D171" s="33">
        <v>1260000</v>
      </c>
      <c r="E171" s="33" t="s">
        <v>176</v>
      </c>
      <c r="F171" s="33" t="str">
        <f t="shared" si="4"/>
        <v>rtdc.l.rtdc.4043:itc</v>
      </c>
      <c r="G171" s="8">
        <f t="shared" si="5"/>
        <v>42550.302974537037</v>
      </c>
    </row>
    <row r="172" spans="1:7" x14ac:dyDescent="0.25">
      <c r="A172" s="8">
        <v>42550.974444444444</v>
      </c>
      <c r="B172" s="33" t="s">
        <v>219</v>
      </c>
      <c r="C172" s="33" t="s">
        <v>407</v>
      </c>
      <c r="D172" s="33">
        <v>2040000</v>
      </c>
      <c r="E172" s="33" t="s">
        <v>213</v>
      </c>
      <c r="F172" s="33" t="str">
        <f t="shared" si="4"/>
        <v>rtdc.l.rtdc.4044:itc</v>
      </c>
      <c r="G172" s="8">
        <f t="shared" si="5"/>
        <v>42550.974444444444</v>
      </c>
    </row>
    <row r="173" spans="1:7" x14ac:dyDescent="0.25">
      <c r="A173" s="8">
        <v>42550.298182870371</v>
      </c>
      <c r="B173" s="33" t="s">
        <v>82</v>
      </c>
      <c r="C173" s="33" t="s">
        <v>434</v>
      </c>
      <c r="D173" s="33">
        <v>1520000</v>
      </c>
      <c r="E173" s="33" t="s">
        <v>549</v>
      </c>
      <c r="F173" s="33" t="str">
        <f t="shared" si="4"/>
        <v>rtdc.l.rtdc.4018:itc</v>
      </c>
      <c r="G173" s="8">
        <f t="shared" si="5"/>
        <v>42550.298182870371</v>
      </c>
    </row>
    <row r="174" spans="1:7" x14ac:dyDescent="0.25">
      <c r="A174" s="8">
        <v>42551.169976851852</v>
      </c>
      <c r="B174" s="33" t="s">
        <v>525</v>
      </c>
      <c r="C174" s="33" t="s">
        <v>609</v>
      </c>
      <c r="D174" s="33">
        <v>1830000</v>
      </c>
      <c r="E174" s="33" t="s">
        <v>541</v>
      </c>
      <c r="F174" s="33" t="str">
        <f t="shared" si="4"/>
        <v>rtdc.l.rtdc.4016:itc</v>
      </c>
      <c r="G174" s="8">
        <f t="shared" si="5"/>
        <v>42551.169976851852</v>
      </c>
    </row>
    <row r="175" spans="1:7" x14ac:dyDescent="0.25">
      <c r="A175" s="8">
        <v>42551.211030092592</v>
      </c>
      <c r="B175" s="33" t="s">
        <v>174</v>
      </c>
      <c r="C175" s="33" t="s">
        <v>610</v>
      </c>
      <c r="D175" s="33">
        <v>1840000</v>
      </c>
      <c r="E175" s="33" t="s">
        <v>138</v>
      </c>
      <c r="F175" s="33" t="str">
        <f t="shared" si="4"/>
        <v>rtdc.l.rtdc.4025:itc</v>
      </c>
      <c r="G175" s="8">
        <f t="shared" si="5"/>
        <v>42551.211030092592</v>
      </c>
    </row>
    <row r="176" spans="1:7" x14ac:dyDescent="0.25">
      <c r="A176" s="8">
        <v>42551.193391203706</v>
      </c>
      <c r="B176" s="33" t="s">
        <v>137</v>
      </c>
      <c r="C176" s="33" t="s">
        <v>611</v>
      </c>
      <c r="D176" s="33">
        <v>2030000</v>
      </c>
      <c r="E176" s="33" t="s">
        <v>214</v>
      </c>
      <c r="F176" s="33" t="str">
        <f t="shared" si="4"/>
        <v>rtdc.l.rtdc.4038:itc</v>
      </c>
      <c r="G176" s="8">
        <f t="shared" si="5"/>
        <v>42551.193391203706</v>
      </c>
    </row>
    <row r="177" spans="1:7" x14ac:dyDescent="0.25">
      <c r="A177" s="8">
        <v>42551.210995370369</v>
      </c>
      <c r="B177" s="33" t="s">
        <v>97</v>
      </c>
      <c r="C177" s="33" t="s">
        <v>612</v>
      </c>
      <c r="D177" s="33">
        <v>1460000</v>
      </c>
      <c r="E177" s="33" t="s">
        <v>139</v>
      </c>
      <c r="F177" s="33" t="str">
        <f t="shared" si="4"/>
        <v>rtdc.l.rtdc.4041:itc</v>
      </c>
      <c r="G177" s="8">
        <f t="shared" si="5"/>
        <v>42551.210995370369</v>
      </c>
    </row>
    <row r="178" spans="1:7" x14ac:dyDescent="0.25">
      <c r="A178" s="8">
        <v>42551.288124999999</v>
      </c>
      <c r="B178" s="33" t="s">
        <v>174</v>
      </c>
      <c r="C178" s="33" t="s">
        <v>613</v>
      </c>
      <c r="D178" s="33">
        <v>1840000</v>
      </c>
      <c r="E178" s="33" t="s">
        <v>138</v>
      </c>
      <c r="F178" s="33" t="str">
        <f t="shared" si="4"/>
        <v>rtdc.l.rtdc.4025:itc</v>
      </c>
      <c r="G178" s="8">
        <f t="shared" si="5"/>
        <v>42551.288124999999</v>
      </c>
    </row>
    <row r="179" spans="1:7" x14ac:dyDescent="0.25">
      <c r="A179" s="8">
        <v>42551.016655092593</v>
      </c>
      <c r="B179" s="33" t="s">
        <v>193</v>
      </c>
      <c r="C179" s="33" t="s">
        <v>412</v>
      </c>
      <c r="D179" s="33">
        <v>1990000</v>
      </c>
      <c r="E179" s="33" t="s">
        <v>217</v>
      </c>
      <c r="F179" s="33" t="str">
        <f t="shared" si="4"/>
        <v>rtdc.l.rtdc.4040:itc</v>
      </c>
      <c r="G179" s="8">
        <f t="shared" si="5"/>
        <v>42551.016655092593</v>
      </c>
    </row>
    <row r="180" spans="1:7" x14ac:dyDescent="0.25">
      <c r="A180" s="8">
        <v>42549.82309027778</v>
      </c>
      <c r="B180" s="33" t="s">
        <v>79</v>
      </c>
      <c r="C180" s="33" t="s">
        <v>614</v>
      </c>
      <c r="D180" s="33">
        <v>1180000</v>
      </c>
      <c r="E180" s="33" t="s">
        <v>561</v>
      </c>
      <c r="F180" s="33" t="str">
        <f t="shared" si="4"/>
        <v>rtdc.l.rtdc.4019:itc</v>
      </c>
      <c r="G180" s="8">
        <f t="shared" si="5"/>
        <v>42549.82309027778</v>
      </c>
    </row>
    <row r="181" spans="1:7" x14ac:dyDescent="0.25">
      <c r="A181" s="8">
        <v>42550.769479166665</v>
      </c>
      <c r="B181" s="33" t="s">
        <v>193</v>
      </c>
      <c r="C181" s="33" t="s">
        <v>382</v>
      </c>
      <c r="D181" s="33">
        <v>1990000</v>
      </c>
      <c r="E181" s="33" t="s">
        <v>217</v>
      </c>
      <c r="F181" s="33" t="str">
        <f t="shared" si="4"/>
        <v>rtdc.l.rtdc.4040:itc</v>
      </c>
      <c r="G181" s="8">
        <f t="shared" si="5"/>
        <v>42550.769479166665</v>
      </c>
    </row>
    <row r="182" spans="1:7" x14ac:dyDescent="0.25">
      <c r="A182" s="8">
        <v>42550.212094907409</v>
      </c>
      <c r="B182" s="33" t="s">
        <v>173</v>
      </c>
      <c r="C182" s="33" t="s">
        <v>237</v>
      </c>
      <c r="D182" s="33">
        <v>2010000</v>
      </c>
      <c r="E182" s="33" t="s">
        <v>212</v>
      </c>
      <c r="F182" s="33" t="str">
        <f t="shared" si="4"/>
        <v>rtdc.l.rtdc.4013:itc</v>
      </c>
      <c r="G182" s="8">
        <f t="shared" si="5"/>
        <v>42550.212094907409</v>
      </c>
    </row>
    <row r="183" spans="1:7" x14ac:dyDescent="0.25">
      <c r="A183" s="8">
        <v>42550.745104166665</v>
      </c>
      <c r="B183" s="33" t="s">
        <v>194</v>
      </c>
      <c r="C183" s="33" t="s">
        <v>362</v>
      </c>
      <c r="D183" s="33">
        <v>940000</v>
      </c>
      <c r="E183" s="33" t="s">
        <v>542</v>
      </c>
      <c r="F183" s="33" t="str">
        <f t="shared" si="4"/>
        <v>rtdc.l.rtdc.4039:itc</v>
      </c>
      <c r="G183" s="8">
        <f t="shared" si="5"/>
        <v>42550.745104166665</v>
      </c>
    </row>
    <row r="184" spans="1:7" x14ac:dyDescent="0.25">
      <c r="A184" s="8">
        <v>42550.231412037036</v>
      </c>
      <c r="B184" s="33" t="s">
        <v>88</v>
      </c>
      <c r="C184" s="33" t="s">
        <v>255</v>
      </c>
      <c r="D184" s="33">
        <v>1110000</v>
      </c>
      <c r="E184" s="33" t="s">
        <v>567</v>
      </c>
      <c r="F184" s="33" t="str">
        <f t="shared" si="4"/>
        <v>rtdc.l.rtdc.4031:itc</v>
      </c>
      <c r="G184" s="8">
        <f t="shared" si="5"/>
        <v>42550.231412037036</v>
      </c>
    </row>
    <row r="185" spans="1:7" x14ac:dyDescent="0.25">
      <c r="A185" s="8">
        <v>42550.727627314816</v>
      </c>
      <c r="B185" s="33" t="s">
        <v>219</v>
      </c>
      <c r="C185" s="33" t="s">
        <v>372</v>
      </c>
      <c r="D185" s="33">
        <v>880000</v>
      </c>
      <c r="E185" s="33" t="s">
        <v>544</v>
      </c>
      <c r="F185" s="33" t="str">
        <f t="shared" si="4"/>
        <v>rtdc.l.rtdc.4044:itc</v>
      </c>
      <c r="G185" s="8">
        <f t="shared" si="5"/>
        <v>42550.727627314816</v>
      </c>
    </row>
    <row r="186" spans="1:7" x14ac:dyDescent="0.25">
      <c r="A186" s="8">
        <v>42549.949953703705</v>
      </c>
      <c r="B186" s="33" t="s">
        <v>171</v>
      </c>
      <c r="C186" s="33" t="s">
        <v>591</v>
      </c>
      <c r="D186" s="33">
        <v>1820000</v>
      </c>
      <c r="E186" s="33" t="s">
        <v>127</v>
      </c>
      <c r="F186" s="33" t="str">
        <f t="shared" si="4"/>
        <v>rtdc.l.rtdc.4026:itc</v>
      </c>
      <c r="G186" s="8">
        <f t="shared" si="5"/>
        <v>42549.949953703705</v>
      </c>
    </row>
    <row r="187" spans="1:7" x14ac:dyDescent="0.25">
      <c r="A187" s="8">
        <v>42550.803379629629</v>
      </c>
      <c r="B187" s="33" t="s">
        <v>82</v>
      </c>
      <c r="C187" s="33" t="s">
        <v>507</v>
      </c>
      <c r="D187" s="33">
        <v>1540000</v>
      </c>
      <c r="E187" s="33" t="s">
        <v>177</v>
      </c>
      <c r="F187" s="33" t="str">
        <f t="shared" si="4"/>
        <v>rtdc.l.rtdc.4018:itc</v>
      </c>
      <c r="G187" s="8">
        <f t="shared" si="5"/>
        <v>42550.803379629629</v>
      </c>
    </row>
    <row r="188" spans="1:7" x14ac:dyDescent="0.25">
      <c r="A188" s="8">
        <v>42550.139293981483</v>
      </c>
      <c r="B188" s="33" t="s">
        <v>158</v>
      </c>
      <c r="C188" s="33" t="s">
        <v>225</v>
      </c>
      <c r="D188" s="33">
        <v>1830000</v>
      </c>
      <c r="E188" s="33" t="s">
        <v>541</v>
      </c>
      <c r="F188" s="33" t="str">
        <f t="shared" si="4"/>
        <v>rtdc.l.rtdc.4011:itc</v>
      </c>
      <c r="G188" s="8">
        <f t="shared" si="5"/>
        <v>42550.139293981483</v>
      </c>
    </row>
    <row r="189" spans="1:7" x14ac:dyDescent="0.25">
      <c r="A189" s="8">
        <v>42550.766944444447</v>
      </c>
      <c r="B189" s="33" t="s">
        <v>540</v>
      </c>
      <c r="C189" s="33" t="s">
        <v>374</v>
      </c>
      <c r="D189" s="33">
        <v>880000</v>
      </c>
      <c r="E189" s="33" t="s">
        <v>544</v>
      </c>
      <c r="F189" s="33" t="str">
        <f t="shared" si="4"/>
        <v>rtdc.l.rtdc.4043:itc</v>
      </c>
      <c r="G189" s="8">
        <f t="shared" si="5"/>
        <v>42550.766944444447</v>
      </c>
    </row>
    <row r="190" spans="1:7" x14ac:dyDescent="0.25">
      <c r="A190" s="8">
        <v>42550.159317129626</v>
      </c>
      <c r="B190" s="33" t="s">
        <v>156</v>
      </c>
      <c r="C190" s="33" t="s">
        <v>230</v>
      </c>
      <c r="D190" s="33">
        <v>1110000</v>
      </c>
      <c r="E190" s="33" t="s">
        <v>567</v>
      </c>
      <c r="F190" s="33" t="str">
        <f t="shared" si="4"/>
        <v>rtdc.l.rtdc.4024:itc</v>
      </c>
      <c r="G190" s="8">
        <f t="shared" si="5"/>
        <v>42550.159317129626</v>
      </c>
    </row>
    <row r="191" spans="1:7" x14ac:dyDescent="0.25">
      <c r="A191" s="8">
        <v>42550.660868055558</v>
      </c>
      <c r="B191" s="33" t="s">
        <v>219</v>
      </c>
      <c r="C191" s="33" t="s">
        <v>349</v>
      </c>
      <c r="D191" s="33">
        <v>880000</v>
      </c>
      <c r="E191" s="33" t="s">
        <v>544</v>
      </c>
      <c r="F191" s="33" t="str">
        <f t="shared" si="4"/>
        <v>rtdc.l.rtdc.4044:itc</v>
      </c>
      <c r="G191" s="8">
        <f t="shared" si="5"/>
        <v>42550.660868055558</v>
      </c>
    </row>
    <row r="192" spans="1:7" x14ac:dyDescent="0.25">
      <c r="A192" s="8">
        <v>42549.973287037035</v>
      </c>
      <c r="B192" s="33" t="s">
        <v>82</v>
      </c>
      <c r="C192" s="33" t="s">
        <v>615</v>
      </c>
      <c r="D192" s="33">
        <v>2040000</v>
      </c>
      <c r="E192" s="33" t="s">
        <v>213</v>
      </c>
      <c r="F192" s="33" t="str">
        <f t="shared" si="4"/>
        <v>rtdc.l.rtdc.4018:itc</v>
      </c>
      <c r="G192" s="8">
        <f t="shared" si="5"/>
        <v>42549.973287037035</v>
      </c>
    </row>
    <row r="193" spans="1:7" x14ac:dyDescent="0.25">
      <c r="A193" s="8">
        <v>42550.54582175926</v>
      </c>
      <c r="B193" s="33" t="s">
        <v>530</v>
      </c>
      <c r="C193" s="33" t="s">
        <v>304</v>
      </c>
      <c r="D193" s="33">
        <v>880000</v>
      </c>
      <c r="E193" s="33" t="s">
        <v>544</v>
      </c>
      <c r="F193" s="33" t="str">
        <f t="shared" si="4"/>
        <v>rtdc.l.rtdc.4015:itc</v>
      </c>
      <c r="G193" s="8">
        <f t="shared" si="5"/>
        <v>42550.54582175926</v>
      </c>
    </row>
    <row r="194" spans="1:7" x14ac:dyDescent="0.25">
      <c r="A194" s="8">
        <v>42549.972569444442</v>
      </c>
      <c r="B194" s="33" t="s">
        <v>82</v>
      </c>
      <c r="C194" s="33" t="s">
        <v>615</v>
      </c>
      <c r="D194" s="33">
        <v>2040000</v>
      </c>
      <c r="E194" s="33" t="s">
        <v>213</v>
      </c>
      <c r="F194" s="33" t="str">
        <f t="shared" ref="F194:F235" si="6">B194</f>
        <v>rtdc.l.rtdc.4018:itc</v>
      </c>
      <c r="G194" s="8">
        <f t="shared" ref="G194:G235" si="7">A194</f>
        <v>42549.972569444442</v>
      </c>
    </row>
    <row r="195" spans="1:7" x14ac:dyDescent="0.25">
      <c r="A195" s="8">
        <v>42550.540925925925</v>
      </c>
      <c r="B195" s="33" t="s">
        <v>82</v>
      </c>
      <c r="C195" s="33" t="s">
        <v>456</v>
      </c>
      <c r="D195" s="33">
        <v>1520000</v>
      </c>
      <c r="E195" s="33" t="s">
        <v>549</v>
      </c>
      <c r="F195" s="33" t="str">
        <f t="shared" si="6"/>
        <v>rtdc.l.rtdc.4018:itc</v>
      </c>
      <c r="G195" s="8">
        <f t="shared" si="7"/>
        <v>42550.540925925925</v>
      </c>
    </row>
    <row r="196" spans="1:7" x14ac:dyDescent="0.25">
      <c r="A196" s="8">
        <v>42550.324432870373</v>
      </c>
      <c r="B196" s="33" t="s">
        <v>190</v>
      </c>
      <c r="C196" s="33" t="s">
        <v>440</v>
      </c>
      <c r="D196" s="33">
        <v>1480000</v>
      </c>
      <c r="E196" s="33" t="s">
        <v>160</v>
      </c>
      <c r="F196" s="33" t="str">
        <f t="shared" si="6"/>
        <v>rtdc.l.rtdc.4029:itc</v>
      </c>
      <c r="G196" s="8">
        <f t="shared" si="7"/>
        <v>42550.324432870373</v>
      </c>
    </row>
    <row r="197" spans="1:7" x14ac:dyDescent="0.25">
      <c r="A197" s="8">
        <v>42551.268784722219</v>
      </c>
      <c r="B197" s="33" t="s">
        <v>70</v>
      </c>
      <c r="C197" s="33" t="s">
        <v>616</v>
      </c>
      <c r="D197" s="33">
        <v>1310000</v>
      </c>
      <c r="E197" s="33" t="s">
        <v>140</v>
      </c>
      <c r="F197" s="33" t="str">
        <f t="shared" si="6"/>
        <v>rtdc.l.rtdc.4032:itc</v>
      </c>
      <c r="G197" s="8">
        <f t="shared" si="7"/>
        <v>42551.268784722219</v>
      </c>
    </row>
    <row r="198" spans="1:7" x14ac:dyDescent="0.25">
      <c r="A198" s="8">
        <v>42550.358136574076</v>
      </c>
      <c r="B198" s="33" t="s">
        <v>97</v>
      </c>
      <c r="C198" s="33" t="s">
        <v>617</v>
      </c>
      <c r="D198" s="33">
        <v>2010000</v>
      </c>
      <c r="E198" s="33" t="s">
        <v>212</v>
      </c>
      <c r="F198" s="33" t="str">
        <f t="shared" si="6"/>
        <v>rtdc.l.rtdc.4041:itc</v>
      </c>
      <c r="G198" s="8">
        <f t="shared" si="7"/>
        <v>42550.358136574076</v>
      </c>
    </row>
    <row r="199" spans="1:7" x14ac:dyDescent="0.25">
      <c r="A199" s="8">
        <v>42551.253564814811</v>
      </c>
      <c r="B199" s="33" t="s">
        <v>171</v>
      </c>
      <c r="C199" s="33" t="s">
        <v>618</v>
      </c>
      <c r="D199" s="33">
        <v>1840000</v>
      </c>
      <c r="E199" s="33" t="s">
        <v>138</v>
      </c>
      <c r="F199" s="33" t="str">
        <f t="shared" si="6"/>
        <v>rtdc.l.rtdc.4026:itc</v>
      </c>
      <c r="G199" s="8">
        <f t="shared" si="7"/>
        <v>42551.253564814811</v>
      </c>
    </row>
    <row r="200" spans="1:7" x14ac:dyDescent="0.25">
      <c r="A200" s="8">
        <v>42550.360162037039</v>
      </c>
      <c r="B200" s="33" t="s">
        <v>83</v>
      </c>
      <c r="C200" s="33" t="s">
        <v>528</v>
      </c>
      <c r="D200" s="33">
        <v>1520000</v>
      </c>
      <c r="E200" s="33" t="s">
        <v>549</v>
      </c>
      <c r="F200" s="33" t="str">
        <f t="shared" si="6"/>
        <v>rtdc.l.rtdc.4017:itc</v>
      </c>
      <c r="G200" s="8">
        <f t="shared" si="7"/>
        <v>42550.360162037039</v>
      </c>
    </row>
    <row r="201" spans="1:7" x14ac:dyDescent="0.25">
      <c r="A201" s="8">
        <v>42550.953090277777</v>
      </c>
      <c r="B201" s="33" t="s">
        <v>97</v>
      </c>
      <c r="C201" s="33" t="s">
        <v>399</v>
      </c>
      <c r="D201" s="33">
        <v>1820000</v>
      </c>
      <c r="E201" s="33" t="s">
        <v>127</v>
      </c>
      <c r="F201" s="33" t="str">
        <f t="shared" si="6"/>
        <v>rtdc.l.rtdc.4041:itc</v>
      </c>
      <c r="G201" s="8">
        <f t="shared" si="7"/>
        <v>42550.953090277777</v>
      </c>
    </row>
    <row r="202" spans="1:7" x14ac:dyDescent="0.25">
      <c r="A202" s="48">
        <v>42550.391168981485</v>
      </c>
      <c r="B202" s="33" t="s">
        <v>98</v>
      </c>
      <c r="C202" s="33" t="s">
        <v>619</v>
      </c>
      <c r="D202" s="33">
        <v>2010000</v>
      </c>
      <c r="E202" s="33" t="s">
        <v>212</v>
      </c>
      <c r="F202" s="33" t="str">
        <f t="shared" si="6"/>
        <v>rtdc.l.rtdc.4042:itc</v>
      </c>
      <c r="G202" s="8">
        <f t="shared" si="7"/>
        <v>42550.391168981485</v>
      </c>
    </row>
    <row r="203" spans="1:7" x14ac:dyDescent="0.25">
      <c r="A203" s="8">
        <v>42550.932557870372</v>
      </c>
      <c r="B203" s="33" t="s">
        <v>540</v>
      </c>
      <c r="C203" s="33" t="s">
        <v>396</v>
      </c>
      <c r="D203" s="33">
        <v>2040000</v>
      </c>
      <c r="E203" s="33" t="s">
        <v>213</v>
      </c>
      <c r="F203" s="33" t="str">
        <f t="shared" si="6"/>
        <v>rtdc.l.rtdc.4043:itc</v>
      </c>
      <c r="G203" s="8">
        <f t="shared" si="7"/>
        <v>42550.932557870372</v>
      </c>
    </row>
    <row r="204" spans="1:7" x14ac:dyDescent="0.25">
      <c r="A204" s="8">
        <v>42550.403715277775</v>
      </c>
      <c r="B204" s="33" t="s">
        <v>193</v>
      </c>
      <c r="C204" s="33" t="s">
        <v>534</v>
      </c>
      <c r="D204" s="33">
        <v>2030000</v>
      </c>
      <c r="E204" s="33" t="s">
        <v>214</v>
      </c>
      <c r="F204" s="33" t="str">
        <f t="shared" si="6"/>
        <v>rtdc.l.rtdc.4040:itc</v>
      </c>
      <c r="G204" s="8">
        <f t="shared" si="7"/>
        <v>42550.403715277775</v>
      </c>
    </row>
    <row r="205" spans="1:7" x14ac:dyDescent="0.25">
      <c r="A205" s="8">
        <v>42550.597650462965</v>
      </c>
      <c r="B205" s="33" t="s">
        <v>173</v>
      </c>
      <c r="C205" s="33" t="s">
        <v>323</v>
      </c>
      <c r="D205" s="33">
        <v>860000</v>
      </c>
      <c r="E205" s="33" t="s">
        <v>620</v>
      </c>
      <c r="F205" s="33" t="str">
        <f t="shared" si="6"/>
        <v>rtdc.l.rtdc.4013:itc</v>
      </c>
      <c r="G205" s="8">
        <f t="shared" si="7"/>
        <v>42550.597650462965</v>
      </c>
    </row>
    <row r="206" spans="1:7" x14ac:dyDescent="0.25">
      <c r="A206" s="8">
        <v>42550.413310185184</v>
      </c>
      <c r="B206" s="33" t="s">
        <v>157</v>
      </c>
      <c r="C206" s="33" t="s">
        <v>621</v>
      </c>
      <c r="D206" s="33">
        <v>900000</v>
      </c>
      <c r="E206" s="33" t="s">
        <v>216</v>
      </c>
      <c r="F206" s="33" t="str">
        <f t="shared" si="6"/>
        <v>rtdc.l.rtdc.4023:itc</v>
      </c>
      <c r="G206" s="8">
        <f t="shared" si="7"/>
        <v>42550.413310185184</v>
      </c>
    </row>
    <row r="207" spans="1:7" x14ac:dyDescent="0.25">
      <c r="A207" s="8">
        <v>42550.592569444445</v>
      </c>
      <c r="B207" s="33" t="s">
        <v>97</v>
      </c>
      <c r="C207" s="33" t="s">
        <v>315</v>
      </c>
      <c r="D207" s="33">
        <v>2020000</v>
      </c>
      <c r="E207" s="33" t="s">
        <v>215</v>
      </c>
      <c r="F207" s="33" t="str">
        <f t="shared" si="6"/>
        <v>rtdc.l.rtdc.4041:itc</v>
      </c>
      <c r="G207" s="8">
        <f t="shared" si="7"/>
        <v>42550.592569444445</v>
      </c>
    </row>
    <row r="208" spans="1:7" x14ac:dyDescent="0.25">
      <c r="A208" s="8">
        <v>42550.423078703701</v>
      </c>
      <c r="B208" s="33" t="s">
        <v>158</v>
      </c>
      <c r="C208" s="33" t="s">
        <v>622</v>
      </c>
      <c r="D208" s="33">
        <v>1090000</v>
      </c>
      <c r="E208" s="33" t="s">
        <v>218</v>
      </c>
      <c r="F208" s="33" t="str">
        <f t="shared" si="6"/>
        <v>rtdc.l.rtdc.4011:itc</v>
      </c>
      <c r="G208" s="8">
        <f t="shared" si="7"/>
        <v>42550.423078703701</v>
      </c>
    </row>
    <row r="209" spans="1:7" x14ac:dyDescent="0.25">
      <c r="A209" s="8">
        <v>42550.558749999997</v>
      </c>
      <c r="B209" s="33" t="s">
        <v>172</v>
      </c>
      <c r="C209" s="33" t="s">
        <v>322</v>
      </c>
      <c r="D209" s="33">
        <v>860000</v>
      </c>
      <c r="E209" s="33" t="s">
        <v>620</v>
      </c>
      <c r="F209" s="33" t="str">
        <f t="shared" si="6"/>
        <v>rtdc.l.rtdc.4014:itc</v>
      </c>
      <c r="G209" s="8">
        <f t="shared" si="7"/>
        <v>42550.558749999997</v>
      </c>
    </row>
    <row r="210" spans="1:7" x14ac:dyDescent="0.25">
      <c r="A210" s="8">
        <v>42550.45722222222</v>
      </c>
      <c r="B210" s="33" t="s">
        <v>82</v>
      </c>
      <c r="C210" s="33" t="s">
        <v>445</v>
      </c>
      <c r="D210" s="33">
        <v>1520000</v>
      </c>
      <c r="E210" s="33" t="s">
        <v>549</v>
      </c>
      <c r="F210" s="33" t="str">
        <f t="shared" si="6"/>
        <v>rtdc.l.rtdc.4018:itc</v>
      </c>
      <c r="G210" s="8">
        <f t="shared" si="7"/>
        <v>42550.45722222222</v>
      </c>
    </row>
    <row r="211" spans="1:7" x14ac:dyDescent="0.25">
      <c r="A211" s="8">
        <v>42551.256921296299</v>
      </c>
      <c r="B211" s="33" t="s">
        <v>190</v>
      </c>
      <c r="C211" s="33" t="s">
        <v>623</v>
      </c>
      <c r="D211" s="33">
        <v>2000000</v>
      </c>
      <c r="E211" s="33" t="s">
        <v>211</v>
      </c>
      <c r="F211" s="33" t="str">
        <f t="shared" si="6"/>
        <v>rtdc.l.rtdc.4029:itc</v>
      </c>
      <c r="G211" s="8">
        <f t="shared" si="7"/>
        <v>42551.256921296299</v>
      </c>
    </row>
    <row r="212" spans="1:7" x14ac:dyDescent="0.25">
      <c r="A212" s="8">
        <v>42550.460717592592</v>
      </c>
      <c r="B212" s="33" t="s">
        <v>159</v>
      </c>
      <c r="C212" s="33" t="s">
        <v>284</v>
      </c>
      <c r="D212" s="33">
        <v>1090000</v>
      </c>
      <c r="E212" s="33" t="s">
        <v>218</v>
      </c>
      <c r="F212" s="33" t="str">
        <f t="shared" si="6"/>
        <v>rtdc.l.rtdc.4012:itc</v>
      </c>
      <c r="G212" s="8">
        <f t="shared" si="7"/>
        <v>42550.460717592592</v>
      </c>
    </row>
    <row r="213" spans="1:7" x14ac:dyDescent="0.25">
      <c r="A213" s="8">
        <v>42551.170856481483</v>
      </c>
      <c r="B213" s="33" t="s">
        <v>171</v>
      </c>
      <c r="C213" s="33" t="s">
        <v>624</v>
      </c>
      <c r="D213" s="33">
        <v>1840000</v>
      </c>
      <c r="E213" s="33" t="s">
        <v>138</v>
      </c>
      <c r="F213" s="33" t="str">
        <f t="shared" si="6"/>
        <v>rtdc.l.rtdc.4026:itc</v>
      </c>
      <c r="G213" s="8">
        <f t="shared" si="7"/>
        <v>42551.170856481483</v>
      </c>
    </row>
    <row r="214" spans="1:7" x14ac:dyDescent="0.25">
      <c r="A214" s="8">
        <v>42550.483865740738</v>
      </c>
      <c r="B214" s="33" t="s">
        <v>83</v>
      </c>
      <c r="C214" s="33" t="s">
        <v>448</v>
      </c>
      <c r="D214" s="33">
        <v>1520000</v>
      </c>
      <c r="E214" s="33" t="s">
        <v>549</v>
      </c>
      <c r="F214" s="33" t="str">
        <f t="shared" si="6"/>
        <v>rtdc.l.rtdc.4017:itc</v>
      </c>
      <c r="G214" s="8">
        <f t="shared" si="7"/>
        <v>42550.483865740738</v>
      </c>
    </row>
    <row r="215" spans="1:7" x14ac:dyDescent="0.25">
      <c r="A215" s="8">
        <v>42550.634456018517</v>
      </c>
      <c r="B215" s="33" t="s">
        <v>172</v>
      </c>
      <c r="C215" s="33" t="s">
        <v>344</v>
      </c>
      <c r="D215" s="33">
        <v>1750000</v>
      </c>
      <c r="E215" s="33" t="s">
        <v>188</v>
      </c>
      <c r="F215" s="33" t="str">
        <f t="shared" si="6"/>
        <v>rtdc.l.rtdc.4014:itc</v>
      </c>
      <c r="G215" s="8">
        <f t="shared" si="7"/>
        <v>42550.634456018517</v>
      </c>
    </row>
    <row r="216" spans="1:7" x14ac:dyDescent="0.25">
      <c r="A216" s="8">
        <v>42550.487002314818</v>
      </c>
      <c r="B216" s="33" t="s">
        <v>625</v>
      </c>
      <c r="C216" s="33" t="s">
        <v>302</v>
      </c>
      <c r="D216" s="33">
        <v>880000</v>
      </c>
      <c r="E216" s="33" t="s">
        <v>544</v>
      </c>
      <c r="F216" s="33" t="str">
        <f t="shared" si="6"/>
        <v>rtdc.l.rtdc.4001:itc</v>
      </c>
      <c r="G216" s="8">
        <f t="shared" si="7"/>
        <v>42550.487002314818</v>
      </c>
    </row>
    <row r="217" spans="1:7" x14ac:dyDescent="0.25">
      <c r="A217" s="8">
        <v>42551.255474537036</v>
      </c>
      <c r="B217" s="33" t="s">
        <v>97</v>
      </c>
      <c r="C217" s="33" t="s">
        <v>626</v>
      </c>
      <c r="D217" s="33">
        <v>1460000</v>
      </c>
      <c r="E217" s="33" t="s">
        <v>139</v>
      </c>
      <c r="F217" s="33" t="str">
        <f t="shared" si="6"/>
        <v>rtdc.l.rtdc.4041:itc</v>
      </c>
      <c r="G217" s="8">
        <f t="shared" si="7"/>
        <v>42551.255474537036</v>
      </c>
    </row>
    <row r="218" spans="1:7" x14ac:dyDescent="0.25">
      <c r="A218" s="8">
        <v>42550.52747685185</v>
      </c>
      <c r="B218" s="33" t="s">
        <v>540</v>
      </c>
      <c r="C218" s="33" t="s">
        <v>627</v>
      </c>
      <c r="D218" s="33">
        <v>1750000</v>
      </c>
      <c r="E218" s="33" t="s">
        <v>188</v>
      </c>
      <c r="F218" s="33" t="str">
        <f t="shared" si="6"/>
        <v>rtdc.l.rtdc.4043:itc</v>
      </c>
      <c r="G218" s="8">
        <f t="shared" si="7"/>
        <v>42550.52747685185</v>
      </c>
    </row>
    <row r="219" spans="1:7" x14ac:dyDescent="0.25">
      <c r="A219" s="8">
        <v>42551.203738425924</v>
      </c>
      <c r="B219" s="33" t="s">
        <v>80</v>
      </c>
      <c r="C219" s="33" t="s">
        <v>628</v>
      </c>
      <c r="D219" s="33">
        <v>2010000</v>
      </c>
      <c r="E219" s="33" t="s">
        <v>212</v>
      </c>
      <c r="F219" s="33" t="str">
        <f t="shared" si="6"/>
        <v>rtdc.l.rtdc.4020:itc</v>
      </c>
      <c r="G219" s="8">
        <f t="shared" si="7"/>
        <v>42551.203738425924</v>
      </c>
    </row>
    <row r="220" spans="1:7" x14ac:dyDescent="0.25">
      <c r="A220" s="8">
        <v>42550.618587962963</v>
      </c>
      <c r="B220" s="33" t="s">
        <v>98</v>
      </c>
      <c r="C220" s="33" t="s">
        <v>338</v>
      </c>
      <c r="D220" s="33">
        <v>2020000</v>
      </c>
      <c r="E220" s="33" t="s">
        <v>215</v>
      </c>
      <c r="F220" s="33" t="str">
        <f t="shared" si="6"/>
        <v>rtdc.l.rtdc.4042:itc</v>
      </c>
      <c r="G220" s="8">
        <f t="shared" si="7"/>
        <v>42550.618587962963</v>
      </c>
    </row>
    <row r="221" spans="1:7" x14ac:dyDescent="0.25">
      <c r="A221" s="8">
        <v>42551.195405092592</v>
      </c>
      <c r="B221" s="33" t="s">
        <v>173</v>
      </c>
      <c r="C221" s="33" t="s">
        <v>566</v>
      </c>
      <c r="D221" s="33">
        <v>1110000</v>
      </c>
      <c r="E221" s="33" t="s">
        <v>567</v>
      </c>
      <c r="F221" s="33" t="str">
        <f t="shared" si="6"/>
        <v>rtdc.l.rtdc.4013:itc</v>
      </c>
      <c r="G221" s="8">
        <f t="shared" si="7"/>
        <v>42551.195405092592</v>
      </c>
    </row>
    <row r="222" spans="1:7" x14ac:dyDescent="0.25">
      <c r="A222" s="8">
        <v>42550.357222222221</v>
      </c>
      <c r="B222" s="33" t="s">
        <v>190</v>
      </c>
      <c r="C222" s="33" t="s">
        <v>629</v>
      </c>
      <c r="D222" s="33">
        <v>1480000</v>
      </c>
      <c r="E222" s="33" t="s">
        <v>160</v>
      </c>
      <c r="F222" s="33" t="str">
        <f t="shared" si="6"/>
        <v>rtdc.l.rtdc.4029:itc</v>
      </c>
      <c r="G222" s="8">
        <f t="shared" si="7"/>
        <v>42550.357222222221</v>
      </c>
    </row>
    <row r="223" spans="1:7" x14ac:dyDescent="0.25">
      <c r="A223" s="8">
        <v>42550.725173611114</v>
      </c>
      <c r="B223" s="33" t="s">
        <v>97</v>
      </c>
      <c r="C223" s="33" t="s">
        <v>358</v>
      </c>
      <c r="D223" s="33">
        <v>2020000</v>
      </c>
      <c r="E223" s="33" t="s">
        <v>215</v>
      </c>
      <c r="F223" s="33" t="str">
        <f t="shared" si="6"/>
        <v>rtdc.l.rtdc.4041:itc</v>
      </c>
      <c r="G223" s="8">
        <f t="shared" si="7"/>
        <v>42550.725173611114</v>
      </c>
    </row>
    <row r="224" spans="1:7" x14ac:dyDescent="0.25">
      <c r="A224" s="8">
        <v>42550.465115740742</v>
      </c>
      <c r="B224" t="s">
        <v>530</v>
      </c>
      <c r="C224" t="s">
        <v>285</v>
      </c>
      <c r="D224">
        <v>1360000</v>
      </c>
      <c r="E224" t="s">
        <v>550</v>
      </c>
      <c r="F224" s="33" t="str">
        <f t="shared" si="6"/>
        <v>rtdc.l.rtdc.4015:itc</v>
      </c>
      <c r="G224" s="8">
        <f t="shared" si="7"/>
        <v>42550.465115740742</v>
      </c>
    </row>
    <row r="225" spans="1:7" x14ac:dyDescent="0.25">
      <c r="A225" s="8">
        <v>42550.679861111108</v>
      </c>
      <c r="B225" t="s">
        <v>87</v>
      </c>
      <c r="C225" t="s">
        <v>353</v>
      </c>
      <c r="D225">
        <v>1140000</v>
      </c>
      <c r="E225" t="s">
        <v>220</v>
      </c>
      <c r="F225" s="33" t="str">
        <f t="shared" si="6"/>
        <v>rtdc.l.rtdc.4007:itc</v>
      </c>
      <c r="G225" s="8">
        <f t="shared" si="7"/>
        <v>42550.679861111108</v>
      </c>
    </row>
    <row r="226" spans="1:7" x14ac:dyDescent="0.25">
      <c r="A226" s="8">
        <v>42550.507997685185</v>
      </c>
      <c r="B226" t="s">
        <v>97</v>
      </c>
      <c r="C226" t="s">
        <v>292</v>
      </c>
      <c r="D226">
        <v>2020000</v>
      </c>
      <c r="E226" t="s">
        <v>215</v>
      </c>
      <c r="F226" s="33" t="str">
        <f t="shared" si="6"/>
        <v>rtdc.l.rtdc.4041:itc</v>
      </c>
      <c r="G226" s="8">
        <f t="shared" si="7"/>
        <v>42550.507997685185</v>
      </c>
    </row>
    <row r="227" spans="1:7" x14ac:dyDescent="0.25">
      <c r="A227" s="8">
        <v>42551.277372685188</v>
      </c>
      <c r="B227" t="s">
        <v>173</v>
      </c>
      <c r="C227" t="s">
        <v>630</v>
      </c>
      <c r="D227">
        <v>1110000</v>
      </c>
      <c r="E227" t="s">
        <v>567</v>
      </c>
      <c r="F227" s="33" t="str">
        <f t="shared" si="6"/>
        <v>rtdc.l.rtdc.4013:itc</v>
      </c>
      <c r="G227" s="8">
        <f t="shared" si="7"/>
        <v>42551.277372685188</v>
      </c>
    </row>
    <row r="228" spans="1:7" x14ac:dyDescent="0.25">
      <c r="A228" s="8">
        <v>42550.616516203707</v>
      </c>
      <c r="B228" t="s">
        <v>159</v>
      </c>
      <c r="C228" t="s">
        <v>327</v>
      </c>
      <c r="D228">
        <v>1090000</v>
      </c>
      <c r="E228" t="s">
        <v>218</v>
      </c>
      <c r="F228" s="33" t="str">
        <f t="shared" si="6"/>
        <v>rtdc.l.rtdc.4012:itc</v>
      </c>
      <c r="G228" s="8">
        <f t="shared" si="7"/>
        <v>42550.616516203707</v>
      </c>
    </row>
    <row r="229" spans="1:7" x14ac:dyDescent="0.25">
      <c r="A229" s="8">
        <v>42550.913182870368</v>
      </c>
      <c r="B229" t="s">
        <v>79</v>
      </c>
      <c r="C229" t="s">
        <v>394</v>
      </c>
      <c r="D229">
        <v>1280000</v>
      </c>
      <c r="E229" t="s">
        <v>187</v>
      </c>
      <c r="F229" s="33" t="str">
        <f t="shared" si="6"/>
        <v>rtdc.l.rtdc.4019:itc</v>
      </c>
      <c r="G229" s="8">
        <f t="shared" si="7"/>
        <v>42550.913182870368</v>
      </c>
    </row>
    <row r="230" spans="1:7" x14ac:dyDescent="0.25">
      <c r="A230" s="8">
        <v>42550.621261574073</v>
      </c>
      <c r="B230" t="s">
        <v>193</v>
      </c>
      <c r="C230" t="s">
        <v>340</v>
      </c>
      <c r="D230">
        <v>940000</v>
      </c>
      <c r="E230" t="s">
        <v>542</v>
      </c>
      <c r="F230" s="33" t="str">
        <f t="shared" si="6"/>
        <v>rtdc.l.rtdc.4040:itc</v>
      </c>
      <c r="G230" s="8">
        <f t="shared" si="7"/>
        <v>42550.621261574073</v>
      </c>
    </row>
    <row r="231" spans="1:7" x14ac:dyDescent="0.25">
      <c r="A231" s="8">
        <v>42550.760520833333</v>
      </c>
      <c r="B231" t="s">
        <v>98</v>
      </c>
      <c r="C231" t="s">
        <v>380</v>
      </c>
      <c r="D231">
        <v>1820000</v>
      </c>
      <c r="E231" t="s">
        <v>127</v>
      </c>
      <c r="F231" s="33" t="str">
        <f t="shared" si="6"/>
        <v>rtdc.l.rtdc.4042:itc</v>
      </c>
      <c r="G231" s="8">
        <f t="shared" si="7"/>
        <v>42550.760520833333</v>
      </c>
    </row>
    <row r="232" spans="1:7" x14ac:dyDescent="0.25">
      <c r="A232" s="8">
        <v>42550.630949074075</v>
      </c>
      <c r="B232" t="s">
        <v>157</v>
      </c>
      <c r="C232" t="s">
        <v>333</v>
      </c>
      <c r="D232">
        <v>2000000</v>
      </c>
      <c r="E232" t="s">
        <v>211</v>
      </c>
      <c r="F232" s="33" t="str">
        <f t="shared" si="6"/>
        <v>rtdc.l.rtdc.4023:itc</v>
      </c>
      <c r="G232" s="8">
        <f t="shared" si="7"/>
        <v>42550.630949074075</v>
      </c>
    </row>
    <row r="233" spans="1:7" x14ac:dyDescent="0.25">
      <c r="A233" s="8">
        <v>42550.640914351854</v>
      </c>
      <c r="B233" t="s">
        <v>70</v>
      </c>
      <c r="C233" t="s">
        <v>337</v>
      </c>
      <c r="D233">
        <v>1140000</v>
      </c>
      <c r="E233" t="s">
        <v>220</v>
      </c>
      <c r="F233" s="33" t="str">
        <f t="shared" si="6"/>
        <v>rtdc.l.rtdc.4032:itc</v>
      </c>
      <c r="G233" s="8">
        <f t="shared" si="7"/>
        <v>42550.640914351854</v>
      </c>
    </row>
    <row r="234" spans="1:7" x14ac:dyDescent="0.25">
      <c r="A234" s="8">
        <v>42550.641747685186</v>
      </c>
      <c r="B234" t="s">
        <v>191</v>
      </c>
      <c r="C234" t="s">
        <v>592</v>
      </c>
      <c r="D234">
        <v>1780000</v>
      </c>
      <c r="E234" t="s">
        <v>189</v>
      </c>
      <c r="F234" s="33" t="str">
        <f t="shared" si="6"/>
        <v>rtdc.l.rtdc.4030:itc</v>
      </c>
      <c r="G234" s="8">
        <f t="shared" si="7"/>
        <v>42550.641747685186</v>
      </c>
    </row>
    <row r="235" spans="1:7" x14ac:dyDescent="0.25">
      <c r="A235" s="8">
        <v>42550.620972222219</v>
      </c>
      <c r="B235" t="s">
        <v>530</v>
      </c>
      <c r="C235" t="s">
        <v>631</v>
      </c>
      <c r="D235">
        <v>880000</v>
      </c>
      <c r="E235" t="s">
        <v>544</v>
      </c>
      <c r="F235" s="33" t="str">
        <f t="shared" si="6"/>
        <v>rtdc.l.rtdc.4015:itc</v>
      </c>
      <c r="G235" s="8">
        <f t="shared" si="7"/>
        <v>42550.620972222219</v>
      </c>
    </row>
    <row r="236" spans="1:7" x14ac:dyDescent="0.25">
      <c r="A236" s="8">
        <v>42550.650937500002</v>
      </c>
      <c r="B236" t="s">
        <v>97</v>
      </c>
      <c r="C236" t="s">
        <v>339</v>
      </c>
      <c r="D236">
        <v>2020000</v>
      </c>
      <c r="E236" t="s">
        <v>215</v>
      </c>
      <c r="F236" s="33" t="str">
        <f t="shared" ref="F236:F265" si="8">B236</f>
        <v>rtdc.l.rtdc.4041:itc</v>
      </c>
      <c r="G236" s="8">
        <f t="shared" ref="G236:G265" si="9">A236</f>
        <v>42550.650937500002</v>
      </c>
    </row>
    <row r="237" spans="1:7" x14ac:dyDescent="0.25">
      <c r="A237" s="8">
        <v>42550.57335648148</v>
      </c>
      <c r="B237" t="s">
        <v>158</v>
      </c>
      <c r="C237" t="s">
        <v>324</v>
      </c>
      <c r="D237">
        <v>1090000</v>
      </c>
      <c r="E237" t="s">
        <v>218</v>
      </c>
      <c r="F237" s="33" t="str">
        <f t="shared" si="8"/>
        <v>rtdc.l.rtdc.4011:itc</v>
      </c>
      <c r="G237" s="8">
        <f t="shared" si="9"/>
        <v>42550.57335648148</v>
      </c>
    </row>
    <row r="238" spans="1:7" x14ac:dyDescent="0.25">
      <c r="A238" s="8">
        <v>42550.653900462959</v>
      </c>
      <c r="B238" t="s">
        <v>190</v>
      </c>
      <c r="C238" t="s">
        <v>473</v>
      </c>
      <c r="D238">
        <v>1780000</v>
      </c>
      <c r="E238" t="s">
        <v>189</v>
      </c>
      <c r="F238" s="33" t="str">
        <f t="shared" si="8"/>
        <v>rtdc.l.rtdc.4029:itc</v>
      </c>
      <c r="G238" s="8">
        <f t="shared" si="9"/>
        <v>42550.653900462959</v>
      </c>
    </row>
    <row r="239" spans="1:7" x14ac:dyDescent="0.25">
      <c r="A239" s="8">
        <v>42551.295659722222</v>
      </c>
      <c r="B239" t="s">
        <v>191</v>
      </c>
      <c r="C239" t="s">
        <v>632</v>
      </c>
      <c r="D239">
        <v>2000000</v>
      </c>
      <c r="E239" t="s">
        <v>211</v>
      </c>
      <c r="F239" s="33" t="str">
        <f t="shared" si="8"/>
        <v>rtdc.l.rtdc.4030:itc</v>
      </c>
      <c r="G239" s="8">
        <f t="shared" si="9"/>
        <v>42551.295659722222</v>
      </c>
    </row>
    <row r="240" spans="1:7" x14ac:dyDescent="0.25">
      <c r="A240" s="8">
        <v>42550.671840277777</v>
      </c>
      <c r="B240" t="s">
        <v>173</v>
      </c>
      <c r="C240" t="s">
        <v>345</v>
      </c>
      <c r="D240">
        <v>1750000</v>
      </c>
      <c r="E240" t="s">
        <v>188</v>
      </c>
      <c r="F240" s="33" t="str">
        <f t="shared" si="8"/>
        <v>rtdc.l.rtdc.4013:itc</v>
      </c>
      <c r="G240" s="8">
        <f t="shared" si="9"/>
        <v>42550.671840277777</v>
      </c>
    </row>
    <row r="241" spans="1:7" x14ac:dyDescent="0.25">
      <c r="A241" s="8">
        <v>42551.258437500001</v>
      </c>
      <c r="B241" t="s">
        <v>525</v>
      </c>
      <c r="C241" t="s">
        <v>546</v>
      </c>
      <c r="D241">
        <v>1830000</v>
      </c>
      <c r="E241" t="s">
        <v>541</v>
      </c>
      <c r="F241" s="33" t="str">
        <f t="shared" si="8"/>
        <v>rtdc.l.rtdc.4016:itc</v>
      </c>
      <c r="G241" s="8">
        <f t="shared" si="9"/>
        <v>42551.258437500001</v>
      </c>
    </row>
    <row r="242" spans="1:7" x14ac:dyDescent="0.25">
      <c r="A242" s="8">
        <v>42550.692916666667</v>
      </c>
      <c r="B242" t="s">
        <v>83</v>
      </c>
      <c r="C242" t="s">
        <v>480</v>
      </c>
      <c r="D242">
        <v>1540000</v>
      </c>
      <c r="E242" t="s">
        <v>177</v>
      </c>
      <c r="F242" s="33" t="str">
        <f t="shared" si="8"/>
        <v>rtdc.l.rtdc.4017:itc</v>
      </c>
      <c r="G242" s="8">
        <f t="shared" si="9"/>
        <v>42550.692916666667</v>
      </c>
    </row>
    <row r="243" spans="1:7" x14ac:dyDescent="0.25">
      <c r="A243" s="8">
        <v>42551.234780092593</v>
      </c>
      <c r="B243" t="s">
        <v>172</v>
      </c>
      <c r="C243" t="s">
        <v>577</v>
      </c>
      <c r="D243">
        <v>1110000</v>
      </c>
      <c r="E243" t="s">
        <v>567</v>
      </c>
      <c r="F243" s="33" t="str">
        <f t="shared" si="8"/>
        <v>rtdc.l.rtdc.4014:itc</v>
      </c>
      <c r="G243" s="8">
        <f t="shared" si="9"/>
        <v>42551.234780092593</v>
      </c>
    </row>
    <row r="244" spans="1:7" x14ac:dyDescent="0.25">
      <c r="A244" s="8">
        <v>42550.694039351853</v>
      </c>
      <c r="B244" t="s">
        <v>540</v>
      </c>
      <c r="C244" t="s">
        <v>350</v>
      </c>
      <c r="D244">
        <v>880000</v>
      </c>
      <c r="E244" t="s">
        <v>544</v>
      </c>
      <c r="F244" s="33" t="str">
        <f t="shared" si="8"/>
        <v>rtdc.l.rtdc.4043:itc</v>
      </c>
      <c r="G244" s="8">
        <f t="shared" si="9"/>
        <v>42550.694039351853</v>
      </c>
    </row>
    <row r="245" spans="1:7" x14ac:dyDescent="0.25">
      <c r="A245" s="8">
        <v>42551.015497685185</v>
      </c>
      <c r="B245" t="s">
        <v>540</v>
      </c>
      <c r="C245" t="s">
        <v>408</v>
      </c>
      <c r="D245">
        <v>2040000</v>
      </c>
      <c r="E245" t="s">
        <v>213</v>
      </c>
      <c r="F245" s="33" t="str">
        <f t="shared" si="8"/>
        <v>rtdc.l.rtdc.4043:itc</v>
      </c>
      <c r="G245" s="8">
        <f t="shared" si="9"/>
        <v>42551.015497685185</v>
      </c>
    </row>
    <row r="246" spans="1:7" x14ac:dyDescent="0.25">
      <c r="A246" s="8">
        <v>42550.725104166668</v>
      </c>
      <c r="B246" t="s">
        <v>158</v>
      </c>
      <c r="C246" t="s">
        <v>367</v>
      </c>
      <c r="D246">
        <v>1280000</v>
      </c>
      <c r="E246" t="s">
        <v>187</v>
      </c>
      <c r="F246" s="33" t="str">
        <f t="shared" si="8"/>
        <v>rtdc.l.rtdc.4011:itc</v>
      </c>
      <c r="G246" s="8">
        <f t="shared" si="9"/>
        <v>42550.725104166668</v>
      </c>
    </row>
    <row r="247" spans="1:7" x14ac:dyDescent="0.25">
      <c r="A247" s="8">
        <v>42550.914155092592</v>
      </c>
      <c r="B247" t="s">
        <v>98</v>
      </c>
      <c r="C247" t="s">
        <v>398</v>
      </c>
      <c r="D247">
        <v>1820000</v>
      </c>
      <c r="E247" t="s">
        <v>127</v>
      </c>
      <c r="F247" s="33" t="str">
        <f t="shared" si="8"/>
        <v>rtdc.l.rtdc.4042:itc</v>
      </c>
      <c r="G247" s="8">
        <f t="shared" si="9"/>
        <v>42550.914155092592</v>
      </c>
    </row>
    <row r="248" spans="1:7" x14ac:dyDescent="0.25">
      <c r="A248" s="8">
        <v>42550.748206018521</v>
      </c>
      <c r="B248" t="s">
        <v>194</v>
      </c>
      <c r="C248" t="s">
        <v>362</v>
      </c>
      <c r="D248">
        <v>940000</v>
      </c>
      <c r="E248" t="s">
        <v>542</v>
      </c>
      <c r="F248" s="33" t="str">
        <f t="shared" si="8"/>
        <v>rtdc.l.rtdc.4039:itc</v>
      </c>
      <c r="G248" s="8">
        <f t="shared" si="9"/>
        <v>42550.748206018521</v>
      </c>
    </row>
    <row r="249" spans="1:7" x14ac:dyDescent="0.25">
      <c r="A249" s="8">
        <v>42550.719768518517</v>
      </c>
      <c r="B249" t="s">
        <v>82</v>
      </c>
      <c r="C249" t="s">
        <v>487</v>
      </c>
      <c r="D249">
        <v>1540000</v>
      </c>
      <c r="E249" t="s">
        <v>177</v>
      </c>
      <c r="F249" s="33" t="str">
        <f t="shared" si="8"/>
        <v>rtdc.l.rtdc.4018:itc</v>
      </c>
      <c r="G249" s="8">
        <f t="shared" si="9"/>
        <v>42550.719768518517</v>
      </c>
    </row>
    <row r="250" spans="1:7" x14ac:dyDescent="0.25">
      <c r="A250" s="8">
        <v>42550.754282407404</v>
      </c>
      <c r="B250" t="s">
        <v>191</v>
      </c>
      <c r="C250" t="s">
        <v>494</v>
      </c>
      <c r="D250">
        <v>1780000</v>
      </c>
      <c r="E250" t="s">
        <v>189</v>
      </c>
      <c r="F250" s="33" t="str">
        <f t="shared" si="8"/>
        <v>rtdc.l.rtdc.4030:itc</v>
      </c>
      <c r="G250" s="8">
        <f t="shared" si="9"/>
        <v>42550.754282407404</v>
      </c>
    </row>
    <row r="251" spans="1:7" x14ac:dyDescent="0.25">
      <c r="A251" s="8">
        <v>42550.686261574076</v>
      </c>
      <c r="B251" t="s">
        <v>98</v>
      </c>
      <c r="C251" t="s">
        <v>356</v>
      </c>
      <c r="D251">
        <v>2020000</v>
      </c>
      <c r="E251" t="s">
        <v>215</v>
      </c>
      <c r="F251" s="33" t="str">
        <f t="shared" si="8"/>
        <v>rtdc.l.rtdc.4042:itc</v>
      </c>
      <c r="G251" s="8">
        <f t="shared" si="9"/>
        <v>42550.686261574076</v>
      </c>
    </row>
    <row r="252" spans="1:7" x14ac:dyDescent="0.25">
      <c r="A252" s="8">
        <v>42550.762789351851</v>
      </c>
      <c r="B252" t="s">
        <v>82</v>
      </c>
      <c r="C252" t="s">
        <v>497</v>
      </c>
      <c r="D252">
        <v>1540000</v>
      </c>
      <c r="E252" t="s">
        <v>177</v>
      </c>
      <c r="F252" s="33" t="str">
        <f t="shared" si="8"/>
        <v>rtdc.l.rtdc.4018:itc</v>
      </c>
      <c r="G252" s="8">
        <f t="shared" si="9"/>
        <v>42550.762789351851</v>
      </c>
    </row>
    <row r="253" spans="1:7" x14ac:dyDescent="0.25">
      <c r="A253" s="8">
        <v>42550.596307870372</v>
      </c>
      <c r="B253" t="s">
        <v>173</v>
      </c>
      <c r="C253" t="s">
        <v>323</v>
      </c>
      <c r="D253">
        <v>860000</v>
      </c>
      <c r="E253" t="s">
        <v>620</v>
      </c>
      <c r="F253" s="33" t="str">
        <f t="shared" si="8"/>
        <v>rtdc.l.rtdc.4013:itc</v>
      </c>
      <c r="G253" s="8">
        <f t="shared" si="9"/>
        <v>42550.596307870372</v>
      </c>
    </row>
    <row r="254" spans="1:7" x14ac:dyDescent="0.25">
      <c r="A254" s="8">
        <v>42550.76798611111</v>
      </c>
      <c r="B254" t="s">
        <v>540</v>
      </c>
      <c r="C254" t="s">
        <v>374</v>
      </c>
      <c r="D254">
        <v>880000</v>
      </c>
      <c r="E254" t="s">
        <v>544</v>
      </c>
      <c r="F254" s="33" t="str">
        <f t="shared" si="8"/>
        <v>rtdc.l.rtdc.4043:itc</v>
      </c>
      <c r="G254" s="8">
        <f t="shared" si="9"/>
        <v>42550.76798611111</v>
      </c>
    </row>
    <row r="255" spans="1:7" x14ac:dyDescent="0.25">
      <c r="A255" s="8">
        <v>42550.525370370371</v>
      </c>
      <c r="B255" t="s">
        <v>83</v>
      </c>
      <c r="C255" t="s">
        <v>453</v>
      </c>
      <c r="D255">
        <v>1520000</v>
      </c>
      <c r="E255" t="s">
        <v>549</v>
      </c>
      <c r="F255" s="33" t="str">
        <f t="shared" si="8"/>
        <v>rtdc.l.rtdc.4017:itc</v>
      </c>
      <c r="G255" s="8">
        <f t="shared" si="9"/>
        <v>42550.525370370371</v>
      </c>
    </row>
    <row r="256" spans="1:7" x14ac:dyDescent="0.25">
      <c r="A256" s="8">
        <v>42550.787291666667</v>
      </c>
      <c r="B256" t="s">
        <v>86</v>
      </c>
      <c r="C256" t="s">
        <v>378</v>
      </c>
      <c r="D256">
        <v>1140000</v>
      </c>
      <c r="E256" t="s">
        <v>220</v>
      </c>
      <c r="F256" s="33" t="str">
        <f t="shared" si="8"/>
        <v>rtdc.l.rtdc.4008:itc</v>
      </c>
      <c r="G256" s="8">
        <f t="shared" si="9"/>
        <v>42550.787291666667</v>
      </c>
    </row>
    <row r="257" spans="1:7" x14ac:dyDescent="0.25">
      <c r="A257" s="8">
        <v>42550.476087962961</v>
      </c>
      <c r="B257" t="s">
        <v>193</v>
      </c>
      <c r="C257" t="s">
        <v>294</v>
      </c>
      <c r="D257">
        <v>940000</v>
      </c>
      <c r="E257" t="s">
        <v>542</v>
      </c>
      <c r="F257" s="33" t="str">
        <f t="shared" si="8"/>
        <v>rtdc.l.rtdc.4040:itc</v>
      </c>
      <c r="G257" s="8">
        <f t="shared" si="9"/>
        <v>42550.476087962961</v>
      </c>
    </row>
    <row r="258" spans="1:7" x14ac:dyDescent="0.25">
      <c r="A258" s="8">
        <v>42550.790567129632</v>
      </c>
      <c r="B258" t="s">
        <v>158</v>
      </c>
      <c r="C258" t="s">
        <v>384</v>
      </c>
      <c r="D258">
        <v>1280000</v>
      </c>
      <c r="E258" t="s">
        <v>187</v>
      </c>
      <c r="F258" s="33" t="str">
        <f t="shared" si="8"/>
        <v>rtdc.l.rtdc.4011:itc</v>
      </c>
      <c r="G258" s="8">
        <f t="shared" si="9"/>
        <v>42550.790567129632</v>
      </c>
    </row>
    <row r="259" spans="1:7" x14ac:dyDescent="0.25">
      <c r="A259" s="8">
        <v>42550.455543981479</v>
      </c>
      <c r="B259" t="s">
        <v>88</v>
      </c>
      <c r="C259" t="s">
        <v>633</v>
      </c>
      <c r="D259">
        <v>900000</v>
      </c>
      <c r="E259" t="s">
        <v>216</v>
      </c>
      <c r="F259" s="33" t="str">
        <f t="shared" si="8"/>
        <v>rtdc.l.rtdc.4031:itc</v>
      </c>
      <c r="G259" s="8">
        <f t="shared" si="9"/>
        <v>42550.455543981479</v>
      </c>
    </row>
    <row r="260" spans="1:7" x14ac:dyDescent="0.25">
      <c r="A260" s="8">
        <v>42550.796770833331</v>
      </c>
      <c r="B260" t="s">
        <v>97</v>
      </c>
      <c r="C260" t="s">
        <v>381</v>
      </c>
      <c r="D260">
        <v>1820000</v>
      </c>
      <c r="E260" t="s">
        <v>127</v>
      </c>
      <c r="F260" s="33" t="str">
        <f t="shared" si="8"/>
        <v>rtdc.l.rtdc.4041:itc</v>
      </c>
      <c r="G260" s="8">
        <f t="shared" si="9"/>
        <v>42550.796770833331</v>
      </c>
    </row>
    <row r="261" spans="1:7" x14ac:dyDescent="0.25">
      <c r="A261" s="8">
        <v>42550.318032407406</v>
      </c>
      <c r="B261" t="s">
        <v>98</v>
      </c>
      <c r="C261" t="s">
        <v>279</v>
      </c>
      <c r="D261">
        <v>2010000</v>
      </c>
      <c r="E261" t="s">
        <v>212</v>
      </c>
      <c r="F261" s="33" t="str">
        <f t="shared" si="8"/>
        <v>rtdc.l.rtdc.4042:itc</v>
      </c>
      <c r="G261" s="8">
        <f t="shared" si="9"/>
        <v>42550.318032407406</v>
      </c>
    </row>
    <row r="262" spans="1:7" x14ac:dyDescent="0.25">
      <c r="A262" s="8">
        <v>42550.797719907408</v>
      </c>
      <c r="B262" t="s">
        <v>191</v>
      </c>
      <c r="C262" t="s">
        <v>524</v>
      </c>
      <c r="D262">
        <v>1780000</v>
      </c>
      <c r="E262" t="s">
        <v>189</v>
      </c>
      <c r="F262" s="33" t="str">
        <f t="shared" si="8"/>
        <v>rtdc.l.rtdc.4030:itc</v>
      </c>
      <c r="G262" s="8">
        <f t="shared" si="9"/>
        <v>42550.797719907408</v>
      </c>
    </row>
    <row r="263" spans="1:7" x14ac:dyDescent="0.25">
      <c r="A263" s="8">
        <v>42550.300937499997</v>
      </c>
      <c r="B263" t="s">
        <v>156</v>
      </c>
      <c r="C263" t="s">
        <v>272</v>
      </c>
      <c r="D263">
        <v>900000</v>
      </c>
      <c r="E263" t="s">
        <v>216</v>
      </c>
      <c r="F263" s="33" t="str">
        <f t="shared" si="8"/>
        <v>rtdc.l.rtdc.4024:itc</v>
      </c>
      <c r="G263" s="8">
        <f t="shared" si="9"/>
        <v>42550.300937499997</v>
      </c>
    </row>
    <row r="264" spans="1:7" x14ac:dyDescent="0.25">
      <c r="A264" s="8">
        <v>42550.807002314818</v>
      </c>
      <c r="B264" t="s">
        <v>194</v>
      </c>
      <c r="C264" t="s">
        <v>383</v>
      </c>
      <c r="D264">
        <v>1990000</v>
      </c>
      <c r="E264" t="s">
        <v>217</v>
      </c>
      <c r="F264" s="33" t="str">
        <f t="shared" si="8"/>
        <v>rtdc.l.rtdc.4039:itc</v>
      </c>
      <c r="G264" s="8">
        <f t="shared" si="9"/>
        <v>42550.807002314818</v>
      </c>
    </row>
    <row r="265" spans="1:7" x14ac:dyDescent="0.25">
      <c r="A265" s="8">
        <v>42550.285393518519</v>
      </c>
      <c r="B265" t="s">
        <v>97</v>
      </c>
      <c r="C265" t="s">
        <v>259</v>
      </c>
      <c r="D265">
        <v>2010000</v>
      </c>
      <c r="E265" t="s">
        <v>212</v>
      </c>
      <c r="F265" s="33" t="str">
        <f t="shared" si="8"/>
        <v>rtdc.l.rtdc.4041:itc</v>
      </c>
      <c r="G265" s="8">
        <f t="shared" si="9"/>
        <v>42550.285393518519</v>
      </c>
    </row>
    <row r="266" spans="1:7" x14ac:dyDescent="0.25">
      <c r="A266" s="8">
        <v>42550.845972222225</v>
      </c>
      <c r="B266" t="s">
        <v>540</v>
      </c>
      <c r="C266" t="s">
        <v>388</v>
      </c>
      <c r="D266">
        <v>1760000</v>
      </c>
      <c r="E266" t="s">
        <v>605</v>
      </c>
      <c r="F266" s="33" t="str">
        <f t="shared" ref="F266:F309" si="10">B266</f>
        <v>rtdc.l.rtdc.4043:itc</v>
      </c>
      <c r="G266" s="8">
        <f t="shared" ref="G266:G309" si="11">A266</f>
        <v>42550.845972222225</v>
      </c>
    </row>
    <row r="267" spans="1:7" x14ac:dyDescent="0.25">
      <c r="A267" s="8">
        <v>42549.900648148148</v>
      </c>
      <c r="B267" t="s">
        <v>191</v>
      </c>
      <c r="C267" t="s">
        <v>634</v>
      </c>
      <c r="D267">
        <v>1740000</v>
      </c>
      <c r="E267" t="s">
        <v>553</v>
      </c>
      <c r="F267" s="33" t="str">
        <f t="shared" si="10"/>
        <v>rtdc.l.rtdc.4030:itc</v>
      </c>
      <c r="G267" s="8">
        <f t="shared" si="11"/>
        <v>42549.900648148148</v>
      </c>
    </row>
    <row r="268" spans="1:7" x14ac:dyDescent="0.25">
      <c r="A268" s="8">
        <v>42550.847187500003</v>
      </c>
      <c r="B268" t="s">
        <v>540</v>
      </c>
      <c r="C268" t="s">
        <v>388</v>
      </c>
      <c r="D268">
        <v>1760000</v>
      </c>
      <c r="E268" t="s">
        <v>605</v>
      </c>
      <c r="F268" s="33" t="str">
        <f t="shared" si="10"/>
        <v>rtdc.l.rtdc.4043:itc</v>
      </c>
      <c r="G268" s="8">
        <f t="shared" si="11"/>
        <v>42550.847187500003</v>
      </c>
    </row>
    <row r="269" spans="1:7" x14ac:dyDescent="0.25">
      <c r="A269" s="8">
        <v>42549.86173611111</v>
      </c>
      <c r="B269" t="s">
        <v>80</v>
      </c>
      <c r="C269" t="s">
        <v>635</v>
      </c>
      <c r="D269">
        <v>1180000</v>
      </c>
      <c r="E269" t="s">
        <v>561</v>
      </c>
      <c r="F269" s="33" t="str">
        <f t="shared" si="10"/>
        <v>rtdc.l.rtdc.4020:itc</v>
      </c>
      <c r="G269" s="8">
        <f t="shared" si="11"/>
        <v>42549.86173611111</v>
      </c>
    </row>
    <row r="270" spans="1:7" x14ac:dyDescent="0.25">
      <c r="A270" s="8">
        <v>42550.858414351853</v>
      </c>
      <c r="B270" t="s">
        <v>83</v>
      </c>
      <c r="C270" t="s">
        <v>511</v>
      </c>
      <c r="D270">
        <v>1540000</v>
      </c>
      <c r="E270" t="s">
        <v>177</v>
      </c>
      <c r="F270" s="33" t="str">
        <f t="shared" si="10"/>
        <v>rtdc.l.rtdc.4017:itc</v>
      </c>
      <c r="G270" s="8">
        <f t="shared" si="11"/>
        <v>42550.858414351853</v>
      </c>
    </row>
    <row r="271" spans="1:7" x14ac:dyDescent="0.25">
      <c r="A271" s="8">
        <v>42550.443206018521</v>
      </c>
      <c r="B271" t="s">
        <v>83</v>
      </c>
      <c r="C271" t="s">
        <v>636</v>
      </c>
      <c r="D271">
        <v>1520000</v>
      </c>
      <c r="E271" t="s">
        <v>549</v>
      </c>
      <c r="F271" s="33" t="str">
        <f t="shared" si="10"/>
        <v>rtdc.l.rtdc.4017:itc</v>
      </c>
      <c r="G271" s="8">
        <f t="shared" si="11"/>
        <v>42550.443206018521</v>
      </c>
    </row>
    <row r="272" spans="1:7" x14ac:dyDescent="0.25">
      <c r="A272" s="8">
        <v>42550.886840277781</v>
      </c>
      <c r="B272" t="s">
        <v>82</v>
      </c>
      <c r="C272" t="s">
        <v>519</v>
      </c>
      <c r="D272">
        <v>1540000</v>
      </c>
      <c r="E272" t="s">
        <v>177</v>
      </c>
      <c r="F272" s="33" t="str">
        <f t="shared" si="10"/>
        <v>rtdc.l.rtdc.4018:itc</v>
      </c>
      <c r="G272" s="8">
        <f t="shared" si="11"/>
        <v>42550.886840277781</v>
      </c>
    </row>
    <row r="273" spans="1:7" x14ac:dyDescent="0.25">
      <c r="A273" s="8">
        <v>42550.319456018522</v>
      </c>
      <c r="B273" t="s">
        <v>530</v>
      </c>
      <c r="C273" t="s">
        <v>271</v>
      </c>
      <c r="D273">
        <v>1830000</v>
      </c>
      <c r="E273" t="s">
        <v>541</v>
      </c>
      <c r="F273" s="33" t="str">
        <f t="shared" si="10"/>
        <v>rtdc.l.rtdc.4015:itc</v>
      </c>
      <c r="G273" s="8">
        <f t="shared" si="11"/>
        <v>42550.319456018522</v>
      </c>
    </row>
    <row r="274" spans="1:7" x14ac:dyDescent="0.25">
      <c r="A274" s="8">
        <v>42550.972094907411</v>
      </c>
      <c r="B274" t="s">
        <v>562</v>
      </c>
      <c r="C274" t="s">
        <v>563</v>
      </c>
      <c r="D274">
        <v>780000</v>
      </c>
      <c r="E274" t="s">
        <v>564</v>
      </c>
      <c r="F274" s="33" t="str">
        <f t="shared" si="10"/>
        <v>rtdc.l.rtdc.4005:itc</v>
      </c>
      <c r="G274" s="8">
        <f t="shared" si="11"/>
        <v>42550.972094907411</v>
      </c>
    </row>
    <row r="275" spans="1:7" x14ac:dyDescent="0.25">
      <c r="A275" s="8">
        <v>42550.308240740742</v>
      </c>
      <c r="B275" t="s">
        <v>159</v>
      </c>
      <c r="C275" t="s">
        <v>267</v>
      </c>
      <c r="D275">
        <v>1360000</v>
      </c>
      <c r="E275" t="s">
        <v>550</v>
      </c>
      <c r="F275" s="33" t="str">
        <f t="shared" si="10"/>
        <v>rtdc.l.rtdc.4012:itc</v>
      </c>
      <c r="G275" s="8">
        <f t="shared" si="11"/>
        <v>42550.308240740742</v>
      </c>
    </row>
    <row r="276" spans="1:7" x14ac:dyDescent="0.25">
      <c r="A276" s="8">
        <v>42550.973657407405</v>
      </c>
      <c r="B276" t="s">
        <v>194</v>
      </c>
      <c r="C276" t="s">
        <v>403</v>
      </c>
      <c r="D276">
        <v>1990000</v>
      </c>
      <c r="E276" t="s">
        <v>217</v>
      </c>
      <c r="F276" s="33" t="str">
        <f t="shared" si="10"/>
        <v>rtdc.l.rtdc.4039:itc</v>
      </c>
      <c r="G276" s="8">
        <f t="shared" si="11"/>
        <v>42550.973657407405</v>
      </c>
    </row>
    <row r="277" spans="1:7" x14ac:dyDescent="0.25">
      <c r="A277" s="8">
        <v>42550.217962962961</v>
      </c>
      <c r="B277" t="s">
        <v>191</v>
      </c>
      <c r="C277" t="s">
        <v>414</v>
      </c>
      <c r="D277">
        <v>1480000</v>
      </c>
      <c r="E277" t="s">
        <v>160</v>
      </c>
      <c r="F277" s="33" t="str">
        <f t="shared" si="10"/>
        <v>rtdc.l.rtdc.4030:itc</v>
      </c>
      <c r="G277" s="8">
        <f t="shared" si="11"/>
        <v>42550.217962962961</v>
      </c>
    </row>
    <row r="278" spans="1:7" x14ac:dyDescent="0.25">
      <c r="A278" s="8">
        <v>42550.998171296298</v>
      </c>
      <c r="B278" t="s">
        <v>98</v>
      </c>
      <c r="C278" t="s">
        <v>409</v>
      </c>
      <c r="D278">
        <v>1820000</v>
      </c>
      <c r="E278" t="s">
        <v>127</v>
      </c>
      <c r="F278" s="33" t="str">
        <f t="shared" si="10"/>
        <v>rtdc.l.rtdc.4042:itc</v>
      </c>
      <c r="G278" s="8">
        <f t="shared" si="11"/>
        <v>42550.998171296298</v>
      </c>
    </row>
    <row r="279" spans="1:7" x14ac:dyDescent="0.25">
      <c r="A279" s="8">
        <v>42550.056712962964</v>
      </c>
      <c r="B279" t="s">
        <v>175</v>
      </c>
      <c r="C279" t="s">
        <v>637</v>
      </c>
      <c r="D279">
        <v>1280000</v>
      </c>
      <c r="E279" t="s">
        <v>187</v>
      </c>
      <c r="F279" s="33" t="str">
        <f t="shared" si="10"/>
        <v>rtdc.l.rtdc.4028:itc</v>
      </c>
      <c r="G279" s="8">
        <f t="shared" si="11"/>
        <v>42550.056712962964</v>
      </c>
    </row>
    <row r="280" spans="1:7" x14ac:dyDescent="0.25">
      <c r="A280" s="8">
        <v>42551.056516203702</v>
      </c>
      <c r="B280" t="s">
        <v>194</v>
      </c>
      <c r="C280" t="s">
        <v>413</v>
      </c>
      <c r="D280">
        <v>1990000</v>
      </c>
      <c r="E280" t="s">
        <v>217</v>
      </c>
      <c r="F280" s="33" t="str">
        <f t="shared" si="10"/>
        <v>rtdc.l.rtdc.4039:itc</v>
      </c>
      <c r="G280" s="8">
        <f t="shared" si="11"/>
        <v>42551.056516203702</v>
      </c>
    </row>
    <row r="281" spans="1:7" x14ac:dyDescent="0.25">
      <c r="A281" s="8">
        <v>42550.477303240739</v>
      </c>
      <c r="B281" t="s">
        <v>193</v>
      </c>
      <c r="C281" t="s">
        <v>294</v>
      </c>
      <c r="D281">
        <v>940000</v>
      </c>
      <c r="E281" t="s">
        <v>542</v>
      </c>
      <c r="F281" s="33" t="str">
        <f t="shared" si="10"/>
        <v>rtdc.l.rtdc.4040:itc</v>
      </c>
      <c r="G281" s="8">
        <f t="shared" si="11"/>
        <v>42550.477303240739</v>
      </c>
    </row>
    <row r="282" spans="1:7" x14ac:dyDescent="0.25">
      <c r="A282" s="8">
        <v>42551.131898148145</v>
      </c>
      <c r="B282" t="s">
        <v>578</v>
      </c>
      <c r="C282" t="s">
        <v>579</v>
      </c>
      <c r="D282">
        <v>1840000</v>
      </c>
      <c r="E282" t="s">
        <v>138</v>
      </c>
      <c r="F282" s="33" t="str">
        <f t="shared" si="10"/>
        <v>rtdc.l.rtdc.4002:itc</v>
      </c>
      <c r="G282" s="8">
        <f t="shared" si="11"/>
        <v>42551.131898148145</v>
      </c>
    </row>
    <row r="283" spans="1:7" x14ac:dyDescent="0.25">
      <c r="A283" s="8">
        <v>42550.012743055559</v>
      </c>
      <c r="B283" t="s">
        <v>83</v>
      </c>
      <c r="C283" t="s">
        <v>638</v>
      </c>
      <c r="D283">
        <v>2040000</v>
      </c>
      <c r="E283" t="s">
        <v>213</v>
      </c>
      <c r="F283" s="33" t="str">
        <f t="shared" si="10"/>
        <v>rtdc.l.rtdc.4017:itc</v>
      </c>
      <c r="G283" s="8">
        <f t="shared" si="11"/>
        <v>42550.012743055559</v>
      </c>
    </row>
    <row r="284" spans="1:7" x14ac:dyDescent="0.25">
      <c r="A284" s="8">
        <v>42551.21570601852</v>
      </c>
      <c r="B284" t="s">
        <v>191</v>
      </c>
      <c r="C284" t="s">
        <v>639</v>
      </c>
      <c r="D284">
        <v>2000000</v>
      </c>
      <c r="E284" t="s">
        <v>211</v>
      </c>
      <c r="F284" s="33" t="str">
        <f t="shared" si="10"/>
        <v>rtdc.l.rtdc.4030:itc</v>
      </c>
      <c r="G284" s="8">
        <f t="shared" si="11"/>
        <v>42551.21570601852</v>
      </c>
    </row>
    <row r="285" spans="1:7" x14ac:dyDescent="0.25">
      <c r="A285" s="8">
        <v>42549.822395833333</v>
      </c>
      <c r="B285" t="s">
        <v>171</v>
      </c>
      <c r="C285" t="s">
        <v>640</v>
      </c>
      <c r="D285">
        <v>1820000</v>
      </c>
      <c r="E285" t="s">
        <v>127</v>
      </c>
      <c r="F285" s="33" t="str">
        <f t="shared" si="10"/>
        <v>rtdc.l.rtdc.4026:itc</v>
      </c>
      <c r="G285" s="8">
        <f t="shared" si="11"/>
        <v>42549.822395833333</v>
      </c>
    </row>
    <row r="286" spans="1:7" x14ac:dyDescent="0.25">
      <c r="A286" s="8">
        <v>42551.310439814813</v>
      </c>
      <c r="B286" t="s">
        <v>172</v>
      </c>
      <c r="C286" t="s">
        <v>641</v>
      </c>
      <c r="D286">
        <v>1110000</v>
      </c>
      <c r="E286" t="s">
        <v>567</v>
      </c>
      <c r="F286" s="33" t="str">
        <f t="shared" si="10"/>
        <v>rtdc.l.rtdc.4014:itc</v>
      </c>
      <c r="G286" s="8">
        <f t="shared" si="11"/>
        <v>42551.310439814813</v>
      </c>
    </row>
    <row r="287" spans="1:7" x14ac:dyDescent="0.25">
      <c r="A287" s="8">
        <v>42550.382291666669</v>
      </c>
      <c r="B287" t="s">
        <v>159</v>
      </c>
      <c r="C287" t="s">
        <v>532</v>
      </c>
      <c r="D287">
        <v>1360000</v>
      </c>
      <c r="E287" t="s">
        <v>550</v>
      </c>
      <c r="F287" s="33" t="str">
        <f t="shared" si="10"/>
        <v>rtdc.l.rtdc.4012:itc</v>
      </c>
      <c r="G287" s="8">
        <f t="shared" si="11"/>
        <v>42550.382291666669</v>
      </c>
    </row>
    <row r="288" spans="1:7" x14ac:dyDescent="0.25">
      <c r="A288" s="8">
        <v>42551.194016203706</v>
      </c>
      <c r="B288" t="s">
        <v>173</v>
      </c>
      <c r="C288" t="s">
        <v>566</v>
      </c>
      <c r="D288">
        <v>1110000</v>
      </c>
      <c r="E288" t="s">
        <v>567</v>
      </c>
      <c r="F288" s="33" t="str">
        <f t="shared" si="10"/>
        <v>rtdc.l.rtdc.4013:itc</v>
      </c>
      <c r="G288" s="8">
        <f t="shared" si="11"/>
        <v>42551.194016203706</v>
      </c>
    </row>
    <row r="289" spans="1:7" x14ac:dyDescent="0.25">
      <c r="A289" s="8">
        <v>42550.369328703702</v>
      </c>
      <c r="B289" t="s">
        <v>194</v>
      </c>
      <c r="C289" t="s">
        <v>642</v>
      </c>
      <c r="D289">
        <v>2030000</v>
      </c>
      <c r="E289" t="s">
        <v>214</v>
      </c>
      <c r="F289" s="33" t="str">
        <f t="shared" si="10"/>
        <v>rtdc.l.rtdc.4039:itc</v>
      </c>
      <c r="G289" s="8">
        <f t="shared" si="11"/>
        <v>42550.369328703702</v>
      </c>
    </row>
    <row r="290" spans="1:7" x14ac:dyDescent="0.25">
      <c r="A290" s="8">
        <v>42551.232997685183</v>
      </c>
      <c r="B290" t="s">
        <v>186</v>
      </c>
      <c r="C290" t="s">
        <v>643</v>
      </c>
      <c r="D290">
        <v>2030000</v>
      </c>
      <c r="E290" t="s">
        <v>214</v>
      </c>
      <c r="F290" s="33" t="str">
        <f t="shared" si="10"/>
        <v>rtdc.l.rtdc.4037:itc</v>
      </c>
      <c r="G290" s="8">
        <f t="shared" si="11"/>
        <v>42551.232997685183</v>
      </c>
    </row>
    <row r="291" spans="1:7" x14ac:dyDescent="0.25">
      <c r="A291" s="8">
        <v>42550.349965277775</v>
      </c>
      <c r="B291" t="s">
        <v>70</v>
      </c>
      <c r="C291" t="s">
        <v>527</v>
      </c>
      <c r="D291">
        <v>1110000</v>
      </c>
      <c r="E291" t="s">
        <v>567</v>
      </c>
      <c r="F291" s="33" t="str">
        <f t="shared" si="10"/>
        <v>rtdc.l.rtdc.4032:itc</v>
      </c>
      <c r="G291" s="8">
        <f t="shared" si="11"/>
        <v>42550.349965277775</v>
      </c>
    </row>
    <row r="292" spans="1:7" x14ac:dyDescent="0.25">
      <c r="A292" s="8">
        <v>42551.307175925926</v>
      </c>
      <c r="B292" t="s">
        <v>186</v>
      </c>
      <c r="C292" t="s">
        <v>644</v>
      </c>
      <c r="D292">
        <v>2030000</v>
      </c>
      <c r="E292" t="s">
        <v>214</v>
      </c>
      <c r="F292" s="33" t="str">
        <f t="shared" si="10"/>
        <v>rtdc.l.rtdc.4037:itc</v>
      </c>
      <c r="G292" s="8">
        <f t="shared" si="11"/>
        <v>42551.307175925926</v>
      </c>
    </row>
    <row r="293" spans="1:7" x14ac:dyDescent="0.25">
      <c r="A293" s="8">
        <v>42550.278900462959</v>
      </c>
      <c r="B293" t="s">
        <v>83</v>
      </c>
      <c r="C293" t="s">
        <v>425</v>
      </c>
      <c r="D293">
        <v>1520000</v>
      </c>
      <c r="E293" t="s">
        <v>549</v>
      </c>
      <c r="F293" s="33" t="str">
        <f t="shared" si="10"/>
        <v>rtdc.l.rtdc.4017:itc</v>
      </c>
      <c r="G293" s="8">
        <f t="shared" si="11"/>
        <v>42550.278900462959</v>
      </c>
    </row>
    <row r="294" spans="1:7" x14ac:dyDescent="0.25">
      <c r="A294" s="8">
        <v>42551.257870370369</v>
      </c>
      <c r="B294" t="s">
        <v>190</v>
      </c>
      <c r="C294" t="s">
        <v>623</v>
      </c>
      <c r="D294">
        <v>2000000</v>
      </c>
      <c r="E294" t="s">
        <v>211</v>
      </c>
      <c r="F294" s="33" t="str">
        <f t="shared" si="10"/>
        <v>rtdc.l.rtdc.4029:itc</v>
      </c>
      <c r="G294" s="8">
        <f t="shared" si="11"/>
        <v>42551.257870370369</v>
      </c>
    </row>
    <row r="295" spans="1:7" x14ac:dyDescent="0.25">
      <c r="A295" s="8">
        <v>42550.037604166668</v>
      </c>
      <c r="B295" t="s">
        <v>171</v>
      </c>
      <c r="C295" t="s">
        <v>543</v>
      </c>
      <c r="D295">
        <v>1820000</v>
      </c>
      <c r="E295" t="s">
        <v>127</v>
      </c>
      <c r="F295" s="33" t="str">
        <f t="shared" si="10"/>
        <v>rtdc.l.rtdc.4026:itc</v>
      </c>
      <c r="G295" s="8">
        <f t="shared" si="11"/>
        <v>42550.037604166668</v>
      </c>
    </row>
    <row r="296" spans="1:7" x14ac:dyDescent="0.25">
      <c r="A296" s="8">
        <v>42551.279895833337</v>
      </c>
      <c r="B296" t="s">
        <v>530</v>
      </c>
      <c r="C296" t="s">
        <v>645</v>
      </c>
      <c r="D296">
        <v>1830000</v>
      </c>
      <c r="E296" t="s">
        <v>541</v>
      </c>
      <c r="F296" s="33" t="str">
        <f t="shared" si="10"/>
        <v>rtdc.l.rtdc.4015:itc</v>
      </c>
      <c r="G296" s="8">
        <f t="shared" si="11"/>
        <v>42551.279895833337</v>
      </c>
    </row>
    <row r="297" spans="1:7" x14ac:dyDescent="0.25">
      <c r="A297" s="8">
        <v>42550.432245370372</v>
      </c>
      <c r="B297" t="s">
        <v>525</v>
      </c>
      <c r="C297" t="s">
        <v>537</v>
      </c>
      <c r="D297">
        <v>1360000</v>
      </c>
      <c r="E297" t="s">
        <v>550</v>
      </c>
      <c r="F297" s="33" t="str">
        <f t="shared" si="10"/>
        <v>rtdc.l.rtdc.4016:itc</v>
      </c>
      <c r="G297" s="8">
        <f t="shared" si="11"/>
        <v>42550.432245370372</v>
      </c>
    </row>
    <row r="298" spans="1:7" x14ac:dyDescent="0.25">
      <c r="A298" s="8">
        <v>42551.319918981484</v>
      </c>
      <c r="B298" t="s">
        <v>525</v>
      </c>
      <c r="C298" t="s">
        <v>646</v>
      </c>
      <c r="D298">
        <v>1830000</v>
      </c>
      <c r="E298" t="s">
        <v>541</v>
      </c>
      <c r="F298" s="33" t="str">
        <f t="shared" si="10"/>
        <v>rtdc.l.rtdc.4016:itc</v>
      </c>
      <c r="G298" s="8">
        <f t="shared" si="11"/>
        <v>42551.319918981484</v>
      </c>
    </row>
    <row r="299" spans="1:7" x14ac:dyDescent="0.25">
      <c r="A299" s="8">
        <v>42550.392256944448</v>
      </c>
      <c r="B299" t="s">
        <v>530</v>
      </c>
      <c r="C299" t="s">
        <v>531</v>
      </c>
      <c r="D299">
        <v>1830000</v>
      </c>
      <c r="E299" t="s">
        <v>541</v>
      </c>
      <c r="F299" s="33" t="str">
        <f t="shared" si="10"/>
        <v>rtdc.l.rtdc.4015:itc</v>
      </c>
      <c r="G299" s="8">
        <f t="shared" si="11"/>
        <v>42550.392256944448</v>
      </c>
    </row>
    <row r="300" spans="1:7" x14ac:dyDescent="0.25">
      <c r="A300" s="8">
        <v>42551.256041666667</v>
      </c>
      <c r="B300" t="s">
        <v>190</v>
      </c>
      <c r="C300" t="s">
        <v>623</v>
      </c>
      <c r="D300">
        <v>2000000</v>
      </c>
      <c r="E300" t="s">
        <v>211</v>
      </c>
      <c r="F300" s="33" t="str">
        <f t="shared" si="10"/>
        <v>rtdc.l.rtdc.4029:itc</v>
      </c>
      <c r="G300" s="8">
        <f t="shared" si="11"/>
        <v>42551.256041666667</v>
      </c>
    </row>
    <row r="301" spans="1:7" x14ac:dyDescent="0.25">
      <c r="A301" s="8">
        <v>42550.374432870369</v>
      </c>
      <c r="B301" t="s">
        <v>156</v>
      </c>
      <c r="C301" t="s">
        <v>647</v>
      </c>
      <c r="D301">
        <v>900000</v>
      </c>
      <c r="E301" t="s">
        <v>216</v>
      </c>
      <c r="F301" s="33" t="str">
        <f t="shared" si="10"/>
        <v>rtdc.l.rtdc.4024:itc</v>
      </c>
      <c r="G301" s="8">
        <f t="shared" si="11"/>
        <v>42550.374432870369</v>
      </c>
    </row>
    <row r="302" spans="1:7" x14ac:dyDescent="0.25">
      <c r="A302" s="8">
        <v>42551.205451388887</v>
      </c>
      <c r="B302" t="s">
        <v>175</v>
      </c>
      <c r="C302" t="s">
        <v>582</v>
      </c>
      <c r="D302">
        <v>1830000</v>
      </c>
      <c r="E302" t="s">
        <v>541</v>
      </c>
      <c r="F302" s="33" t="str">
        <f t="shared" si="10"/>
        <v>rtdc.l.rtdc.4028:itc</v>
      </c>
      <c r="G302" s="8">
        <f t="shared" si="11"/>
        <v>42551.205451388887</v>
      </c>
    </row>
    <row r="303" spans="1:7" x14ac:dyDescent="0.25">
      <c r="A303" s="8">
        <v>42549.936377314814</v>
      </c>
      <c r="B303" t="s">
        <v>192</v>
      </c>
      <c r="C303" t="s">
        <v>565</v>
      </c>
      <c r="D303">
        <v>1280000</v>
      </c>
      <c r="E303" t="s">
        <v>187</v>
      </c>
      <c r="F303" s="33" t="str">
        <f t="shared" si="10"/>
        <v>rtdc.l.rtdc.4027:itc</v>
      </c>
      <c r="G303" s="8">
        <f t="shared" si="11"/>
        <v>42549.936377314814</v>
      </c>
    </row>
    <row r="304" spans="1:7" x14ac:dyDescent="0.25">
      <c r="A304" s="8">
        <v>42551.20417824074</v>
      </c>
      <c r="B304" t="s">
        <v>175</v>
      </c>
      <c r="C304" t="s">
        <v>582</v>
      </c>
      <c r="D304">
        <v>1830000</v>
      </c>
      <c r="E304" t="s">
        <v>541</v>
      </c>
      <c r="F304" s="33" t="str">
        <f t="shared" si="10"/>
        <v>rtdc.l.rtdc.4028:itc</v>
      </c>
      <c r="G304" s="8">
        <f t="shared" si="11"/>
        <v>42551.20417824074</v>
      </c>
    </row>
    <row r="305" spans="1:7" x14ac:dyDescent="0.25">
      <c r="A305" s="8">
        <v>42549.931458333333</v>
      </c>
      <c r="B305" t="s">
        <v>83</v>
      </c>
      <c r="C305" t="s">
        <v>648</v>
      </c>
      <c r="D305">
        <v>2040000</v>
      </c>
      <c r="E305" t="s">
        <v>213</v>
      </c>
      <c r="F305" s="33" t="str">
        <f t="shared" si="10"/>
        <v>rtdc.l.rtdc.4017:itc</v>
      </c>
      <c r="G305" s="8">
        <f t="shared" si="11"/>
        <v>42549.931458333333</v>
      </c>
    </row>
    <row r="306" spans="1:7" x14ac:dyDescent="0.25">
      <c r="A306" s="8">
        <v>42551.27783564815</v>
      </c>
      <c r="B306" t="s">
        <v>159</v>
      </c>
      <c r="C306" t="s">
        <v>649</v>
      </c>
      <c r="D306">
        <v>1340000</v>
      </c>
      <c r="E306" t="s">
        <v>558</v>
      </c>
      <c r="F306" s="33" t="str">
        <f t="shared" si="10"/>
        <v>rtdc.l.rtdc.4012:itc</v>
      </c>
      <c r="G306" s="8">
        <f t="shared" si="11"/>
        <v>42551.27783564815</v>
      </c>
    </row>
    <row r="307" spans="1:7" x14ac:dyDescent="0.25">
      <c r="A307" s="8">
        <v>42550.194710648146</v>
      </c>
      <c r="B307" t="s">
        <v>70</v>
      </c>
      <c r="C307" t="s">
        <v>232</v>
      </c>
      <c r="D307">
        <v>1110000</v>
      </c>
      <c r="E307" t="s">
        <v>567</v>
      </c>
      <c r="F307" s="33" t="str">
        <f t="shared" si="10"/>
        <v>rtdc.l.rtdc.4032:itc</v>
      </c>
      <c r="G307" s="8">
        <f t="shared" si="11"/>
        <v>42550.194710648146</v>
      </c>
    </row>
    <row r="308" spans="1:7" x14ac:dyDescent="0.25">
      <c r="A308" s="8">
        <v>42551.296678240738</v>
      </c>
      <c r="B308" t="s">
        <v>97</v>
      </c>
      <c r="C308" t="s">
        <v>650</v>
      </c>
      <c r="D308">
        <v>1460000</v>
      </c>
      <c r="E308" t="s">
        <v>139</v>
      </c>
      <c r="F308" s="33" t="str">
        <f t="shared" si="10"/>
        <v>rtdc.l.rtdc.4041:itc</v>
      </c>
      <c r="G308" s="8">
        <f t="shared" si="11"/>
        <v>42551.296678240738</v>
      </c>
    </row>
    <row r="309" spans="1:7" x14ac:dyDescent="0.25">
      <c r="A309" s="8">
        <v>42550.60465277778</v>
      </c>
      <c r="B309" t="s">
        <v>88</v>
      </c>
      <c r="C309" t="s">
        <v>335</v>
      </c>
      <c r="D309">
        <v>1140000</v>
      </c>
      <c r="E309" t="s">
        <v>220</v>
      </c>
      <c r="F309" s="33" t="str">
        <f t="shared" si="10"/>
        <v>rtdc.l.rtdc.4031:itc</v>
      </c>
      <c r="G309" s="8">
        <f t="shared" si="11"/>
        <v>42550.60465277778</v>
      </c>
    </row>
  </sheetData>
  <sortState ref="A1:E291">
    <sortCondition ref="C1:C291"/>
  </sortState>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19"/>
  <sheetViews>
    <sheetView workbookViewId="0">
      <selection activeCell="A2" sqref="A2"/>
    </sheetView>
  </sheetViews>
  <sheetFormatPr defaultRowHeight="15" x14ac:dyDescent="0.25"/>
  <cols>
    <col min="1" max="1" width="32.140625" customWidth="1"/>
    <col min="3" max="3" width="24" customWidth="1"/>
    <col min="10" max="10" width="24.28515625" bestFit="1" customWidth="1"/>
    <col min="11" max="11" width="15.28515625" hidden="1" customWidth="1"/>
    <col min="12" max="12" width="13.5703125" hidden="1" customWidth="1"/>
    <col min="13" max="13" width="9" bestFit="1" customWidth="1"/>
  </cols>
  <sheetData>
    <row r="1" spans="1:13" ht="45.75" x14ac:dyDescent="0.3">
      <c r="A1" s="18" t="s">
        <v>25</v>
      </c>
      <c r="C1" s="21" t="s">
        <v>46</v>
      </c>
      <c r="J1" s="56" t="s">
        <v>110</v>
      </c>
      <c r="K1" s="56" t="s">
        <v>111</v>
      </c>
      <c r="L1" s="56" t="s">
        <v>112</v>
      </c>
      <c r="M1" s="33"/>
    </row>
    <row r="2" spans="1:13" ht="15.75" thickBot="1" x14ac:dyDescent="0.3">
      <c r="A2" s="19">
        <v>42550</v>
      </c>
      <c r="B2" s="4"/>
      <c r="C2" s="22">
        <v>50</v>
      </c>
      <c r="F2" t="s">
        <v>63</v>
      </c>
      <c r="J2" s="56" t="s">
        <v>110</v>
      </c>
      <c r="K2" s="56" t="s">
        <v>111</v>
      </c>
      <c r="L2" s="56" t="s">
        <v>112</v>
      </c>
      <c r="M2" s="33"/>
    </row>
    <row r="3" spans="1:13" x14ac:dyDescent="0.25">
      <c r="F3" t="s">
        <v>64</v>
      </c>
      <c r="J3" s="57" t="s">
        <v>113</v>
      </c>
      <c r="K3" s="58">
        <v>2.7052</v>
      </c>
      <c r="L3" s="58">
        <v>2.7349999999999999</v>
      </c>
      <c r="M3" s="33">
        <f t="shared" ref="M3:M14" si="0">AVERAGE(K3:L3)</f>
        <v>2.7201</v>
      </c>
    </row>
    <row r="4" spans="1:13" x14ac:dyDescent="0.25">
      <c r="F4" t="s">
        <v>65</v>
      </c>
      <c r="J4" s="57" t="s">
        <v>114</v>
      </c>
      <c r="K4" s="58">
        <v>3.0830000000000002</v>
      </c>
      <c r="L4" s="58">
        <v>3.097</v>
      </c>
      <c r="M4" s="33">
        <f t="shared" si="0"/>
        <v>3.09</v>
      </c>
    </row>
    <row r="5" spans="1:13" x14ac:dyDescent="0.25">
      <c r="J5" s="57" t="s">
        <v>115</v>
      </c>
      <c r="K5" s="58">
        <v>3.3136000000000001</v>
      </c>
      <c r="L5" s="58">
        <v>3.3256999999999999</v>
      </c>
      <c r="M5" s="33">
        <f t="shared" si="0"/>
        <v>3.3196500000000002</v>
      </c>
    </row>
    <row r="6" spans="1:13" x14ac:dyDescent="0.25">
      <c r="J6" s="57" t="s">
        <v>116</v>
      </c>
      <c r="K6" s="58">
        <v>4.2778999999999998</v>
      </c>
      <c r="L6" s="58">
        <v>4.2961</v>
      </c>
      <c r="M6" s="33">
        <f t="shared" si="0"/>
        <v>4.2869999999999999</v>
      </c>
    </row>
    <row r="7" spans="1:13" x14ac:dyDescent="0.25">
      <c r="J7" s="57" t="s">
        <v>117</v>
      </c>
      <c r="K7" s="58">
        <v>4.7865000000000002</v>
      </c>
      <c r="L7" s="58">
        <v>4.8048000000000002</v>
      </c>
      <c r="M7" s="33">
        <f t="shared" si="0"/>
        <v>4.7956500000000002</v>
      </c>
    </row>
    <row r="8" spans="1:13" x14ac:dyDescent="0.25">
      <c r="J8" s="57" t="s">
        <v>118</v>
      </c>
      <c r="K8" s="58">
        <v>5.3155000000000001</v>
      </c>
      <c r="L8" s="58">
        <v>5.3277000000000001</v>
      </c>
      <c r="M8" s="33">
        <f t="shared" si="0"/>
        <v>5.3216000000000001</v>
      </c>
    </row>
    <row r="9" spans="1:13" x14ac:dyDescent="0.25">
      <c r="J9" s="57" t="s">
        <v>119</v>
      </c>
      <c r="K9" s="58">
        <v>5.8117000000000001</v>
      </c>
      <c r="L9" s="58">
        <v>5.8300999999999998</v>
      </c>
      <c r="M9" s="33">
        <f t="shared" si="0"/>
        <v>5.8209</v>
      </c>
    </row>
    <row r="10" spans="1:13" x14ac:dyDescent="0.25">
      <c r="J10" s="57" t="s">
        <v>120</v>
      </c>
      <c r="K10" s="58">
        <v>5.8783000000000003</v>
      </c>
      <c r="L10" s="58">
        <v>5.8903999999999996</v>
      </c>
      <c r="M10" s="33">
        <f t="shared" si="0"/>
        <v>5.8843499999999995</v>
      </c>
    </row>
    <row r="11" spans="1:13" x14ac:dyDescent="0.25">
      <c r="J11" s="57" t="s">
        <v>121</v>
      </c>
      <c r="K11" s="58">
        <v>6.3068</v>
      </c>
      <c r="L11" s="58">
        <v>6.3308999999999997</v>
      </c>
      <c r="M11" s="33">
        <f t="shared" si="0"/>
        <v>6.3188499999999994</v>
      </c>
    </row>
    <row r="12" spans="1:13" x14ac:dyDescent="0.25">
      <c r="J12" s="57" t="s">
        <v>122</v>
      </c>
      <c r="K12" s="58">
        <v>7.8349000000000002</v>
      </c>
      <c r="L12" s="58">
        <v>7.8468999999999998</v>
      </c>
      <c r="M12" s="33">
        <f t="shared" si="0"/>
        <v>7.8408999999999995</v>
      </c>
    </row>
    <row r="13" spans="1:13" x14ac:dyDescent="0.25">
      <c r="J13" s="57" t="s">
        <v>123</v>
      </c>
      <c r="K13" s="58">
        <v>10.373799999999999</v>
      </c>
      <c r="L13" s="58">
        <v>10.38</v>
      </c>
      <c r="M13" s="33">
        <f t="shared" si="0"/>
        <v>10.376899999999999</v>
      </c>
    </row>
    <row r="14" spans="1:13" x14ac:dyDescent="0.25">
      <c r="J14" s="57" t="s">
        <v>124</v>
      </c>
      <c r="K14" s="58">
        <v>10.8954</v>
      </c>
      <c r="L14" s="58">
        <v>10.913500000000001</v>
      </c>
      <c r="M14" s="33">
        <f t="shared" si="0"/>
        <v>10.904450000000001</v>
      </c>
    </row>
    <row r="15" spans="1:13" x14ac:dyDescent="0.25">
      <c r="J15" s="57"/>
      <c r="K15" s="58"/>
      <c r="L15" s="58"/>
      <c r="M15" s="33"/>
    </row>
    <row r="16" spans="1:13" x14ac:dyDescent="0.25">
      <c r="J16" s="57"/>
      <c r="K16" s="58"/>
      <c r="L16" s="58"/>
      <c r="M16" s="33"/>
    </row>
    <row r="17" spans="10:13" x14ac:dyDescent="0.25">
      <c r="J17" s="57"/>
      <c r="K17" s="58"/>
      <c r="L17" s="58"/>
      <c r="M17" s="33"/>
    </row>
    <row r="18" spans="10:13" x14ac:dyDescent="0.25">
      <c r="J18" s="57"/>
      <c r="K18" s="58"/>
      <c r="L18" s="58"/>
      <c r="M18" s="33"/>
    </row>
    <row r="19" spans="10:13" x14ac:dyDescent="0.25">
      <c r="J19" s="57"/>
      <c r="K19" s="58"/>
      <c r="L19" s="58"/>
      <c r="M19"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Train Runs</vt:lpstr>
      <vt:lpstr>Enforcements</vt:lpstr>
      <vt:lpstr>Missing Trips</vt:lpstr>
      <vt:lpstr>Trips&amp;Operators</vt:lpstr>
      <vt:lpstr>Variables</vt:lpstr>
      <vt:lpstr>'Train Runs'!Denver_Train_Runs_04122016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Whitlock, Robert;Tu, Steve</dc:creator>
  <cp:lastModifiedBy>Steve Tu</cp:lastModifiedBy>
  <dcterms:created xsi:type="dcterms:W3CDTF">2016-04-12T13:52:23Z</dcterms:created>
  <dcterms:modified xsi:type="dcterms:W3CDTF">2016-06-30T19:00:53Z</dcterms:modified>
</cp:coreProperties>
</file>