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minimized="1" xWindow="0" yWindow="0" windowWidth="28800" windowHeight="148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Enforcements!$A$2:$N$65</definedName>
    <definedName name="_xlnm._FilterDatabase" localSheetId="2" hidden="1">'Missing Trips'!$A$2:$G$2</definedName>
    <definedName name="_xlnm._FilterDatabase" localSheetId="0" hidden="1">'Train Runs'!$A$2:$AC$146</definedName>
    <definedName name="_xlnm._FilterDatabase" localSheetId="3" hidden="1">'Trips&amp;Operators'!$A$1:$E$211</definedName>
    <definedName name="Denver_Train_Runs_04122016" localSheetId="0">'Train Runs'!$A$2:$J$152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1" l="1"/>
  <c r="S79" i="1"/>
  <c r="S118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4" i="1"/>
  <c r="S5" i="1"/>
  <c r="S6" i="1"/>
  <c r="S7" i="1"/>
  <c r="S8" i="1"/>
  <c r="S9" i="1"/>
  <c r="S10" i="1"/>
  <c r="S11" i="1"/>
  <c r="S12" i="1"/>
  <c r="S3" i="1"/>
  <c r="J151" i="1" l="1"/>
  <c r="M68" i="3"/>
  <c r="M67" i="3"/>
  <c r="M13" i="5" l="1"/>
  <c r="M12" i="5"/>
  <c r="M11" i="5"/>
  <c r="M10" i="5"/>
  <c r="M9" i="5"/>
  <c r="M8" i="5"/>
  <c r="M7" i="5"/>
  <c r="M6" i="5"/>
  <c r="M5" i="5"/>
  <c r="M4" i="5"/>
  <c r="M3" i="5"/>
  <c r="M2" i="5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3" i="1"/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3" i="1"/>
  <c r="X135" i="1"/>
  <c r="X136" i="1"/>
  <c r="X137" i="1"/>
  <c r="X138" i="1"/>
  <c r="X118" i="1"/>
  <c r="X119" i="1"/>
  <c r="X120" i="1"/>
  <c r="X117" i="1"/>
  <c r="V144" i="1"/>
  <c r="X144" i="1"/>
  <c r="Y144" i="1"/>
  <c r="Z144" i="1"/>
  <c r="V145" i="1"/>
  <c r="P28" i="3" s="1"/>
  <c r="X145" i="1"/>
  <c r="Y145" i="1"/>
  <c r="U145" i="1" s="1"/>
  <c r="Z145" i="1"/>
  <c r="V146" i="1"/>
  <c r="X146" i="1"/>
  <c r="Y146" i="1"/>
  <c r="Z146" i="1"/>
  <c r="M32" i="1"/>
  <c r="M59" i="1"/>
  <c r="P59" i="1" s="1"/>
  <c r="L32" i="1"/>
  <c r="L59" i="1"/>
  <c r="K59" i="1"/>
  <c r="K32" i="1"/>
  <c r="E3" i="6"/>
  <c r="F3" i="6"/>
  <c r="G3" i="6"/>
  <c r="E4" i="6"/>
  <c r="F4" i="6"/>
  <c r="G4" i="6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3" i="3"/>
  <c r="L4" i="3"/>
  <c r="L5" i="3"/>
  <c r="L6" i="3"/>
  <c r="L7" i="3"/>
  <c r="L8" i="3"/>
  <c r="K124" i="1"/>
  <c r="L124" i="1"/>
  <c r="M124" i="1"/>
  <c r="N124" i="1" s="1"/>
  <c r="V122" i="1"/>
  <c r="X122" i="1"/>
  <c r="Y122" i="1"/>
  <c r="Z122" i="1"/>
  <c r="K125" i="1"/>
  <c r="L125" i="1"/>
  <c r="M125" i="1"/>
  <c r="N125" i="1" s="1"/>
  <c r="V123" i="1"/>
  <c r="X123" i="1"/>
  <c r="Y123" i="1"/>
  <c r="U123" i="1" s="1"/>
  <c r="Z123" i="1"/>
  <c r="K126" i="1"/>
  <c r="L126" i="1"/>
  <c r="M126" i="1"/>
  <c r="N126" i="1" s="1"/>
  <c r="V124" i="1"/>
  <c r="P23" i="3" s="1"/>
  <c r="X124" i="1"/>
  <c r="Y124" i="1"/>
  <c r="Z124" i="1"/>
  <c r="K127" i="1"/>
  <c r="L127" i="1"/>
  <c r="M127" i="1"/>
  <c r="N127" i="1"/>
  <c r="V125" i="1"/>
  <c r="X125" i="1"/>
  <c r="Y125" i="1"/>
  <c r="Z125" i="1"/>
  <c r="AA125" i="1" s="1"/>
  <c r="W125" i="1" s="1"/>
  <c r="K128" i="1"/>
  <c r="L128" i="1"/>
  <c r="M128" i="1"/>
  <c r="N128" i="1" s="1"/>
  <c r="V126" i="1"/>
  <c r="X126" i="1"/>
  <c r="Y126" i="1"/>
  <c r="U126" i="1" s="1"/>
  <c r="Z126" i="1"/>
  <c r="K129" i="1"/>
  <c r="L129" i="1"/>
  <c r="M129" i="1"/>
  <c r="P129" i="1" s="1"/>
  <c r="V127" i="1"/>
  <c r="X127" i="1"/>
  <c r="Y127" i="1"/>
  <c r="Z127" i="1"/>
  <c r="K130" i="1"/>
  <c r="L130" i="1"/>
  <c r="M130" i="1"/>
  <c r="N130" i="1" s="1"/>
  <c r="V128" i="1"/>
  <c r="X128" i="1"/>
  <c r="Y128" i="1"/>
  <c r="Z128" i="1"/>
  <c r="K131" i="1"/>
  <c r="L131" i="1"/>
  <c r="M131" i="1"/>
  <c r="P131" i="1" s="1"/>
  <c r="V129" i="1"/>
  <c r="X129" i="1"/>
  <c r="Y129" i="1"/>
  <c r="U129" i="1" s="1"/>
  <c r="Z129" i="1"/>
  <c r="K132" i="1"/>
  <c r="L132" i="1"/>
  <c r="M132" i="1"/>
  <c r="N132" i="1" s="1"/>
  <c r="V130" i="1"/>
  <c r="X130" i="1"/>
  <c r="Y130" i="1"/>
  <c r="Z130" i="1"/>
  <c r="K133" i="1"/>
  <c r="L133" i="1"/>
  <c r="M133" i="1"/>
  <c r="N133" i="1" s="1"/>
  <c r="V131" i="1"/>
  <c r="X131" i="1"/>
  <c r="Y131" i="1"/>
  <c r="Z131" i="1"/>
  <c r="K134" i="1"/>
  <c r="L134" i="1"/>
  <c r="M134" i="1"/>
  <c r="N134" i="1" s="1"/>
  <c r="V132" i="1"/>
  <c r="X132" i="1"/>
  <c r="Y132" i="1"/>
  <c r="Z132" i="1"/>
  <c r="V133" i="1"/>
  <c r="X133" i="1"/>
  <c r="Y133" i="1"/>
  <c r="U133" i="1" s="1"/>
  <c r="Z133" i="1"/>
  <c r="K135" i="1"/>
  <c r="L135" i="1"/>
  <c r="M135" i="1"/>
  <c r="N135" i="1" s="1"/>
  <c r="V134" i="1"/>
  <c r="X134" i="1"/>
  <c r="Y134" i="1"/>
  <c r="Z134" i="1"/>
  <c r="V135" i="1"/>
  <c r="P64" i="3" s="1"/>
  <c r="Y135" i="1"/>
  <c r="U135" i="1" s="1"/>
  <c r="Z135" i="1"/>
  <c r="K136" i="1"/>
  <c r="L136" i="1"/>
  <c r="M136" i="1"/>
  <c r="N136" i="1" s="1"/>
  <c r="K137" i="1"/>
  <c r="L137" i="1"/>
  <c r="M137" i="1"/>
  <c r="N137" i="1"/>
  <c r="K138" i="1"/>
  <c r="L138" i="1"/>
  <c r="M138" i="1"/>
  <c r="N138" i="1" s="1"/>
  <c r="V136" i="1"/>
  <c r="Y136" i="1"/>
  <c r="U136" i="1" s="1"/>
  <c r="Z136" i="1"/>
  <c r="K139" i="1"/>
  <c r="L139" i="1"/>
  <c r="M139" i="1"/>
  <c r="N139" i="1" s="1"/>
  <c r="V137" i="1"/>
  <c r="Y137" i="1"/>
  <c r="U137" i="1" s="1"/>
  <c r="Z137" i="1"/>
  <c r="K140" i="1"/>
  <c r="L140" i="1"/>
  <c r="M140" i="1"/>
  <c r="N140" i="1" s="1"/>
  <c r="V138" i="1"/>
  <c r="Y138" i="1"/>
  <c r="Z138" i="1"/>
  <c r="K141" i="1"/>
  <c r="L141" i="1"/>
  <c r="M141" i="1"/>
  <c r="N141" i="1" s="1"/>
  <c r="V139" i="1"/>
  <c r="X139" i="1"/>
  <c r="Y139" i="1"/>
  <c r="Z139" i="1"/>
  <c r="AA139" i="1" s="1"/>
  <c r="W139" i="1" s="1"/>
  <c r="K142" i="1"/>
  <c r="L142" i="1"/>
  <c r="M142" i="1"/>
  <c r="N142" i="1" s="1"/>
  <c r="V140" i="1"/>
  <c r="P65" i="3" s="1"/>
  <c r="X140" i="1"/>
  <c r="Y140" i="1"/>
  <c r="Z140" i="1"/>
  <c r="K143" i="1"/>
  <c r="L143" i="1"/>
  <c r="M143" i="1"/>
  <c r="N143" i="1" s="1"/>
  <c r="V141" i="1"/>
  <c r="X141" i="1"/>
  <c r="Y141" i="1"/>
  <c r="U141" i="1" s="1"/>
  <c r="Z141" i="1"/>
  <c r="K144" i="1"/>
  <c r="L144" i="1"/>
  <c r="M144" i="1"/>
  <c r="N144" i="1" s="1"/>
  <c r="V142" i="1"/>
  <c r="X142" i="1"/>
  <c r="Y142" i="1"/>
  <c r="Z142" i="1"/>
  <c r="K145" i="1"/>
  <c r="L145" i="1"/>
  <c r="M145" i="1"/>
  <c r="N145" i="1" s="1"/>
  <c r="V143" i="1"/>
  <c r="X143" i="1"/>
  <c r="Y143" i="1"/>
  <c r="Z143" i="1"/>
  <c r="K146" i="1"/>
  <c r="L146" i="1"/>
  <c r="M146" i="1"/>
  <c r="N146" i="1" s="1"/>
  <c r="I149" i="1"/>
  <c r="J153" i="1"/>
  <c r="U143" i="1" l="1"/>
  <c r="U144" i="1"/>
  <c r="U122" i="1"/>
  <c r="U132" i="1"/>
  <c r="U139" i="1"/>
  <c r="U128" i="1"/>
  <c r="U142" i="1"/>
  <c r="U131" i="1"/>
  <c r="U138" i="1"/>
  <c r="U124" i="1"/>
  <c r="U125" i="1"/>
  <c r="U127" i="1"/>
  <c r="U130" i="1"/>
  <c r="U146" i="1"/>
  <c r="U134" i="1"/>
  <c r="U140" i="1"/>
  <c r="AA126" i="1"/>
  <c r="W126" i="1" s="1"/>
  <c r="AA140" i="1"/>
  <c r="W140" i="1" s="1"/>
  <c r="AA143" i="1"/>
  <c r="W143" i="1" s="1"/>
  <c r="AA146" i="1"/>
  <c r="W146" i="1" s="1"/>
  <c r="AA133" i="1"/>
  <c r="W133" i="1" s="1"/>
  <c r="AA132" i="1"/>
  <c r="W132" i="1" s="1"/>
  <c r="AA122" i="1"/>
  <c r="W122" i="1" s="1"/>
  <c r="AA128" i="1"/>
  <c r="W128" i="1" s="1"/>
  <c r="AA141" i="1"/>
  <c r="W141" i="1" s="1"/>
  <c r="AA127" i="1"/>
  <c r="W127" i="1" s="1"/>
  <c r="AA136" i="1"/>
  <c r="W136" i="1" s="1"/>
  <c r="AA137" i="1"/>
  <c r="W137" i="1" s="1"/>
  <c r="AA135" i="1"/>
  <c r="W135" i="1" s="1"/>
  <c r="AA123" i="1"/>
  <c r="W123" i="1" s="1"/>
  <c r="AA142" i="1"/>
  <c r="W142" i="1" s="1"/>
  <c r="AA145" i="1"/>
  <c r="W145" i="1" s="1"/>
  <c r="AA129" i="1"/>
  <c r="W129" i="1" s="1"/>
  <c r="AA131" i="1"/>
  <c r="W131" i="1" s="1"/>
  <c r="AA144" i="1"/>
  <c r="W144" i="1" s="1"/>
  <c r="AA124" i="1"/>
  <c r="W124" i="1" s="1"/>
  <c r="AA138" i="1"/>
  <c r="W138" i="1" s="1"/>
  <c r="AA130" i="1"/>
  <c r="W130" i="1" s="1"/>
  <c r="AA134" i="1"/>
  <c r="W134" i="1" s="1"/>
  <c r="X52" i="1" l="1"/>
  <c r="X53" i="1"/>
  <c r="X54" i="1"/>
  <c r="X55" i="1"/>
  <c r="X56" i="1"/>
  <c r="X57" i="1"/>
  <c r="V4" i="1"/>
  <c r="X4" i="1"/>
  <c r="Y4" i="1"/>
  <c r="Z4" i="1"/>
  <c r="V5" i="1"/>
  <c r="P29" i="3" s="1"/>
  <c r="X5" i="1"/>
  <c r="Y5" i="1"/>
  <c r="U5" i="1" s="1"/>
  <c r="Z5" i="1"/>
  <c r="V6" i="1"/>
  <c r="X6" i="1"/>
  <c r="Y6" i="1"/>
  <c r="Z6" i="1"/>
  <c r="V7" i="1"/>
  <c r="P30" i="3" s="1"/>
  <c r="X7" i="1"/>
  <c r="Y7" i="1"/>
  <c r="Z7" i="1"/>
  <c r="V8" i="1"/>
  <c r="P9" i="3" s="1"/>
  <c r="X8" i="1"/>
  <c r="Y8" i="1"/>
  <c r="U8" i="1" s="1"/>
  <c r="Z8" i="1"/>
  <c r="V9" i="1"/>
  <c r="X9" i="1"/>
  <c r="Y9" i="1"/>
  <c r="Z9" i="1"/>
  <c r="V10" i="1"/>
  <c r="X10" i="1"/>
  <c r="Y10" i="1"/>
  <c r="Z10" i="1"/>
  <c r="V11" i="1"/>
  <c r="X11" i="1"/>
  <c r="Y11" i="1"/>
  <c r="U11" i="1" s="1"/>
  <c r="Z11" i="1"/>
  <c r="V12" i="1"/>
  <c r="X12" i="1"/>
  <c r="Y12" i="1"/>
  <c r="Z12" i="1"/>
  <c r="V13" i="1"/>
  <c r="X13" i="1"/>
  <c r="Y13" i="1"/>
  <c r="Z13" i="1"/>
  <c r="V14" i="1"/>
  <c r="X14" i="1"/>
  <c r="Y14" i="1"/>
  <c r="U14" i="1" s="1"/>
  <c r="Z14" i="1"/>
  <c r="V15" i="1"/>
  <c r="P31" i="3" s="1"/>
  <c r="X15" i="1"/>
  <c r="Y15" i="1"/>
  <c r="Z15" i="1"/>
  <c r="V16" i="1"/>
  <c r="X16" i="1"/>
  <c r="Y16" i="1"/>
  <c r="Z16" i="1"/>
  <c r="V17" i="1"/>
  <c r="X17" i="1"/>
  <c r="Y17" i="1"/>
  <c r="U17" i="1" s="1"/>
  <c r="Z17" i="1"/>
  <c r="V18" i="1"/>
  <c r="P32" i="3" s="1"/>
  <c r="X18" i="1"/>
  <c r="Y18" i="1"/>
  <c r="Z18" i="1"/>
  <c r="V19" i="1"/>
  <c r="X19" i="1"/>
  <c r="Y19" i="1"/>
  <c r="Z19" i="1"/>
  <c r="V20" i="1"/>
  <c r="X20" i="1"/>
  <c r="Y20" i="1"/>
  <c r="U20" i="1" s="1"/>
  <c r="Z20" i="1"/>
  <c r="V21" i="1"/>
  <c r="P33" i="3" s="1"/>
  <c r="X21" i="1"/>
  <c r="Y21" i="1"/>
  <c r="Z21" i="1"/>
  <c r="V22" i="1"/>
  <c r="X22" i="1"/>
  <c r="Y22" i="1"/>
  <c r="Z22" i="1"/>
  <c r="V23" i="1"/>
  <c r="X23" i="1"/>
  <c r="Y23" i="1"/>
  <c r="U23" i="1" s="1"/>
  <c r="Z23" i="1"/>
  <c r="V24" i="1"/>
  <c r="X24" i="1"/>
  <c r="Y24" i="1"/>
  <c r="Z24" i="1"/>
  <c r="V25" i="1"/>
  <c r="P24" i="3" s="1"/>
  <c r="X25" i="1"/>
  <c r="Y25" i="1"/>
  <c r="Z25" i="1"/>
  <c r="V26" i="1"/>
  <c r="X26" i="1"/>
  <c r="Y26" i="1"/>
  <c r="U26" i="1" s="1"/>
  <c r="Z26" i="1"/>
  <c r="V27" i="1"/>
  <c r="P34" i="3" s="1"/>
  <c r="X27" i="1"/>
  <c r="Y27" i="1"/>
  <c r="Z27" i="1"/>
  <c r="V28" i="1"/>
  <c r="X28" i="1"/>
  <c r="Y28" i="1"/>
  <c r="Z28" i="1"/>
  <c r="V29" i="1"/>
  <c r="X29" i="1"/>
  <c r="Y29" i="1"/>
  <c r="U29" i="1" s="1"/>
  <c r="Z29" i="1"/>
  <c r="V30" i="1"/>
  <c r="X30" i="1"/>
  <c r="Y30" i="1"/>
  <c r="Z30" i="1"/>
  <c r="V31" i="1"/>
  <c r="P35" i="3" s="1"/>
  <c r="X31" i="1"/>
  <c r="Y31" i="1"/>
  <c r="Z31" i="1"/>
  <c r="V32" i="1"/>
  <c r="X32" i="1"/>
  <c r="Y32" i="1"/>
  <c r="U32" i="1" s="1"/>
  <c r="Z32" i="1"/>
  <c r="V33" i="1"/>
  <c r="P36" i="3" s="1"/>
  <c r="X33" i="1"/>
  <c r="Y33" i="1"/>
  <c r="Z33" i="1"/>
  <c r="V34" i="1"/>
  <c r="X34" i="1"/>
  <c r="Y34" i="1"/>
  <c r="Z34" i="1"/>
  <c r="V35" i="1"/>
  <c r="P37" i="3" s="1"/>
  <c r="X35" i="1"/>
  <c r="Y35" i="1"/>
  <c r="U35" i="1" s="1"/>
  <c r="Z35" i="1"/>
  <c r="V36" i="1"/>
  <c r="P38" i="3" s="1"/>
  <c r="X36" i="1"/>
  <c r="Y36" i="1"/>
  <c r="Z36" i="1"/>
  <c r="V37" i="1"/>
  <c r="X37" i="1"/>
  <c r="Y37" i="1"/>
  <c r="Z37" i="1"/>
  <c r="V38" i="1"/>
  <c r="X38" i="1"/>
  <c r="Y38" i="1"/>
  <c r="U38" i="1" s="1"/>
  <c r="Z38" i="1"/>
  <c r="V39" i="1"/>
  <c r="X39" i="1"/>
  <c r="Y39" i="1"/>
  <c r="Z39" i="1"/>
  <c r="V40" i="1"/>
  <c r="X40" i="1"/>
  <c r="Y40" i="1"/>
  <c r="Z40" i="1"/>
  <c r="V41" i="1"/>
  <c r="P3" i="3" s="1"/>
  <c r="X41" i="1"/>
  <c r="Y41" i="1"/>
  <c r="U41" i="1" s="1"/>
  <c r="Z41" i="1"/>
  <c r="V42" i="1"/>
  <c r="P39" i="3" s="1"/>
  <c r="X42" i="1"/>
  <c r="Y42" i="1"/>
  <c r="Z42" i="1"/>
  <c r="V43" i="1"/>
  <c r="X43" i="1"/>
  <c r="Y43" i="1"/>
  <c r="Z43" i="1"/>
  <c r="V44" i="1"/>
  <c r="X44" i="1"/>
  <c r="Y44" i="1"/>
  <c r="U44" i="1" s="1"/>
  <c r="Z44" i="1"/>
  <c r="V45" i="1"/>
  <c r="P40" i="3" s="1"/>
  <c r="X45" i="1"/>
  <c r="Y45" i="1"/>
  <c r="Z45" i="1"/>
  <c r="V46" i="1"/>
  <c r="P4" i="3" s="1"/>
  <c r="X46" i="1"/>
  <c r="Y46" i="1"/>
  <c r="Z46" i="1"/>
  <c r="V47" i="1"/>
  <c r="X47" i="1"/>
  <c r="Y47" i="1"/>
  <c r="U47" i="1" s="1"/>
  <c r="Z47" i="1"/>
  <c r="V48" i="1"/>
  <c r="P41" i="3" s="1"/>
  <c r="X48" i="1"/>
  <c r="Y48" i="1"/>
  <c r="Z48" i="1"/>
  <c r="V49" i="1"/>
  <c r="P42" i="3" s="1"/>
  <c r="X49" i="1"/>
  <c r="Y49" i="1"/>
  <c r="Z49" i="1"/>
  <c r="V50" i="1"/>
  <c r="X50" i="1"/>
  <c r="Y50" i="1"/>
  <c r="U50" i="1" s="1"/>
  <c r="Z50" i="1"/>
  <c r="V51" i="1"/>
  <c r="P43" i="3" s="1"/>
  <c r="X51" i="1"/>
  <c r="Y51" i="1"/>
  <c r="Z51" i="1"/>
  <c r="V52" i="1"/>
  <c r="Y52" i="1"/>
  <c r="Z52" i="1"/>
  <c r="V53" i="1"/>
  <c r="Y53" i="1"/>
  <c r="Z53" i="1"/>
  <c r="V54" i="1"/>
  <c r="Y54" i="1"/>
  <c r="Z54" i="1"/>
  <c r="V55" i="1"/>
  <c r="Y55" i="1"/>
  <c r="Z55" i="1"/>
  <c r="V56" i="1"/>
  <c r="Y56" i="1"/>
  <c r="Z56" i="1"/>
  <c r="V57" i="1"/>
  <c r="Y57" i="1"/>
  <c r="Z57" i="1"/>
  <c r="V58" i="1"/>
  <c r="X58" i="1"/>
  <c r="Y58" i="1"/>
  <c r="U58" i="1" s="1"/>
  <c r="Z58" i="1"/>
  <c r="V59" i="1"/>
  <c r="X59" i="1"/>
  <c r="Y59" i="1"/>
  <c r="U59" i="1" s="1"/>
  <c r="Z59" i="1"/>
  <c r="V60" i="1"/>
  <c r="X60" i="1"/>
  <c r="Y60" i="1"/>
  <c r="Z60" i="1"/>
  <c r="V61" i="1"/>
  <c r="X61" i="1"/>
  <c r="Y61" i="1"/>
  <c r="Z61" i="1"/>
  <c r="V62" i="1"/>
  <c r="X62" i="1"/>
  <c r="Y62" i="1"/>
  <c r="Z62" i="1"/>
  <c r="V63" i="1"/>
  <c r="X63" i="1"/>
  <c r="Y63" i="1"/>
  <c r="Z63" i="1"/>
  <c r="V64" i="1"/>
  <c r="X64" i="1"/>
  <c r="Y64" i="1"/>
  <c r="U64" i="1" s="1"/>
  <c r="Z64" i="1"/>
  <c r="V65" i="1"/>
  <c r="P25" i="3" s="1"/>
  <c r="X65" i="1"/>
  <c r="Y65" i="1"/>
  <c r="U65" i="1" s="1"/>
  <c r="Z65" i="1"/>
  <c r="V66" i="1"/>
  <c r="P45" i="3" s="1"/>
  <c r="X66" i="1"/>
  <c r="Y66" i="1"/>
  <c r="Z66" i="1"/>
  <c r="V67" i="1"/>
  <c r="P12" i="3" s="1"/>
  <c r="X67" i="1"/>
  <c r="Y67" i="1"/>
  <c r="Z67" i="1"/>
  <c r="V68" i="1"/>
  <c r="X68" i="1"/>
  <c r="Y68" i="1"/>
  <c r="Z68" i="1"/>
  <c r="V69" i="1"/>
  <c r="X69" i="1"/>
  <c r="Y69" i="1"/>
  <c r="Z69" i="1"/>
  <c r="V70" i="1"/>
  <c r="X70" i="1"/>
  <c r="Y70" i="1"/>
  <c r="U70" i="1" s="1"/>
  <c r="Z70" i="1"/>
  <c r="V71" i="1"/>
  <c r="X71" i="1"/>
  <c r="Y71" i="1"/>
  <c r="U71" i="1" s="1"/>
  <c r="Z71" i="1"/>
  <c r="V72" i="1"/>
  <c r="P46" i="3" s="1"/>
  <c r="X72" i="1"/>
  <c r="Y72" i="1"/>
  <c r="Z72" i="1"/>
  <c r="V73" i="1"/>
  <c r="X73" i="1"/>
  <c r="Y73" i="1"/>
  <c r="Z73" i="1"/>
  <c r="V74" i="1"/>
  <c r="X74" i="1"/>
  <c r="Y74" i="1"/>
  <c r="Z74" i="1"/>
  <c r="V75" i="1"/>
  <c r="P47" i="3" s="1"/>
  <c r="X75" i="1"/>
  <c r="Y75" i="1"/>
  <c r="Z75" i="1"/>
  <c r="V76" i="1"/>
  <c r="P48" i="3" s="1"/>
  <c r="X76" i="1"/>
  <c r="Y76" i="1"/>
  <c r="U76" i="1" s="1"/>
  <c r="Z76" i="1"/>
  <c r="V77" i="1"/>
  <c r="P49" i="3" s="1"/>
  <c r="X77" i="1"/>
  <c r="Y77" i="1"/>
  <c r="U77" i="1" s="1"/>
  <c r="Z77" i="1"/>
  <c r="V78" i="1"/>
  <c r="X78" i="1"/>
  <c r="Y78" i="1"/>
  <c r="Z78" i="1"/>
  <c r="V79" i="1"/>
  <c r="P6" i="3" s="1"/>
  <c r="X79" i="1"/>
  <c r="Y79" i="1"/>
  <c r="Z79" i="1"/>
  <c r="V80" i="1"/>
  <c r="X80" i="1"/>
  <c r="Y80" i="1"/>
  <c r="Z80" i="1"/>
  <c r="V81" i="1"/>
  <c r="P50" i="3" s="1"/>
  <c r="X81" i="1"/>
  <c r="Y81" i="1"/>
  <c r="Z81" i="1"/>
  <c r="V82" i="1"/>
  <c r="X82" i="1"/>
  <c r="Y82" i="1"/>
  <c r="U82" i="1" s="1"/>
  <c r="Z82" i="1"/>
  <c r="V83" i="1"/>
  <c r="P51" i="3" s="1"/>
  <c r="X83" i="1"/>
  <c r="Y83" i="1"/>
  <c r="U83" i="1" s="1"/>
  <c r="Z83" i="1"/>
  <c r="V84" i="1"/>
  <c r="X84" i="1"/>
  <c r="Y84" i="1"/>
  <c r="Z84" i="1"/>
  <c r="V85" i="1"/>
  <c r="X85" i="1"/>
  <c r="Y85" i="1"/>
  <c r="Z85" i="1"/>
  <c r="V86" i="1"/>
  <c r="X86" i="1"/>
  <c r="Y86" i="1"/>
  <c r="Z86" i="1"/>
  <c r="V87" i="1"/>
  <c r="X87" i="1"/>
  <c r="Y87" i="1"/>
  <c r="Z87" i="1"/>
  <c r="V88" i="1"/>
  <c r="X88" i="1"/>
  <c r="Y88" i="1"/>
  <c r="U88" i="1" s="1"/>
  <c r="Z88" i="1"/>
  <c r="V89" i="1"/>
  <c r="X89" i="1"/>
  <c r="Y89" i="1"/>
  <c r="U89" i="1" s="1"/>
  <c r="Z89" i="1"/>
  <c r="V90" i="1"/>
  <c r="X90" i="1"/>
  <c r="Y90" i="1"/>
  <c r="Z90" i="1"/>
  <c r="V91" i="1"/>
  <c r="P16" i="3" s="1"/>
  <c r="X91" i="1"/>
  <c r="Y91" i="1"/>
  <c r="Z91" i="1"/>
  <c r="V92" i="1"/>
  <c r="P8" i="3" s="1"/>
  <c r="X92" i="1"/>
  <c r="Y92" i="1"/>
  <c r="Z92" i="1"/>
  <c r="V93" i="1"/>
  <c r="P58" i="3" s="1"/>
  <c r="X93" i="1"/>
  <c r="Y93" i="1"/>
  <c r="Z93" i="1"/>
  <c r="V94" i="1"/>
  <c r="X94" i="1"/>
  <c r="Y94" i="1"/>
  <c r="U94" i="1" s="1"/>
  <c r="Z94" i="1"/>
  <c r="V95" i="1"/>
  <c r="P17" i="3" s="1"/>
  <c r="X95" i="1"/>
  <c r="Y95" i="1"/>
  <c r="U95" i="1" s="1"/>
  <c r="Z95" i="1"/>
  <c r="V96" i="1"/>
  <c r="X96" i="1"/>
  <c r="Y96" i="1"/>
  <c r="Z96" i="1"/>
  <c r="V97" i="1"/>
  <c r="X97" i="1"/>
  <c r="Y97" i="1"/>
  <c r="Z97" i="1"/>
  <c r="V98" i="1"/>
  <c r="X98" i="1"/>
  <c r="Y98" i="1"/>
  <c r="Z98" i="1"/>
  <c r="V99" i="1"/>
  <c r="P18" i="3" s="1"/>
  <c r="X99" i="1"/>
  <c r="Y99" i="1"/>
  <c r="Z99" i="1"/>
  <c r="V100" i="1"/>
  <c r="X100" i="1"/>
  <c r="Y100" i="1"/>
  <c r="U100" i="1" s="1"/>
  <c r="Z100" i="1"/>
  <c r="V101" i="1"/>
  <c r="P59" i="3" s="1"/>
  <c r="X101" i="1"/>
  <c r="Y101" i="1"/>
  <c r="U101" i="1" s="1"/>
  <c r="Z101" i="1"/>
  <c r="V102" i="1"/>
  <c r="P60" i="3" s="1"/>
  <c r="X102" i="1"/>
  <c r="Y102" i="1"/>
  <c r="Z102" i="1"/>
  <c r="V103" i="1"/>
  <c r="X103" i="1"/>
  <c r="Y103" i="1"/>
  <c r="Z103" i="1"/>
  <c r="V104" i="1"/>
  <c r="P20" i="3" s="1"/>
  <c r="X104" i="1"/>
  <c r="Y104" i="1"/>
  <c r="Z104" i="1"/>
  <c r="V105" i="1"/>
  <c r="P21" i="3" s="1"/>
  <c r="X105" i="1"/>
  <c r="Y105" i="1"/>
  <c r="Z105" i="1"/>
  <c r="V106" i="1"/>
  <c r="X106" i="1"/>
  <c r="Y106" i="1"/>
  <c r="U106" i="1" s="1"/>
  <c r="Z106" i="1"/>
  <c r="V107" i="1"/>
  <c r="P22" i="3" s="1"/>
  <c r="X107" i="1"/>
  <c r="Y107" i="1"/>
  <c r="U107" i="1" s="1"/>
  <c r="Z107" i="1"/>
  <c r="V108" i="1"/>
  <c r="P62" i="3" s="1"/>
  <c r="X108" i="1"/>
  <c r="Y108" i="1"/>
  <c r="Z108" i="1"/>
  <c r="V109" i="1"/>
  <c r="X109" i="1"/>
  <c r="Y109" i="1"/>
  <c r="Z109" i="1"/>
  <c r="V110" i="1"/>
  <c r="X110" i="1"/>
  <c r="Y110" i="1"/>
  <c r="Z110" i="1"/>
  <c r="V111" i="1"/>
  <c r="X111" i="1"/>
  <c r="Y111" i="1"/>
  <c r="Z111" i="1"/>
  <c r="V112" i="1"/>
  <c r="X112" i="1"/>
  <c r="Y112" i="1"/>
  <c r="U112" i="1" s="1"/>
  <c r="Z112" i="1"/>
  <c r="V113" i="1"/>
  <c r="X113" i="1"/>
  <c r="Y113" i="1"/>
  <c r="U113" i="1" s="1"/>
  <c r="Z113" i="1"/>
  <c r="V114" i="1"/>
  <c r="P63" i="3" s="1"/>
  <c r="X114" i="1"/>
  <c r="Y114" i="1"/>
  <c r="Z114" i="1"/>
  <c r="V115" i="1"/>
  <c r="X115" i="1"/>
  <c r="Y115" i="1"/>
  <c r="Z115" i="1"/>
  <c r="V116" i="1"/>
  <c r="X116" i="1"/>
  <c r="Y116" i="1"/>
  <c r="Z116" i="1"/>
  <c r="V117" i="1"/>
  <c r="Y117" i="1"/>
  <c r="Z117" i="1"/>
  <c r="V118" i="1"/>
  <c r="Y118" i="1"/>
  <c r="U118" i="1" s="1"/>
  <c r="Z118" i="1"/>
  <c r="V119" i="1"/>
  <c r="Y119" i="1"/>
  <c r="Z119" i="1"/>
  <c r="V120" i="1"/>
  <c r="Y120" i="1"/>
  <c r="U120" i="1" s="1"/>
  <c r="Z120" i="1"/>
  <c r="V121" i="1"/>
  <c r="X121" i="1"/>
  <c r="Y121" i="1"/>
  <c r="Z121" i="1"/>
  <c r="K54" i="1"/>
  <c r="L54" i="1"/>
  <c r="M54" i="1"/>
  <c r="N54" i="1" s="1"/>
  <c r="K111" i="1"/>
  <c r="L111" i="1"/>
  <c r="M111" i="1"/>
  <c r="N111" i="1" s="1"/>
  <c r="U117" i="1" l="1"/>
  <c r="U31" i="1"/>
  <c r="U56" i="1"/>
  <c r="U98" i="1"/>
  <c r="U68" i="1"/>
  <c r="U55" i="1"/>
  <c r="U48" i="1"/>
  <c r="U42" i="1"/>
  <c r="U36" i="1"/>
  <c r="U30" i="1"/>
  <c r="U24" i="1"/>
  <c r="U18" i="1"/>
  <c r="U12" i="1"/>
  <c r="U6" i="1"/>
  <c r="U115" i="1"/>
  <c r="U109" i="1"/>
  <c r="U103" i="1"/>
  <c r="U97" i="1"/>
  <c r="U91" i="1"/>
  <c r="U85" i="1"/>
  <c r="U79" i="1"/>
  <c r="U73" i="1"/>
  <c r="U67" i="1"/>
  <c r="U61" i="1"/>
  <c r="U54" i="1"/>
  <c r="U105" i="1"/>
  <c r="U46" i="1"/>
  <c r="U40" i="1"/>
  <c r="U34" i="1"/>
  <c r="U28" i="1"/>
  <c r="U22" i="1"/>
  <c r="U16" i="1"/>
  <c r="U10" i="1"/>
  <c r="U4" i="1"/>
  <c r="U52" i="1"/>
  <c r="U99" i="1"/>
  <c r="U93" i="1"/>
  <c r="U84" i="1"/>
  <c r="U51" i="1"/>
  <c r="U45" i="1"/>
  <c r="U39" i="1"/>
  <c r="U33" i="1"/>
  <c r="U27" i="1"/>
  <c r="U21" i="1"/>
  <c r="U15" i="1"/>
  <c r="U9" i="1"/>
  <c r="U111" i="1"/>
  <c r="U87" i="1"/>
  <c r="U69" i="1"/>
  <c r="U57" i="1"/>
  <c r="U25" i="1"/>
  <c r="U119" i="1"/>
  <c r="U43" i="1"/>
  <c r="U19" i="1"/>
  <c r="U110" i="1"/>
  <c r="U92" i="1"/>
  <c r="U74" i="1"/>
  <c r="U62" i="1"/>
  <c r="U114" i="1"/>
  <c r="U81" i="1"/>
  <c r="U75" i="1"/>
  <c r="U63" i="1"/>
  <c r="U37" i="1"/>
  <c r="U7" i="1"/>
  <c r="U104" i="1"/>
  <c r="U80" i="1"/>
  <c r="U121" i="1"/>
  <c r="U108" i="1"/>
  <c r="U102" i="1"/>
  <c r="U96" i="1"/>
  <c r="U90" i="1"/>
  <c r="U78" i="1"/>
  <c r="U72" i="1"/>
  <c r="U66" i="1"/>
  <c r="U60" i="1"/>
  <c r="U53" i="1"/>
  <c r="U49" i="1"/>
  <c r="U13" i="1"/>
  <c r="U116" i="1"/>
  <c r="U86" i="1"/>
  <c r="P19" i="3"/>
  <c r="P61" i="3"/>
  <c r="P7" i="3"/>
  <c r="P52" i="3"/>
  <c r="P26" i="3"/>
  <c r="P13" i="3"/>
  <c r="P53" i="3"/>
  <c r="P14" i="3"/>
  <c r="P57" i="3"/>
  <c r="P15" i="3"/>
  <c r="P27" i="3"/>
  <c r="P5" i="3"/>
  <c r="P11" i="3"/>
  <c r="P55" i="3"/>
  <c r="P54" i="3"/>
  <c r="P56" i="3"/>
  <c r="P44" i="3"/>
  <c r="P10" i="3"/>
  <c r="AA19" i="1"/>
  <c r="W19" i="1" s="1"/>
  <c r="AA5" i="1"/>
  <c r="W5" i="1" s="1"/>
  <c r="AA45" i="1"/>
  <c r="W45" i="1" s="1"/>
  <c r="AA31" i="1"/>
  <c r="W31" i="1" s="1"/>
  <c r="AA10" i="1"/>
  <c r="W10" i="1" s="1"/>
  <c r="AA6" i="1"/>
  <c r="W6" i="1" s="1"/>
  <c r="AA16" i="1"/>
  <c r="W16" i="1" s="1"/>
  <c r="AA20" i="1"/>
  <c r="W20" i="1" s="1"/>
  <c r="AA33" i="1"/>
  <c r="W33" i="1" s="1"/>
  <c r="AA101" i="1"/>
  <c r="W101" i="1" s="1"/>
  <c r="AA47" i="1"/>
  <c r="W47" i="1" s="1"/>
  <c r="AA105" i="1"/>
  <c r="W105" i="1" s="1"/>
  <c r="AA81" i="1"/>
  <c r="W81" i="1" s="1"/>
  <c r="AA27" i="1"/>
  <c r="W27" i="1" s="1"/>
  <c r="AA56" i="1"/>
  <c r="W56" i="1" s="1"/>
  <c r="AA96" i="1"/>
  <c r="W96" i="1" s="1"/>
  <c r="AA72" i="1"/>
  <c r="W72" i="1" s="1"/>
  <c r="AA28" i="1"/>
  <c r="W28" i="1" s="1"/>
  <c r="AA70" i="1"/>
  <c r="W70" i="1" s="1"/>
  <c r="AA15" i="1"/>
  <c r="W15" i="1" s="1"/>
  <c r="AA86" i="1"/>
  <c r="W86" i="1" s="1"/>
  <c r="AA4" i="1"/>
  <c r="W4" i="1" s="1"/>
  <c r="AA13" i="1"/>
  <c r="W13" i="1" s="1"/>
  <c r="AA104" i="1"/>
  <c r="W104" i="1" s="1"/>
  <c r="AA84" i="1"/>
  <c r="W84" i="1" s="1"/>
  <c r="AA67" i="1"/>
  <c r="W67" i="1" s="1"/>
  <c r="AA22" i="1"/>
  <c r="W22" i="1" s="1"/>
  <c r="AA37" i="1"/>
  <c r="W37" i="1" s="1"/>
  <c r="AA57" i="1"/>
  <c r="W57" i="1" s="1"/>
  <c r="AA100" i="1"/>
  <c r="W100" i="1" s="1"/>
  <c r="AA51" i="1"/>
  <c r="W51" i="1" s="1"/>
  <c r="AA114" i="1"/>
  <c r="W114" i="1" s="1"/>
  <c r="AA66" i="1"/>
  <c r="W66" i="1" s="1"/>
  <c r="AA36" i="1"/>
  <c r="W36" i="1" s="1"/>
  <c r="AA113" i="1"/>
  <c r="W113" i="1" s="1"/>
  <c r="AA49" i="1"/>
  <c r="W49" i="1" s="1"/>
  <c r="AA95" i="1"/>
  <c r="W95" i="1" s="1"/>
  <c r="AA121" i="1"/>
  <c r="W121" i="1" s="1"/>
  <c r="AA50" i="1"/>
  <c r="W50" i="1" s="1"/>
  <c r="AA107" i="1"/>
  <c r="W107" i="1" s="1"/>
  <c r="AA83" i="1"/>
  <c r="W83" i="1" s="1"/>
  <c r="AA87" i="1"/>
  <c r="W87" i="1" s="1"/>
  <c r="AA18" i="1"/>
  <c r="W18" i="1" s="1"/>
  <c r="AA40" i="1"/>
  <c r="W40" i="1" s="1"/>
  <c r="AA119" i="1"/>
  <c r="W119" i="1" s="1"/>
  <c r="AA117" i="1"/>
  <c r="W117" i="1" s="1"/>
  <c r="AA80" i="1"/>
  <c r="W80" i="1" s="1"/>
  <c r="AA23" i="1"/>
  <c r="W23" i="1" s="1"/>
  <c r="AA9" i="1"/>
  <c r="W9" i="1" s="1"/>
  <c r="AA79" i="1"/>
  <c r="W79" i="1" s="1"/>
  <c r="AA60" i="1"/>
  <c r="W60" i="1" s="1"/>
  <c r="AA93" i="1"/>
  <c r="W93" i="1" s="1"/>
  <c r="AA75" i="1"/>
  <c r="W75" i="1" s="1"/>
  <c r="AA97" i="1"/>
  <c r="W97" i="1" s="1"/>
  <c r="AA78" i="1"/>
  <c r="W78" i="1" s="1"/>
  <c r="AA54" i="1"/>
  <c r="W54" i="1" s="1"/>
  <c r="AA44" i="1"/>
  <c r="W44" i="1" s="1"/>
  <c r="AA106" i="1"/>
  <c r="W106" i="1" s="1"/>
  <c r="AA53" i="1"/>
  <c r="W53" i="1" s="1"/>
  <c r="AA48" i="1"/>
  <c r="W48" i="1" s="1"/>
  <c r="AA120" i="1"/>
  <c r="W120" i="1" s="1"/>
  <c r="AA108" i="1"/>
  <c r="W108" i="1" s="1"/>
  <c r="AA94" i="1"/>
  <c r="W94" i="1" s="1"/>
  <c r="AA89" i="1"/>
  <c r="W89" i="1" s="1"/>
  <c r="AA88" i="1"/>
  <c r="W88" i="1" s="1"/>
  <c r="AA74" i="1"/>
  <c r="W74" i="1" s="1"/>
  <c r="AA102" i="1"/>
  <c r="W102" i="1" s="1"/>
  <c r="AA85" i="1"/>
  <c r="W85" i="1" s="1"/>
  <c r="AA111" i="1"/>
  <c r="W111" i="1" s="1"/>
  <c r="AA92" i="1"/>
  <c r="W92" i="1" s="1"/>
  <c r="AA59" i="1"/>
  <c r="W59" i="1" s="1"/>
  <c r="AA76" i="1"/>
  <c r="W76" i="1" s="1"/>
  <c r="AA82" i="1"/>
  <c r="W82" i="1" s="1"/>
  <c r="AA110" i="1"/>
  <c r="W110" i="1" s="1"/>
  <c r="AA91" i="1"/>
  <c r="W91" i="1" s="1"/>
  <c r="AA41" i="1"/>
  <c r="W41" i="1" s="1"/>
  <c r="AA73" i="1"/>
  <c r="W73" i="1" s="1"/>
  <c r="AA116" i="1"/>
  <c r="W116" i="1" s="1"/>
  <c r="AA8" i="1"/>
  <c r="W8" i="1" s="1"/>
  <c r="AA77" i="1"/>
  <c r="W77" i="1" s="1"/>
  <c r="AA17" i="1"/>
  <c r="W17" i="1" s="1"/>
  <c r="AA12" i="1"/>
  <c r="W12" i="1" s="1"/>
  <c r="AA63" i="1"/>
  <c r="W63" i="1" s="1"/>
  <c r="AA21" i="1"/>
  <c r="W21" i="1" s="1"/>
  <c r="AA99" i="1"/>
  <c r="W99" i="1" s="1"/>
  <c r="AA103" i="1"/>
  <c r="W103" i="1" s="1"/>
  <c r="AA43" i="1"/>
  <c r="W43" i="1" s="1"/>
  <c r="AA34" i="1"/>
  <c r="W34" i="1" s="1"/>
  <c r="AA42" i="1"/>
  <c r="W42" i="1" s="1"/>
  <c r="AA68" i="1"/>
  <c r="W68" i="1" s="1"/>
  <c r="AA61" i="1"/>
  <c r="W61" i="1" s="1"/>
  <c r="AA46" i="1"/>
  <c r="W46" i="1" s="1"/>
  <c r="AA112" i="1"/>
  <c r="W112" i="1" s="1"/>
  <c r="AA26" i="1"/>
  <c r="W26" i="1" s="1"/>
  <c r="AA109" i="1"/>
  <c r="W109" i="1" s="1"/>
  <c r="AA69" i="1"/>
  <c r="W69" i="1" s="1"/>
  <c r="AA90" i="1"/>
  <c r="W90" i="1" s="1"/>
  <c r="AA35" i="1"/>
  <c r="W35" i="1" s="1"/>
  <c r="AA30" i="1"/>
  <c r="W30" i="1" s="1"/>
  <c r="AA98" i="1"/>
  <c r="W98" i="1" s="1"/>
  <c r="AA71" i="1"/>
  <c r="W71" i="1" s="1"/>
  <c r="AA62" i="1"/>
  <c r="W62" i="1" s="1"/>
  <c r="AA29" i="1"/>
  <c r="W29" i="1" s="1"/>
  <c r="AA65" i="1"/>
  <c r="W65" i="1" s="1"/>
  <c r="AA115" i="1"/>
  <c r="W115" i="1" s="1"/>
  <c r="AA24" i="1"/>
  <c r="W24" i="1" s="1"/>
  <c r="AA32" i="1"/>
  <c r="W32" i="1" s="1"/>
  <c r="AA11" i="1"/>
  <c r="W11" i="1" s="1"/>
  <c r="AA14" i="1"/>
  <c r="W14" i="1" s="1"/>
  <c r="AA118" i="1"/>
  <c r="W118" i="1" s="1"/>
  <c r="AA52" i="1"/>
  <c r="W52" i="1" s="1"/>
  <c r="AA39" i="1"/>
  <c r="W39" i="1" s="1"/>
  <c r="AA64" i="1"/>
  <c r="W64" i="1" s="1"/>
  <c r="AA58" i="1"/>
  <c r="W58" i="1" s="1"/>
  <c r="AA55" i="1"/>
  <c r="W55" i="1" s="1"/>
  <c r="AA38" i="1"/>
  <c r="W38" i="1" s="1"/>
  <c r="AA25" i="1"/>
  <c r="W25" i="1" s="1"/>
  <c r="AA7" i="1"/>
  <c r="W7" i="1" s="1"/>
  <c r="K3" i="1"/>
  <c r="L3" i="1"/>
  <c r="M3" i="1"/>
  <c r="N3" i="1" s="1"/>
  <c r="K4" i="1"/>
  <c r="L4" i="1"/>
  <c r="M4" i="1"/>
  <c r="N4" i="1" s="1"/>
  <c r="K5" i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K14" i="1"/>
  <c r="L14" i="1"/>
  <c r="M14" i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P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P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P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7" i="1"/>
  <c r="L87" i="1"/>
  <c r="M87" i="1"/>
  <c r="N87" i="1" s="1"/>
  <c r="K86" i="1"/>
  <c r="L86" i="1"/>
  <c r="M86" i="1"/>
  <c r="N86" i="1" s="1"/>
  <c r="K89" i="1"/>
  <c r="L89" i="1"/>
  <c r="M89" i="1"/>
  <c r="N89" i="1" s="1"/>
  <c r="K88" i="1"/>
  <c r="L88" i="1"/>
  <c r="M88" i="1"/>
  <c r="N88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5" i="1"/>
  <c r="L95" i="1"/>
  <c r="M95" i="1"/>
  <c r="N95" i="1" s="1"/>
  <c r="K94" i="1"/>
  <c r="L94" i="1"/>
  <c r="M94" i="1"/>
  <c r="N94" i="1" s="1"/>
  <c r="K93" i="1"/>
  <c r="L93" i="1"/>
  <c r="M93" i="1"/>
  <c r="N93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1" i="1"/>
  <c r="L101" i="1"/>
  <c r="M101" i="1"/>
  <c r="N101" i="1" s="1"/>
  <c r="K100" i="1"/>
  <c r="L100" i="1"/>
  <c r="M100" i="1"/>
  <c r="N100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9" i="1"/>
  <c r="L119" i="1"/>
  <c r="M119" i="1"/>
  <c r="K118" i="1"/>
  <c r="L118" i="1"/>
  <c r="M118" i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P118" i="1" l="1"/>
  <c r="P13" i="1"/>
  <c r="J154" i="1" s="1"/>
  <c r="J155" i="1"/>
  <c r="J152" i="1"/>
  <c r="X3" i="1"/>
  <c r="J156" i="1" l="1"/>
  <c r="V3" i="1"/>
  <c r="Y3" i="1"/>
  <c r="U3" i="1" s="1"/>
  <c r="Z3" i="1"/>
  <c r="L9" i="3"/>
  <c r="Q3" i="3"/>
  <c r="AA3" i="1" l="1"/>
  <c r="W3" i="1" s="1"/>
  <c r="A1" i="1" l="1"/>
  <c r="N155" i="1" l="1"/>
  <c r="A1" i="6" l="1"/>
  <c r="A1" i="3"/>
  <c r="O153" i="1"/>
  <c r="N153" i="1"/>
  <c r="M153" i="1"/>
  <c r="O155" i="1" l="1"/>
  <c r="O152" i="1"/>
  <c r="M155" i="1"/>
  <c r="N152" i="1"/>
  <c r="M152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<sst xmlns="http://schemas.openxmlformats.org/spreadsheetml/2006/main" count="1968" uniqueCount="521">
  <si>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</si>
  <si>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</si>
  <si>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</si>
  <si>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</si>
  <si>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</si>
  <si>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</si>
  <si>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</si>
  <si>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</si>
  <si>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</si>
  <si>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</si>
  <si>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</si>
  <si>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</si>
  <si>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</si>
  <si>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</si>
  <si>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</si>
  <si>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</si>
  <si>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</si>
  <si>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</si>
  <si>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</si>
  <si>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</si>
  <si>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</si>
  <si>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</si>
  <si>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</si>
  <si>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</si>
  <si>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</si>
  <si>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</si>
  <si>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</si>
  <si>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</si>
  <si>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</si>
  <si>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</si>
  <si>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</si>
  <si>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</si>
  <si>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</si>
  <si>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</si>
  <si>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</si>
  <si>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</si>
  <si>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</si>
  <si>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</si>
  <si>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</si>
  <si>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</si>
  <si>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</si>
  <si>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</si>
  <si>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</si>
  <si>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</si>
  <si>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</si>
  <si>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</si>
  <si>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</si>
  <si>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</si>
  <si>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</si>
  <si>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</si>
  <si>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</si>
  <si>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</si>
  <si>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</si>
  <si>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</si>
  <si>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</si>
  <si>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</si>
  <si>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</si>
  <si>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</si>
  <si>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</si>
  <si>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</si>
  <si>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</si>
  <si>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</si>
  <si>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</si>
  <si>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</si>
  <si>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</si>
  <si>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204:232994</t>
  </si>
  <si>
    <t>N</t>
  </si>
  <si>
    <t>baselines:</t>
  </si>
  <si>
    <t>sunday - thu - 144/day</t>
  </si>
  <si>
    <t>fri-sat - 146/day</t>
  </si>
  <si>
    <t>Married Pair</t>
  </si>
  <si>
    <t>204:147</t>
  </si>
  <si>
    <t>204:232996</t>
  </si>
  <si>
    <t>204:160</t>
  </si>
  <si>
    <t>204:460</t>
  </si>
  <si>
    <t>rtdc.l.rtdc.4032:itc</t>
  </si>
  <si>
    <t>Y</t>
  </si>
  <si>
    <t>204:232977</t>
  </si>
  <si>
    <t>204:466</t>
  </si>
  <si>
    <t>204:462</t>
  </si>
  <si>
    <t>Kibana URL</t>
  </si>
  <si>
    <t>204:457</t>
  </si>
  <si>
    <t>204:232991</t>
  </si>
  <si>
    <t>204:141</t>
  </si>
  <si>
    <t>204:156</t>
  </si>
  <si>
    <t>204:149</t>
  </si>
  <si>
    <t>GRADE CROSSING</t>
  </si>
  <si>
    <t>Bulletin (2)</t>
  </si>
  <si>
    <t>204:453</t>
  </si>
  <si>
    <t>rtdc.l.rtdc.4043:itc</t>
  </si>
  <si>
    <t>204:232978</t>
  </si>
  <si>
    <t>204:154</t>
  </si>
  <si>
    <t>204:233304</t>
  </si>
  <si>
    <t>SANTIZO</t>
  </si>
  <si>
    <t>204:233299</t>
  </si>
  <si>
    <t>rtdc.l.rtdc.4019:itc</t>
  </si>
  <si>
    <t>rtdc.l.rtdc.4020:itc</t>
  </si>
  <si>
    <t>204:458</t>
  </si>
  <si>
    <t>rtdc.l.rtdc.4018:itc</t>
  </si>
  <si>
    <t>rtdc.l.rtdc.4017:itc</t>
  </si>
  <si>
    <t>rtdc.l.rtdc.4023:itc</t>
  </si>
  <si>
    <t>YOUNG</t>
  </si>
  <si>
    <t>LOZA</t>
  </si>
  <si>
    <t>204:233315</t>
  </si>
  <si>
    <t>204:232975</t>
  </si>
  <si>
    <t>204:464</t>
  </si>
  <si>
    <t>STORY</t>
  </si>
  <si>
    <t>rtdc.l.rtdc.4024:itc</t>
  </si>
  <si>
    <t>rtdc.l.rtdc.4008:itc</t>
  </si>
  <si>
    <t>rtdc.l.rtdc.4030:itc</t>
  </si>
  <si>
    <t>rtdc.l.rtdc.4007:itc</t>
  </si>
  <si>
    <t>rtdc.l.rtdc.4044:itc</t>
  </si>
  <si>
    <t>rtdc.l.rtdc.4031:itc</t>
  </si>
  <si>
    <t>ROCHA</t>
  </si>
  <si>
    <t>BARTLETT</t>
  </si>
  <si>
    <t>MALAVE</t>
  </si>
  <si>
    <t>GOODNIGHT</t>
  </si>
  <si>
    <t>rtdc.l.rtdc.4029:itc</t>
  </si>
  <si>
    <t>204:161</t>
  </si>
  <si>
    <t>204:232985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</si>
  <si>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</si>
  <si>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</si>
  <si>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</si>
  <si>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</si>
  <si>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</si>
  <si>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</si>
  <si>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</si>
  <si>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204:233289</t>
  </si>
  <si>
    <t>rtdc.l.rtdc.4025:itc</t>
  </si>
  <si>
    <t>rtdc.l.rtdc.4026:itc</t>
  </si>
  <si>
    <t>BRABO</t>
  </si>
  <si>
    <t>204:449</t>
  </si>
  <si>
    <t>204:233293</t>
  </si>
  <si>
    <t>204:158</t>
  </si>
  <si>
    <t>204:233309</t>
  </si>
  <si>
    <t>204:232980</t>
  </si>
  <si>
    <t>204:233297</t>
  </si>
  <si>
    <t>rtdc.l.rtdc.4011:itc</t>
  </si>
  <si>
    <t>rtdc.l.rtdc.4041:itc</t>
  </si>
  <si>
    <t>rtdc.l.rtdc.4042:itc</t>
  </si>
  <si>
    <t>rtdc.l.rtdc.4012:itc</t>
  </si>
  <si>
    <t>204:232979</t>
  </si>
  <si>
    <t>204:232973</t>
  </si>
  <si>
    <t>204:232998</t>
  </si>
  <si>
    <t>204:170</t>
  </si>
  <si>
    <t>204:163</t>
  </si>
  <si>
    <t>204:469</t>
  </si>
  <si>
    <t>204:233291</t>
  </si>
  <si>
    <t>204:232974</t>
  </si>
  <si>
    <t>204:139</t>
  </si>
  <si>
    <t>204:233010</t>
  </si>
  <si>
    <t>204:233280</t>
  </si>
  <si>
    <t>rtdc.l.rtdc.4009:itc</t>
  </si>
  <si>
    <t>CANFIELD</t>
  </si>
  <si>
    <t>rtdc.l.rtdc.4010:itc</t>
  </si>
  <si>
    <t>MAELZER</t>
  </si>
  <si>
    <t>204:455</t>
  </si>
  <si>
    <t>204:467</t>
  </si>
  <si>
    <t>204:233303</t>
  </si>
  <si>
    <t>204:233321</t>
  </si>
  <si>
    <t>204:232969</t>
  </si>
  <si>
    <t>Recorded Loco</t>
  </si>
  <si>
    <t>Recorded time</t>
  </si>
  <si>
    <t>NELSON</t>
  </si>
  <si>
    <t>BRUDER</t>
  </si>
  <si>
    <t>LOCKLEAR</t>
  </si>
  <si>
    <t>COOLAHAN</t>
  </si>
  <si>
    <t>ACKERMAN</t>
  </si>
  <si>
    <t>STURGEON</t>
  </si>
  <si>
    <t>204:735</t>
  </si>
  <si>
    <t>204:233314</t>
  </si>
  <si>
    <t>204:178</t>
  </si>
  <si>
    <t>204:233298</t>
  </si>
  <si>
    <t>204:471</t>
  </si>
  <si>
    <t>204:233312</t>
  </si>
  <si>
    <t>204:233310</t>
  </si>
  <si>
    <t>204:233307</t>
  </si>
  <si>
    <t>204:129</t>
  </si>
  <si>
    <t>204:444</t>
  </si>
  <si>
    <t>204:233336</t>
  </si>
  <si>
    <t>204:233002</t>
  </si>
  <si>
    <t>204:143</t>
  </si>
  <si>
    <t>204:232976</t>
  </si>
  <si>
    <t>204:493</t>
  </si>
  <si>
    <t>204:176</t>
  </si>
  <si>
    <t>204:233319</t>
  </si>
  <si>
    <t>204:150</t>
  </si>
  <si>
    <t>204:233001</t>
  </si>
  <si>
    <t>204:233015</t>
  </si>
  <si>
    <t>204:232986</t>
  </si>
  <si>
    <t>204:232983</t>
  </si>
  <si>
    <t>204:431</t>
  </si>
  <si>
    <t>204:480</t>
  </si>
  <si>
    <t>204:172</t>
  </si>
  <si>
    <t>204:167</t>
  </si>
  <si>
    <t>204:233301</t>
  </si>
  <si>
    <t>Onboard In-Route Failure</t>
  </si>
  <si>
    <t>Form C</t>
  </si>
  <si>
    <t>Comms</t>
  </si>
  <si>
    <t>Dispatcher Error</t>
  </si>
  <si>
    <t>Early Arrival</t>
  </si>
  <si>
    <t>Xing Completion Percentage</t>
  </si>
  <si>
    <t>101-20</t>
  </si>
  <si>
    <t>204:748</t>
  </si>
  <si>
    <t>102-20</t>
  </si>
  <si>
    <t>204:232670</t>
  </si>
  <si>
    <t>103-20</t>
  </si>
  <si>
    <t>204:754</t>
  </si>
  <si>
    <t>104-20</t>
  </si>
  <si>
    <t>204:232660</t>
  </si>
  <si>
    <t>105-20</t>
  </si>
  <si>
    <t>204:768</t>
  </si>
  <si>
    <t>204:233308</t>
  </si>
  <si>
    <t>106-20</t>
  </si>
  <si>
    <t>204:232655</t>
  </si>
  <si>
    <t>107-20</t>
  </si>
  <si>
    <t>204:233324</t>
  </si>
  <si>
    <t>108-20</t>
  </si>
  <si>
    <t>204:233007</t>
  </si>
  <si>
    <t>109-20</t>
  </si>
  <si>
    <t>204:478</t>
  </si>
  <si>
    <t>110-20</t>
  </si>
  <si>
    <t>111-20</t>
  </si>
  <si>
    <t>204:19118</t>
  </si>
  <si>
    <t>204:37361</t>
  </si>
  <si>
    <t>204:64681</t>
  </si>
  <si>
    <t>112-20</t>
  </si>
  <si>
    <t>204:185</t>
  </si>
  <si>
    <t>113-20</t>
  </si>
  <si>
    <t>204:475</t>
  </si>
  <si>
    <t>114-20</t>
  </si>
  <si>
    <t>115-20</t>
  </si>
  <si>
    <t>204:819</t>
  </si>
  <si>
    <t>204:233278</t>
  </si>
  <si>
    <t>117-20</t>
  </si>
  <si>
    <t>118-20</t>
  </si>
  <si>
    <t>204:232955</t>
  </si>
  <si>
    <t>119-20</t>
  </si>
  <si>
    <t>120-20</t>
  </si>
  <si>
    <t>121-20</t>
  </si>
  <si>
    <t>204:233317</t>
  </si>
  <si>
    <t>122-20</t>
  </si>
  <si>
    <t>123-20</t>
  </si>
  <si>
    <t>124-20</t>
  </si>
  <si>
    <t>125-20</t>
  </si>
  <si>
    <t>126-20</t>
  </si>
  <si>
    <t>127-20</t>
  </si>
  <si>
    <t>128-20</t>
  </si>
  <si>
    <t>129-20</t>
  </si>
  <si>
    <t>131-20</t>
  </si>
  <si>
    <t>204:232902</t>
  </si>
  <si>
    <t>132-20</t>
  </si>
  <si>
    <t>204:232581</t>
  </si>
  <si>
    <t>133-20</t>
  </si>
  <si>
    <t>134-20</t>
  </si>
  <si>
    <t>204:232965</t>
  </si>
  <si>
    <t>204:165</t>
  </si>
  <si>
    <t>135-20</t>
  </si>
  <si>
    <t>136-20</t>
  </si>
  <si>
    <t>204:232981</t>
  </si>
  <si>
    <t>137-20</t>
  </si>
  <si>
    <t>204:233330</t>
  </si>
  <si>
    <t>138-20</t>
  </si>
  <si>
    <t>139-20</t>
  </si>
  <si>
    <t>204:233327</t>
  </si>
  <si>
    <t>140-20</t>
  </si>
  <si>
    <t>141-20</t>
  </si>
  <si>
    <t>204:451</t>
  </si>
  <si>
    <t>142-20</t>
  </si>
  <si>
    <t>143-20</t>
  </si>
  <si>
    <t>204:1492</t>
  </si>
  <si>
    <t>144-20</t>
  </si>
  <si>
    <t>145-20</t>
  </si>
  <si>
    <t>146-20</t>
  </si>
  <si>
    <t>147-20</t>
  </si>
  <si>
    <t>204:486</t>
  </si>
  <si>
    <t>148-20</t>
  </si>
  <si>
    <t>149-20</t>
  </si>
  <si>
    <t>204:233140</t>
  </si>
  <si>
    <t>150-20</t>
  </si>
  <si>
    <t>204:232840</t>
  </si>
  <si>
    <t>151-20</t>
  </si>
  <si>
    <t>152-20</t>
  </si>
  <si>
    <t>153-20</t>
  </si>
  <si>
    <t>154-20</t>
  </si>
  <si>
    <t>155-20</t>
  </si>
  <si>
    <t>156-20</t>
  </si>
  <si>
    <t>158-20</t>
  </si>
  <si>
    <t>159-20</t>
  </si>
  <si>
    <t>204:233263</t>
  </si>
  <si>
    <t>160-20</t>
  </si>
  <si>
    <t>204:232947</t>
  </si>
  <si>
    <t>161-20</t>
  </si>
  <si>
    <t>163-20</t>
  </si>
  <si>
    <t>204:233353</t>
  </si>
  <si>
    <t>164-20</t>
  </si>
  <si>
    <t>204:233040</t>
  </si>
  <si>
    <t>165-20</t>
  </si>
  <si>
    <t>204:233453</t>
  </si>
  <si>
    <t>166-20</t>
  </si>
  <si>
    <t>204:233122</t>
  </si>
  <si>
    <t>167-20</t>
  </si>
  <si>
    <t>168-20</t>
  </si>
  <si>
    <t>169-20</t>
  </si>
  <si>
    <t>204:488</t>
  </si>
  <si>
    <t>170-20</t>
  </si>
  <si>
    <t>171-20</t>
  </si>
  <si>
    <t>172-20</t>
  </si>
  <si>
    <t>204:228215</t>
  </si>
  <si>
    <t>173-20</t>
  </si>
  <si>
    <t>174-20</t>
  </si>
  <si>
    <t>175-20</t>
  </si>
  <si>
    <t>176-20</t>
  </si>
  <si>
    <t>177-20</t>
  </si>
  <si>
    <t>204:233341</t>
  </si>
  <si>
    <t>178-20</t>
  </si>
  <si>
    <t>204:233013</t>
  </si>
  <si>
    <t>204:334</t>
  </si>
  <si>
    <t>179-20</t>
  </si>
  <si>
    <t>180-20</t>
  </si>
  <si>
    <t>204:233030</t>
  </si>
  <si>
    <t>204:1179</t>
  </si>
  <si>
    <t>181-20</t>
  </si>
  <si>
    <t>182-20</t>
  </si>
  <si>
    <t>183-20</t>
  </si>
  <si>
    <t>204:233351</t>
  </si>
  <si>
    <t>184-20</t>
  </si>
  <si>
    <t>204:233043</t>
  </si>
  <si>
    <t>185-20</t>
  </si>
  <si>
    <t>204:1171</t>
  </si>
  <si>
    <t>204:233362</t>
  </si>
  <si>
    <t>186-20</t>
  </si>
  <si>
    <t>204:233044</t>
  </si>
  <si>
    <t>204:225</t>
  </si>
  <si>
    <t>187-20</t>
  </si>
  <si>
    <t>204:420</t>
  </si>
  <si>
    <t>204:233272</t>
  </si>
  <si>
    <t>188-20</t>
  </si>
  <si>
    <t>204:232959</t>
  </si>
  <si>
    <t>189-20</t>
  </si>
  <si>
    <t>204:772</t>
  </si>
  <si>
    <t>204:233284</t>
  </si>
  <si>
    <t>190-20</t>
  </si>
  <si>
    <t>191-20</t>
  </si>
  <si>
    <t>204:633</t>
  </si>
  <si>
    <t>192-20</t>
  </si>
  <si>
    <t>193-20</t>
  </si>
  <si>
    <t>204:305</t>
  </si>
  <si>
    <t>204:233332</t>
  </si>
  <si>
    <t>194-20</t>
  </si>
  <si>
    <t>204:233017</t>
  </si>
  <si>
    <t>195-20</t>
  </si>
  <si>
    <t>196-20</t>
  </si>
  <si>
    <t>197-20</t>
  </si>
  <si>
    <t>204:233389</t>
  </si>
  <si>
    <t>198-20</t>
  </si>
  <si>
    <t>204:233084</t>
  </si>
  <si>
    <t>199-20</t>
  </si>
  <si>
    <t>204:520</t>
  </si>
  <si>
    <t>200-20</t>
  </si>
  <si>
    <t>204:233011</t>
  </si>
  <si>
    <t>204:254</t>
  </si>
  <si>
    <t>201-20</t>
  </si>
  <si>
    <t>204:491</t>
  </si>
  <si>
    <t>202-20</t>
  </si>
  <si>
    <t>204:232961</t>
  </si>
  <si>
    <t>203-20</t>
  </si>
  <si>
    <t>204-20</t>
  </si>
  <si>
    <t>204:232970</t>
  </si>
  <si>
    <t>205-20</t>
  </si>
  <si>
    <t>204:477</t>
  </si>
  <si>
    <t>204:233328</t>
  </si>
  <si>
    <t>206-20</t>
  </si>
  <si>
    <t>204:189</t>
  </si>
  <si>
    <t>207-20</t>
  </si>
  <si>
    <t>204:233344</t>
  </si>
  <si>
    <t>208-20</t>
  </si>
  <si>
    <t>204:233027</t>
  </si>
  <si>
    <t>209-20</t>
  </si>
  <si>
    <t>210-20</t>
  </si>
  <si>
    <t>204:233009</t>
  </si>
  <si>
    <t>211-20</t>
  </si>
  <si>
    <t>204:233355</t>
  </si>
  <si>
    <t>212-20</t>
  </si>
  <si>
    <t>204:233023</t>
  </si>
  <si>
    <t>213-20</t>
  </si>
  <si>
    <t>204:570</t>
  </si>
  <si>
    <t>214-20</t>
  </si>
  <si>
    <t>204:132</t>
  </si>
  <si>
    <t>215-20</t>
  </si>
  <si>
    <t>204:1315</t>
  </si>
  <si>
    <t>204:233287</t>
  </si>
  <si>
    <t>216-20</t>
  </si>
  <si>
    <t>204:232960</t>
  </si>
  <si>
    <t>217-20</t>
  </si>
  <si>
    <t>204:19132</t>
  </si>
  <si>
    <t>204:233311</t>
  </si>
  <si>
    <t>204:6009</t>
  </si>
  <si>
    <t>218-20</t>
  </si>
  <si>
    <t>219-20</t>
  </si>
  <si>
    <t>220-20</t>
  </si>
  <si>
    <t>221-20</t>
  </si>
  <si>
    <t>222-20</t>
  </si>
  <si>
    <t>204:232992</t>
  </si>
  <si>
    <t>223-20</t>
  </si>
  <si>
    <t>204:413</t>
  </si>
  <si>
    <t>224-20</t>
  </si>
  <si>
    <t>204:1190</t>
  </si>
  <si>
    <t>225-20</t>
  </si>
  <si>
    <t>226-20</t>
  </si>
  <si>
    <t>227-20</t>
  </si>
  <si>
    <t>204:19133</t>
  </si>
  <si>
    <t>228-20</t>
  </si>
  <si>
    <t>229-20</t>
  </si>
  <si>
    <t>204:99426</t>
  </si>
  <si>
    <t>230-20</t>
  </si>
  <si>
    <t>231-20</t>
  </si>
  <si>
    <t>232-20</t>
  </si>
  <si>
    <t>233-20</t>
  </si>
  <si>
    <t>234-20</t>
  </si>
  <si>
    <t>235-20</t>
  </si>
  <si>
    <t>236-20</t>
  </si>
  <si>
    <t>237-20</t>
  </si>
  <si>
    <t>204:233305</t>
  </si>
  <si>
    <t>238-20</t>
  </si>
  <si>
    <t>239-20</t>
  </si>
  <si>
    <t>240-20</t>
  </si>
  <si>
    <t>204:205</t>
  </si>
  <si>
    <t>241-20</t>
  </si>
  <si>
    <t>242-20</t>
  </si>
  <si>
    <t>204:232984</t>
  </si>
  <si>
    <t>243-20</t>
  </si>
  <si>
    <t>244-20</t>
  </si>
  <si>
    <t>204:187</t>
  </si>
  <si>
    <t>800-20</t>
  </si>
  <si>
    <t>801-20</t>
  </si>
  <si>
    <t>802-20</t>
  </si>
  <si>
    <t>803-20</t>
  </si>
  <si>
    <t>804-20</t>
  </si>
  <si>
    <t>805-20</t>
  </si>
  <si>
    <t>806-20</t>
  </si>
  <si>
    <t>807-20</t>
  </si>
  <si>
    <t>808-20</t>
  </si>
  <si>
    <t>809-20</t>
  </si>
  <si>
    <t>810-20</t>
  </si>
  <si>
    <t>811-20</t>
  </si>
  <si>
    <t>812-20</t>
  </si>
  <si>
    <t>813-20</t>
  </si>
  <si>
    <t>814-20</t>
  </si>
  <si>
    <t>815-20</t>
  </si>
  <si>
    <t>816-20</t>
  </si>
  <si>
    <t>817-20</t>
  </si>
  <si>
    <t>818-20</t>
  </si>
  <si>
    <t>819-20</t>
  </si>
  <si>
    <t>820-20</t>
  </si>
  <si>
    <t>821-20</t>
  </si>
  <si>
    <t>822-20</t>
  </si>
  <si>
    <t>823-20</t>
  </si>
  <si>
    <t>824-20</t>
  </si>
  <si>
    <t>825-20</t>
  </si>
  <si>
    <t>826-20</t>
  </si>
  <si>
    <t>827-20</t>
  </si>
  <si>
    <t>828-20</t>
  </si>
  <si>
    <t>829-20</t>
  </si>
  <si>
    <t>830-20</t>
  </si>
  <si>
    <t>831-20</t>
  </si>
  <si>
    <t>832-20</t>
  </si>
  <si>
    <t>833-20</t>
  </si>
  <si>
    <t>834-20</t>
  </si>
  <si>
    <t>835-20</t>
  </si>
  <si>
    <t>836-20</t>
  </si>
  <si>
    <t>837-20</t>
  </si>
  <si>
    <t>838-20</t>
  </si>
  <si>
    <t>839-20</t>
  </si>
  <si>
    <t>840-20</t>
  </si>
  <si>
    <t>841-20</t>
  </si>
  <si>
    <t>842-20</t>
  </si>
  <si>
    <t>843-20</t>
  </si>
  <si>
    <t>844-20</t>
  </si>
  <si>
    <t>845-20</t>
  </si>
  <si>
    <t>847-20</t>
  </si>
  <si>
    <t>906-20</t>
  </si>
  <si>
    <t>908-20</t>
  </si>
  <si>
    <t>rtdc.l.rtdc.4038:itc</t>
  </si>
  <si>
    <t>157-20</t>
  </si>
  <si>
    <t>TEMPORARY SPEED RESTRICTION</t>
  </si>
  <si>
    <t>MOSES</t>
  </si>
  <si>
    <t>REBOLETTI</t>
  </si>
  <si>
    <t>DE LA ROSA</t>
  </si>
  <si>
    <t>HELVIE</t>
  </si>
  <si>
    <t>SPECTOR</t>
  </si>
  <si>
    <t>STAMBAUGH</t>
  </si>
  <si>
    <t>PELLITIER</t>
  </si>
  <si>
    <t>YANAI</t>
  </si>
  <si>
    <t>rtdc.l.rtdc.4037:itc</t>
  </si>
  <si>
    <t>130-20</t>
  </si>
  <si>
    <t>CHANDLER</t>
  </si>
  <si>
    <t>116-20</t>
  </si>
  <si>
    <t>162-20</t>
  </si>
  <si>
    <t>IsEven</t>
  </si>
  <si>
    <t>Xing#</t>
  </si>
  <si>
    <t>Trip Began at 1.9</t>
  </si>
  <si>
    <t>Dispatcher Error - Incorrect Stop and Proceed Execution</t>
  </si>
  <si>
    <t>Stop With Warning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</si>
  <si>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</si>
  <si>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</si>
  <si>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</si>
  <si>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</si>
  <si>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</si>
  <si>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</si>
  <si>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</si>
  <si>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</si>
  <si>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</si>
  <si>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</si>
  <si>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</si>
  <si>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</si>
  <si>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</si>
  <si>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</si>
  <si>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</si>
  <si>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to run on time equipment fail</t>
  </si>
  <si>
    <t>Possible equipment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</si>
</sst>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9" fillId="0" borderId="0"/>
  </cellStyleXfs>
  <cellXfs count="10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6" xfId="1" applyFont="1" applyFill="1" applyBorder="1" applyAlignment="1">
      <alignment horizontal="center"/>
    </xf>
    <xf numFmtId="0" fontId="10" fillId="0" borderId="17" xfId="1" applyFont="1" applyFill="1" applyBorder="1" applyAlignment="1">
      <alignment wrapText="1"/>
    </xf>
    <xf numFmtId="0" fontId="10" fillId="0" borderId="17" xfId="1" applyFont="1" applyFill="1" applyBorder="1" applyAlignment="1">
      <alignment horizontal="right" wrapText="1"/>
    </xf>
    <xf numFmtId="9" fontId="0" fillId="0" borderId="5" xfId="0" applyNumberFormat="1" applyFill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2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4"/>
  <sheetViews>
    <sheetView showGridLines="0" topLeftCell="B112" zoomScale="85" zoomScaleNormal="85" workbookViewId="0">
      <selection activeCell="S14" sqref="S14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28515625" bestFit="1" customWidth="1"/>
    <col min="19" max="19" width="11.85546875" style="59" customWidth="1"/>
    <col min="20" max="20" width="12.42578125" bestFit="1" customWidth="1"/>
    <col min="21" max="21" width="4.28515625" style="59" customWidth="1"/>
    <col min="22" max="22" width="19.28515625" style="54" customWidth="1"/>
    <col min="23" max="23" width="10.140625" style="54" customWidth="1"/>
    <col min="24" max="24" width="14.140625" style="54" customWidth="1"/>
    <col min="25" max="27" width="9.140625" style="54"/>
    <col min="28" max="28" width="10.7109375" style="55" bestFit="1" customWidth="1"/>
    <col min="29" max="29" width="17.42578125" style="55" customWidth="1"/>
  </cols>
  <sheetData>
    <row r="1" spans="1:91" ht="57.75" customHeight="1" thickBot="1" x14ac:dyDescent="0.3">
      <c r="A1" s="104" t="str">
        <f>"Eagle P3 System Performance - "&amp;TEXT(Variables!A2,"yyyy-mm-dd")</f>
        <v>Eagle P3 System Performance - 2016-06-20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</row>
    <row r="2" spans="1:91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70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201</v>
      </c>
      <c r="T2" s="10" t="s">
        <v>499</v>
      </c>
      <c r="U2" s="10" t="s">
        <v>500</v>
      </c>
      <c r="V2" s="71" t="s">
        <v>47</v>
      </c>
      <c r="W2" s="71" t="s">
        <v>23</v>
      </c>
      <c r="X2" s="71" t="s">
        <v>51</v>
      </c>
      <c r="Y2" s="71" t="s">
        <v>20</v>
      </c>
      <c r="Z2" s="71" t="s">
        <v>21</v>
      </c>
      <c r="AA2" s="71" t="s">
        <v>22</v>
      </c>
      <c r="AB2" s="72" t="s">
        <v>41</v>
      </c>
      <c r="AC2" s="72" t="s">
        <v>42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</row>
    <row r="3" spans="1:91" s="2" customFormat="1" x14ac:dyDescent="0.25">
      <c r="A3" s="60" t="s">
        <v>202</v>
      </c>
      <c r="B3" s="60">
        <v>4029</v>
      </c>
      <c r="C3" s="60" t="s">
        <v>62</v>
      </c>
      <c r="D3" s="60" t="s">
        <v>203</v>
      </c>
      <c r="E3" s="30">
        <v>42541.134756944448</v>
      </c>
      <c r="F3" s="30">
        <v>42541.135601851849</v>
      </c>
      <c r="G3" s="38">
        <v>1</v>
      </c>
      <c r="H3" s="30" t="s">
        <v>159</v>
      </c>
      <c r="I3" s="30">
        <v>42541.162743055553</v>
      </c>
      <c r="J3" s="60">
        <v>0</v>
      </c>
      <c r="K3" s="60" t="str">
        <f t="shared" ref="K3:K34" si="0">IF(ISEVEN(B3),(B3-1)&amp;"/"&amp;B3,B3&amp;"/"&amp;(B3+1))</f>
        <v>4029/4030</v>
      </c>
      <c r="L3" s="60" t="str">
        <f>VLOOKUP(A3,'Trips&amp;Operators'!$C$1:$E$10000,3,FALSE)</f>
        <v>CANFIELD</v>
      </c>
      <c r="M3" s="12">
        <f t="shared" ref="M3:M34" si="1">I3-F3</f>
        <v>2.7141203703649808E-2</v>
      </c>
      <c r="N3" s="13">
        <f t="shared" ref="N3:N12" si="2">24*60*SUM($M3:$M3)</f>
        <v>39.083333333255723</v>
      </c>
      <c r="O3" s="13"/>
      <c r="P3" s="13"/>
      <c r="Q3" s="61"/>
      <c r="R3" s="61"/>
      <c r="S3" s="96">
        <f>SUM(U3:U3)/12</f>
        <v>1</v>
      </c>
      <c r="T3" s="2" t="str">
        <f t="shared" ref="T3:T34" si="3">IF(ISEVEN(LEFT(A3,3)),"Southbound","NorthBound")</f>
        <v>NorthBound</v>
      </c>
      <c r="U3" s="2">
        <f>COUNTIFS(Variables!$M$2:$M$13, "&gt;=" &amp; Y3, Variables!$M$2:$M$13, "&lt;=" &amp; Z3)</f>
        <v>12</v>
      </c>
      <c r="V3" s="73" t="str">
        <f t="shared" ref="V3:V34" si="4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https://search-rtdc-monitor-bjffxe2xuh6vdkpspy63sjmuny.us-east-1.es.amazonaws.com/_plugin/kibana/#/discover/Steve-Slow-Train-Analysis-(2080s-and-2083s)?_g=(refreshInterval:(display:Off,section:0,value:0),time:(from:'2016-06-20 03:13:03-0600',mode:absolute,to:'2016-06-20 03:55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" s="73" t="str">
        <f t="shared" ref="W3:W34" si="5">IF(AA3&lt;23,"Y","N")</f>
        <v>N</v>
      </c>
      <c r="X3" s="73" t="e">
        <f t="shared" ref="X3:X34" si="6">VALUE(LEFT(A3,3))-VALUE(LEFT(A2,3))</f>
        <v>#VALUE!</v>
      </c>
      <c r="Y3" s="73">
        <f t="shared" ref="Y3:Y34" si="7">RIGHT(D3,LEN(D3)-4)/10000</f>
        <v>7.4800000000000005E-2</v>
      </c>
      <c r="Z3" s="73">
        <f t="shared" ref="Z3:Z34" si="8">RIGHT(H3,LEN(H3)-4)/10000</f>
        <v>23.332100000000001</v>
      </c>
      <c r="AA3" s="73">
        <f t="shared" ref="AA3:AA34" si="9">ABS(Z3-Y3)</f>
        <v>23.257300000000001</v>
      </c>
      <c r="AB3" s="74" t="e">
        <f>VLOOKUP(A3,Enforcements!C3:J65,8,0)</f>
        <v>#N/A</v>
      </c>
      <c r="AC3" s="74" t="e">
        <f>VLOOKUP(A3,Enforcements!C3:E65,3,0)</f>
        <v>#N/A</v>
      </c>
    </row>
    <row r="4" spans="1:91" s="2" customFormat="1" x14ac:dyDescent="0.25">
      <c r="A4" s="60" t="s">
        <v>204</v>
      </c>
      <c r="B4" s="60">
        <v>4012</v>
      </c>
      <c r="C4" s="60" t="s">
        <v>62</v>
      </c>
      <c r="D4" s="60" t="s">
        <v>205</v>
      </c>
      <c r="E4" s="30">
        <v>42541.169340277775</v>
      </c>
      <c r="F4" s="30">
        <v>42541.170902777776</v>
      </c>
      <c r="G4" s="38">
        <v>2</v>
      </c>
      <c r="H4" s="30" t="s">
        <v>171</v>
      </c>
      <c r="I4" s="30">
        <v>42541.202962962961</v>
      </c>
      <c r="J4" s="60">
        <v>0</v>
      </c>
      <c r="K4" s="60" t="str">
        <f t="shared" si="0"/>
        <v>4011/4012</v>
      </c>
      <c r="L4" s="60" t="str">
        <f>VLOOKUP(A4,'Trips&amp;Operators'!$C$1:$E$10000,3,FALSE)</f>
        <v>CANFIELD</v>
      </c>
      <c r="M4" s="12">
        <f t="shared" si="1"/>
        <v>3.2060185185400769E-2</v>
      </c>
      <c r="N4" s="13">
        <f t="shared" si="2"/>
        <v>46.166666666977108</v>
      </c>
      <c r="O4" s="13"/>
      <c r="P4" s="13"/>
      <c r="Q4" s="61"/>
      <c r="R4" s="61"/>
      <c r="S4" s="96">
        <f t="shared" ref="S4:S67" si="10">SUM(U4:U4)/12</f>
        <v>1</v>
      </c>
      <c r="T4" s="2" t="str">
        <f t="shared" si="3"/>
        <v>Southbound</v>
      </c>
      <c r="U4" s="2">
        <f>COUNTIFS(Variables!$M$2:$M$13, "&lt;=" &amp; Y4, Variables!$M$2:$M$13, "&gt;=" &amp; Z4)</f>
        <v>12</v>
      </c>
      <c r="V4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04:02:51-0600',mode:absolute,to:'2016-06-20 04:53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" s="73" t="str">
        <f t="shared" si="5"/>
        <v>N</v>
      </c>
      <c r="X4" s="73">
        <f t="shared" si="6"/>
        <v>1</v>
      </c>
      <c r="Y4" s="73">
        <f t="shared" si="7"/>
        <v>23.266999999999999</v>
      </c>
      <c r="Z4" s="73">
        <f t="shared" si="8"/>
        <v>1.78E-2</v>
      </c>
      <c r="AA4" s="73">
        <f t="shared" si="9"/>
        <v>23.249199999999998</v>
      </c>
      <c r="AB4" s="74" t="e">
        <f>VLOOKUP(A4,Enforcements!C3:J66,8,0)</f>
        <v>#N/A</v>
      </c>
      <c r="AC4" s="74" t="e">
        <f>VLOOKUP(A4,Enforcements!C3:E66,3,0)</f>
        <v>#N/A</v>
      </c>
    </row>
    <row r="5" spans="1:91" s="2" customFormat="1" x14ac:dyDescent="0.25">
      <c r="A5" s="60" t="s">
        <v>206</v>
      </c>
      <c r="B5" s="60">
        <v>4038</v>
      </c>
      <c r="C5" s="60" t="s">
        <v>62</v>
      </c>
      <c r="D5" s="60" t="s">
        <v>207</v>
      </c>
      <c r="E5" s="30">
        <v>42541.153495370374</v>
      </c>
      <c r="F5" s="30">
        <v>42541.154942129629</v>
      </c>
      <c r="G5" s="38">
        <v>2</v>
      </c>
      <c r="H5" s="30" t="s">
        <v>147</v>
      </c>
      <c r="I5" s="30">
        <v>42541.183692129627</v>
      </c>
      <c r="J5" s="60">
        <v>1</v>
      </c>
      <c r="K5" s="60" t="str">
        <f t="shared" si="0"/>
        <v>4037/4038</v>
      </c>
      <c r="L5" s="60" t="str">
        <f>VLOOKUP(A5,'Trips&amp;Operators'!$C$1:$E$10000,3,FALSE)</f>
        <v>STURGEON</v>
      </c>
      <c r="M5" s="12">
        <f t="shared" si="1"/>
        <v>2.8749999997671694E-2</v>
      </c>
      <c r="N5" s="13">
        <f t="shared" si="2"/>
        <v>41.399999996647239</v>
      </c>
      <c r="O5" s="13"/>
      <c r="P5" s="13"/>
      <c r="Q5" s="61"/>
      <c r="R5" s="61"/>
      <c r="S5" s="96">
        <f t="shared" si="10"/>
        <v>1</v>
      </c>
      <c r="T5" s="2" t="str">
        <f t="shared" si="3"/>
        <v>NorthBound</v>
      </c>
      <c r="U5" s="2">
        <f>COUNTIFS(Variables!$M$2:$M$13, "&gt;=" &amp; Y5, Variables!$M$2:$M$13, "&lt;=" &amp; Z5)</f>
        <v>12</v>
      </c>
      <c r="V5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03:40:02-0600',mode:absolute,to:'2016-06-20 04:25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5" s="73" t="str">
        <f t="shared" si="5"/>
        <v>N</v>
      </c>
      <c r="X5" s="73">
        <f t="shared" si="6"/>
        <v>1</v>
      </c>
      <c r="Y5" s="73">
        <f t="shared" si="7"/>
        <v>7.5399999999999995E-2</v>
      </c>
      <c r="Z5" s="73">
        <f t="shared" si="8"/>
        <v>23.3291</v>
      </c>
      <c r="AA5" s="73">
        <f t="shared" si="9"/>
        <v>23.253700000000002</v>
      </c>
      <c r="AB5" s="74">
        <f>VLOOKUP(A5,Enforcements!C4:J67,8,0)</f>
        <v>233491</v>
      </c>
      <c r="AC5" s="74" t="str">
        <f>VLOOKUP(A5,Enforcements!C4:E67,3,0)</f>
        <v>TRACK WARRANT AUTHORITY</v>
      </c>
    </row>
    <row r="6" spans="1:91" s="2" customFormat="1" x14ac:dyDescent="0.25">
      <c r="A6" s="60" t="s">
        <v>208</v>
      </c>
      <c r="B6" s="60">
        <v>4041</v>
      </c>
      <c r="C6" s="60" t="s">
        <v>62</v>
      </c>
      <c r="D6" s="60" t="s">
        <v>209</v>
      </c>
      <c r="E6" s="30">
        <v>42541.191041666665</v>
      </c>
      <c r="F6" s="30">
        <v>42541.192291666666</v>
      </c>
      <c r="G6" s="38">
        <v>1</v>
      </c>
      <c r="H6" s="30" t="s">
        <v>118</v>
      </c>
      <c r="I6" s="30">
        <v>42541.223298611112</v>
      </c>
      <c r="J6" s="60">
        <v>0</v>
      </c>
      <c r="K6" s="60" t="str">
        <f t="shared" si="0"/>
        <v>4041/4042</v>
      </c>
      <c r="L6" s="60" t="str">
        <f>VLOOKUP(A6,'Trips&amp;Operators'!$C$1:$E$10000,3,FALSE)</f>
        <v>STURGEON</v>
      </c>
      <c r="M6" s="12">
        <f t="shared" si="1"/>
        <v>3.1006944445834961E-2</v>
      </c>
      <c r="N6" s="13">
        <f t="shared" si="2"/>
        <v>44.650000002002344</v>
      </c>
      <c r="O6" s="13"/>
      <c r="P6" s="13"/>
      <c r="Q6" s="61"/>
      <c r="R6" s="61"/>
      <c r="S6" s="96">
        <f t="shared" si="10"/>
        <v>1</v>
      </c>
      <c r="T6" s="2" t="str">
        <f t="shared" si="3"/>
        <v>Southbound</v>
      </c>
      <c r="U6" s="2">
        <f>COUNTIFS(Variables!$M$2:$M$13, "&lt;=" &amp; Y6, Variables!$M$2:$M$13, "&gt;=" &amp; Z6)</f>
        <v>12</v>
      </c>
      <c r="V6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04:34:06-0600',mode:absolute,to:'2016-06-20 05:22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" s="73" t="str">
        <f t="shared" si="5"/>
        <v>N</v>
      </c>
      <c r="X6" s="73">
        <f t="shared" si="6"/>
        <v>1</v>
      </c>
      <c r="Y6" s="73">
        <f t="shared" si="7"/>
        <v>23.265999999999998</v>
      </c>
      <c r="Z6" s="73">
        <f t="shared" si="8"/>
        <v>1.61E-2</v>
      </c>
      <c r="AA6" s="73">
        <f t="shared" si="9"/>
        <v>23.249899999999997</v>
      </c>
      <c r="AB6" s="74" t="e">
        <f>VLOOKUP(A6,Enforcements!C5:J68,8,0)</f>
        <v>#N/A</v>
      </c>
      <c r="AC6" s="74" t="e">
        <f>VLOOKUP(A6,Enforcements!C5:E68,3,0)</f>
        <v>#N/A</v>
      </c>
    </row>
    <row r="7" spans="1:91" s="2" customFormat="1" x14ac:dyDescent="0.25">
      <c r="A7" s="60" t="s">
        <v>210</v>
      </c>
      <c r="B7" s="60">
        <v>4007</v>
      </c>
      <c r="C7" s="60" t="s">
        <v>62</v>
      </c>
      <c r="D7" s="60" t="s">
        <v>211</v>
      </c>
      <c r="E7" s="30">
        <v>42541.17114583333</v>
      </c>
      <c r="F7" s="30">
        <v>42541.171956018516</v>
      </c>
      <c r="G7" s="38">
        <v>1</v>
      </c>
      <c r="H7" s="30" t="s">
        <v>212</v>
      </c>
      <c r="I7" s="30">
        <v>42541.203125</v>
      </c>
      <c r="J7" s="60">
        <v>1</v>
      </c>
      <c r="K7" s="60" t="str">
        <f t="shared" si="0"/>
        <v>4007/4008</v>
      </c>
      <c r="L7" s="60" t="str">
        <f>VLOOKUP(A7,'Trips&amp;Operators'!$C$1:$E$10000,3,FALSE)</f>
        <v>ROCHA</v>
      </c>
      <c r="M7" s="12">
        <f t="shared" si="1"/>
        <v>3.1168981484370306E-2</v>
      </c>
      <c r="N7" s="13">
        <f t="shared" si="2"/>
        <v>44.883333337493241</v>
      </c>
      <c r="O7" s="13"/>
      <c r="P7" s="13"/>
      <c r="Q7" s="61"/>
      <c r="R7" s="61"/>
      <c r="S7" s="96">
        <f t="shared" si="10"/>
        <v>1</v>
      </c>
      <c r="T7" s="2" t="str">
        <f t="shared" si="3"/>
        <v>NorthBound</v>
      </c>
      <c r="U7" s="2">
        <f>COUNTIFS(Variables!$M$2:$M$13, "&gt;=" &amp; Y7, Variables!$M$2:$M$13, "&lt;=" &amp; Z7)</f>
        <v>12</v>
      </c>
      <c r="V7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04:05:27-0600',mode:absolute,to:'2016-06-20 04:53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" s="73" t="str">
        <f t="shared" si="5"/>
        <v>N</v>
      </c>
      <c r="X7" s="73">
        <f t="shared" si="6"/>
        <v>1</v>
      </c>
      <c r="Y7" s="73">
        <f t="shared" si="7"/>
        <v>7.6799999999999993E-2</v>
      </c>
      <c r="Z7" s="73">
        <f t="shared" si="8"/>
        <v>23.3308</v>
      </c>
      <c r="AA7" s="73">
        <f t="shared" si="9"/>
        <v>23.254000000000001</v>
      </c>
      <c r="AB7" s="74">
        <f>VLOOKUP(A7,Enforcements!C6:J69,8,0)</f>
        <v>233491</v>
      </c>
      <c r="AC7" s="74" t="str">
        <f>VLOOKUP(A7,Enforcements!C6:E69,3,0)</f>
        <v>TRACK WARRANT AUTHORITY</v>
      </c>
    </row>
    <row r="8" spans="1:91" s="2" customFormat="1" x14ac:dyDescent="0.25">
      <c r="A8" s="60" t="s">
        <v>213</v>
      </c>
      <c r="B8" s="60">
        <v>4010</v>
      </c>
      <c r="C8" s="60" t="s">
        <v>62</v>
      </c>
      <c r="D8" s="60" t="s">
        <v>214</v>
      </c>
      <c r="E8" s="30">
        <v>42541.215162037035</v>
      </c>
      <c r="F8" s="30">
        <v>42541.215937499997</v>
      </c>
      <c r="G8" s="38">
        <v>1</v>
      </c>
      <c r="H8" s="30" t="s">
        <v>177</v>
      </c>
      <c r="I8" s="30">
        <v>42541.244976851849</v>
      </c>
      <c r="J8" s="60">
        <v>1</v>
      </c>
      <c r="K8" s="60" t="str">
        <f t="shared" si="0"/>
        <v>4009/4010</v>
      </c>
      <c r="L8" s="60" t="str">
        <f>VLOOKUP(A8,'Trips&amp;Operators'!$C$1:$E$10000,3,FALSE)</f>
        <v>ROCHA</v>
      </c>
      <c r="M8" s="12">
        <f t="shared" si="1"/>
        <v>2.9039351851679385E-2</v>
      </c>
      <c r="N8" s="13">
        <f t="shared" si="2"/>
        <v>41.816666666418314</v>
      </c>
      <c r="O8" s="13"/>
      <c r="P8" s="13"/>
      <c r="Q8" s="61"/>
      <c r="R8" s="61"/>
      <c r="S8" s="96">
        <f t="shared" si="10"/>
        <v>1</v>
      </c>
      <c r="T8" s="2" t="str">
        <f t="shared" si="3"/>
        <v>Southbound</v>
      </c>
      <c r="U8" s="2">
        <f>COUNTIFS(Variables!$M$2:$M$13, "&lt;=" &amp; Y8, Variables!$M$2:$M$13, "&gt;=" &amp; Z8)</f>
        <v>12</v>
      </c>
      <c r="V8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05:08:50-0600',mode:absolute,to:'2016-06-20 05:53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8" s="73" t="str">
        <f t="shared" si="5"/>
        <v>N</v>
      </c>
      <c r="X8" s="73">
        <f t="shared" si="6"/>
        <v>1</v>
      </c>
      <c r="Y8" s="73">
        <f t="shared" si="7"/>
        <v>23.265499999999999</v>
      </c>
      <c r="Z8" s="73">
        <f t="shared" si="8"/>
        <v>1.29E-2</v>
      </c>
      <c r="AA8" s="73">
        <f t="shared" si="9"/>
        <v>23.252600000000001</v>
      </c>
      <c r="AB8" s="74">
        <f>VLOOKUP(A8,Enforcements!C7:J70,8,0)</f>
        <v>191108</v>
      </c>
      <c r="AC8" s="74" t="str">
        <f>VLOOKUP(A8,Enforcements!C7:E70,3,0)</f>
        <v>PERMANENT SPEED RESTRICTION</v>
      </c>
    </row>
    <row r="9" spans="1:91" s="2" customFormat="1" x14ac:dyDescent="0.25">
      <c r="A9" s="60" t="s">
        <v>215</v>
      </c>
      <c r="B9" s="60">
        <v>4025</v>
      </c>
      <c r="C9" s="60" t="s">
        <v>62</v>
      </c>
      <c r="D9" s="60" t="s">
        <v>105</v>
      </c>
      <c r="E9" s="30">
        <v>42541.183645833335</v>
      </c>
      <c r="F9" s="30">
        <v>42541.184479166666</v>
      </c>
      <c r="G9" s="38">
        <v>1</v>
      </c>
      <c r="H9" s="30" t="s">
        <v>216</v>
      </c>
      <c r="I9" s="30">
        <v>42541.213495370372</v>
      </c>
      <c r="J9" s="60">
        <v>0</v>
      </c>
      <c r="K9" s="60" t="str">
        <f t="shared" si="0"/>
        <v>4025/4026</v>
      </c>
      <c r="L9" s="60" t="str">
        <f>VLOOKUP(A9,'Trips&amp;Operators'!$C$1:$E$10000,3,FALSE)</f>
        <v>YANAI</v>
      </c>
      <c r="M9" s="12">
        <f t="shared" si="1"/>
        <v>2.9016203705396038E-2</v>
      </c>
      <c r="N9" s="13">
        <f t="shared" si="2"/>
        <v>41.783333335770294</v>
      </c>
      <c r="O9" s="13"/>
      <c r="P9" s="13"/>
      <c r="Q9" s="61"/>
      <c r="R9" s="61"/>
      <c r="S9" s="96">
        <f t="shared" si="10"/>
        <v>1</v>
      </c>
      <c r="T9" s="2" t="str">
        <f t="shared" si="3"/>
        <v>NorthBound</v>
      </c>
      <c r="U9" s="2">
        <f>COUNTIFS(Variables!$M$2:$M$13, "&gt;=" &amp; Y9, Variables!$M$2:$M$13, "&lt;=" &amp; Z9)</f>
        <v>12</v>
      </c>
      <c r="V9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04:23:27-0600',mode:absolute,to:'2016-06-20 05:08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" s="73" t="str">
        <f t="shared" si="5"/>
        <v>N</v>
      </c>
      <c r="X9" s="73">
        <f t="shared" si="6"/>
        <v>1</v>
      </c>
      <c r="Y9" s="73">
        <f t="shared" si="7"/>
        <v>4.6399999999999997E-2</v>
      </c>
      <c r="Z9" s="73">
        <f t="shared" si="8"/>
        <v>23.3324</v>
      </c>
      <c r="AA9" s="73">
        <f t="shared" si="9"/>
        <v>23.286000000000001</v>
      </c>
      <c r="AB9" s="74" t="e">
        <f>VLOOKUP(A9,Enforcements!C8:J71,8,0)</f>
        <v>#N/A</v>
      </c>
      <c r="AC9" s="74" t="e">
        <f>VLOOKUP(A9,Enforcements!C8:E71,3,0)</f>
        <v>#N/A</v>
      </c>
    </row>
    <row r="10" spans="1:91" s="2" customFormat="1" x14ac:dyDescent="0.25">
      <c r="A10" s="60" t="s">
        <v>217</v>
      </c>
      <c r="B10" s="60">
        <v>4026</v>
      </c>
      <c r="C10" s="60" t="s">
        <v>62</v>
      </c>
      <c r="D10" s="60" t="s">
        <v>218</v>
      </c>
      <c r="E10" s="30">
        <v>42541.222905092596</v>
      </c>
      <c r="F10" s="30">
        <v>42541.223819444444</v>
      </c>
      <c r="G10" s="38">
        <v>1</v>
      </c>
      <c r="H10" s="30" t="s">
        <v>71</v>
      </c>
      <c r="I10" s="30">
        <v>42541.252222222225</v>
      </c>
      <c r="J10" s="60">
        <v>0</v>
      </c>
      <c r="K10" s="60" t="str">
        <f t="shared" si="0"/>
        <v>4025/4026</v>
      </c>
      <c r="L10" s="60" t="str">
        <f>VLOOKUP(A10,'Trips&amp;Operators'!$C$1:$E$10000,3,FALSE)</f>
        <v>YANAI</v>
      </c>
      <c r="M10" s="12">
        <f t="shared" si="1"/>
        <v>2.8402777781593613E-2</v>
      </c>
      <c r="N10" s="13">
        <f t="shared" si="2"/>
        <v>40.900000005494803</v>
      </c>
      <c r="O10" s="13"/>
      <c r="P10" s="13"/>
      <c r="Q10" s="61"/>
      <c r="R10" s="61"/>
      <c r="S10" s="96">
        <f t="shared" si="10"/>
        <v>1</v>
      </c>
      <c r="T10" s="2" t="str">
        <f t="shared" si="3"/>
        <v>Southbound</v>
      </c>
      <c r="U10" s="2">
        <f>COUNTIFS(Variables!$M$2:$M$13, "&lt;=" &amp; Y10, Variables!$M$2:$M$13, "&gt;=" &amp; Z10)</f>
        <v>12</v>
      </c>
      <c r="V10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05:19:59-0600',mode:absolute,to:'2016-06-20 06:04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" s="73" t="str">
        <f t="shared" si="5"/>
        <v>N</v>
      </c>
      <c r="X10" s="73">
        <f t="shared" si="6"/>
        <v>1</v>
      </c>
      <c r="Y10" s="73">
        <f t="shared" si="7"/>
        <v>23.300699999999999</v>
      </c>
      <c r="Z10" s="73">
        <f t="shared" si="8"/>
        <v>1.47E-2</v>
      </c>
      <c r="AA10" s="73">
        <f t="shared" si="9"/>
        <v>23.285999999999998</v>
      </c>
      <c r="AB10" s="74" t="e">
        <f>VLOOKUP(A10,Enforcements!C9:J72,8,0)</f>
        <v>#N/A</v>
      </c>
      <c r="AC10" s="74" t="e">
        <f>VLOOKUP(A10,Enforcements!C9:E72,3,0)</f>
        <v>#N/A</v>
      </c>
    </row>
    <row r="11" spans="1:91" s="2" customFormat="1" x14ac:dyDescent="0.25">
      <c r="A11" s="60" t="s">
        <v>219</v>
      </c>
      <c r="B11" s="60">
        <v>4044</v>
      </c>
      <c r="C11" s="60" t="s">
        <v>62</v>
      </c>
      <c r="D11" s="60" t="s">
        <v>220</v>
      </c>
      <c r="E11" s="30">
        <v>42541.190636574072</v>
      </c>
      <c r="F11" s="30">
        <v>42541.191631944443</v>
      </c>
      <c r="G11" s="38">
        <v>1</v>
      </c>
      <c r="H11" s="30" t="s">
        <v>103</v>
      </c>
      <c r="I11" s="30">
        <v>42541.224270833336</v>
      </c>
      <c r="J11" s="60">
        <v>0</v>
      </c>
      <c r="K11" s="60" t="str">
        <f t="shared" si="0"/>
        <v>4043/4044</v>
      </c>
      <c r="L11" s="60" t="str">
        <f>VLOOKUP(A11,'Trips&amp;Operators'!$C$1:$E$10000,3,FALSE)</f>
        <v>SPECTOR</v>
      </c>
      <c r="M11" s="12">
        <f t="shared" si="1"/>
        <v>3.2638888893416151E-2</v>
      </c>
      <c r="N11" s="13">
        <f t="shared" si="2"/>
        <v>47.000000006519258</v>
      </c>
      <c r="O11" s="13"/>
      <c r="P11" s="13"/>
      <c r="Q11" s="61"/>
      <c r="R11" s="61"/>
      <c r="S11" s="96">
        <f t="shared" si="10"/>
        <v>1</v>
      </c>
      <c r="T11" s="2" t="str">
        <f t="shared" si="3"/>
        <v>NorthBound</v>
      </c>
      <c r="U11" s="2">
        <f>COUNTIFS(Variables!$M$2:$M$13, "&gt;=" &amp; Y11, Variables!$M$2:$M$13, "&lt;=" &amp; Z11)</f>
        <v>12</v>
      </c>
      <c r="V11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04:33:31-0600',mode:absolute,to:'2016-06-20 05:23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" s="73" t="str">
        <f t="shared" si="5"/>
        <v>N</v>
      </c>
      <c r="X11" s="73">
        <f t="shared" si="6"/>
        <v>1</v>
      </c>
      <c r="Y11" s="73">
        <f t="shared" si="7"/>
        <v>4.7800000000000002E-2</v>
      </c>
      <c r="Z11" s="73">
        <f t="shared" si="8"/>
        <v>23.331499999999998</v>
      </c>
      <c r="AA11" s="73">
        <f t="shared" si="9"/>
        <v>23.2837</v>
      </c>
      <c r="AB11" s="74" t="e">
        <f>VLOOKUP(A11,Enforcements!C10:J73,8,0)</f>
        <v>#N/A</v>
      </c>
      <c r="AC11" s="74" t="e">
        <f>VLOOKUP(A11,Enforcements!C10:E73,3,0)</f>
        <v>#N/A</v>
      </c>
    </row>
    <row r="12" spans="1:91" s="2" customFormat="1" x14ac:dyDescent="0.25">
      <c r="A12" s="60" t="s">
        <v>221</v>
      </c>
      <c r="B12" s="60">
        <v>4043</v>
      </c>
      <c r="C12" s="60" t="s">
        <v>62</v>
      </c>
      <c r="D12" s="60" t="s">
        <v>150</v>
      </c>
      <c r="E12" s="30">
        <v>42541.231435185182</v>
      </c>
      <c r="F12" s="30">
        <v>42541.23232638889</v>
      </c>
      <c r="G12" s="38">
        <v>1</v>
      </c>
      <c r="H12" s="30" t="s">
        <v>85</v>
      </c>
      <c r="I12" s="30">
        <v>42541.265497685185</v>
      </c>
      <c r="J12" s="60">
        <v>0</v>
      </c>
      <c r="K12" s="60" t="str">
        <f t="shared" si="0"/>
        <v>4043/4044</v>
      </c>
      <c r="L12" s="60" t="str">
        <f>VLOOKUP(A12,'Trips&amp;Operators'!$C$1:$E$10000,3,FALSE)</f>
        <v>SPECTOR</v>
      </c>
      <c r="M12" s="12">
        <f t="shared" si="1"/>
        <v>3.3171296294312924E-2</v>
      </c>
      <c r="N12" s="13">
        <f t="shared" si="2"/>
        <v>47.766666663810611</v>
      </c>
      <c r="O12" s="13"/>
      <c r="P12" s="13"/>
      <c r="Q12" s="61"/>
      <c r="R12" s="61"/>
      <c r="S12" s="96">
        <f t="shared" si="10"/>
        <v>1</v>
      </c>
      <c r="T12" s="2" t="str">
        <f t="shared" si="3"/>
        <v>Southbound</v>
      </c>
      <c r="U12" s="2">
        <f>COUNTIFS(Variables!$M$2:$M$13, "&lt;=" &amp; Y12, Variables!$M$2:$M$13, "&gt;=" &amp; Z12)</f>
        <v>12</v>
      </c>
      <c r="V12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05:32:16-0600',mode:absolute,to:'2016-06-20 06:23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" s="73" t="str">
        <f t="shared" si="5"/>
        <v>N</v>
      </c>
      <c r="X12" s="73">
        <f t="shared" si="6"/>
        <v>1</v>
      </c>
      <c r="Y12" s="73">
        <f t="shared" si="7"/>
        <v>23.300999999999998</v>
      </c>
      <c r="Z12" s="73">
        <f t="shared" si="8"/>
        <v>1.49E-2</v>
      </c>
      <c r="AA12" s="73">
        <f t="shared" si="9"/>
        <v>23.286099999999998</v>
      </c>
      <c r="AB12" s="74" t="e">
        <f>VLOOKUP(A12,Enforcements!C11:J74,8,0)</f>
        <v>#N/A</v>
      </c>
      <c r="AC12" s="74" t="e">
        <f>VLOOKUP(A12,Enforcements!C11:E74,3,0)</f>
        <v>#N/A</v>
      </c>
    </row>
    <row r="13" spans="1:91" s="2" customFormat="1" x14ac:dyDescent="0.25">
      <c r="A13" s="60" t="s">
        <v>222</v>
      </c>
      <c r="B13" s="60">
        <v>4029</v>
      </c>
      <c r="C13" s="60" t="s">
        <v>62</v>
      </c>
      <c r="D13" s="60" t="s">
        <v>223</v>
      </c>
      <c r="E13" s="30">
        <v>42541.212083333332</v>
      </c>
      <c r="F13" s="30">
        <v>42541.21334490741</v>
      </c>
      <c r="G13" s="38">
        <v>1</v>
      </c>
      <c r="H13" s="30" t="s">
        <v>224</v>
      </c>
      <c r="I13" s="30">
        <v>42541.217569444445</v>
      </c>
      <c r="J13" s="60">
        <v>0</v>
      </c>
      <c r="K13" s="60" t="str">
        <f t="shared" si="0"/>
        <v>4029/4030</v>
      </c>
      <c r="L13" s="60" t="str">
        <f>VLOOKUP(A13,'Trips&amp;Operators'!$C$1:$E$10000,3,FALSE)</f>
        <v>SANTIZO</v>
      </c>
      <c r="M13" s="12">
        <f t="shared" si="1"/>
        <v>4.2245370350428857E-3</v>
      </c>
      <c r="N13" s="13"/>
      <c r="O13" s="13"/>
      <c r="P13" s="13">
        <f>24*60*SUM($M13:$M14)</f>
        <v>33.733333329437301</v>
      </c>
      <c r="Q13" s="61"/>
      <c r="R13" s="61" t="s">
        <v>502</v>
      </c>
      <c r="S13" s="96">
        <f>SUM(U13:U14)/12</f>
        <v>0.5</v>
      </c>
      <c r="T13" s="2" t="str">
        <f t="shared" si="3"/>
        <v>NorthBound</v>
      </c>
      <c r="U13" s="2">
        <f>COUNTIFS(Variables!$M$2:$M$13, "&gt;=" &amp; Y13, Variables!$M$2:$M$13, "&lt;=" &amp; Z13)</f>
        <v>3</v>
      </c>
      <c r="V13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05:04:24-0600',mode:absolute,to:'2016-06-20 05:14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" s="73" t="str">
        <f t="shared" si="5"/>
        <v>Y</v>
      </c>
      <c r="X13" s="73">
        <f t="shared" si="6"/>
        <v>1</v>
      </c>
      <c r="Y13" s="73">
        <f t="shared" si="7"/>
        <v>1.9117999999999999</v>
      </c>
      <c r="Z13" s="73">
        <f t="shared" si="8"/>
        <v>3.7361</v>
      </c>
      <c r="AA13" s="73">
        <f t="shared" si="9"/>
        <v>1.8243</v>
      </c>
      <c r="AB13" s="74" t="e">
        <f>VLOOKUP(A13,Enforcements!C12:J75,8,0)</f>
        <v>#N/A</v>
      </c>
      <c r="AC13" s="74" t="e">
        <f>VLOOKUP(A13,Enforcements!C12:E75,3,0)</f>
        <v>#N/A</v>
      </c>
    </row>
    <row r="14" spans="1:91" s="2" customFormat="1" x14ac:dyDescent="0.25">
      <c r="A14" s="60" t="s">
        <v>222</v>
      </c>
      <c r="B14" s="60">
        <v>4029</v>
      </c>
      <c r="C14" s="60" t="s">
        <v>62</v>
      </c>
      <c r="D14" s="60" t="s">
        <v>225</v>
      </c>
      <c r="E14" s="30">
        <v>42541.220636574071</v>
      </c>
      <c r="F14" s="30">
        <v>42541.221342592595</v>
      </c>
      <c r="G14" s="38">
        <v>1</v>
      </c>
      <c r="H14" s="30" t="s">
        <v>158</v>
      </c>
      <c r="I14" s="30">
        <v>42541.240543981483</v>
      </c>
      <c r="J14" s="60">
        <v>0</v>
      </c>
      <c r="K14" s="60" t="str">
        <f t="shared" si="0"/>
        <v>4029/4030</v>
      </c>
      <c r="L14" s="60" t="str">
        <f>VLOOKUP(A14,'Trips&amp;Operators'!$C$1:$E$10000,3,FALSE)</f>
        <v>SANTIZO</v>
      </c>
      <c r="M14" s="12">
        <f t="shared" si="1"/>
        <v>1.9201388888177462E-2</v>
      </c>
      <c r="N14" s="13"/>
      <c r="O14" s="13"/>
      <c r="P14" s="13"/>
      <c r="Q14" s="61"/>
      <c r="R14" s="61"/>
      <c r="S14" s="96"/>
      <c r="T14" s="2" t="str">
        <f t="shared" si="3"/>
        <v>NorthBound</v>
      </c>
      <c r="U14" s="2">
        <f>COUNTIFS(Variables!$M$2:$M$13, "&gt;=" &amp; Y14, Variables!$M$2:$M$13, "&lt;=" &amp; Z14)</f>
        <v>3</v>
      </c>
      <c r="V14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05:16:43-0600',mode:absolute,to:'2016-06-20 05:47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" s="73" t="str">
        <f t="shared" si="5"/>
        <v>Y</v>
      </c>
      <c r="X14" s="73">
        <f t="shared" si="6"/>
        <v>0</v>
      </c>
      <c r="Y14" s="73">
        <f t="shared" si="7"/>
        <v>6.4680999999999997</v>
      </c>
      <c r="Z14" s="73">
        <f t="shared" si="8"/>
        <v>23.330300000000001</v>
      </c>
      <c r="AA14" s="73">
        <f t="shared" si="9"/>
        <v>16.862200000000001</v>
      </c>
      <c r="AB14" s="74" t="e">
        <f>VLOOKUP(A14,Enforcements!C13:J76,8,0)</f>
        <v>#N/A</v>
      </c>
      <c r="AC14" s="74" t="e">
        <f>VLOOKUP(A14,Enforcements!C13:E76,3,0)</f>
        <v>#N/A</v>
      </c>
    </row>
    <row r="15" spans="1:91" s="2" customFormat="1" x14ac:dyDescent="0.25">
      <c r="A15" s="60" t="s">
        <v>226</v>
      </c>
      <c r="B15" s="60">
        <v>4030</v>
      </c>
      <c r="C15" s="60" t="s">
        <v>62</v>
      </c>
      <c r="D15" s="60" t="s">
        <v>90</v>
      </c>
      <c r="E15" s="30">
        <v>42541.244884259257</v>
      </c>
      <c r="F15" s="30">
        <v>42541.246481481481</v>
      </c>
      <c r="G15" s="38">
        <v>2</v>
      </c>
      <c r="H15" s="30" t="s">
        <v>227</v>
      </c>
      <c r="I15" s="30">
        <v>42541.273958333331</v>
      </c>
      <c r="J15" s="60">
        <v>1</v>
      </c>
      <c r="K15" s="60" t="str">
        <f t="shared" si="0"/>
        <v>4029/4030</v>
      </c>
      <c r="L15" s="60" t="str">
        <f>VLOOKUP(A15,'Trips&amp;Operators'!$C$1:$E$10000,3,FALSE)</f>
        <v>SANTIZO</v>
      </c>
      <c r="M15" s="12">
        <f t="shared" si="1"/>
        <v>2.7476851850224193E-2</v>
      </c>
      <c r="N15" s="13">
        <f t="shared" ref="N15:N31" si="11">24*60*SUM($M15:$M15)</f>
        <v>39.566666664322838</v>
      </c>
      <c r="O15" s="13"/>
      <c r="P15" s="13"/>
      <c r="Q15" s="61"/>
      <c r="R15" s="61"/>
      <c r="S15" s="96">
        <f t="shared" si="10"/>
        <v>1</v>
      </c>
      <c r="T15" s="2" t="str">
        <f t="shared" si="3"/>
        <v>Southbound</v>
      </c>
      <c r="U15" s="2">
        <f>COUNTIFS(Variables!$M$2:$M$13, "&lt;=" &amp; Y15, Variables!$M$2:$M$13, "&gt;=" &amp; Z15)</f>
        <v>12</v>
      </c>
      <c r="V15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05:51:38-0600',mode:absolute,to:'2016-06-20 06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5" s="73" t="str">
        <f t="shared" si="5"/>
        <v>N</v>
      </c>
      <c r="X15" s="73">
        <f t="shared" si="6"/>
        <v>1</v>
      </c>
      <c r="Y15" s="73">
        <f t="shared" si="7"/>
        <v>23.297799999999999</v>
      </c>
      <c r="Z15" s="73">
        <f t="shared" si="8"/>
        <v>1.8499999999999999E-2</v>
      </c>
      <c r="AA15" s="73">
        <f t="shared" si="9"/>
        <v>23.279299999999999</v>
      </c>
      <c r="AB15" s="74">
        <f>VLOOKUP(A15,Enforcements!C14:J77,8,0)</f>
        <v>1</v>
      </c>
      <c r="AC15" s="74" t="str">
        <f>VLOOKUP(A15,Enforcements!C14:E77,3,0)</f>
        <v>TRACK WARRANT AUTHORITY</v>
      </c>
    </row>
    <row r="16" spans="1:91" s="2" customFormat="1" x14ac:dyDescent="0.25">
      <c r="A16" s="60" t="s">
        <v>228</v>
      </c>
      <c r="B16" s="60">
        <v>4011</v>
      </c>
      <c r="C16" s="60" t="s">
        <v>62</v>
      </c>
      <c r="D16" s="60" t="s">
        <v>229</v>
      </c>
      <c r="E16" s="30">
        <v>42541.210451388892</v>
      </c>
      <c r="F16" s="30">
        <v>42541.211539351854</v>
      </c>
      <c r="G16" s="38">
        <v>1</v>
      </c>
      <c r="H16" s="30" t="s">
        <v>103</v>
      </c>
      <c r="I16" s="30">
        <v>42541.245937500003</v>
      </c>
      <c r="J16" s="60">
        <v>0</v>
      </c>
      <c r="K16" s="60" t="str">
        <f t="shared" si="0"/>
        <v>4011/4012</v>
      </c>
      <c r="L16" s="60" t="str">
        <f>VLOOKUP(A16,'Trips&amp;Operators'!$C$1:$E$10000,3,FALSE)</f>
        <v>CANFIELD</v>
      </c>
      <c r="M16" s="12">
        <f t="shared" si="1"/>
        <v>3.439814814919373E-2</v>
      </c>
      <c r="N16" s="13">
        <f t="shared" si="11"/>
        <v>49.533333334838971</v>
      </c>
      <c r="O16" s="13"/>
      <c r="P16" s="13"/>
      <c r="Q16" s="61"/>
      <c r="R16" s="61"/>
      <c r="S16" s="96">
        <f t="shared" si="10"/>
        <v>1</v>
      </c>
      <c r="T16" s="2" t="str">
        <f t="shared" si="3"/>
        <v>NorthBound</v>
      </c>
      <c r="U16" s="2">
        <f>COUNTIFS(Variables!$M$2:$M$13, "&gt;=" &amp; Y16, Variables!$M$2:$M$13, "&lt;=" &amp; Z16)</f>
        <v>12</v>
      </c>
      <c r="V16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05:02:03-0600',mode:absolute,to:'2016-06-20 05:55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6" s="73" t="str">
        <f t="shared" si="5"/>
        <v>N</v>
      </c>
      <c r="X16" s="73">
        <f t="shared" si="6"/>
        <v>1</v>
      </c>
      <c r="Y16" s="73">
        <f t="shared" si="7"/>
        <v>4.7500000000000001E-2</v>
      </c>
      <c r="Z16" s="73">
        <f t="shared" si="8"/>
        <v>23.331499999999998</v>
      </c>
      <c r="AA16" s="73">
        <f t="shared" si="9"/>
        <v>23.283999999999999</v>
      </c>
      <c r="AB16" s="74" t="e">
        <f>VLOOKUP(A16,Enforcements!C15:J78,8,0)</f>
        <v>#N/A</v>
      </c>
      <c r="AC16" s="74" t="e">
        <f>VLOOKUP(A16,Enforcements!C15:E78,3,0)</f>
        <v>#N/A</v>
      </c>
    </row>
    <row r="17" spans="1:29" s="2" customFormat="1" x14ac:dyDescent="0.25">
      <c r="A17" s="60" t="s">
        <v>230</v>
      </c>
      <c r="B17" s="60">
        <v>4012</v>
      </c>
      <c r="C17" s="60" t="s">
        <v>62</v>
      </c>
      <c r="D17" s="60" t="s">
        <v>65</v>
      </c>
      <c r="E17" s="30">
        <v>42541.25204861111</v>
      </c>
      <c r="F17" s="30">
        <v>42541.253252314818</v>
      </c>
      <c r="G17" s="38">
        <v>1</v>
      </c>
      <c r="H17" s="30" t="s">
        <v>73</v>
      </c>
      <c r="I17" s="30">
        <v>42541.285428240742</v>
      </c>
      <c r="J17" s="60">
        <v>0</v>
      </c>
      <c r="K17" s="60" t="str">
        <f t="shared" si="0"/>
        <v>4011/4012</v>
      </c>
      <c r="L17" s="60" t="str">
        <f>VLOOKUP(A17,'Trips&amp;Operators'!$C$1:$E$10000,3,FALSE)</f>
        <v>CANFIELD</v>
      </c>
      <c r="M17" s="12">
        <f t="shared" si="1"/>
        <v>3.2175925924093463E-2</v>
      </c>
      <c r="N17" s="13">
        <f t="shared" si="11"/>
        <v>46.333333330694586</v>
      </c>
      <c r="O17" s="13"/>
      <c r="P17" s="13"/>
      <c r="Q17" s="61"/>
      <c r="R17" s="61"/>
      <c r="S17" s="96">
        <f t="shared" si="10"/>
        <v>1</v>
      </c>
      <c r="T17" s="2" t="str">
        <f t="shared" si="3"/>
        <v>Southbound</v>
      </c>
      <c r="U17" s="2">
        <f>COUNTIFS(Variables!$M$2:$M$13, "&lt;=" &amp; Y17, Variables!$M$2:$M$13, "&gt;=" &amp; Z17)</f>
        <v>12</v>
      </c>
      <c r="V17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06:01:57-0600',mode:absolute,to:'2016-06-20 06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7" s="73" t="str">
        <f t="shared" si="5"/>
        <v>N</v>
      </c>
      <c r="X17" s="73">
        <f t="shared" si="6"/>
        <v>1</v>
      </c>
      <c r="Y17" s="73">
        <f t="shared" si="7"/>
        <v>23.299399999999999</v>
      </c>
      <c r="Z17" s="73">
        <f t="shared" si="8"/>
        <v>1.6E-2</v>
      </c>
      <c r="AA17" s="73">
        <f t="shared" si="9"/>
        <v>23.2834</v>
      </c>
      <c r="AB17" s="74" t="e">
        <f>VLOOKUP(A17,Enforcements!C16:J79,8,0)</f>
        <v>#N/A</v>
      </c>
      <c r="AC17" s="74" t="e">
        <f>VLOOKUP(A17,Enforcements!C16:E79,3,0)</f>
        <v>#N/A</v>
      </c>
    </row>
    <row r="18" spans="1:29" s="2" customFormat="1" x14ac:dyDescent="0.25">
      <c r="A18" s="60" t="s">
        <v>231</v>
      </c>
      <c r="B18" s="60">
        <v>4038</v>
      </c>
      <c r="C18" s="60" t="s">
        <v>62</v>
      </c>
      <c r="D18" s="60" t="s">
        <v>232</v>
      </c>
      <c r="E18" s="30">
        <v>42541.226631944446</v>
      </c>
      <c r="F18" s="30">
        <v>42541.227812500001</v>
      </c>
      <c r="G18" s="38">
        <v>1</v>
      </c>
      <c r="H18" s="30" t="s">
        <v>233</v>
      </c>
      <c r="I18" s="30">
        <v>42541.255439814813</v>
      </c>
      <c r="J18" s="60">
        <v>1</v>
      </c>
      <c r="K18" s="60" t="str">
        <f t="shared" si="0"/>
        <v>4037/4038</v>
      </c>
      <c r="L18" s="60" t="str">
        <f>VLOOKUP(A18,'Trips&amp;Operators'!$C$1:$E$10000,3,FALSE)</f>
        <v>MALAVE</v>
      </c>
      <c r="M18" s="12">
        <f t="shared" si="1"/>
        <v>2.7627314811979886E-2</v>
      </c>
      <c r="N18" s="13">
        <f t="shared" si="11"/>
        <v>39.783333329251036</v>
      </c>
      <c r="O18" s="13"/>
      <c r="P18" s="13"/>
      <c r="Q18" s="61"/>
      <c r="R18" s="61"/>
      <c r="S18" s="96">
        <f t="shared" si="10"/>
        <v>1</v>
      </c>
      <c r="T18" s="2" t="str">
        <f t="shared" si="3"/>
        <v>NorthBound</v>
      </c>
      <c r="U18" s="2">
        <f>COUNTIFS(Variables!$M$2:$M$13, "&gt;=" &amp; Y18, Variables!$M$2:$M$13, "&lt;=" &amp; Z18)</f>
        <v>12</v>
      </c>
      <c r="V18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05:25:21-0600',mode:absolute,to:'2016-06-20 06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8" s="73" t="str">
        <f t="shared" si="5"/>
        <v>N</v>
      </c>
      <c r="X18" s="73">
        <f t="shared" si="6"/>
        <v>1</v>
      </c>
      <c r="Y18" s="73">
        <f t="shared" si="7"/>
        <v>8.1900000000000001E-2</v>
      </c>
      <c r="Z18" s="73">
        <f t="shared" si="8"/>
        <v>23.3278</v>
      </c>
      <c r="AA18" s="73">
        <f t="shared" si="9"/>
        <v>23.245899999999999</v>
      </c>
      <c r="AB18" s="74">
        <f>VLOOKUP(A18,Enforcements!C17:J80,8,0)</f>
        <v>233491</v>
      </c>
      <c r="AC18" s="74" t="str">
        <f>VLOOKUP(A18,Enforcements!C17:E80,3,0)</f>
        <v>TRACK WARRANT AUTHORITY</v>
      </c>
    </row>
    <row r="19" spans="1:29" s="2" customFormat="1" x14ac:dyDescent="0.25">
      <c r="A19" s="60" t="s">
        <v>234</v>
      </c>
      <c r="B19" s="60">
        <v>4042</v>
      </c>
      <c r="C19" s="60" t="s">
        <v>62</v>
      </c>
      <c r="D19" s="60" t="s">
        <v>220</v>
      </c>
      <c r="E19" s="30">
        <v>42541.228171296294</v>
      </c>
      <c r="F19" s="30">
        <v>42541.229756944442</v>
      </c>
      <c r="G19" s="38">
        <v>2</v>
      </c>
      <c r="H19" s="30" t="s">
        <v>151</v>
      </c>
      <c r="I19" s="30">
        <v>42541.267326388886</v>
      </c>
      <c r="J19" s="60">
        <v>0</v>
      </c>
      <c r="K19" s="60" t="str">
        <f t="shared" si="0"/>
        <v>4041/4042</v>
      </c>
      <c r="L19" s="60" t="str">
        <f>VLOOKUP(A19,'Trips&amp;Operators'!$C$1:$E$10000,3,FALSE)</f>
        <v>STURGEON</v>
      </c>
      <c r="M19" s="12">
        <f t="shared" si="1"/>
        <v>3.7569444444670808E-2</v>
      </c>
      <c r="N19" s="13">
        <f t="shared" si="11"/>
        <v>54.100000000325963</v>
      </c>
      <c r="O19" s="13"/>
      <c r="P19" s="13"/>
      <c r="Q19" s="61"/>
      <c r="R19" s="61"/>
      <c r="S19" s="96">
        <f t="shared" si="10"/>
        <v>1</v>
      </c>
      <c r="T19" s="2" t="str">
        <f t="shared" si="3"/>
        <v>NorthBound</v>
      </c>
      <c r="U19" s="2">
        <f>COUNTIFS(Variables!$M$2:$M$13, "&gt;=" &amp; Y19, Variables!$M$2:$M$13, "&lt;=" &amp; Z19)</f>
        <v>12</v>
      </c>
      <c r="V19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05:27:34-0600',mode:absolute,to:'2016-06-20 06:25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9" s="73" t="str">
        <f t="shared" si="5"/>
        <v>N</v>
      </c>
      <c r="X19" s="73">
        <f t="shared" si="6"/>
        <v>2</v>
      </c>
      <c r="Y19" s="73">
        <f t="shared" si="7"/>
        <v>4.7800000000000002E-2</v>
      </c>
      <c r="Z19" s="73">
        <f t="shared" si="8"/>
        <v>23.327999999999999</v>
      </c>
      <c r="AA19" s="73">
        <f t="shared" si="9"/>
        <v>23.280200000000001</v>
      </c>
      <c r="AB19" s="74" t="e">
        <f>VLOOKUP(A19,Enforcements!C18:J81,8,0)</f>
        <v>#N/A</v>
      </c>
      <c r="AC19" s="74" t="e">
        <f>VLOOKUP(A19,Enforcements!C18:E81,3,0)</f>
        <v>#N/A</v>
      </c>
    </row>
    <row r="20" spans="1:29" s="2" customFormat="1" x14ac:dyDescent="0.25">
      <c r="A20" s="60" t="s">
        <v>235</v>
      </c>
      <c r="B20" s="60">
        <v>4041</v>
      </c>
      <c r="C20" s="60" t="s">
        <v>62</v>
      </c>
      <c r="D20" s="60" t="s">
        <v>236</v>
      </c>
      <c r="E20" s="30">
        <v>42541.272418981483</v>
      </c>
      <c r="F20" s="30">
        <v>42541.274525462963</v>
      </c>
      <c r="G20" s="38">
        <v>3</v>
      </c>
      <c r="H20" s="30" t="s">
        <v>64</v>
      </c>
      <c r="I20" s="30">
        <v>42541.307395833333</v>
      </c>
      <c r="J20" s="60">
        <v>0</v>
      </c>
      <c r="K20" s="60" t="str">
        <f t="shared" si="0"/>
        <v>4041/4042</v>
      </c>
      <c r="L20" s="60" t="str">
        <f>VLOOKUP(A20,'Trips&amp;Operators'!$C$1:$E$10000,3,FALSE)</f>
        <v>STAMBAUGH</v>
      </c>
      <c r="M20" s="12">
        <f t="shared" si="1"/>
        <v>3.2870370370801538E-2</v>
      </c>
      <c r="N20" s="13">
        <f t="shared" si="11"/>
        <v>47.333333333954215</v>
      </c>
      <c r="O20" s="13"/>
      <c r="P20" s="13"/>
      <c r="Q20" s="61"/>
      <c r="R20" s="61"/>
      <c r="S20" s="96">
        <f t="shared" si="10"/>
        <v>1</v>
      </c>
      <c r="T20" s="2" t="str">
        <f t="shared" si="3"/>
        <v>Southbound</v>
      </c>
      <c r="U20" s="2">
        <f>COUNTIFS(Variables!$M$2:$M$13, "&lt;=" &amp; Y20, Variables!$M$2:$M$13, "&gt;=" &amp; Z20)</f>
        <v>12</v>
      </c>
      <c r="V20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06:31:17-0600',mode:absolute,to:'2016-06-20 07:23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0" s="73" t="str">
        <f t="shared" si="5"/>
        <v>N</v>
      </c>
      <c r="X20" s="73">
        <f t="shared" si="6"/>
        <v>1</v>
      </c>
      <c r="Y20" s="73">
        <f t="shared" si="7"/>
        <v>23.295500000000001</v>
      </c>
      <c r="Z20" s="73">
        <f t="shared" si="8"/>
        <v>1.52E-2</v>
      </c>
      <c r="AA20" s="73">
        <f t="shared" si="9"/>
        <v>23.2803</v>
      </c>
      <c r="AB20" s="74" t="e">
        <f>VLOOKUP(A20,Enforcements!C19:J82,8,0)</f>
        <v>#N/A</v>
      </c>
      <c r="AC20" s="74" t="e">
        <f>VLOOKUP(A20,Enforcements!C19:E82,3,0)</f>
        <v>#N/A</v>
      </c>
    </row>
    <row r="21" spans="1:29" s="2" customFormat="1" x14ac:dyDescent="0.25">
      <c r="A21" s="60" t="s">
        <v>237</v>
      </c>
      <c r="B21" s="60">
        <v>4007</v>
      </c>
      <c r="C21" s="60" t="s">
        <v>62</v>
      </c>
      <c r="D21" s="60" t="s">
        <v>169</v>
      </c>
      <c r="E21" s="30">
        <v>42541.24895833333</v>
      </c>
      <c r="F21" s="30">
        <v>42541.249710648146</v>
      </c>
      <c r="G21" s="38">
        <v>1</v>
      </c>
      <c r="H21" s="30" t="s">
        <v>132</v>
      </c>
      <c r="I21" s="30">
        <v>42541.274965277778</v>
      </c>
      <c r="J21" s="60">
        <v>1</v>
      </c>
      <c r="K21" s="60" t="str">
        <f t="shared" si="0"/>
        <v>4007/4008</v>
      </c>
      <c r="L21" s="60" t="str">
        <f>VLOOKUP(A21,'Trips&amp;Operators'!$C$1:$E$10000,3,FALSE)</f>
        <v>ROCHA</v>
      </c>
      <c r="M21" s="12">
        <f t="shared" si="1"/>
        <v>2.5254629632399883E-2</v>
      </c>
      <c r="N21" s="13">
        <f t="shared" si="11"/>
        <v>36.366666670655832</v>
      </c>
      <c r="O21" s="13"/>
      <c r="P21" s="13"/>
      <c r="Q21" s="61"/>
      <c r="R21" s="61"/>
      <c r="S21" s="96">
        <f t="shared" si="10"/>
        <v>1</v>
      </c>
      <c r="T21" s="2" t="str">
        <f t="shared" si="3"/>
        <v>NorthBound</v>
      </c>
      <c r="U21" s="2">
        <f>COUNTIFS(Variables!$M$2:$M$13, "&gt;=" &amp; Y21, Variables!$M$2:$M$13, "&lt;=" &amp; Z21)</f>
        <v>12</v>
      </c>
      <c r="V21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05:57:30-0600',mode:absolute,to:'2016-06-20 06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1" s="73" t="str">
        <f t="shared" si="5"/>
        <v>N</v>
      </c>
      <c r="X21" s="73">
        <f t="shared" si="6"/>
        <v>1</v>
      </c>
      <c r="Y21" s="73">
        <f t="shared" si="7"/>
        <v>7.3499999999999996E-2</v>
      </c>
      <c r="Z21" s="73">
        <f t="shared" si="8"/>
        <v>23.3293</v>
      </c>
      <c r="AA21" s="73">
        <f t="shared" si="9"/>
        <v>23.255800000000001</v>
      </c>
      <c r="AB21" s="74">
        <f>VLOOKUP(A21,Enforcements!C20:J83,8,0)</f>
        <v>233491</v>
      </c>
      <c r="AC21" s="74" t="str">
        <f>VLOOKUP(A21,Enforcements!C20:E83,3,0)</f>
        <v>TRACK WARRANT AUTHORITY</v>
      </c>
    </row>
    <row r="22" spans="1:29" s="2" customFormat="1" x14ac:dyDescent="0.25">
      <c r="A22" s="60" t="s">
        <v>238</v>
      </c>
      <c r="B22" s="60">
        <v>4008</v>
      </c>
      <c r="C22" s="60" t="s">
        <v>62</v>
      </c>
      <c r="D22" s="60" t="s">
        <v>90</v>
      </c>
      <c r="E22" s="30">
        <v>42541.287986111114</v>
      </c>
      <c r="F22" s="30">
        <v>42541.288784722223</v>
      </c>
      <c r="G22" s="38">
        <v>1</v>
      </c>
      <c r="H22" s="30" t="s">
        <v>84</v>
      </c>
      <c r="I22" s="30">
        <v>42541.315937500003</v>
      </c>
      <c r="J22" s="60">
        <v>0</v>
      </c>
      <c r="K22" s="60" t="str">
        <f t="shared" si="0"/>
        <v>4007/4008</v>
      </c>
      <c r="L22" s="60" t="str">
        <f>VLOOKUP(A22,'Trips&amp;Operators'!$C$1:$E$10000,3,FALSE)</f>
        <v>ROCHA</v>
      </c>
      <c r="M22" s="12">
        <f t="shared" si="1"/>
        <v>2.715277778042946E-2</v>
      </c>
      <c r="N22" s="13">
        <f t="shared" si="11"/>
        <v>39.100000003818423</v>
      </c>
      <c r="O22" s="13"/>
      <c r="P22" s="13"/>
      <c r="Q22" s="61"/>
      <c r="R22" s="61"/>
      <c r="S22" s="96">
        <f t="shared" si="10"/>
        <v>1</v>
      </c>
      <c r="T22" s="2" t="str">
        <f t="shared" si="3"/>
        <v>Southbound</v>
      </c>
      <c r="U22" s="2">
        <f>COUNTIFS(Variables!$M$2:$M$13, "&lt;=" &amp; Y22, Variables!$M$2:$M$13, "&gt;=" &amp; Z22)</f>
        <v>12</v>
      </c>
      <c r="V22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06:53:42-0600',mode:absolute,to:'2016-06-20 07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2" s="73" t="str">
        <f t="shared" si="5"/>
        <v>N</v>
      </c>
      <c r="X22" s="73">
        <f t="shared" si="6"/>
        <v>1</v>
      </c>
      <c r="Y22" s="73">
        <f t="shared" si="7"/>
        <v>23.297799999999999</v>
      </c>
      <c r="Z22" s="73">
        <f t="shared" si="8"/>
        <v>1.5599999999999999E-2</v>
      </c>
      <c r="AA22" s="73">
        <f t="shared" si="9"/>
        <v>23.2822</v>
      </c>
      <c r="AB22" s="74" t="e">
        <f>VLOOKUP(A22,Enforcements!C21:J84,8,0)</f>
        <v>#N/A</v>
      </c>
      <c r="AC22" s="74" t="e">
        <f>VLOOKUP(A22,Enforcements!C21:E84,3,0)</f>
        <v>#N/A</v>
      </c>
    </row>
    <row r="23" spans="1:29" s="2" customFormat="1" x14ac:dyDescent="0.25">
      <c r="A23" s="60" t="s">
        <v>239</v>
      </c>
      <c r="B23" s="60">
        <v>4025</v>
      </c>
      <c r="C23" s="60" t="s">
        <v>62</v>
      </c>
      <c r="D23" s="60" t="s">
        <v>88</v>
      </c>
      <c r="E23" s="30">
        <v>42541.254490740743</v>
      </c>
      <c r="F23" s="30">
        <v>42541.255416666667</v>
      </c>
      <c r="G23" s="38">
        <v>1</v>
      </c>
      <c r="H23" s="30" t="s">
        <v>240</v>
      </c>
      <c r="I23" s="30">
        <v>42541.285891203705</v>
      </c>
      <c r="J23" s="60">
        <v>0</v>
      </c>
      <c r="K23" s="60" t="str">
        <f t="shared" si="0"/>
        <v>4025/4026</v>
      </c>
      <c r="L23" s="60" t="str">
        <f>VLOOKUP(A23,'Trips&amp;Operators'!$C$1:$E$10000,3,FALSE)</f>
        <v>YANAI</v>
      </c>
      <c r="M23" s="12">
        <f t="shared" si="1"/>
        <v>3.047453703766223E-2</v>
      </c>
      <c r="N23" s="13">
        <f t="shared" si="11"/>
        <v>43.883333334233612</v>
      </c>
      <c r="O23" s="13"/>
      <c r="P23" s="13"/>
      <c r="Q23" s="61"/>
      <c r="R23" s="61"/>
      <c r="S23" s="96">
        <f t="shared" si="10"/>
        <v>1</v>
      </c>
      <c r="T23" s="2" t="str">
        <f t="shared" si="3"/>
        <v>NorthBound</v>
      </c>
      <c r="U23" s="2">
        <f>COUNTIFS(Variables!$M$2:$M$13, "&gt;=" &amp; Y23, Variables!$M$2:$M$13, "&lt;=" &amp; Z23)</f>
        <v>12</v>
      </c>
      <c r="V23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06:05:28-0600',mode:absolute,to:'2016-06-20 06:52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3" s="73" t="str">
        <f t="shared" si="5"/>
        <v>N</v>
      </c>
      <c r="X23" s="73">
        <f t="shared" si="6"/>
        <v>1</v>
      </c>
      <c r="Y23" s="73">
        <f t="shared" si="7"/>
        <v>4.53E-2</v>
      </c>
      <c r="Z23" s="73">
        <f t="shared" si="8"/>
        <v>23.331700000000001</v>
      </c>
      <c r="AA23" s="73">
        <f t="shared" si="9"/>
        <v>23.2864</v>
      </c>
      <c r="AB23" s="74" t="e">
        <f>VLOOKUP(A23,Enforcements!C22:J85,8,0)</f>
        <v>#N/A</v>
      </c>
      <c r="AC23" s="74" t="e">
        <f>VLOOKUP(A23,Enforcements!C22:E85,3,0)</f>
        <v>#N/A</v>
      </c>
    </row>
    <row r="24" spans="1:29" s="2" customFormat="1" x14ac:dyDescent="0.25">
      <c r="A24" s="60" t="s">
        <v>241</v>
      </c>
      <c r="B24" s="60">
        <v>4026</v>
      </c>
      <c r="C24" s="60" t="s">
        <v>62</v>
      </c>
      <c r="D24" s="60" t="s">
        <v>180</v>
      </c>
      <c r="E24" s="30">
        <v>42541.287395833337</v>
      </c>
      <c r="F24" s="30">
        <v>42541.288043981483</v>
      </c>
      <c r="G24" s="38">
        <v>0</v>
      </c>
      <c r="H24" s="30" t="s">
        <v>63</v>
      </c>
      <c r="I24" s="30">
        <v>42541.325682870367</v>
      </c>
      <c r="J24" s="60">
        <v>0</v>
      </c>
      <c r="K24" s="60" t="str">
        <f t="shared" si="0"/>
        <v>4025/4026</v>
      </c>
      <c r="L24" s="60" t="str">
        <f>VLOOKUP(A24,'Trips&amp;Operators'!$C$1:$E$10000,3,FALSE)</f>
        <v>YANAI</v>
      </c>
      <c r="M24" s="12">
        <f t="shared" si="1"/>
        <v>3.7638888883520849E-2</v>
      </c>
      <c r="N24" s="13">
        <f t="shared" si="11"/>
        <v>54.199999992270023</v>
      </c>
      <c r="O24" s="13"/>
      <c r="P24" s="13"/>
      <c r="Q24" s="61"/>
      <c r="R24" s="61"/>
      <c r="S24" s="96">
        <f t="shared" si="10"/>
        <v>1</v>
      </c>
      <c r="T24" s="2" t="str">
        <f t="shared" si="3"/>
        <v>Southbound</v>
      </c>
      <c r="U24" s="2">
        <f>COUNTIFS(Variables!$M$2:$M$13, "&lt;=" &amp; Y24, Variables!$M$2:$M$13, "&gt;=" &amp; Z24)</f>
        <v>12</v>
      </c>
      <c r="V24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06:52:51-0600',mode:absolute,to:'2016-06-20 07:49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4" s="73" t="str">
        <f t="shared" si="5"/>
        <v>N</v>
      </c>
      <c r="X24" s="73">
        <f t="shared" si="6"/>
        <v>1</v>
      </c>
      <c r="Y24" s="73">
        <f t="shared" si="7"/>
        <v>23.3002</v>
      </c>
      <c r="Z24" s="73">
        <f t="shared" si="8"/>
        <v>1.4500000000000001E-2</v>
      </c>
      <c r="AA24" s="73">
        <f t="shared" si="9"/>
        <v>23.285699999999999</v>
      </c>
      <c r="AB24" s="74" t="e">
        <f>VLOOKUP(A24,Enforcements!C23:J86,8,0)</f>
        <v>#N/A</v>
      </c>
      <c r="AC24" s="74" t="e">
        <f>VLOOKUP(A24,Enforcements!C23:E86,3,0)</f>
        <v>#N/A</v>
      </c>
    </row>
    <row r="25" spans="1:29" s="2" customFormat="1" x14ac:dyDescent="0.25">
      <c r="A25" s="60" t="s">
        <v>242</v>
      </c>
      <c r="B25" s="60">
        <v>4044</v>
      </c>
      <c r="C25" s="60" t="s">
        <v>62</v>
      </c>
      <c r="D25" s="60" t="s">
        <v>157</v>
      </c>
      <c r="E25" s="30">
        <v>42541.266828703701</v>
      </c>
      <c r="F25" s="30">
        <v>42541.267893518518</v>
      </c>
      <c r="G25" s="38">
        <v>1</v>
      </c>
      <c r="H25" s="30" t="s">
        <v>170</v>
      </c>
      <c r="I25" s="30">
        <v>42541.298356481479</v>
      </c>
      <c r="J25" s="60">
        <v>1</v>
      </c>
      <c r="K25" s="60" t="str">
        <f t="shared" si="0"/>
        <v>4043/4044</v>
      </c>
      <c r="L25" s="60" t="str">
        <f>VLOOKUP(A25,'Trips&amp;Operators'!$C$1:$E$10000,3,FALSE)</f>
        <v>SPECTOR</v>
      </c>
      <c r="M25" s="12">
        <f t="shared" si="1"/>
        <v>3.0462962960882578E-2</v>
      </c>
      <c r="N25" s="13">
        <f t="shared" si="11"/>
        <v>43.866666663670912</v>
      </c>
      <c r="O25" s="13"/>
      <c r="P25" s="13"/>
      <c r="Q25" s="61"/>
      <c r="R25" s="61"/>
      <c r="S25" s="96">
        <f t="shared" si="10"/>
        <v>1</v>
      </c>
      <c r="T25" s="2" t="str">
        <f t="shared" si="3"/>
        <v>NorthBound</v>
      </c>
      <c r="U25" s="2">
        <f>COUNTIFS(Variables!$M$2:$M$13, "&gt;=" &amp; Y25, Variables!$M$2:$M$13, "&lt;=" &amp; Z25)</f>
        <v>12</v>
      </c>
      <c r="V25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06:23:14-0600',mode:absolute,to:'2016-06-20 07:10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5" s="73" t="str">
        <f t="shared" si="5"/>
        <v>N</v>
      </c>
      <c r="X25" s="73">
        <f t="shared" si="6"/>
        <v>1</v>
      </c>
      <c r="Y25" s="73">
        <f t="shared" si="7"/>
        <v>4.6699999999999998E-2</v>
      </c>
      <c r="Z25" s="73">
        <f t="shared" si="8"/>
        <v>23.331399999999999</v>
      </c>
      <c r="AA25" s="73">
        <f t="shared" si="9"/>
        <v>23.284699999999997</v>
      </c>
      <c r="AB25" s="74">
        <f>VLOOKUP(A25,Enforcements!C24:J87,8,0)</f>
        <v>63995</v>
      </c>
      <c r="AC25" s="74" t="str">
        <f>VLOOKUP(A25,Enforcements!C24:E87,3,0)</f>
        <v>SIGNAL</v>
      </c>
    </row>
    <row r="26" spans="1:29" s="2" customFormat="1" x14ac:dyDescent="0.25">
      <c r="A26" s="60" t="s">
        <v>243</v>
      </c>
      <c r="B26" s="60">
        <v>4043</v>
      </c>
      <c r="C26" s="60" t="s">
        <v>62</v>
      </c>
      <c r="D26" s="60" t="s">
        <v>72</v>
      </c>
      <c r="E26" s="30">
        <v>42541.306562500002</v>
      </c>
      <c r="F26" s="30">
        <v>42541.307615740741</v>
      </c>
      <c r="G26" s="38">
        <v>1</v>
      </c>
      <c r="H26" s="30" t="s">
        <v>91</v>
      </c>
      <c r="I26" s="30">
        <v>42541.336944444447</v>
      </c>
      <c r="J26" s="60">
        <v>0</v>
      </c>
      <c r="K26" s="60" t="str">
        <f t="shared" si="0"/>
        <v>4043/4044</v>
      </c>
      <c r="L26" s="60" t="str">
        <f>VLOOKUP(A26,'Trips&amp;Operators'!$C$1:$E$10000,3,FALSE)</f>
        <v>SPECTOR</v>
      </c>
      <c r="M26" s="12">
        <f t="shared" si="1"/>
        <v>2.9328703705687076E-2</v>
      </c>
      <c r="N26" s="13">
        <f t="shared" si="11"/>
        <v>42.233333336189389</v>
      </c>
      <c r="O26" s="13"/>
      <c r="P26" s="13"/>
      <c r="Q26" s="61"/>
      <c r="R26" s="61"/>
      <c r="S26" s="96">
        <f t="shared" si="10"/>
        <v>1</v>
      </c>
      <c r="T26" s="2" t="str">
        <f t="shared" si="3"/>
        <v>Southbound</v>
      </c>
      <c r="U26" s="2">
        <f>COUNTIFS(Variables!$M$2:$M$13, "&lt;=" &amp; Y26, Variables!$M$2:$M$13, "&gt;=" &amp; Z26)</f>
        <v>12</v>
      </c>
      <c r="V26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07:20:27-0600',mode:absolute,to:'2016-06-20 08:06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6" s="73" t="str">
        <f t="shared" si="5"/>
        <v>N</v>
      </c>
      <c r="X26" s="73">
        <f t="shared" si="6"/>
        <v>1</v>
      </c>
      <c r="Y26" s="73">
        <f t="shared" si="7"/>
        <v>23.299600000000002</v>
      </c>
      <c r="Z26" s="73">
        <f t="shared" si="8"/>
        <v>1.54E-2</v>
      </c>
      <c r="AA26" s="73">
        <f t="shared" si="9"/>
        <v>23.284200000000002</v>
      </c>
      <c r="AB26" s="74" t="e">
        <f>VLOOKUP(A26,Enforcements!C25:J88,8,0)</f>
        <v>#N/A</v>
      </c>
      <c r="AC26" s="74" t="e">
        <f>VLOOKUP(A26,Enforcements!C25:E88,3,0)</f>
        <v>#N/A</v>
      </c>
    </row>
    <row r="27" spans="1:29" s="2" customFormat="1" x14ac:dyDescent="0.25">
      <c r="A27" s="60" t="s">
        <v>244</v>
      </c>
      <c r="B27" s="60">
        <v>4029</v>
      </c>
      <c r="C27" s="60" t="s">
        <v>62</v>
      </c>
      <c r="D27" s="60" t="s">
        <v>183</v>
      </c>
      <c r="E27" s="30">
        <v>42541.280266203707</v>
      </c>
      <c r="F27" s="30">
        <v>42541.281157407408</v>
      </c>
      <c r="G27" s="38">
        <v>1</v>
      </c>
      <c r="H27" s="30" t="s">
        <v>185</v>
      </c>
      <c r="I27" s="30">
        <v>42541.306967592594</v>
      </c>
      <c r="J27" s="60">
        <v>1</v>
      </c>
      <c r="K27" s="60" t="str">
        <f t="shared" si="0"/>
        <v>4029/4030</v>
      </c>
      <c r="L27" s="60" t="str">
        <f>VLOOKUP(A27,'Trips&amp;Operators'!$C$1:$E$10000,3,FALSE)</f>
        <v>SANTIZO</v>
      </c>
      <c r="M27" s="12">
        <f t="shared" si="1"/>
        <v>2.5810185186855961E-2</v>
      </c>
      <c r="N27" s="13">
        <f t="shared" si="11"/>
        <v>37.166666669072583</v>
      </c>
      <c r="O27" s="13"/>
      <c r="P27" s="13"/>
      <c r="Q27" s="61"/>
      <c r="R27" s="61"/>
      <c r="S27" s="96">
        <f t="shared" si="10"/>
        <v>1</v>
      </c>
      <c r="T27" s="2" t="str">
        <f t="shared" si="3"/>
        <v>NorthBound</v>
      </c>
      <c r="U27" s="2">
        <f>COUNTIFS(Variables!$M$2:$M$13, "&gt;=" &amp; Y27, Variables!$M$2:$M$13, "&lt;=" &amp; Z27)</f>
        <v>12</v>
      </c>
      <c r="V27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06:42:35-0600',mode:absolute,to:'2016-06-20 07:23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7" s="73" t="str">
        <f t="shared" si="5"/>
        <v>N</v>
      </c>
      <c r="X27" s="73">
        <f t="shared" si="6"/>
        <v>1</v>
      </c>
      <c r="Y27" s="73">
        <f t="shared" si="7"/>
        <v>4.9299999999999997E-2</v>
      </c>
      <c r="Z27" s="73">
        <f t="shared" si="8"/>
        <v>23.331900000000001</v>
      </c>
      <c r="AA27" s="73">
        <f t="shared" si="9"/>
        <v>23.282600000000002</v>
      </c>
      <c r="AB27" s="74">
        <f>VLOOKUP(A27,Enforcements!C26:J89,8,0)</f>
        <v>233491</v>
      </c>
      <c r="AC27" s="74" t="str">
        <f>VLOOKUP(A27,Enforcements!C26:E89,3,0)</f>
        <v>TRACK WARRANT AUTHORITY</v>
      </c>
    </row>
    <row r="28" spans="1:29" s="2" customFormat="1" x14ac:dyDescent="0.25">
      <c r="A28" s="60" t="s">
        <v>245</v>
      </c>
      <c r="B28" s="60">
        <v>4030</v>
      </c>
      <c r="C28" s="60" t="s">
        <v>62</v>
      </c>
      <c r="D28" s="60" t="s">
        <v>82</v>
      </c>
      <c r="E28" s="30">
        <v>42541.314675925925</v>
      </c>
      <c r="F28" s="30">
        <v>42541.317615740743</v>
      </c>
      <c r="G28" s="38">
        <v>4</v>
      </c>
      <c r="H28" s="30" t="s">
        <v>144</v>
      </c>
      <c r="I28" s="30">
        <v>42541.346412037034</v>
      </c>
      <c r="J28" s="60">
        <v>0</v>
      </c>
      <c r="K28" s="60" t="str">
        <f t="shared" si="0"/>
        <v>4029/4030</v>
      </c>
      <c r="L28" s="60" t="str">
        <f>VLOOKUP(A28,'Trips&amp;Operators'!$C$1:$E$10000,3,FALSE)</f>
        <v>SANTIZO</v>
      </c>
      <c r="M28" s="12">
        <f t="shared" si="1"/>
        <v>2.8796296290238388E-2</v>
      </c>
      <c r="N28" s="13">
        <f t="shared" si="11"/>
        <v>41.466666657943279</v>
      </c>
      <c r="O28" s="13"/>
      <c r="P28" s="13"/>
      <c r="Q28" s="61"/>
      <c r="R28" s="61"/>
      <c r="S28" s="96">
        <f t="shared" si="10"/>
        <v>1</v>
      </c>
      <c r="T28" s="2" t="str">
        <f t="shared" si="3"/>
        <v>Southbound</v>
      </c>
      <c r="U28" s="2">
        <f>COUNTIFS(Variables!$M$2:$M$13, "&lt;=" &amp; Y28, Variables!$M$2:$M$13, "&gt;=" &amp; Z28)</f>
        <v>12</v>
      </c>
      <c r="V28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07:32:08-0600',mode:absolute,to:'2016-06-20 08:19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8" s="73" t="str">
        <f t="shared" si="5"/>
        <v>N</v>
      </c>
      <c r="X28" s="73">
        <f t="shared" si="6"/>
        <v>1</v>
      </c>
      <c r="Y28" s="73">
        <f t="shared" si="7"/>
        <v>23.299099999999999</v>
      </c>
      <c r="Z28" s="73">
        <f t="shared" si="8"/>
        <v>1.7000000000000001E-2</v>
      </c>
      <c r="AA28" s="73">
        <f t="shared" si="9"/>
        <v>23.2821</v>
      </c>
      <c r="AB28" s="74" t="e">
        <f>VLOOKUP(A28,Enforcements!C27:J90,8,0)</f>
        <v>#N/A</v>
      </c>
      <c r="AC28" s="74" t="e">
        <f>VLOOKUP(A28,Enforcements!C27:E90,3,0)</f>
        <v>#N/A</v>
      </c>
    </row>
    <row r="29" spans="1:29" s="2" customFormat="1" x14ac:dyDescent="0.25">
      <c r="A29" s="60" t="s">
        <v>246</v>
      </c>
      <c r="B29" s="60">
        <v>4011</v>
      </c>
      <c r="C29" s="60" t="s">
        <v>62</v>
      </c>
      <c r="D29" s="60" t="s">
        <v>126</v>
      </c>
      <c r="E29" s="30">
        <v>42541.289363425924</v>
      </c>
      <c r="F29" s="30">
        <v>42541.290451388886</v>
      </c>
      <c r="G29" s="38">
        <v>1</v>
      </c>
      <c r="H29" s="30" t="s">
        <v>94</v>
      </c>
      <c r="I29" s="30">
        <v>42541.318298611113</v>
      </c>
      <c r="J29" s="60">
        <v>0</v>
      </c>
      <c r="K29" s="60" t="str">
        <f t="shared" si="0"/>
        <v>4011/4012</v>
      </c>
      <c r="L29" s="60" t="str">
        <f>VLOOKUP(A29,'Trips&amp;Operators'!$C$1:$E$10000,3,FALSE)</f>
        <v>CANFIELD</v>
      </c>
      <c r="M29" s="12">
        <f t="shared" si="1"/>
        <v>2.7847222227137536E-2</v>
      </c>
      <c r="N29" s="13">
        <f t="shared" si="11"/>
        <v>40.100000007078052</v>
      </c>
      <c r="O29" s="13"/>
      <c r="P29" s="13"/>
      <c r="Q29" s="61"/>
      <c r="R29" s="61"/>
      <c r="S29" s="96">
        <f t="shared" si="10"/>
        <v>1</v>
      </c>
      <c r="T29" s="2" t="str">
        <f t="shared" si="3"/>
        <v>NorthBound</v>
      </c>
      <c r="U29" s="2">
        <f>COUNTIFS(Variables!$M$2:$M$13, "&gt;=" &amp; Y29, Variables!$M$2:$M$13, "&lt;=" &amp; Z29)</f>
        <v>12</v>
      </c>
      <c r="V29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06:55:41-0600',mode:absolute,to:'2016-06-20 07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9" s="73" t="str">
        <f t="shared" si="5"/>
        <v>N</v>
      </c>
      <c r="X29" s="73">
        <f t="shared" si="6"/>
        <v>1</v>
      </c>
      <c r="Y29" s="73">
        <f t="shared" si="7"/>
        <v>4.4699999999999997E-2</v>
      </c>
      <c r="Z29" s="73">
        <f t="shared" si="8"/>
        <v>23.329899999999999</v>
      </c>
      <c r="AA29" s="73">
        <f t="shared" si="9"/>
        <v>23.2852</v>
      </c>
      <c r="AB29" s="74" t="e">
        <f>VLOOKUP(A29,Enforcements!C28:J91,8,0)</f>
        <v>#N/A</v>
      </c>
      <c r="AC29" s="74" t="e">
        <f>VLOOKUP(A29,Enforcements!C28:E91,3,0)</f>
        <v>#N/A</v>
      </c>
    </row>
    <row r="30" spans="1:29" s="2" customFormat="1" x14ac:dyDescent="0.25">
      <c r="A30" s="60" t="s">
        <v>247</v>
      </c>
      <c r="B30" s="60">
        <v>4012</v>
      </c>
      <c r="C30" s="60" t="s">
        <v>62</v>
      </c>
      <c r="D30" s="60" t="s">
        <v>77</v>
      </c>
      <c r="E30" s="30">
        <v>42541.325370370374</v>
      </c>
      <c r="F30" s="30">
        <v>42541.326342592591</v>
      </c>
      <c r="G30" s="38">
        <v>1</v>
      </c>
      <c r="H30" s="30" t="s">
        <v>133</v>
      </c>
      <c r="I30" s="30">
        <v>42541.361296296294</v>
      </c>
      <c r="J30" s="60">
        <v>0</v>
      </c>
      <c r="K30" s="60" t="str">
        <f t="shared" si="0"/>
        <v>4011/4012</v>
      </c>
      <c r="L30" s="60" t="str">
        <f>VLOOKUP(A30,'Trips&amp;Operators'!$C$1:$E$10000,3,FALSE)</f>
        <v>CANFIELD</v>
      </c>
      <c r="M30" s="12">
        <f t="shared" si="1"/>
        <v>3.4953703703649808E-2</v>
      </c>
      <c r="N30" s="13">
        <f t="shared" si="11"/>
        <v>50.333333333255723</v>
      </c>
      <c r="O30" s="13"/>
      <c r="P30" s="13"/>
      <c r="Q30" s="61"/>
      <c r="R30" s="61"/>
      <c r="S30" s="96">
        <f t="shared" si="10"/>
        <v>1</v>
      </c>
      <c r="T30" s="2" t="str">
        <f t="shared" si="3"/>
        <v>Southbound</v>
      </c>
      <c r="U30" s="2">
        <f>COUNTIFS(Variables!$M$2:$M$13, "&lt;=" &amp; Y30, Variables!$M$2:$M$13, "&gt;=" &amp; Z30)</f>
        <v>12</v>
      </c>
      <c r="V30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07:47:32-0600',mode:absolute,to:'2016-06-20 08:41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0" s="73" t="str">
        <f t="shared" si="5"/>
        <v>N</v>
      </c>
      <c r="X30" s="73">
        <f t="shared" si="6"/>
        <v>1</v>
      </c>
      <c r="Y30" s="73">
        <f t="shared" si="7"/>
        <v>23.297699999999999</v>
      </c>
      <c r="Z30" s="73">
        <f t="shared" si="8"/>
        <v>1.5800000000000002E-2</v>
      </c>
      <c r="AA30" s="73">
        <f t="shared" si="9"/>
        <v>23.2819</v>
      </c>
      <c r="AB30" s="74" t="e">
        <f>VLOOKUP(A30,Enforcements!C29:J92,8,0)</f>
        <v>#N/A</v>
      </c>
      <c r="AC30" s="74" t="e">
        <f>VLOOKUP(A30,Enforcements!C29:E92,3,0)</f>
        <v>#N/A</v>
      </c>
    </row>
    <row r="31" spans="1:29" s="2" customFormat="1" x14ac:dyDescent="0.25">
      <c r="A31" s="60" t="s">
        <v>248</v>
      </c>
      <c r="B31" s="60">
        <v>4038</v>
      </c>
      <c r="C31" s="60" t="s">
        <v>62</v>
      </c>
      <c r="D31" s="60" t="s">
        <v>156</v>
      </c>
      <c r="E31" s="30">
        <v>42541.300474537034</v>
      </c>
      <c r="F31" s="30">
        <v>42541.301388888889</v>
      </c>
      <c r="G31" s="38">
        <v>1</v>
      </c>
      <c r="H31" s="30" t="s">
        <v>172</v>
      </c>
      <c r="I31" s="30">
        <v>42541.327974537038</v>
      </c>
      <c r="J31" s="60">
        <v>0</v>
      </c>
      <c r="K31" s="60" t="str">
        <f t="shared" si="0"/>
        <v>4037/4038</v>
      </c>
      <c r="L31" s="60" t="str">
        <f>VLOOKUP(A31,'Trips&amp;Operators'!$C$1:$E$10000,3,FALSE)</f>
        <v>MALAVE</v>
      </c>
      <c r="M31" s="12">
        <f t="shared" si="1"/>
        <v>2.658564814919373E-2</v>
      </c>
      <c r="N31" s="13">
        <f t="shared" si="11"/>
        <v>38.283333334838971</v>
      </c>
      <c r="O31" s="13"/>
      <c r="P31" s="13"/>
      <c r="Q31" s="61"/>
      <c r="R31" s="61"/>
      <c r="S31" s="96">
        <f t="shared" si="10"/>
        <v>1</v>
      </c>
      <c r="T31" s="2" t="str">
        <f t="shared" si="3"/>
        <v>NorthBound</v>
      </c>
      <c r="U31" s="2">
        <f>COUNTIFS(Variables!$M$2:$M$13, "&gt;=" &amp; Y31, Variables!$M$2:$M$13, "&lt;=" &amp; Z31)</f>
        <v>12</v>
      </c>
      <c r="V31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07:11:41-0600',mode:absolute,to:'2016-06-20 07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1" s="73" t="str">
        <f t="shared" si="5"/>
        <v>N</v>
      </c>
      <c r="X31" s="73">
        <f t="shared" si="6"/>
        <v>1</v>
      </c>
      <c r="Y31" s="73">
        <f t="shared" si="7"/>
        <v>4.5499999999999999E-2</v>
      </c>
      <c r="Z31" s="73">
        <f t="shared" si="8"/>
        <v>23.329799999999999</v>
      </c>
      <c r="AA31" s="73">
        <f t="shared" si="9"/>
        <v>23.284299999999998</v>
      </c>
      <c r="AB31" s="74">
        <f>VLOOKUP(A31,Enforcements!C30:J93,8,0)</f>
        <v>233491</v>
      </c>
      <c r="AC31" s="74" t="str">
        <f>VLOOKUP(A31,Enforcements!C30:E93,3,0)</f>
        <v>TRACK WARRANT AUTHORITY</v>
      </c>
    </row>
    <row r="32" spans="1:29" s="2" customFormat="1" x14ac:dyDescent="0.25">
      <c r="A32" s="92" t="s">
        <v>495</v>
      </c>
      <c r="B32" s="60">
        <v>4037</v>
      </c>
      <c r="C32" s="60"/>
      <c r="D32" s="60"/>
      <c r="E32" s="30"/>
      <c r="F32" s="30">
        <v>42541.340451388889</v>
      </c>
      <c r="G32" s="38"/>
      <c r="H32" s="30"/>
      <c r="I32" s="30">
        <v>42541.340601851851</v>
      </c>
      <c r="J32" s="60"/>
      <c r="K32" s="60" t="str">
        <f t="shared" si="0"/>
        <v>4037/4038</v>
      </c>
      <c r="L32" s="60" t="str">
        <f>VLOOKUP(A32,'Trips&amp;Operators'!$C$1:$E$10000,3,FALSE)</f>
        <v>MALAVE</v>
      </c>
      <c r="M32" s="12">
        <f t="shared" si="1"/>
        <v>1.5046296175569296E-4</v>
      </c>
      <c r="N32" s="13"/>
      <c r="O32" s="13"/>
      <c r="P32" s="13">
        <v>1</v>
      </c>
      <c r="Q32" s="61"/>
      <c r="R32" s="61" t="s">
        <v>198</v>
      </c>
      <c r="S32" s="96">
        <f t="shared" si="10"/>
        <v>0</v>
      </c>
      <c r="T32" s="2" t="str">
        <f t="shared" si="3"/>
        <v>Southbound</v>
      </c>
      <c r="U32" s="2">
        <f>COUNTIFS(Variables!$M$2:$M$13, "&lt;=" &amp; Y32, Variables!$M$2:$M$13, "&gt;=" &amp; Z32)</f>
        <v>0</v>
      </c>
      <c r="V32" s="73" t="e">
        <f t="shared" si="4"/>
        <v>#VALUE!</v>
      </c>
      <c r="W32" s="73" t="e">
        <f t="shared" si="5"/>
        <v>#VALUE!</v>
      </c>
      <c r="X32" s="73">
        <f t="shared" si="6"/>
        <v>1</v>
      </c>
      <c r="Y32" s="73" t="e">
        <f t="shared" si="7"/>
        <v>#VALUE!</v>
      </c>
      <c r="Z32" s="73" t="e">
        <f t="shared" si="8"/>
        <v>#VALUE!</v>
      </c>
      <c r="AA32" s="73" t="e">
        <f t="shared" si="9"/>
        <v>#VALUE!</v>
      </c>
      <c r="AB32" s="74" t="e">
        <f>VLOOKUP(A32,Enforcements!C31:J94,8,0)</f>
        <v>#N/A</v>
      </c>
      <c r="AC32" s="74" t="e">
        <f>VLOOKUP(A32,Enforcements!C31:E94,3,0)</f>
        <v>#N/A</v>
      </c>
    </row>
    <row r="33" spans="1:29" s="2" customFormat="1" x14ac:dyDescent="0.25">
      <c r="A33" s="60" t="s">
        <v>249</v>
      </c>
      <c r="B33" s="60">
        <v>4042</v>
      </c>
      <c r="C33" s="60" t="s">
        <v>62</v>
      </c>
      <c r="D33" s="60" t="s">
        <v>97</v>
      </c>
      <c r="E33" s="30">
        <v>42541.309224537035</v>
      </c>
      <c r="F33" s="30">
        <v>42541.310682870368</v>
      </c>
      <c r="G33" s="38">
        <v>2</v>
      </c>
      <c r="H33" s="30" t="s">
        <v>250</v>
      </c>
      <c r="I33" s="30">
        <v>42541.340243055558</v>
      </c>
      <c r="J33" s="60">
        <v>1</v>
      </c>
      <c r="K33" s="60" t="str">
        <f t="shared" si="0"/>
        <v>4041/4042</v>
      </c>
      <c r="L33" s="60" t="str">
        <f>VLOOKUP(A33,'Trips&amp;Operators'!$C$1:$E$10000,3,FALSE)</f>
        <v>STAMBAUGH</v>
      </c>
      <c r="M33" s="12">
        <f t="shared" si="1"/>
        <v>2.956018519034842E-2</v>
      </c>
      <c r="N33" s="13">
        <f t="shared" ref="N33:N58" si="12">24*60*SUM($M33:$M33)</f>
        <v>42.566666674101725</v>
      </c>
      <c r="O33" s="13"/>
      <c r="P33" s="13"/>
      <c r="Q33" s="61"/>
      <c r="R33" s="61"/>
      <c r="S33" s="96">
        <f t="shared" si="10"/>
        <v>1</v>
      </c>
      <c r="T33" s="2" t="str">
        <f t="shared" si="3"/>
        <v>NorthBound</v>
      </c>
      <c r="U33" s="2">
        <f>COUNTIFS(Variables!$M$2:$M$13, "&gt;=" &amp; Y33, Variables!$M$2:$M$13, "&lt;=" &amp; Z33)</f>
        <v>12</v>
      </c>
      <c r="V33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07:24:17-0600',mode:absolute,to:'2016-06-20 08:10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3" s="73" t="str">
        <f t="shared" si="5"/>
        <v>N</v>
      </c>
      <c r="X33" s="73">
        <f t="shared" si="6"/>
        <v>1</v>
      </c>
      <c r="Y33" s="73">
        <f t="shared" si="7"/>
        <v>4.58E-2</v>
      </c>
      <c r="Z33" s="73">
        <f t="shared" si="8"/>
        <v>23.290199999999999</v>
      </c>
      <c r="AA33" s="73">
        <f t="shared" si="9"/>
        <v>23.244399999999999</v>
      </c>
      <c r="AB33" s="74">
        <f>VLOOKUP(A33,Enforcements!C32:J95,8,0)</f>
        <v>233491</v>
      </c>
      <c r="AC33" s="74" t="str">
        <f>VLOOKUP(A33,Enforcements!C32:E95,3,0)</f>
        <v>TRACK WARRANT AUTHORITY</v>
      </c>
    </row>
    <row r="34" spans="1:29" s="2" customFormat="1" x14ac:dyDescent="0.25">
      <c r="A34" s="60" t="s">
        <v>251</v>
      </c>
      <c r="B34" s="60">
        <v>4041</v>
      </c>
      <c r="C34" s="60" t="s">
        <v>62</v>
      </c>
      <c r="D34" s="60" t="s">
        <v>252</v>
      </c>
      <c r="E34" s="30">
        <v>42541.342592592591</v>
      </c>
      <c r="F34" s="30">
        <v>42541.343923611108</v>
      </c>
      <c r="G34" s="38">
        <v>1</v>
      </c>
      <c r="H34" s="30" t="s">
        <v>194</v>
      </c>
      <c r="I34" s="30">
        <v>42541.380104166667</v>
      </c>
      <c r="J34" s="60">
        <v>0</v>
      </c>
      <c r="K34" s="60" t="str">
        <f t="shared" si="0"/>
        <v>4041/4042</v>
      </c>
      <c r="L34" s="60" t="str">
        <f>VLOOKUP(A34,'Trips&amp;Operators'!$C$1:$E$10000,3,FALSE)</f>
        <v>STAMBAUGH</v>
      </c>
      <c r="M34" s="12">
        <f t="shared" si="1"/>
        <v>3.6180555558530614E-2</v>
      </c>
      <c r="N34" s="13">
        <f t="shared" si="12"/>
        <v>52.100000004284084</v>
      </c>
      <c r="O34" s="13"/>
      <c r="P34" s="13"/>
      <c r="Q34" s="61"/>
      <c r="R34" s="61"/>
      <c r="S34" s="96">
        <f t="shared" si="10"/>
        <v>1</v>
      </c>
      <c r="T34" s="2" t="str">
        <f t="shared" si="3"/>
        <v>Southbound</v>
      </c>
      <c r="U34" s="2">
        <f>COUNTIFS(Variables!$M$2:$M$13, "&lt;=" &amp; Y34, Variables!$M$2:$M$13, "&gt;=" &amp; Z34)</f>
        <v>12</v>
      </c>
      <c r="V34" s="73" t="str">
        <f t="shared" si="4"/>
        <v>https://search-rtdc-monitor-bjffxe2xuh6vdkpspy63sjmuny.us-east-1.es.amazonaws.com/_plugin/kibana/#/discover/Steve-Slow-Train-Analysis-(2080s-and-2083s)?_g=(refreshInterval:(display:Off,section:0,value:0),time:(from:'2016-06-20 08:12:20-0600',mode:absolute,to:'2016-06-20 09:08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4" s="73" t="str">
        <f t="shared" si="5"/>
        <v>N</v>
      </c>
      <c r="X34" s="73">
        <f t="shared" si="6"/>
        <v>1</v>
      </c>
      <c r="Y34" s="73">
        <f t="shared" si="7"/>
        <v>23.258099999999999</v>
      </c>
      <c r="Z34" s="73">
        <f t="shared" si="8"/>
        <v>1.67E-2</v>
      </c>
      <c r="AA34" s="73">
        <f t="shared" si="9"/>
        <v>23.241399999999999</v>
      </c>
      <c r="AB34" s="74" t="e">
        <f>VLOOKUP(A34,Enforcements!C33:J96,8,0)</f>
        <v>#N/A</v>
      </c>
      <c r="AC34" s="74" t="e">
        <f>VLOOKUP(A34,Enforcements!C33:E96,3,0)</f>
        <v>#N/A</v>
      </c>
    </row>
    <row r="35" spans="1:29" s="2" customFormat="1" x14ac:dyDescent="0.25">
      <c r="A35" s="60" t="s">
        <v>253</v>
      </c>
      <c r="B35" s="60">
        <v>4007</v>
      </c>
      <c r="C35" s="60" t="s">
        <v>62</v>
      </c>
      <c r="D35" s="60" t="s">
        <v>79</v>
      </c>
      <c r="E35" s="30">
        <v>42541.317986111113</v>
      </c>
      <c r="F35" s="30">
        <v>42541.319513888891</v>
      </c>
      <c r="G35" s="38">
        <v>2</v>
      </c>
      <c r="H35" s="30" t="s">
        <v>195</v>
      </c>
      <c r="I35" s="30">
        <v>42541.355543981481</v>
      </c>
      <c r="J35" s="60">
        <v>1</v>
      </c>
      <c r="K35" s="60" t="str">
        <f t="shared" ref="K35:K66" si="13">IF(ISEVEN(B35),(B35-1)&amp;"/"&amp;B35,B35&amp;"/"&amp;(B35+1))</f>
        <v>4007/4008</v>
      </c>
      <c r="L35" s="60" t="str">
        <f>VLOOKUP(A35,'Trips&amp;Operators'!$C$1:$E$10000,3,FALSE)</f>
        <v>ROCHA</v>
      </c>
      <c r="M35" s="12">
        <f t="shared" ref="M35:M66" si="14">I35-F35</f>
        <v>3.6030092589498963E-2</v>
      </c>
      <c r="N35" s="13">
        <f t="shared" si="12"/>
        <v>51.883333328878507</v>
      </c>
      <c r="O35" s="13"/>
      <c r="P35" s="13"/>
      <c r="Q35" s="61"/>
      <c r="R35" s="61"/>
      <c r="S35" s="96">
        <f t="shared" si="10"/>
        <v>1</v>
      </c>
      <c r="T35" s="2" t="str">
        <f t="shared" ref="T35:T66" si="15">IF(ISEVEN(LEFT(A35,3)),"Southbound","NorthBound")</f>
        <v>NorthBound</v>
      </c>
      <c r="U35" s="2">
        <f>COUNTIFS(Variables!$M$2:$M$13, "&gt;=" &amp; Y35, Variables!$M$2:$M$13, "&lt;=" &amp; Z35)</f>
        <v>12</v>
      </c>
      <c r="V35" s="73" t="str">
        <f t="shared" ref="V35:V66" si="16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https://search-rtdc-monitor-bjffxe2xuh6vdkpspy63sjmuny.us-east-1.es.amazonaws.com/_plugin/kibana/#/discover/Steve-Slow-Train-Analysis-(2080s-and-2083s)?_g=(refreshInterval:(display:Off,section:0,value:0),time:(from:'2016-06-20 07:36:54-0600',mode:absolute,to:'2016-06-20 08:32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5" s="73" t="str">
        <f t="shared" ref="W35:W66" si="17">IF(AA35&lt;23,"Y","N")</f>
        <v>N</v>
      </c>
      <c r="X35" s="73">
        <f t="shared" ref="X35:X66" si="18">VALUE(LEFT(A35,3))-VALUE(LEFT(A34,3))</f>
        <v>1</v>
      </c>
      <c r="Y35" s="73">
        <f t="shared" ref="Y35:Y66" si="19">RIGHT(D35,LEN(D35)-4)/10000</f>
        <v>4.6199999999999998E-2</v>
      </c>
      <c r="Z35" s="73">
        <f t="shared" ref="Z35:Z66" si="20">RIGHT(H35,LEN(H35)-4)/10000</f>
        <v>23.330100000000002</v>
      </c>
      <c r="AA35" s="73">
        <f t="shared" ref="AA35:AA66" si="21">ABS(Z35-Y35)</f>
        <v>23.283900000000003</v>
      </c>
      <c r="AB35" s="74">
        <f>VLOOKUP(A35,Enforcements!C34:J97,8,0)</f>
        <v>233491</v>
      </c>
      <c r="AC35" s="74" t="str">
        <f>VLOOKUP(A35,Enforcements!C34:E97,3,0)</f>
        <v>TRACK WARRANT AUTHORITY</v>
      </c>
    </row>
    <row r="36" spans="1:29" s="2" customFormat="1" x14ac:dyDescent="0.25">
      <c r="A36" s="60" t="s">
        <v>254</v>
      </c>
      <c r="B36" s="60">
        <v>4008</v>
      </c>
      <c r="C36" s="60" t="s">
        <v>62</v>
      </c>
      <c r="D36" s="60" t="s">
        <v>255</v>
      </c>
      <c r="E36" s="30">
        <v>42541.360196759262</v>
      </c>
      <c r="F36" s="30">
        <v>42541.361909722225</v>
      </c>
      <c r="G36" s="38">
        <v>2</v>
      </c>
      <c r="H36" s="30" t="s">
        <v>256</v>
      </c>
      <c r="I36" s="30">
        <v>42541.392210648148</v>
      </c>
      <c r="J36" s="60">
        <v>1</v>
      </c>
      <c r="K36" s="60" t="str">
        <f t="shared" si="13"/>
        <v>4007/4008</v>
      </c>
      <c r="L36" s="60" t="str">
        <f>VLOOKUP(A36,'Trips&amp;Operators'!$C$1:$E$10000,3,FALSE)</f>
        <v>ROCHA</v>
      </c>
      <c r="M36" s="12">
        <f t="shared" si="14"/>
        <v>3.0300925922347233E-2</v>
      </c>
      <c r="N36" s="13">
        <f t="shared" si="12"/>
        <v>43.633333328180015</v>
      </c>
      <c r="O36" s="13"/>
      <c r="P36" s="13"/>
      <c r="Q36" s="61"/>
      <c r="R36" s="61"/>
      <c r="S36" s="96">
        <f t="shared" si="10"/>
        <v>1</v>
      </c>
      <c r="T36" s="2" t="str">
        <f t="shared" si="15"/>
        <v>Southbound</v>
      </c>
      <c r="U36" s="2">
        <f>COUNTIFS(Variables!$M$2:$M$13, "&lt;=" &amp; Y36, Variables!$M$2:$M$13, "&gt;=" &amp; Z36)</f>
        <v>12</v>
      </c>
      <c r="V36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08:37:41-0600',mode:absolute,to:'2016-06-20 09:25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6" s="73" t="str">
        <f t="shared" si="17"/>
        <v>N</v>
      </c>
      <c r="X36" s="73">
        <f t="shared" si="18"/>
        <v>1</v>
      </c>
      <c r="Y36" s="73">
        <f t="shared" si="19"/>
        <v>23.296500000000002</v>
      </c>
      <c r="Z36" s="73">
        <f t="shared" si="20"/>
        <v>1.6500000000000001E-2</v>
      </c>
      <c r="AA36" s="73">
        <f t="shared" si="21"/>
        <v>23.28</v>
      </c>
      <c r="AB36" s="74">
        <f>VLOOKUP(A36,Enforcements!C35:J98,8,0)</f>
        <v>1</v>
      </c>
      <c r="AC36" s="74" t="str">
        <f>VLOOKUP(A36,Enforcements!C35:E98,3,0)</f>
        <v>TRACK WARRANT AUTHORITY</v>
      </c>
    </row>
    <row r="37" spans="1:29" s="2" customFormat="1" x14ac:dyDescent="0.25">
      <c r="A37" s="60" t="s">
        <v>257</v>
      </c>
      <c r="B37" s="60">
        <v>4025</v>
      </c>
      <c r="C37" s="60" t="s">
        <v>62</v>
      </c>
      <c r="D37" s="60" t="s">
        <v>79</v>
      </c>
      <c r="E37" s="30">
        <v>42541.33021990741</v>
      </c>
      <c r="F37" s="30">
        <v>42541.330960648149</v>
      </c>
      <c r="G37" s="38">
        <v>1</v>
      </c>
      <c r="H37" s="30" t="s">
        <v>147</v>
      </c>
      <c r="I37" s="30">
        <v>42541.359444444446</v>
      </c>
      <c r="J37" s="60">
        <v>0</v>
      </c>
      <c r="K37" s="60" t="str">
        <f t="shared" si="13"/>
        <v>4025/4026</v>
      </c>
      <c r="L37" s="60" t="str">
        <f>VLOOKUP(A37,'Trips&amp;Operators'!$C$1:$E$10000,3,FALSE)</f>
        <v>YANAI</v>
      </c>
      <c r="M37" s="12">
        <f t="shared" si="14"/>
        <v>2.8483796297223307E-2</v>
      </c>
      <c r="N37" s="13">
        <f t="shared" si="12"/>
        <v>41.016666668001562</v>
      </c>
      <c r="O37" s="13"/>
      <c r="P37" s="13"/>
      <c r="Q37" s="61"/>
      <c r="R37" s="61"/>
      <c r="S37" s="96">
        <f t="shared" si="10"/>
        <v>1</v>
      </c>
      <c r="T37" s="2" t="str">
        <f t="shared" si="15"/>
        <v>NorthBound</v>
      </c>
      <c r="U37" s="2">
        <f>COUNTIFS(Variables!$M$2:$M$13, "&gt;=" &amp; Y37, Variables!$M$2:$M$13, "&lt;=" &amp; Z37)</f>
        <v>12</v>
      </c>
      <c r="V37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07:54:31-0600',mode:absolute,to:'2016-06-20 08:38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7" s="73" t="str">
        <f t="shared" si="17"/>
        <v>N</v>
      </c>
      <c r="X37" s="73">
        <f t="shared" si="18"/>
        <v>1</v>
      </c>
      <c r="Y37" s="73">
        <f t="shared" si="19"/>
        <v>4.6199999999999998E-2</v>
      </c>
      <c r="Z37" s="73">
        <f t="shared" si="20"/>
        <v>23.3291</v>
      </c>
      <c r="AA37" s="73">
        <f t="shared" si="21"/>
        <v>23.282900000000001</v>
      </c>
      <c r="AB37" s="74" t="e">
        <f>VLOOKUP(A37,Enforcements!C36:J99,8,0)</f>
        <v>#N/A</v>
      </c>
      <c r="AC37" s="74" t="e">
        <f>VLOOKUP(A37,Enforcements!C36:E99,3,0)</f>
        <v>#N/A</v>
      </c>
    </row>
    <row r="38" spans="1:29" s="2" customFormat="1" x14ac:dyDescent="0.25">
      <c r="A38" s="60" t="s">
        <v>258</v>
      </c>
      <c r="B38" s="60">
        <v>4026</v>
      </c>
      <c r="C38" s="60" t="s">
        <v>62</v>
      </c>
      <c r="D38" s="60" t="s">
        <v>259</v>
      </c>
      <c r="E38" s="30">
        <v>42541.368067129632</v>
      </c>
      <c r="F38" s="30">
        <v>42541.369189814817</v>
      </c>
      <c r="G38" s="38">
        <v>1</v>
      </c>
      <c r="H38" s="30" t="s">
        <v>186</v>
      </c>
      <c r="I38" s="30">
        <v>42541.401574074072</v>
      </c>
      <c r="J38" s="60">
        <v>0</v>
      </c>
      <c r="K38" s="60" t="str">
        <f t="shared" si="13"/>
        <v>4025/4026</v>
      </c>
      <c r="L38" s="60" t="str">
        <f>VLOOKUP(A38,'Trips&amp;Operators'!$C$1:$E$10000,3,FALSE)</f>
        <v>PELLITIER</v>
      </c>
      <c r="M38" s="12">
        <f t="shared" si="14"/>
        <v>3.2384259255195502E-2</v>
      </c>
      <c r="N38" s="13">
        <f t="shared" si="12"/>
        <v>46.633333327481523</v>
      </c>
      <c r="O38" s="13"/>
      <c r="P38" s="13"/>
      <c r="Q38" s="61"/>
      <c r="R38" s="61"/>
      <c r="S38" s="96">
        <f t="shared" si="10"/>
        <v>1</v>
      </c>
      <c r="T38" s="2" t="str">
        <f t="shared" si="15"/>
        <v>Southbound</v>
      </c>
      <c r="U38" s="2">
        <f>COUNTIFS(Variables!$M$2:$M$13, "&lt;=" &amp; Y38, Variables!$M$2:$M$13, "&gt;=" &amp; Z38)</f>
        <v>12</v>
      </c>
      <c r="V38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08:49:01-0600',mode:absolute,to:'2016-06-20 09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8" s="73" t="str">
        <f t="shared" si="17"/>
        <v>N</v>
      </c>
      <c r="X38" s="73">
        <f t="shared" si="18"/>
        <v>1</v>
      </c>
      <c r="Y38" s="73">
        <f t="shared" si="19"/>
        <v>23.298100000000002</v>
      </c>
      <c r="Z38" s="73">
        <f t="shared" si="20"/>
        <v>1.4999999999999999E-2</v>
      </c>
      <c r="AA38" s="73">
        <f t="shared" si="21"/>
        <v>23.283100000000001</v>
      </c>
      <c r="AB38" s="74" t="e">
        <f>VLOOKUP(A38,Enforcements!C37:J100,8,0)</f>
        <v>#N/A</v>
      </c>
      <c r="AC38" s="74" t="e">
        <f>VLOOKUP(A38,Enforcements!C37:E100,3,0)</f>
        <v>#N/A</v>
      </c>
    </row>
    <row r="39" spans="1:29" s="2" customFormat="1" x14ac:dyDescent="0.25">
      <c r="A39" s="60" t="s">
        <v>260</v>
      </c>
      <c r="B39" s="60">
        <v>4044</v>
      </c>
      <c r="C39" s="60" t="s">
        <v>62</v>
      </c>
      <c r="D39" s="60" t="s">
        <v>78</v>
      </c>
      <c r="E39" s="30">
        <v>42541.339548611111</v>
      </c>
      <c r="F39" s="30">
        <v>42541.340624999997</v>
      </c>
      <c r="G39" s="38">
        <v>1</v>
      </c>
      <c r="H39" s="30" t="s">
        <v>261</v>
      </c>
      <c r="I39" s="30">
        <v>42541.369745370372</v>
      </c>
      <c r="J39" s="60">
        <v>0</v>
      </c>
      <c r="K39" s="60" t="str">
        <f t="shared" si="13"/>
        <v>4043/4044</v>
      </c>
      <c r="L39" s="60" t="str">
        <f>VLOOKUP(A39,'Trips&amp;Operators'!$C$1:$E$10000,3,FALSE)</f>
        <v>SPECTOR</v>
      </c>
      <c r="M39" s="12">
        <f t="shared" si="14"/>
        <v>2.9120370374585036E-2</v>
      </c>
      <c r="N39" s="13">
        <f t="shared" si="12"/>
        <v>41.933333339402452</v>
      </c>
      <c r="O39" s="13"/>
      <c r="P39" s="13"/>
      <c r="Q39" s="61"/>
      <c r="R39" s="61"/>
      <c r="S39" s="96">
        <f t="shared" si="10"/>
        <v>1</v>
      </c>
      <c r="T39" s="2" t="str">
        <f t="shared" si="15"/>
        <v>NorthBound</v>
      </c>
      <c r="U39" s="2">
        <f>COUNTIFS(Variables!$M$2:$M$13, "&gt;=" &amp; Y39, Variables!$M$2:$M$13, "&lt;=" &amp; Z39)</f>
        <v>12</v>
      </c>
      <c r="V39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08:07:57-0600',mode:absolute,to:'2016-06-20 08:53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9" s="73" t="str">
        <f t="shared" si="17"/>
        <v>N</v>
      </c>
      <c r="X39" s="73">
        <f t="shared" si="18"/>
        <v>1</v>
      </c>
      <c r="Y39" s="73">
        <f t="shared" si="19"/>
        <v>4.6600000000000003E-2</v>
      </c>
      <c r="Z39" s="73">
        <f t="shared" si="20"/>
        <v>23.332999999999998</v>
      </c>
      <c r="AA39" s="73">
        <f t="shared" si="21"/>
        <v>23.286399999999997</v>
      </c>
      <c r="AB39" s="74" t="e">
        <f>VLOOKUP(A39,Enforcements!C38:J101,8,0)</f>
        <v>#N/A</v>
      </c>
      <c r="AC39" s="74" t="e">
        <f>VLOOKUP(A39,Enforcements!C38:E101,3,0)</f>
        <v>#N/A</v>
      </c>
    </row>
    <row r="40" spans="1:29" s="2" customFormat="1" x14ac:dyDescent="0.25">
      <c r="A40" s="60" t="s">
        <v>262</v>
      </c>
      <c r="B40" s="60">
        <v>4043</v>
      </c>
      <c r="C40" s="60" t="s">
        <v>62</v>
      </c>
      <c r="D40" s="60" t="s">
        <v>187</v>
      </c>
      <c r="E40" s="30">
        <v>42541.377569444441</v>
      </c>
      <c r="F40" s="30">
        <v>42541.378379629627</v>
      </c>
      <c r="G40" s="38">
        <v>1</v>
      </c>
      <c r="H40" s="30" t="s">
        <v>133</v>
      </c>
      <c r="I40" s="30">
        <v>42541.410983796297</v>
      </c>
      <c r="J40" s="60">
        <v>0</v>
      </c>
      <c r="K40" s="60" t="str">
        <f t="shared" si="13"/>
        <v>4043/4044</v>
      </c>
      <c r="L40" s="60" t="str">
        <f>VLOOKUP(A40,'Trips&amp;Operators'!$C$1:$E$10000,3,FALSE)</f>
        <v>SPECTOR</v>
      </c>
      <c r="M40" s="12">
        <f t="shared" si="14"/>
        <v>3.2604166670353152E-2</v>
      </c>
      <c r="N40" s="13">
        <f t="shared" si="12"/>
        <v>46.950000005308539</v>
      </c>
      <c r="O40" s="13"/>
      <c r="P40" s="13"/>
      <c r="Q40" s="61"/>
      <c r="R40" s="61"/>
      <c r="S40" s="96">
        <f t="shared" si="10"/>
        <v>1</v>
      </c>
      <c r="T40" s="2" t="str">
        <f t="shared" si="15"/>
        <v>Southbound</v>
      </c>
      <c r="U40" s="2">
        <f>COUNTIFS(Variables!$M$2:$M$13, "&lt;=" &amp; Y40, Variables!$M$2:$M$13, "&gt;=" &amp; Z40)</f>
        <v>12</v>
      </c>
      <c r="V40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09:02:42-0600',mode:absolute,to:'2016-06-20 09:52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0" s="73" t="str">
        <f t="shared" si="17"/>
        <v>N</v>
      </c>
      <c r="X40" s="73">
        <f t="shared" si="18"/>
        <v>1</v>
      </c>
      <c r="Y40" s="73">
        <f t="shared" si="19"/>
        <v>23.3001</v>
      </c>
      <c r="Z40" s="73">
        <f t="shared" si="20"/>
        <v>1.5800000000000002E-2</v>
      </c>
      <c r="AA40" s="73">
        <f t="shared" si="21"/>
        <v>23.284300000000002</v>
      </c>
      <c r="AB40" s="74" t="e">
        <f>VLOOKUP(A40,Enforcements!C39:J102,8,0)</f>
        <v>#N/A</v>
      </c>
      <c r="AC40" s="74" t="e">
        <f>VLOOKUP(A40,Enforcements!C39:E102,3,0)</f>
        <v>#N/A</v>
      </c>
    </row>
    <row r="41" spans="1:29" s="2" customFormat="1" x14ac:dyDescent="0.25">
      <c r="A41" s="60" t="s">
        <v>263</v>
      </c>
      <c r="B41" s="60">
        <v>4029</v>
      </c>
      <c r="C41" s="60" t="s">
        <v>62</v>
      </c>
      <c r="D41" s="60" t="s">
        <v>173</v>
      </c>
      <c r="E41" s="30">
        <v>42541.351481481484</v>
      </c>
      <c r="F41" s="30">
        <v>42541.352372685185</v>
      </c>
      <c r="G41" s="38">
        <v>1</v>
      </c>
      <c r="H41" s="30" t="s">
        <v>264</v>
      </c>
      <c r="I41" s="30">
        <v>42541.382939814815</v>
      </c>
      <c r="J41" s="60">
        <v>1</v>
      </c>
      <c r="K41" s="60" t="str">
        <f t="shared" si="13"/>
        <v>4029/4030</v>
      </c>
      <c r="L41" s="60" t="str">
        <f>VLOOKUP(A41,'Trips&amp;Operators'!$C$1:$E$10000,3,FALSE)</f>
        <v>SANTIZO</v>
      </c>
      <c r="M41" s="12">
        <f t="shared" si="14"/>
        <v>3.0567129630071577E-2</v>
      </c>
      <c r="N41" s="13">
        <f t="shared" si="12"/>
        <v>44.01666666730307</v>
      </c>
      <c r="O41" s="13"/>
      <c r="P41" s="13"/>
      <c r="Q41" s="61"/>
      <c r="R41" s="61"/>
      <c r="S41" s="96">
        <f t="shared" si="10"/>
        <v>1</v>
      </c>
      <c r="T41" s="2" t="str">
        <f t="shared" si="15"/>
        <v>NorthBound</v>
      </c>
      <c r="U41" s="2">
        <f>COUNTIFS(Variables!$M$2:$M$13, "&gt;=" &amp; Y41, Variables!$M$2:$M$13, "&lt;=" &amp; Z41)</f>
        <v>12</v>
      </c>
      <c r="V41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08:25:08-0600',mode:absolute,to:'2016-06-20 09:12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1" s="73" t="str">
        <f t="shared" si="17"/>
        <v>N</v>
      </c>
      <c r="X41" s="73">
        <f t="shared" si="18"/>
        <v>1</v>
      </c>
      <c r="Y41" s="73">
        <f t="shared" si="19"/>
        <v>4.7100000000000003E-2</v>
      </c>
      <c r="Z41" s="73">
        <f t="shared" si="20"/>
        <v>23.332699999999999</v>
      </c>
      <c r="AA41" s="73">
        <f t="shared" si="21"/>
        <v>23.285599999999999</v>
      </c>
      <c r="AB41" s="74" t="e">
        <f>VLOOKUP(A41,Enforcements!C40:J103,8,0)</f>
        <v>#N/A</v>
      </c>
      <c r="AC41" s="74" t="e">
        <f>VLOOKUP(A41,Enforcements!C40:E103,3,0)</f>
        <v>#N/A</v>
      </c>
    </row>
    <row r="42" spans="1:29" s="2" customFormat="1" x14ac:dyDescent="0.25">
      <c r="A42" s="60" t="s">
        <v>265</v>
      </c>
      <c r="B42" s="60">
        <v>4030</v>
      </c>
      <c r="C42" s="60" t="s">
        <v>62</v>
      </c>
      <c r="D42" s="60" t="s">
        <v>143</v>
      </c>
      <c r="E42" s="30">
        <v>42541.387974537036</v>
      </c>
      <c r="F42" s="30">
        <v>42541.390231481484</v>
      </c>
      <c r="G42" s="38">
        <v>3</v>
      </c>
      <c r="H42" s="30" t="s">
        <v>118</v>
      </c>
      <c r="I42" s="30">
        <v>42541.421203703707</v>
      </c>
      <c r="J42" s="60">
        <v>1</v>
      </c>
      <c r="K42" s="60" t="str">
        <f t="shared" si="13"/>
        <v>4029/4030</v>
      </c>
      <c r="L42" s="60" t="str">
        <f>VLOOKUP(A42,'Trips&amp;Operators'!$C$1:$E$10000,3,FALSE)</f>
        <v>SANTIZO</v>
      </c>
      <c r="M42" s="12">
        <f t="shared" si="14"/>
        <v>3.0972222222771961E-2</v>
      </c>
      <c r="N42" s="13">
        <f t="shared" si="12"/>
        <v>44.600000000791624</v>
      </c>
      <c r="O42" s="13"/>
      <c r="P42" s="13"/>
      <c r="Q42" s="61"/>
      <c r="R42" s="61"/>
      <c r="S42" s="96">
        <f t="shared" si="10"/>
        <v>1</v>
      </c>
      <c r="T42" s="2" t="str">
        <f t="shared" si="15"/>
        <v>Southbound</v>
      </c>
      <c r="U42" s="2">
        <f>COUNTIFS(Variables!$M$2:$M$13, "&lt;=" &amp; Y42, Variables!$M$2:$M$13, "&gt;=" &amp; Z42)</f>
        <v>12</v>
      </c>
      <c r="V42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09:17:41-0600',mode:absolute,to:'2016-06-20 10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2" s="73" t="str">
        <f t="shared" si="17"/>
        <v>N</v>
      </c>
      <c r="X42" s="73">
        <f t="shared" si="18"/>
        <v>1</v>
      </c>
      <c r="Y42" s="73">
        <f t="shared" si="19"/>
        <v>23.299800000000001</v>
      </c>
      <c r="Z42" s="73">
        <f t="shared" si="20"/>
        <v>1.61E-2</v>
      </c>
      <c r="AA42" s="73">
        <f t="shared" si="21"/>
        <v>23.2837</v>
      </c>
      <c r="AB42" s="74" t="e">
        <f>VLOOKUP(A42,Enforcements!C41:J104,8,0)</f>
        <v>#N/A</v>
      </c>
      <c r="AC42" s="74" t="e">
        <f>VLOOKUP(A42,Enforcements!C41:E104,3,0)</f>
        <v>#N/A</v>
      </c>
    </row>
    <row r="43" spans="1:29" s="2" customFormat="1" x14ac:dyDescent="0.25">
      <c r="A43" s="60" t="s">
        <v>266</v>
      </c>
      <c r="B43" s="60">
        <v>4011</v>
      </c>
      <c r="C43" s="60" t="s">
        <v>62</v>
      </c>
      <c r="D43" s="60" t="s">
        <v>267</v>
      </c>
      <c r="E43" s="30">
        <v>42541.362442129626</v>
      </c>
      <c r="F43" s="30">
        <v>42541.364710648151</v>
      </c>
      <c r="G43" s="38">
        <v>3</v>
      </c>
      <c r="H43" s="30" t="s">
        <v>176</v>
      </c>
      <c r="I43" s="30">
        <v>42541.390868055554</v>
      </c>
      <c r="J43" s="60">
        <v>0</v>
      </c>
      <c r="K43" s="60" t="str">
        <f t="shared" si="13"/>
        <v>4011/4012</v>
      </c>
      <c r="L43" s="60" t="str">
        <f>VLOOKUP(A43,'Trips&amp;Operators'!$C$1:$E$10000,3,FALSE)</f>
        <v>CANFIELD</v>
      </c>
      <c r="M43" s="12">
        <f t="shared" si="14"/>
        <v>2.6157407402934041E-2</v>
      </c>
      <c r="N43" s="13">
        <f t="shared" si="12"/>
        <v>37.666666660225019</v>
      </c>
      <c r="O43" s="13"/>
      <c r="P43" s="13"/>
      <c r="Q43" s="61"/>
      <c r="R43" s="61"/>
      <c r="S43" s="96">
        <f t="shared" si="10"/>
        <v>1</v>
      </c>
      <c r="T43" s="2" t="str">
        <f t="shared" si="15"/>
        <v>NorthBound</v>
      </c>
      <c r="U43" s="2">
        <f>COUNTIFS(Variables!$M$2:$M$13, "&gt;=" &amp; Y43, Variables!$M$2:$M$13, "&lt;=" &amp; Z43)</f>
        <v>12</v>
      </c>
      <c r="V43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08:40:55-0600',mode:absolute,to:'2016-06-20 09:23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3" s="73" t="str">
        <f t="shared" si="17"/>
        <v>N</v>
      </c>
      <c r="X43" s="73">
        <f t="shared" si="18"/>
        <v>1</v>
      </c>
      <c r="Y43" s="73">
        <f t="shared" si="19"/>
        <v>4.5100000000000001E-2</v>
      </c>
      <c r="Z43" s="73">
        <f t="shared" si="20"/>
        <v>23.3307</v>
      </c>
      <c r="AA43" s="73">
        <f t="shared" si="21"/>
        <v>23.285599999999999</v>
      </c>
      <c r="AB43" s="74" t="e">
        <f>VLOOKUP(A43,Enforcements!C42:J105,8,0)</f>
        <v>#N/A</v>
      </c>
      <c r="AC43" s="74" t="e">
        <f>VLOOKUP(A43,Enforcements!C42:E105,3,0)</f>
        <v>#N/A</v>
      </c>
    </row>
    <row r="44" spans="1:29" s="2" customFormat="1" x14ac:dyDescent="0.25">
      <c r="A44" s="60" t="s">
        <v>268</v>
      </c>
      <c r="B44" s="60">
        <v>4012</v>
      </c>
      <c r="C44" s="60" t="s">
        <v>62</v>
      </c>
      <c r="D44" s="60" t="s">
        <v>104</v>
      </c>
      <c r="E44" s="30">
        <v>42541.398078703707</v>
      </c>
      <c r="F44" s="30">
        <v>42541.398958333331</v>
      </c>
      <c r="G44" s="38">
        <v>1</v>
      </c>
      <c r="H44" s="30" t="s">
        <v>83</v>
      </c>
      <c r="I44" s="30">
        <v>42541.433078703703</v>
      </c>
      <c r="J44" s="60">
        <v>0</v>
      </c>
      <c r="K44" s="60" t="str">
        <f t="shared" si="13"/>
        <v>4011/4012</v>
      </c>
      <c r="L44" s="60" t="str">
        <f>VLOOKUP(A44,'Trips&amp;Operators'!$C$1:$E$10000,3,FALSE)</f>
        <v>CANFIELD</v>
      </c>
      <c r="M44" s="12">
        <f t="shared" si="14"/>
        <v>3.4120370371965691E-2</v>
      </c>
      <c r="N44" s="13">
        <f t="shared" si="12"/>
        <v>49.133333335630596</v>
      </c>
      <c r="O44" s="13"/>
      <c r="P44" s="13"/>
      <c r="Q44" s="61"/>
      <c r="R44" s="61"/>
      <c r="S44" s="96">
        <f t="shared" si="10"/>
        <v>1</v>
      </c>
      <c r="T44" s="2" t="str">
        <f t="shared" si="15"/>
        <v>Southbound</v>
      </c>
      <c r="U44" s="2">
        <f>COUNTIFS(Variables!$M$2:$M$13, "&lt;=" &amp; Y44, Variables!$M$2:$M$13, "&gt;=" &amp; Z44)</f>
        <v>12</v>
      </c>
      <c r="V44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09:32:14-0600',mode:absolute,to:'2016-06-20 10:24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4" s="73" t="str">
        <f t="shared" si="17"/>
        <v>N</v>
      </c>
      <c r="X44" s="73">
        <f t="shared" si="18"/>
        <v>1</v>
      </c>
      <c r="Y44" s="73">
        <f t="shared" si="19"/>
        <v>23.297499999999999</v>
      </c>
      <c r="Z44" s="73">
        <f t="shared" si="20"/>
        <v>1.41E-2</v>
      </c>
      <c r="AA44" s="73">
        <f t="shared" si="21"/>
        <v>23.2834</v>
      </c>
      <c r="AB44" s="74" t="e">
        <f>VLOOKUP(A44,Enforcements!C43:J106,8,0)</f>
        <v>#N/A</v>
      </c>
      <c r="AC44" s="74" t="e">
        <f>VLOOKUP(A44,Enforcements!C43:E106,3,0)</f>
        <v>#N/A</v>
      </c>
    </row>
    <row r="45" spans="1:29" s="2" customFormat="1" x14ac:dyDescent="0.25">
      <c r="A45" s="60" t="s">
        <v>269</v>
      </c>
      <c r="B45" s="60">
        <v>4009</v>
      </c>
      <c r="C45" s="60" t="s">
        <v>62</v>
      </c>
      <c r="D45" s="60" t="s">
        <v>270</v>
      </c>
      <c r="E45" s="30">
        <v>42541.374884259261</v>
      </c>
      <c r="F45" s="30">
        <v>42541.376064814816</v>
      </c>
      <c r="G45" s="38">
        <v>1</v>
      </c>
      <c r="H45" s="30" t="s">
        <v>127</v>
      </c>
      <c r="I45" s="30">
        <v>42541.401770833334</v>
      </c>
      <c r="J45" s="60">
        <v>1</v>
      </c>
      <c r="K45" s="60" t="str">
        <f t="shared" si="13"/>
        <v>4009/4010</v>
      </c>
      <c r="L45" s="60" t="str">
        <f>VLOOKUP(A45,'Trips&amp;Operators'!$C$1:$E$10000,3,FALSE)</f>
        <v>MALAVE</v>
      </c>
      <c r="M45" s="12">
        <f t="shared" si="14"/>
        <v>2.5706018517666962E-2</v>
      </c>
      <c r="N45" s="13">
        <f t="shared" si="12"/>
        <v>37.016666665440425</v>
      </c>
      <c r="O45" s="13"/>
      <c r="P45" s="13"/>
      <c r="Q45" s="61"/>
      <c r="R45" s="61"/>
      <c r="S45" s="96">
        <f t="shared" si="10"/>
        <v>1</v>
      </c>
      <c r="T45" s="2" t="str">
        <f t="shared" si="15"/>
        <v>NorthBound</v>
      </c>
      <c r="U45" s="2">
        <f>COUNTIFS(Variables!$M$2:$M$13, "&gt;=" &amp; Y45, Variables!$M$2:$M$13, "&lt;=" &amp; Z45)</f>
        <v>12</v>
      </c>
      <c r="V45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08:58:50-0600',mode:absolute,to:'2016-06-20 09:39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45" s="73" t="str">
        <f t="shared" si="17"/>
        <v>N</v>
      </c>
      <c r="X45" s="73">
        <f t="shared" si="18"/>
        <v>1</v>
      </c>
      <c r="Y45" s="73">
        <f t="shared" si="19"/>
        <v>0.1492</v>
      </c>
      <c r="Z45" s="73">
        <f t="shared" si="20"/>
        <v>23.328900000000001</v>
      </c>
      <c r="AA45" s="73">
        <f t="shared" si="21"/>
        <v>23.1797</v>
      </c>
      <c r="AB45" s="74" t="e">
        <f>VLOOKUP(A45,Enforcements!C44:J107,8,0)</f>
        <v>#N/A</v>
      </c>
      <c r="AC45" s="74" t="e">
        <f>VLOOKUP(A45,Enforcements!C44:E107,3,0)</f>
        <v>#N/A</v>
      </c>
    </row>
    <row r="46" spans="1:29" s="2" customFormat="1" x14ac:dyDescent="0.25">
      <c r="A46" s="60" t="s">
        <v>271</v>
      </c>
      <c r="B46" s="60">
        <v>4010</v>
      </c>
      <c r="C46" s="60" t="s">
        <v>62</v>
      </c>
      <c r="D46" s="60" t="s">
        <v>182</v>
      </c>
      <c r="E46" s="30">
        <v>42541.413564814815</v>
      </c>
      <c r="F46" s="30">
        <v>42541.414386574077</v>
      </c>
      <c r="G46" s="38">
        <v>1</v>
      </c>
      <c r="H46" s="30" t="s">
        <v>118</v>
      </c>
      <c r="I46" s="30">
        <v>42541.442881944444</v>
      </c>
      <c r="J46" s="60">
        <v>1</v>
      </c>
      <c r="K46" s="60" t="str">
        <f t="shared" si="13"/>
        <v>4009/4010</v>
      </c>
      <c r="L46" s="60" t="str">
        <f>VLOOKUP(A46,'Trips&amp;Operators'!$C$1:$E$10000,3,FALSE)</f>
        <v>MALAVE</v>
      </c>
      <c r="M46" s="12">
        <f t="shared" si="14"/>
        <v>2.8495370366727002E-2</v>
      </c>
      <c r="N46" s="13">
        <f t="shared" si="12"/>
        <v>41.033333328086883</v>
      </c>
      <c r="O46" s="13"/>
      <c r="P46" s="13"/>
      <c r="Q46" s="61"/>
      <c r="R46" s="61"/>
      <c r="S46" s="96">
        <f t="shared" si="10"/>
        <v>1</v>
      </c>
      <c r="T46" s="2" t="str">
        <f t="shared" si="15"/>
        <v>Southbound</v>
      </c>
      <c r="U46" s="2">
        <f>COUNTIFS(Variables!$M$2:$M$13, "&lt;=" &amp; Y46, Variables!$M$2:$M$13, "&gt;=" &amp; Z46)</f>
        <v>12</v>
      </c>
      <c r="V46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09:54:32-0600',mode:absolute,to:'2016-06-20 10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46" s="73" t="str">
        <f t="shared" si="17"/>
        <v>N</v>
      </c>
      <c r="X46" s="73">
        <f t="shared" si="18"/>
        <v>1</v>
      </c>
      <c r="Y46" s="73">
        <f t="shared" si="19"/>
        <v>23.297599999999999</v>
      </c>
      <c r="Z46" s="73">
        <f t="shared" si="20"/>
        <v>1.61E-2</v>
      </c>
      <c r="AA46" s="73">
        <f t="shared" si="21"/>
        <v>23.281499999999998</v>
      </c>
      <c r="AB46" s="74" t="e">
        <f>VLOOKUP(A46,Enforcements!C45:J108,8,0)</f>
        <v>#N/A</v>
      </c>
      <c r="AC46" s="74" t="e">
        <f>VLOOKUP(A46,Enforcements!C45:E108,3,0)</f>
        <v>#N/A</v>
      </c>
    </row>
    <row r="47" spans="1:29" s="2" customFormat="1" x14ac:dyDescent="0.25">
      <c r="A47" s="60" t="s">
        <v>272</v>
      </c>
      <c r="B47" s="60">
        <v>4042</v>
      </c>
      <c r="C47" s="60" t="s">
        <v>62</v>
      </c>
      <c r="D47" s="60" t="s">
        <v>79</v>
      </c>
      <c r="E47" s="30">
        <v>42541.382152777776</v>
      </c>
      <c r="F47" s="30">
        <v>42541.383935185186</v>
      </c>
      <c r="G47" s="38">
        <v>2</v>
      </c>
      <c r="H47" s="30" t="s">
        <v>151</v>
      </c>
      <c r="I47" s="30">
        <v>42541.419629629629</v>
      </c>
      <c r="J47" s="60">
        <v>0</v>
      </c>
      <c r="K47" s="60" t="str">
        <f t="shared" si="13"/>
        <v>4041/4042</v>
      </c>
      <c r="L47" s="60" t="str">
        <f>VLOOKUP(A47,'Trips&amp;Operators'!$C$1:$E$10000,3,FALSE)</f>
        <v>STAMBAUGH</v>
      </c>
      <c r="M47" s="12">
        <f t="shared" si="14"/>
        <v>3.5694444442924578E-2</v>
      </c>
      <c r="N47" s="13">
        <f t="shared" si="12"/>
        <v>51.399999997811392</v>
      </c>
      <c r="O47" s="13"/>
      <c r="P47" s="13"/>
      <c r="Q47" s="61"/>
      <c r="R47" s="61"/>
      <c r="S47" s="96">
        <f t="shared" si="10"/>
        <v>1</v>
      </c>
      <c r="T47" s="2" t="str">
        <f t="shared" si="15"/>
        <v>NorthBound</v>
      </c>
      <c r="U47" s="2">
        <f>COUNTIFS(Variables!$M$2:$M$13, "&gt;=" &amp; Y47, Variables!$M$2:$M$13, "&lt;=" &amp; Z47)</f>
        <v>12</v>
      </c>
      <c r="V47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09:09:18-0600',mode:absolute,to:'2016-06-20 10:05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7" s="73" t="str">
        <f t="shared" si="17"/>
        <v>N</v>
      </c>
      <c r="X47" s="73">
        <f t="shared" si="18"/>
        <v>1</v>
      </c>
      <c r="Y47" s="73">
        <f t="shared" si="19"/>
        <v>4.6199999999999998E-2</v>
      </c>
      <c r="Z47" s="73">
        <f t="shared" si="20"/>
        <v>23.327999999999999</v>
      </c>
      <c r="AA47" s="73">
        <f t="shared" si="21"/>
        <v>23.2818</v>
      </c>
      <c r="AB47" s="74" t="e">
        <f>VLOOKUP(A47,Enforcements!C46:J109,8,0)</f>
        <v>#N/A</v>
      </c>
      <c r="AC47" s="74" t="e">
        <f>VLOOKUP(A47,Enforcements!C46:E109,3,0)</f>
        <v>#N/A</v>
      </c>
    </row>
    <row r="48" spans="1:29" s="2" customFormat="1" x14ac:dyDescent="0.25">
      <c r="A48" s="60" t="s">
        <v>273</v>
      </c>
      <c r="B48" s="60">
        <v>4041</v>
      </c>
      <c r="C48" s="60" t="s">
        <v>62</v>
      </c>
      <c r="D48" s="60" t="s">
        <v>255</v>
      </c>
      <c r="E48" s="30">
        <v>42541.420983796299</v>
      </c>
      <c r="F48" s="30">
        <v>42541.42224537037</v>
      </c>
      <c r="G48" s="38">
        <v>1</v>
      </c>
      <c r="H48" s="30" t="s">
        <v>194</v>
      </c>
      <c r="I48" s="30">
        <v>42541.454097222224</v>
      </c>
      <c r="J48" s="60">
        <v>1</v>
      </c>
      <c r="K48" s="60" t="str">
        <f t="shared" si="13"/>
        <v>4041/4042</v>
      </c>
      <c r="L48" s="60" t="str">
        <f>VLOOKUP(A48,'Trips&amp;Operators'!$C$1:$E$10000,3,FALSE)</f>
        <v>STAMBAUGH</v>
      </c>
      <c r="M48" s="12">
        <f t="shared" si="14"/>
        <v>3.1851851854298729E-2</v>
      </c>
      <c r="N48" s="13">
        <f t="shared" si="12"/>
        <v>45.86666667019017</v>
      </c>
      <c r="O48" s="13"/>
      <c r="P48" s="13"/>
      <c r="Q48" s="61"/>
      <c r="R48" s="61"/>
      <c r="S48" s="96">
        <f t="shared" si="10"/>
        <v>1</v>
      </c>
      <c r="T48" s="2" t="str">
        <f t="shared" si="15"/>
        <v>Southbound</v>
      </c>
      <c r="U48" s="2">
        <f>COUNTIFS(Variables!$M$2:$M$13, "&lt;=" &amp; Y48, Variables!$M$2:$M$13, "&gt;=" &amp; Z48)</f>
        <v>12</v>
      </c>
      <c r="V48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10:05:13-0600',mode:absolute,to:'2016-06-20 10:54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8" s="73" t="str">
        <f t="shared" si="17"/>
        <v>N</v>
      </c>
      <c r="X48" s="73">
        <f t="shared" si="18"/>
        <v>1</v>
      </c>
      <c r="Y48" s="73">
        <f t="shared" si="19"/>
        <v>23.296500000000002</v>
      </c>
      <c r="Z48" s="73">
        <f t="shared" si="20"/>
        <v>1.67E-2</v>
      </c>
      <c r="AA48" s="73">
        <f t="shared" si="21"/>
        <v>23.279800000000002</v>
      </c>
      <c r="AB48" s="74" t="e">
        <f>VLOOKUP(A48,Enforcements!C47:J110,8,0)</f>
        <v>#N/A</v>
      </c>
      <c r="AC48" s="74" t="e">
        <f>VLOOKUP(A48,Enforcements!C47:E110,3,0)</f>
        <v>#N/A</v>
      </c>
    </row>
    <row r="49" spans="1:29" s="2" customFormat="1" x14ac:dyDescent="0.25">
      <c r="A49" s="60" t="s">
        <v>274</v>
      </c>
      <c r="B49" s="60">
        <v>4007</v>
      </c>
      <c r="C49" s="60" t="s">
        <v>62</v>
      </c>
      <c r="D49" s="60" t="s">
        <v>275</v>
      </c>
      <c r="E49" s="30">
        <v>42541.394861111112</v>
      </c>
      <c r="F49" s="30">
        <v>42541.395937499998</v>
      </c>
      <c r="G49" s="38">
        <v>1</v>
      </c>
      <c r="H49" s="30" t="s">
        <v>92</v>
      </c>
      <c r="I49" s="30">
        <v>42541.422164351854</v>
      </c>
      <c r="J49" s="60">
        <v>0</v>
      </c>
      <c r="K49" s="60" t="str">
        <f t="shared" si="13"/>
        <v>4007/4008</v>
      </c>
      <c r="L49" s="60" t="str">
        <f>VLOOKUP(A49,'Trips&amp;Operators'!$C$1:$E$10000,3,FALSE)</f>
        <v>ROCHA</v>
      </c>
      <c r="M49" s="12">
        <f t="shared" si="14"/>
        <v>2.6226851856335998E-2</v>
      </c>
      <c r="N49" s="13">
        <f t="shared" si="12"/>
        <v>37.766666673123837</v>
      </c>
      <c r="O49" s="13"/>
      <c r="P49" s="13"/>
      <c r="Q49" s="61"/>
      <c r="R49" s="61"/>
      <c r="S49" s="96">
        <f t="shared" si="10"/>
        <v>1</v>
      </c>
      <c r="T49" s="2" t="str">
        <f t="shared" si="15"/>
        <v>NorthBound</v>
      </c>
      <c r="U49" s="2">
        <f>COUNTIFS(Variables!$M$2:$M$13, "&gt;=" &amp; Y49, Variables!$M$2:$M$13, "&lt;=" &amp; Z49)</f>
        <v>12</v>
      </c>
      <c r="V49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09:27:36-0600',mode:absolute,to:'2016-06-20 10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9" s="73" t="str">
        <f t="shared" si="17"/>
        <v>N</v>
      </c>
      <c r="X49" s="73">
        <f t="shared" si="18"/>
        <v>1</v>
      </c>
      <c r="Y49" s="73">
        <f t="shared" si="19"/>
        <v>4.8599999999999997E-2</v>
      </c>
      <c r="Z49" s="73">
        <f t="shared" si="20"/>
        <v>23.330400000000001</v>
      </c>
      <c r="AA49" s="73">
        <f t="shared" si="21"/>
        <v>23.2818</v>
      </c>
      <c r="AB49" s="74" t="e">
        <f>VLOOKUP(A49,Enforcements!C48:J111,8,0)</f>
        <v>#N/A</v>
      </c>
      <c r="AC49" s="74" t="e">
        <f>VLOOKUP(A49,Enforcements!C48:E111,3,0)</f>
        <v>#N/A</v>
      </c>
    </row>
    <row r="50" spans="1:29" s="2" customFormat="1" x14ac:dyDescent="0.25">
      <c r="A50" s="60" t="s">
        <v>276</v>
      </c>
      <c r="B50" s="60">
        <v>4008</v>
      </c>
      <c r="C50" s="60" t="s">
        <v>62</v>
      </c>
      <c r="D50" s="60" t="s">
        <v>259</v>
      </c>
      <c r="E50" s="30">
        <v>42541.433981481481</v>
      </c>
      <c r="F50" s="30">
        <v>42541.434895833336</v>
      </c>
      <c r="G50" s="38">
        <v>1</v>
      </c>
      <c r="H50" s="30" t="s">
        <v>63</v>
      </c>
      <c r="I50" s="30">
        <v>42541.461539351854</v>
      </c>
      <c r="J50" s="60">
        <v>0</v>
      </c>
      <c r="K50" s="60" t="str">
        <f t="shared" si="13"/>
        <v>4007/4008</v>
      </c>
      <c r="L50" s="60" t="str">
        <f>VLOOKUP(A50,'Trips&amp;Operators'!$C$1:$E$10000,3,FALSE)</f>
        <v>ROCHA</v>
      </c>
      <c r="M50" s="12">
        <f t="shared" si="14"/>
        <v>2.6643518518540077E-2</v>
      </c>
      <c r="N50" s="13">
        <f t="shared" si="12"/>
        <v>38.366666666697711</v>
      </c>
      <c r="O50" s="13"/>
      <c r="P50" s="13"/>
      <c r="Q50" s="61"/>
      <c r="R50" s="61"/>
      <c r="S50" s="96">
        <f t="shared" si="10"/>
        <v>1</v>
      </c>
      <c r="T50" s="2" t="str">
        <f t="shared" si="15"/>
        <v>Southbound</v>
      </c>
      <c r="U50" s="2">
        <f>COUNTIFS(Variables!$M$2:$M$13, "&lt;=" &amp; Y50, Variables!$M$2:$M$13, "&gt;=" &amp; Z50)</f>
        <v>12</v>
      </c>
      <c r="V50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10:23:56-0600',mode:absolute,to:'2016-06-20 11:05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0" s="73" t="str">
        <f t="shared" si="17"/>
        <v>N</v>
      </c>
      <c r="X50" s="73">
        <f t="shared" si="18"/>
        <v>1</v>
      </c>
      <c r="Y50" s="73">
        <f t="shared" si="19"/>
        <v>23.298100000000002</v>
      </c>
      <c r="Z50" s="73">
        <f t="shared" si="20"/>
        <v>1.4500000000000001E-2</v>
      </c>
      <c r="AA50" s="73">
        <f t="shared" si="21"/>
        <v>23.2836</v>
      </c>
      <c r="AB50" s="74" t="e">
        <f>VLOOKUP(A50,Enforcements!C49:J112,8,0)</f>
        <v>#N/A</v>
      </c>
      <c r="AC50" s="74" t="e">
        <f>VLOOKUP(A50,Enforcements!C49:E112,3,0)</f>
        <v>#N/A</v>
      </c>
    </row>
    <row r="51" spans="1:29" s="2" customFormat="1" x14ac:dyDescent="0.25">
      <c r="A51" s="60" t="s">
        <v>277</v>
      </c>
      <c r="B51" s="60">
        <v>4025</v>
      </c>
      <c r="C51" s="60" t="s">
        <v>62</v>
      </c>
      <c r="D51" s="60" t="s">
        <v>126</v>
      </c>
      <c r="E51" s="30">
        <v>42541.403703703705</v>
      </c>
      <c r="F51" s="30">
        <v>42541.404930555553</v>
      </c>
      <c r="G51" s="38">
        <v>1</v>
      </c>
      <c r="H51" s="30" t="s">
        <v>278</v>
      </c>
      <c r="I51" s="30">
        <v>42541.433530092596</v>
      </c>
      <c r="J51" s="60">
        <v>1</v>
      </c>
      <c r="K51" s="60" t="str">
        <f t="shared" si="13"/>
        <v>4025/4026</v>
      </c>
      <c r="L51" s="60" t="str">
        <f>VLOOKUP(A51,'Trips&amp;Operators'!$C$1:$E$10000,3,FALSE)</f>
        <v>PELLITIER</v>
      </c>
      <c r="M51" s="12">
        <f t="shared" si="14"/>
        <v>2.8599537043191958E-2</v>
      </c>
      <c r="N51" s="13">
        <f t="shared" si="12"/>
        <v>41.18333334219642</v>
      </c>
      <c r="O51" s="13"/>
      <c r="P51" s="13"/>
      <c r="Q51" s="61"/>
      <c r="R51" s="61"/>
      <c r="S51" s="96">
        <f t="shared" si="10"/>
        <v>1</v>
      </c>
      <c r="T51" s="2" t="str">
        <f t="shared" si="15"/>
        <v>NorthBound</v>
      </c>
      <c r="U51" s="2">
        <f>COUNTIFS(Variables!$M$2:$M$13, "&gt;=" &amp; Y51, Variables!$M$2:$M$13, "&lt;=" &amp; Z51)</f>
        <v>12</v>
      </c>
      <c r="V51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09:40:20-0600',mode:absolute,to:'2016-06-20 10:25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1" s="73" t="str">
        <f t="shared" si="17"/>
        <v>N</v>
      </c>
      <c r="X51" s="73">
        <f t="shared" si="18"/>
        <v>1</v>
      </c>
      <c r="Y51" s="73">
        <f t="shared" si="19"/>
        <v>4.4699999999999997E-2</v>
      </c>
      <c r="Z51" s="73">
        <f t="shared" si="20"/>
        <v>23.314</v>
      </c>
      <c r="AA51" s="73">
        <f t="shared" si="21"/>
        <v>23.269300000000001</v>
      </c>
      <c r="AB51" s="74" t="e">
        <f>VLOOKUP(A51,Enforcements!C50:J113,8,0)</f>
        <v>#N/A</v>
      </c>
      <c r="AC51" s="74" t="e">
        <f>VLOOKUP(A51,Enforcements!C50:E113,3,0)</f>
        <v>#N/A</v>
      </c>
    </row>
    <row r="52" spans="1:29" s="2" customFormat="1" x14ac:dyDescent="0.25">
      <c r="A52" s="60" t="s">
        <v>279</v>
      </c>
      <c r="B52" s="60">
        <v>4026</v>
      </c>
      <c r="C52" s="60" t="s">
        <v>62</v>
      </c>
      <c r="D52" s="60" t="s">
        <v>280</v>
      </c>
      <c r="E52" s="30">
        <v>42541.442685185182</v>
      </c>
      <c r="F52" s="30">
        <v>42541.443703703706</v>
      </c>
      <c r="G52" s="38">
        <v>1</v>
      </c>
      <c r="H52" s="30" t="s">
        <v>256</v>
      </c>
      <c r="I52" s="30">
        <v>42541.471296296295</v>
      </c>
      <c r="J52" s="60">
        <v>0</v>
      </c>
      <c r="K52" s="60" t="str">
        <f t="shared" si="13"/>
        <v>4025/4026</v>
      </c>
      <c r="L52" s="60" t="str">
        <f>VLOOKUP(A52,'Trips&amp;Operators'!$C$1:$E$10000,3,FALSE)</f>
        <v>YANAI</v>
      </c>
      <c r="M52" s="12">
        <f t="shared" si="14"/>
        <v>2.7592592588916887E-2</v>
      </c>
      <c r="N52" s="13">
        <f t="shared" si="12"/>
        <v>39.733333328040317</v>
      </c>
      <c r="O52" s="13"/>
      <c r="P52" s="13"/>
      <c r="Q52" s="61"/>
      <c r="R52" s="61"/>
      <c r="S52" s="96">
        <f t="shared" si="10"/>
        <v>1</v>
      </c>
      <c r="T52" s="2" t="str">
        <f t="shared" si="15"/>
        <v>Southbound</v>
      </c>
      <c r="U52" s="2">
        <f>COUNTIFS(Variables!$M$2:$M$13, "&lt;=" &amp; Y52, Variables!$M$2:$M$13, "&gt;=" &amp; Z52)</f>
        <v>12</v>
      </c>
      <c r="V52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10:36:28-0600',mode:absolute,to:'2016-06-20 11:19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2" s="73" t="str">
        <f t="shared" si="17"/>
        <v>N</v>
      </c>
      <c r="X52" s="73">
        <f t="shared" si="18"/>
        <v>1</v>
      </c>
      <c r="Y52" s="73">
        <f t="shared" si="19"/>
        <v>23.283999999999999</v>
      </c>
      <c r="Z52" s="73">
        <f t="shared" si="20"/>
        <v>1.6500000000000001E-2</v>
      </c>
      <c r="AA52" s="73">
        <f t="shared" si="21"/>
        <v>23.267499999999998</v>
      </c>
      <c r="AB52" s="74" t="e">
        <f>VLOOKUP(A52,Enforcements!C51:J114,8,0)</f>
        <v>#N/A</v>
      </c>
      <c r="AC52" s="74" t="e">
        <f>VLOOKUP(A52,Enforcements!C51:E114,3,0)</f>
        <v>#N/A</v>
      </c>
    </row>
    <row r="53" spans="1:29" s="2" customFormat="1" x14ac:dyDescent="0.25">
      <c r="A53" s="60" t="s">
        <v>281</v>
      </c>
      <c r="B53" s="60">
        <v>4044</v>
      </c>
      <c r="C53" s="60" t="s">
        <v>62</v>
      </c>
      <c r="D53" s="60" t="s">
        <v>126</v>
      </c>
      <c r="E53" s="30">
        <v>42541.413969907408</v>
      </c>
      <c r="F53" s="30">
        <v>42541.41479166667</v>
      </c>
      <c r="G53" s="38">
        <v>1</v>
      </c>
      <c r="H53" s="30" t="s">
        <v>175</v>
      </c>
      <c r="I53" s="30">
        <v>42541.443368055552</v>
      </c>
      <c r="J53" s="60">
        <v>0</v>
      </c>
      <c r="K53" s="60" t="str">
        <f t="shared" si="13"/>
        <v>4043/4044</v>
      </c>
      <c r="L53" s="60" t="str">
        <f>VLOOKUP(A53,'Trips&amp;Operators'!$C$1:$E$10000,3,FALSE)</f>
        <v>SPECTOR</v>
      </c>
      <c r="M53" s="12">
        <f t="shared" si="14"/>
        <v>2.8576388882356696E-2</v>
      </c>
      <c r="N53" s="13">
        <f t="shared" si="12"/>
        <v>41.149999990593642</v>
      </c>
      <c r="O53" s="13"/>
      <c r="P53" s="13"/>
      <c r="Q53" s="61"/>
      <c r="R53" s="61"/>
      <c r="S53" s="96">
        <f t="shared" si="10"/>
        <v>1</v>
      </c>
      <c r="T53" s="2" t="str">
        <f t="shared" si="15"/>
        <v>NorthBound</v>
      </c>
      <c r="U53" s="2">
        <f>COUNTIFS(Variables!$M$2:$M$13, "&gt;=" &amp; Y53, Variables!$M$2:$M$13, "&lt;=" &amp; Z53)</f>
        <v>12</v>
      </c>
      <c r="V53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09:55:07-0600',mode:absolute,to:'2016-06-20 10:39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3" s="73" t="str">
        <f t="shared" si="17"/>
        <v>N</v>
      </c>
      <c r="X53" s="73">
        <f t="shared" si="18"/>
        <v>1</v>
      </c>
      <c r="Y53" s="73">
        <f t="shared" si="19"/>
        <v>4.4699999999999997E-2</v>
      </c>
      <c r="Z53" s="73">
        <f t="shared" si="20"/>
        <v>23.331</v>
      </c>
      <c r="AA53" s="73">
        <f t="shared" si="21"/>
        <v>23.286300000000001</v>
      </c>
      <c r="AB53" s="74" t="e">
        <f>VLOOKUP(A53,Enforcements!C52:J115,8,0)</f>
        <v>#N/A</v>
      </c>
      <c r="AC53" s="74" t="e">
        <f>VLOOKUP(A53,Enforcements!C52:E115,3,0)</f>
        <v>#N/A</v>
      </c>
    </row>
    <row r="54" spans="1:29" s="2" customFormat="1" x14ac:dyDescent="0.25">
      <c r="A54" s="60" t="s">
        <v>282</v>
      </c>
      <c r="B54" s="60">
        <v>4043</v>
      </c>
      <c r="C54" s="60" t="s">
        <v>62</v>
      </c>
      <c r="D54" s="60" t="s">
        <v>72</v>
      </c>
      <c r="E54" s="30">
        <v>42541.45244212963</v>
      </c>
      <c r="F54" s="30">
        <v>42541.453229166669</v>
      </c>
      <c r="G54" s="38">
        <v>1</v>
      </c>
      <c r="H54" s="30" t="s">
        <v>71</v>
      </c>
      <c r="I54" s="30">
        <v>42541.482349537036</v>
      </c>
      <c r="J54" s="60">
        <v>0</v>
      </c>
      <c r="K54" s="60" t="str">
        <f t="shared" si="13"/>
        <v>4043/4044</v>
      </c>
      <c r="L54" s="60" t="str">
        <f>VLOOKUP(A54,'Trips&amp;Operators'!$C$1:$E$10000,3,FALSE)</f>
        <v>SPECTOR</v>
      </c>
      <c r="M54" s="12">
        <f t="shared" si="14"/>
        <v>2.9120370367309079E-2</v>
      </c>
      <c r="N54" s="13">
        <f t="shared" si="12"/>
        <v>41.933333328925073</v>
      </c>
      <c r="O54" s="13"/>
      <c r="P54" s="13"/>
      <c r="Q54" s="61"/>
      <c r="R54" s="61"/>
      <c r="S54" s="96">
        <f t="shared" si="10"/>
        <v>1</v>
      </c>
      <c r="T54" s="2" t="str">
        <f t="shared" si="15"/>
        <v>Southbound</v>
      </c>
      <c r="U54" s="2">
        <f>COUNTIFS(Variables!$M$2:$M$13, "&lt;=" &amp; Y54, Variables!$M$2:$M$13, "&gt;=" &amp; Z54)</f>
        <v>12</v>
      </c>
      <c r="V54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10:50:31-0600',mode:absolute,to:'2016-06-20 11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4" s="73" t="str">
        <f t="shared" si="17"/>
        <v>N</v>
      </c>
      <c r="X54" s="73">
        <f t="shared" si="18"/>
        <v>1</v>
      </c>
      <c r="Y54" s="73">
        <f t="shared" si="19"/>
        <v>23.299600000000002</v>
      </c>
      <c r="Z54" s="73">
        <f t="shared" si="20"/>
        <v>1.47E-2</v>
      </c>
      <c r="AA54" s="73">
        <f t="shared" si="21"/>
        <v>23.2849</v>
      </c>
      <c r="AB54" s="74" t="e">
        <f>VLOOKUP(A54,Enforcements!C53:J116,8,0)</f>
        <v>#N/A</v>
      </c>
      <c r="AC54" s="74" t="e">
        <f>VLOOKUP(A54,Enforcements!C53:E116,3,0)</f>
        <v>#N/A</v>
      </c>
    </row>
    <row r="55" spans="1:29" s="2" customFormat="1" x14ac:dyDescent="0.25">
      <c r="A55" s="60" t="s">
        <v>283</v>
      </c>
      <c r="B55" s="60">
        <v>4029</v>
      </c>
      <c r="C55" s="60" t="s">
        <v>62</v>
      </c>
      <c r="D55" s="60" t="s">
        <v>105</v>
      </c>
      <c r="E55" s="30">
        <v>42541.425636574073</v>
      </c>
      <c r="F55" s="30">
        <v>42541.42659722222</v>
      </c>
      <c r="G55" s="38">
        <v>1</v>
      </c>
      <c r="H55" s="30" t="s">
        <v>176</v>
      </c>
      <c r="I55" s="30">
        <v>42541.453148148146</v>
      </c>
      <c r="J55" s="60">
        <v>0</v>
      </c>
      <c r="K55" s="60" t="str">
        <f t="shared" si="13"/>
        <v>4029/4030</v>
      </c>
      <c r="L55" s="60" t="str">
        <f>VLOOKUP(A55,'Trips&amp;Operators'!$C$1:$E$10000,3,FALSE)</f>
        <v>ACKERMAN</v>
      </c>
      <c r="M55" s="12">
        <f t="shared" si="14"/>
        <v>2.6550925926130731E-2</v>
      </c>
      <c r="N55" s="13">
        <f t="shared" si="12"/>
        <v>38.233333333628252</v>
      </c>
      <c r="O55" s="13"/>
      <c r="P55" s="13"/>
      <c r="Q55" s="61"/>
      <c r="R55" s="61"/>
      <c r="S55" s="96">
        <f t="shared" si="10"/>
        <v>1</v>
      </c>
      <c r="T55" s="2" t="str">
        <f t="shared" si="15"/>
        <v>NorthBound</v>
      </c>
      <c r="U55" s="2">
        <f>COUNTIFS(Variables!$M$2:$M$13, "&gt;=" &amp; Y55, Variables!$M$2:$M$13, "&lt;=" &amp; Z55)</f>
        <v>12</v>
      </c>
      <c r="V55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10:11:55-0600',mode:absolute,to:'2016-06-20 10:53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5" s="73" t="str">
        <f t="shared" si="17"/>
        <v>N</v>
      </c>
      <c r="X55" s="73">
        <f t="shared" si="18"/>
        <v>1</v>
      </c>
      <c r="Y55" s="73">
        <f t="shared" si="19"/>
        <v>4.6399999999999997E-2</v>
      </c>
      <c r="Z55" s="73">
        <f t="shared" si="20"/>
        <v>23.3307</v>
      </c>
      <c r="AA55" s="73">
        <f t="shared" si="21"/>
        <v>23.284300000000002</v>
      </c>
      <c r="AB55" s="74" t="e">
        <f>VLOOKUP(A55,Enforcements!C54:J117,8,0)</f>
        <v>#N/A</v>
      </c>
      <c r="AC55" s="74" t="e">
        <f>VLOOKUP(A55,Enforcements!C54:E117,3,0)</f>
        <v>#N/A</v>
      </c>
    </row>
    <row r="56" spans="1:29" s="2" customFormat="1" x14ac:dyDescent="0.25">
      <c r="A56" s="60" t="s">
        <v>284</v>
      </c>
      <c r="B56" s="60">
        <v>4030</v>
      </c>
      <c r="C56" s="60" t="s">
        <v>62</v>
      </c>
      <c r="D56" s="60" t="s">
        <v>65</v>
      </c>
      <c r="E56" s="30">
        <v>42541.461099537039</v>
      </c>
      <c r="F56" s="30">
        <v>42541.462210648147</v>
      </c>
      <c r="G56" s="38">
        <v>1</v>
      </c>
      <c r="H56" s="30" t="s">
        <v>73</v>
      </c>
      <c r="I56" s="30">
        <v>42541.493784722225</v>
      </c>
      <c r="J56" s="60">
        <v>0</v>
      </c>
      <c r="K56" s="60" t="str">
        <f t="shared" si="13"/>
        <v>4029/4030</v>
      </c>
      <c r="L56" s="60" t="str">
        <f>VLOOKUP(A56,'Trips&amp;Operators'!$C$1:$E$10000,3,FALSE)</f>
        <v>ACKERMAN</v>
      </c>
      <c r="M56" s="12">
        <f t="shared" si="14"/>
        <v>3.1574074077070691E-2</v>
      </c>
      <c r="N56" s="13">
        <f t="shared" si="12"/>
        <v>45.466666670981795</v>
      </c>
      <c r="O56" s="13"/>
      <c r="P56" s="13"/>
      <c r="Q56" s="61"/>
      <c r="R56" s="61"/>
      <c r="S56" s="96">
        <f t="shared" si="10"/>
        <v>1</v>
      </c>
      <c r="T56" s="2" t="str">
        <f t="shared" si="15"/>
        <v>Southbound</v>
      </c>
      <c r="U56" s="2">
        <f>COUNTIFS(Variables!$M$2:$M$13, "&lt;=" &amp; Y56, Variables!$M$2:$M$13, "&gt;=" &amp; Z56)</f>
        <v>12</v>
      </c>
      <c r="V56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11:02:59-0600',mode:absolute,to:'2016-06-20 11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6" s="73" t="str">
        <f t="shared" si="17"/>
        <v>N</v>
      </c>
      <c r="X56" s="73">
        <f t="shared" si="18"/>
        <v>1</v>
      </c>
      <c r="Y56" s="73">
        <f t="shared" si="19"/>
        <v>23.299399999999999</v>
      </c>
      <c r="Z56" s="73">
        <f t="shared" si="20"/>
        <v>1.6E-2</v>
      </c>
      <c r="AA56" s="73">
        <f t="shared" si="21"/>
        <v>23.2834</v>
      </c>
      <c r="AB56" s="74" t="e">
        <f>VLOOKUP(A56,Enforcements!C55:J118,8,0)</f>
        <v>#N/A</v>
      </c>
      <c r="AC56" s="74" t="e">
        <f>VLOOKUP(A56,Enforcements!C55:E118,3,0)</f>
        <v>#N/A</v>
      </c>
    </row>
    <row r="57" spans="1:29" s="2" customFormat="1" x14ac:dyDescent="0.25">
      <c r="A57" s="60" t="s">
        <v>285</v>
      </c>
      <c r="B57" s="60">
        <v>4011</v>
      </c>
      <c r="C57" s="60" t="s">
        <v>62</v>
      </c>
      <c r="D57" s="60" t="s">
        <v>105</v>
      </c>
      <c r="E57" s="30">
        <v>42541.434895833336</v>
      </c>
      <c r="F57" s="30">
        <v>42541.436342592591</v>
      </c>
      <c r="G57" s="38">
        <v>2</v>
      </c>
      <c r="H57" s="30" t="s">
        <v>125</v>
      </c>
      <c r="I57" s="30">
        <v>42541.464305555557</v>
      </c>
      <c r="J57" s="60">
        <v>0</v>
      </c>
      <c r="K57" s="60" t="str">
        <f t="shared" si="13"/>
        <v>4011/4012</v>
      </c>
      <c r="L57" s="60" t="str">
        <f>VLOOKUP(A57,'Trips&amp;Operators'!$C$1:$E$10000,3,FALSE)</f>
        <v>SANTIZO</v>
      </c>
      <c r="M57" s="12">
        <f t="shared" si="14"/>
        <v>2.7962962965830229E-2</v>
      </c>
      <c r="N57" s="13">
        <f t="shared" si="12"/>
        <v>40.26666667079553</v>
      </c>
      <c r="O57" s="13"/>
      <c r="P57" s="13"/>
      <c r="Q57" s="61"/>
      <c r="R57" s="61"/>
      <c r="S57" s="96">
        <f t="shared" si="10"/>
        <v>1</v>
      </c>
      <c r="T57" s="2" t="str">
        <f t="shared" si="15"/>
        <v>NorthBound</v>
      </c>
      <c r="U57" s="2">
        <f>COUNTIFS(Variables!$M$2:$M$13, "&gt;=" &amp; Y57, Variables!$M$2:$M$13, "&lt;=" &amp; Z57)</f>
        <v>12</v>
      </c>
      <c r="V57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10:25:15-0600',mode:absolute,to:'2016-06-20 11:09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7" s="73" t="str">
        <f t="shared" si="17"/>
        <v>N</v>
      </c>
      <c r="X57" s="73">
        <f t="shared" si="18"/>
        <v>1</v>
      </c>
      <c r="Y57" s="73">
        <f t="shared" si="19"/>
        <v>4.6399999999999997E-2</v>
      </c>
      <c r="Z57" s="73">
        <f t="shared" si="20"/>
        <v>23.329499999999999</v>
      </c>
      <c r="AA57" s="73">
        <f t="shared" si="21"/>
        <v>23.283100000000001</v>
      </c>
      <c r="AB57" s="74" t="e">
        <f>VLOOKUP(A57,Enforcements!C56:J119,8,0)</f>
        <v>#N/A</v>
      </c>
      <c r="AC57" s="74" t="e">
        <f>VLOOKUP(A57,Enforcements!C56:E119,3,0)</f>
        <v>#N/A</v>
      </c>
    </row>
    <row r="58" spans="1:29" s="2" customFormat="1" x14ac:dyDescent="0.25">
      <c r="A58" s="60" t="s">
        <v>286</v>
      </c>
      <c r="B58" s="60">
        <v>4012</v>
      </c>
      <c r="C58" s="60" t="s">
        <v>62</v>
      </c>
      <c r="D58" s="60" t="s">
        <v>119</v>
      </c>
      <c r="E58" s="30">
        <v>42541.470972222225</v>
      </c>
      <c r="F58" s="30">
        <v>42541.472118055557</v>
      </c>
      <c r="G58" s="38">
        <v>1</v>
      </c>
      <c r="H58" s="30" t="s">
        <v>144</v>
      </c>
      <c r="I58" s="30">
        <v>42541.507488425923</v>
      </c>
      <c r="J58" s="60">
        <v>2</v>
      </c>
      <c r="K58" s="60" t="str">
        <f t="shared" si="13"/>
        <v>4011/4012</v>
      </c>
      <c r="L58" s="60" t="str">
        <f>VLOOKUP(A58,'Trips&amp;Operators'!$C$1:$E$10000,3,FALSE)</f>
        <v>SANTIZO</v>
      </c>
      <c r="M58" s="12">
        <f t="shared" si="14"/>
        <v>3.5370370365853887E-2</v>
      </c>
      <c r="N58" s="13">
        <f t="shared" si="12"/>
        <v>50.933333326829597</v>
      </c>
      <c r="O58" s="13"/>
      <c r="P58" s="13"/>
      <c r="Q58" s="61"/>
      <c r="R58" s="61"/>
      <c r="S58" s="96">
        <f t="shared" si="10"/>
        <v>1</v>
      </c>
      <c r="T58" s="2" t="str">
        <f t="shared" si="15"/>
        <v>Southbound</v>
      </c>
      <c r="U58" s="2">
        <f>COUNTIFS(Variables!$M$2:$M$13, "&lt;=" &amp; Y58, Variables!$M$2:$M$13, "&gt;=" &amp; Z58)</f>
        <v>12</v>
      </c>
      <c r="V58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11:17:12-0600',mode:absolute,to:'2016-06-20 12:11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8" s="73" t="str">
        <f t="shared" si="17"/>
        <v>N</v>
      </c>
      <c r="X58" s="73">
        <f t="shared" si="18"/>
        <v>1</v>
      </c>
      <c r="Y58" s="73">
        <f t="shared" si="19"/>
        <v>23.298500000000001</v>
      </c>
      <c r="Z58" s="73">
        <f t="shared" si="20"/>
        <v>1.7000000000000001E-2</v>
      </c>
      <c r="AA58" s="73">
        <f t="shared" si="21"/>
        <v>23.281500000000001</v>
      </c>
      <c r="AB58" s="74" t="e">
        <f>VLOOKUP(A58,Enforcements!C57:J120,8,0)</f>
        <v>#N/A</v>
      </c>
      <c r="AC58" s="74" t="e">
        <f>VLOOKUP(A58,Enforcements!C57:E120,3,0)</f>
        <v>#N/A</v>
      </c>
    </row>
    <row r="59" spans="1:29" s="2" customFormat="1" x14ac:dyDescent="0.25">
      <c r="A59" s="92" t="s">
        <v>484</v>
      </c>
      <c r="B59" s="60">
        <v>4009</v>
      </c>
      <c r="C59" s="60"/>
      <c r="D59" s="60"/>
      <c r="E59" s="30"/>
      <c r="F59" s="30">
        <v>42541.447129629632</v>
      </c>
      <c r="G59" s="38"/>
      <c r="H59" s="30"/>
      <c r="I59" s="30">
        <v>42541.449097222219</v>
      </c>
      <c r="J59" s="60"/>
      <c r="K59" s="60" t="str">
        <f t="shared" si="13"/>
        <v>4009/4010</v>
      </c>
      <c r="L59" s="60" t="str">
        <f>VLOOKUP(A59,'Trips&amp;Operators'!$C$1:$E$10000,3,FALSE)</f>
        <v>STORY</v>
      </c>
      <c r="M59" s="12">
        <f t="shared" si="14"/>
        <v>1.9675925868796185E-3</v>
      </c>
      <c r="N59" s="13"/>
      <c r="O59" s="13"/>
      <c r="P59" s="13">
        <f>24*60*SUM($M59:$M59)</f>
        <v>2.8333333251066506</v>
      </c>
      <c r="Q59" s="61"/>
      <c r="R59" s="61" t="s">
        <v>196</v>
      </c>
      <c r="S59" s="96">
        <f t="shared" si="10"/>
        <v>0</v>
      </c>
      <c r="T59" s="2" t="str">
        <f t="shared" si="15"/>
        <v>NorthBound</v>
      </c>
      <c r="U59" s="2">
        <f>COUNTIFS(Variables!$M$2:$M$13, "&gt;=" &amp; Y59, Variables!$M$2:$M$13, "&lt;=" &amp; Z59)</f>
        <v>0</v>
      </c>
      <c r="V59" s="73" t="e">
        <f t="shared" si="16"/>
        <v>#VALUE!</v>
      </c>
      <c r="W59" s="73" t="e">
        <f t="shared" si="17"/>
        <v>#VALUE!</v>
      </c>
      <c r="X59" s="73">
        <f t="shared" si="18"/>
        <v>1</v>
      </c>
      <c r="Y59" s="73" t="e">
        <f t="shared" si="19"/>
        <v>#VALUE!</v>
      </c>
      <c r="Z59" s="73" t="e">
        <f t="shared" si="20"/>
        <v>#VALUE!</v>
      </c>
      <c r="AA59" s="73" t="e">
        <f t="shared" si="21"/>
        <v>#VALUE!</v>
      </c>
      <c r="AB59" s="74" t="e">
        <f>VLOOKUP(A59,Enforcements!C58:J121,8,0)</f>
        <v>#N/A</v>
      </c>
      <c r="AC59" s="74" t="e">
        <f>VLOOKUP(A59,Enforcements!C58:E121,3,0)</f>
        <v>#N/A</v>
      </c>
    </row>
    <row r="60" spans="1:29" s="2" customFormat="1" x14ac:dyDescent="0.25">
      <c r="A60" s="60" t="s">
        <v>287</v>
      </c>
      <c r="B60" s="60">
        <v>4010</v>
      </c>
      <c r="C60" s="60" t="s">
        <v>62</v>
      </c>
      <c r="D60" s="60" t="s">
        <v>189</v>
      </c>
      <c r="E60" s="30">
        <v>42541.485393518517</v>
      </c>
      <c r="F60" s="30">
        <v>42541.486192129632</v>
      </c>
      <c r="G60" s="38">
        <v>1</v>
      </c>
      <c r="H60" s="30" t="s">
        <v>84</v>
      </c>
      <c r="I60" s="30">
        <v>42541.514756944445</v>
      </c>
      <c r="J60" s="60">
        <v>0</v>
      </c>
      <c r="K60" s="60" t="str">
        <f t="shared" si="13"/>
        <v>4009/4010</v>
      </c>
      <c r="L60" s="60" t="str">
        <f>VLOOKUP(A60,'Trips&amp;Operators'!$C$1:$E$10000,3,FALSE)</f>
        <v>STORY</v>
      </c>
      <c r="M60" s="12">
        <f t="shared" si="14"/>
        <v>2.8564814812853001E-2</v>
      </c>
      <c r="N60" s="13">
        <f>24*60*SUM($M60:$M60)</f>
        <v>41.133333330508322</v>
      </c>
      <c r="O60" s="13"/>
      <c r="P60" s="13"/>
      <c r="Q60" s="61"/>
      <c r="R60" s="61"/>
      <c r="S60" s="96">
        <f t="shared" si="10"/>
        <v>1</v>
      </c>
      <c r="T60" s="2" t="str">
        <f t="shared" si="15"/>
        <v>Southbound</v>
      </c>
      <c r="U60" s="2">
        <f>COUNTIFS(Variables!$M$2:$M$13, "&lt;=" &amp; Y60, Variables!$M$2:$M$13, "&gt;=" &amp; Z60)</f>
        <v>12</v>
      </c>
      <c r="V60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11:37:58-0600',mode:absolute,to:'2016-06-20 12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0" s="73" t="str">
        <f t="shared" si="17"/>
        <v>N</v>
      </c>
      <c r="X60" s="73">
        <f t="shared" si="18"/>
        <v>1</v>
      </c>
      <c r="Y60" s="73">
        <f t="shared" si="19"/>
        <v>23.2986</v>
      </c>
      <c r="Z60" s="73">
        <f t="shared" si="20"/>
        <v>1.5599999999999999E-2</v>
      </c>
      <c r="AA60" s="73">
        <f t="shared" si="21"/>
        <v>23.283000000000001</v>
      </c>
      <c r="AB60" s="74" t="e">
        <f>VLOOKUP(A60,Enforcements!C59:J122,8,0)</f>
        <v>#N/A</v>
      </c>
      <c r="AC60" s="74" t="e">
        <f>VLOOKUP(A60,Enforcements!C59:E122,3,0)</f>
        <v>#N/A</v>
      </c>
    </row>
    <row r="61" spans="1:29" s="2" customFormat="1" x14ac:dyDescent="0.25">
      <c r="A61" s="60" t="s">
        <v>288</v>
      </c>
      <c r="B61" s="60">
        <v>4042</v>
      </c>
      <c r="C61" s="60" t="s">
        <v>62</v>
      </c>
      <c r="D61" s="60" t="s">
        <v>192</v>
      </c>
      <c r="E61" s="30">
        <v>42541.456006944441</v>
      </c>
      <c r="F61" s="30">
        <v>42541.457233796296</v>
      </c>
      <c r="G61" s="38">
        <v>1</v>
      </c>
      <c r="H61" s="30" t="s">
        <v>289</v>
      </c>
      <c r="I61" s="30">
        <v>42541.486446759256</v>
      </c>
      <c r="J61" s="60">
        <v>0</v>
      </c>
      <c r="K61" s="60" t="str">
        <f t="shared" si="13"/>
        <v>4041/4042</v>
      </c>
      <c r="L61" s="60" t="str">
        <f>VLOOKUP(A61,'Trips&amp;Operators'!$C$1:$E$10000,3,FALSE)</f>
        <v>MALAVE</v>
      </c>
      <c r="M61" s="12">
        <f t="shared" si="14"/>
        <v>2.9212962959718425E-2</v>
      </c>
      <c r="N61" s="13">
        <f>24*60*SUM($M61:$M61)</f>
        <v>42.066666661994532</v>
      </c>
      <c r="O61" s="13"/>
      <c r="P61" s="13"/>
      <c r="Q61" s="61"/>
      <c r="R61" s="61"/>
      <c r="S61" s="96">
        <f t="shared" si="10"/>
        <v>1</v>
      </c>
      <c r="T61" s="2" t="str">
        <f t="shared" si="15"/>
        <v>NorthBound</v>
      </c>
      <c r="U61" s="2">
        <f>COUNTIFS(Variables!$M$2:$M$13, "&gt;=" &amp; Y61, Variables!$M$2:$M$13, "&lt;=" &amp; Z61)</f>
        <v>12</v>
      </c>
      <c r="V61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10:55:39-0600',mode:absolute,to:'2016-06-20 11:41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1" s="73" t="str">
        <f t="shared" si="17"/>
        <v>N</v>
      </c>
      <c r="X61" s="73">
        <f t="shared" si="18"/>
        <v>1</v>
      </c>
      <c r="Y61" s="73">
        <f t="shared" si="19"/>
        <v>4.8000000000000001E-2</v>
      </c>
      <c r="Z61" s="73">
        <f t="shared" si="20"/>
        <v>23.3263</v>
      </c>
      <c r="AA61" s="73">
        <f t="shared" si="21"/>
        <v>23.278300000000002</v>
      </c>
      <c r="AB61" s="74" t="e">
        <f>VLOOKUP(A61,Enforcements!C60:J123,8,0)</f>
        <v>#N/A</v>
      </c>
      <c r="AC61" s="74" t="e">
        <f>VLOOKUP(A61,Enforcements!C60:E123,3,0)</f>
        <v>#N/A</v>
      </c>
    </row>
    <row r="62" spans="1:29" s="2" customFormat="1" x14ac:dyDescent="0.25">
      <c r="A62" s="60" t="s">
        <v>290</v>
      </c>
      <c r="B62" s="60">
        <v>4041</v>
      </c>
      <c r="C62" s="60" t="s">
        <v>62</v>
      </c>
      <c r="D62" s="60" t="s">
        <v>291</v>
      </c>
      <c r="E62" s="30">
        <v>42541.495243055557</v>
      </c>
      <c r="F62" s="30">
        <v>42541.497442129628</v>
      </c>
      <c r="G62" s="38">
        <v>3</v>
      </c>
      <c r="H62" s="30" t="s">
        <v>85</v>
      </c>
      <c r="I62" s="30">
        <v>42541.525416666664</v>
      </c>
      <c r="J62" s="60">
        <v>2</v>
      </c>
      <c r="K62" s="60" t="str">
        <f t="shared" si="13"/>
        <v>4041/4042</v>
      </c>
      <c r="L62" s="60" t="str">
        <f>VLOOKUP(A62,'Trips&amp;Operators'!$C$1:$E$10000,3,FALSE)</f>
        <v>MALAVE</v>
      </c>
      <c r="M62" s="12">
        <f t="shared" si="14"/>
        <v>2.7974537035333924E-2</v>
      </c>
      <c r="N62" s="13">
        <f>24*60*SUM($M62:$M62)</f>
        <v>40.283333330880851</v>
      </c>
      <c r="O62" s="13"/>
      <c r="P62" s="13"/>
      <c r="Q62" s="61"/>
      <c r="R62" s="61"/>
      <c r="S62" s="96">
        <f t="shared" si="10"/>
        <v>1</v>
      </c>
      <c r="T62" s="2" t="str">
        <f t="shared" si="15"/>
        <v>Southbound</v>
      </c>
      <c r="U62" s="2">
        <f>COUNTIFS(Variables!$M$2:$M$13, "&lt;=" &amp; Y62, Variables!$M$2:$M$13, "&gt;=" &amp; Z62)</f>
        <v>12</v>
      </c>
      <c r="V62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11:52:09-0600',mode:absolute,to:'2016-06-20 12:37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2" s="73" t="str">
        <f t="shared" si="17"/>
        <v>N</v>
      </c>
      <c r="X62" s="73">
        <f t="shared" si="18"/>
        <v>1</v>
      </c>
      <c r="Y62" s="73">
        <f t="shared" si="19"/>
        <v>23.294699999999999</v>
      </c>
      <c r="Z62" s="73">
        <f t="shared" si="20"/>
        <v>1.49E-2</v>
      </c>
      <c r="AA62" s="73">
        <f t="shared" si="21"/>
        <v>23.279799999999998</v>
      </c>
      <c r="AB62" s="74" t="e">
        <f>VLOOKUP(A62,Enforcements!C61:J124,8,0)</f>
        <v>#N/A</v>
      </c>
      <c r="AC62" s="74" t="e">
        <f>VLOOKUP(A62,Enforcements!C61:E124,3,0)</f>
        <v>#N/A</v>
      </c>
    </row>
    <row r="63" spans="1:29" s="2" customFormat="1" x14ac:dyDescent="0.25">
      <c r="A63" s="60" t="s">
        <v>292</v>
      </c>
      <c r="B63" s="60">
        <v>4007</v>
      </c>
      <c r="C63" s="60" t="s">
        <v>62</v>
      </c>
      <c r="D63" s="60" t="s">
        <v>81</v>
      </c>
      <c r="E63" s="30">
        <v>42541.465162037035</v>
      </c>
      <c r="F63" s="30">
        <v>42541.467499999999</v>
      </c>
      <c r="G63" s="38">
        <v>3</v>
      </c>
      <c r="H63" s="30" t="s">
        <v>78</v>
      </c>
      <c r="I63" s="30">
        <v>42541.468159722222</v>
      </c>
      <c r="J63" s="60">
        <v>0</v>
      </c>
      <c r="K63" s="60" t="str">
        <f t="shared" si="13"/>
        <v>4007/4008</v>
      </c>
      <c r="L63" s="60" t="str">
        <f>VLOOKUP(A63,'Trips&amp;Operators'!$C$1:$E$10000,3,FALSE)</f>
        <v>HELVIE</v>
      </c>
      <c r="M63" s="12">
        <f t="shared" si="14"/>
        <v>6.5972222364507616E-4</v>
      </c>
      <c r="N63" s="13"/>
      <c r="O63" s="13"/>
      <c r="P63" s="13">
        <f>24*60*SUM($M63:$M63)</f>
        <v>0.95000000204890966</v>
      </c>
      <c r="Q63" s="61"/>
      <c r="R63" s="61" t="s">
        <v>196</v>
      </c>
      <c r="S63" s="96">
        <f t="shared" si="10"/>
        <v>0</v>
      </c>
      <c r="T63" s="2" t="str">
        <f t="shared" si="15"/>
        <v>NorthBound</v>
      </c>
      <c r="U63" s="2">
        <f>COUNTIFS(Variables!$M$2:$M$13, "&gt;=" &amp; Y63, Variables!$M$2:$M$13, "&lt;=" &amp; Z63)</f>
        <v>0</v>
      </c>
      <c r="V63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11:08:50-0600',mode:absolute,to:'2016-06-20 11:15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3" s="73" t="str">
        <f t="shared" si="17"/>
        <v>Y</v>
      </c>
      <c r="X63" s="73">
        <f t="shared" si="18"/>
        <v>1</v>
      </c>
      <c r="Y63" s="73">
        <f t="shared" si="19"/>
        <v>4.5699999999999998E-2</v>
      </c>
      <c r="Z63" s="73">
        <f t="shared" si="20"/>
        <v>4.6600000000000003E-2</v>
      </c>
      <c r="AA63" s="73">
        <f t="shared" si="21"/>
        <v>9.0000000000000496E-4</v>
      </c>
      <c r="AB63" s="74" t="e">
        <f>VLOOKUP(A63,Enforcements!C62:J125,8,0)</f>
        <v>#N/A</v>
      </c>
      <c r="AC63" s="74" t="e">
        <f>VLOOKUP(A63,Enforcements!C62:E125,3,0)</f>
        <v>#N/A</v>
      </c>
    </row>
    <row r="64" spans="1:29" s="2" customFormat="1" x14ac:dyDescent="0.25">
      <c r="A64" s="60" t="s">
        <v>293</v>
      </c>
      <c r="B64" s="60">
        <v>4025</v>
      </c>
      <c r="C64" s="60" t="s">
        <v>62</v>
      </c>
      <c r="D64" s="60" t="s">
        <v>146</v>
      </c>
      <c r="E64" s="30">
        <v>42541.475370370368</v>
      </c>
      <c r="F64" s="30">
        <v>42541.476446759261</v>
      </c>
      <c r="G64" s="38">
        <v>1</v>
      </c>
      <c r="H64" s="30" t="s">
        <v>294</v>
      </c>
      <c r="I64" s="30">
        <v>42541.506481481483</v>
      </c>
      <c r="J64" s="60">
        <v>0</v>
      </c>
      <c r="K64" s="60" t="str">
        <f t="shared" si="13"/>
        <v>4025/4026</v>
      </c>
      <c r="L64" s="60" t="str">
        <f>VLOOKUP(A64,'Trips&amp;Operators'!$C$1:$E$10000,3,FALSE)</f>
        <v>MAELZER</v>
      </c>
      <c r="M64" s="12">
        <f t="shared" si="14"/>
        <v>3.0034722221898846E-2</v>
      </c>
      <c r="N64" s="13">
        <f t="shared" ref="N64:N72" si="22">24*60*SUM($M64:$M64)</f>
        <v>43.249999999534339</v>
      </c>
      <c r="O64" s="13"/>
      <c r="P64" s="13"/>
      <c r="Q64" s="61"/>
      <c r="R64" s="61"/>
      <c r="S64" s="96">
        <f t="shared" si="10"/>
        <v>1</v>
      </c>
      <c r="T64" s="2" t="str">
        <f t="shared" si="15"/>
        <v>NorthBound</v>
      </c>
      <c r="U64" s="2">
        <f>COUNTIFS(Variables!$M$2:$M$13, "&gt;=" &amp; Y64, Variables!$M$2:$M$13, "&lt;=" &amp; Z64)</f>
        <v>12</v>
      </c>
      <c r="V64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11:23:32-0600',mode:absolute,to:'2016-06-20 12:10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4" s="73" t="str">
        <f t="shared" si="17"/>
        <v>N</v>
      </c>
      <c r="X64" s="73">
        <f t="shared" si="18"/>
        <v>2</v>
      </c>
      <c r="Y64" s="73">
        <f t="shared" si="19"/>
        <v>4.6899999999999997E-2</v>
      </c>
      <c r="Z64" s="73">
        <f t="shared" si="20"/>
        <v>23.3353</v>
      </c>
      <c r="AA64" s="73">
        <f t="shared" si="21"/>
        <v>23.288399999999999</v>
      </c>
      <c r="AB64" s="74" t="e">
        <f>VLOOKUP(A64,Enforcements!C63:J126,8,0)</f>
        <v>#N/A</v>
      </c>
      <c r="AC64" s="74" t="e">
        <f>VLOOKUP(A64,Enforcements!C63:E126,3,0)</f>
        <v>#N/A</v>
      </c>
    </row>
    <row r="65" spans="1:29" s="2" customFormat="1" x14ac:dyDescent="0.25">
      <c r="A65" s="60" t="s">
        <v>295</v>
      </c>
      <c r="B65" s="60">
        <v>4026</v>
      </c>
      <c r="C65" s="60" t="s">
        <v>62</v>
      </c>
      <c r="D65" s="60" t="s">
        <v>296</v>
      </c>
      <c r="E65" s="30">
        <v>42541.510972222219</v>
      </c>
      <c r="F65" s="30">
        <v>42541.512326388889</v>
      </c>
      <c r="G65" s="38">
        <v>1</v>
      </c>
      <c r="H65" s="30" t="s">
        <v>83</v>
      </c>
      <c r="I65" s="30">
        <v>42541.546435185184</v>
      </c>
      <c r="J65" s="60">
        <v>1</v>
      </c>
      <c r="K65" s="60" t="str">
        <f t="shared" si="13"/>
        <v>4025/4026</v>
      </c>
      <c r="L65" s="60" t="str">
        <f>VLOOKUP(A65,'Trips&amp;Operators'!$C$1:$E$10000,3,FALSE)</f>
        <v>MAELZER</v>
      </c>
      <c r="M65" s="12">
        <f t="shared" si="14"/>
        <v>3.4108796295186039E-2</v>
      </c>
      <c r="N65" s="13">
        <f t="shared" si="22"/>
        <v>49.116666665067896</v>
      </c>
      <c r="O65" s="13"/>
      <c r="P65" s="13"/>
      <c r="Q65" s="61"/>
      <c r="R65" s="61"/>
      <c r="S65" s="96">
        <f t="shared" si="10"/>
        <v>1</v>
      </c>
      <c r="T65" s="2" t="str">
        <f t="shared" si="15"/>
        <v>Southbound</v>
      </c>
      <c r="U65" s="2">
        <f>COUNTIFS(Variables!$M$2:$M$13, "&lt;=" &amp; Y65, Variables!$M$2:$M$13, "&gt;=" &amp; Z65)</f>
        <v>12</v>
      </c>
      <c r="V65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12:14:48-0600',mode:absolute,to:'2016-06-20 13:07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5" s="73" t="str">
        <f t="shared" si="17"/>
        <v>N</v>
      </c>
      <c r="X65" s="73">
        <f t="shared" si="18"/>
        <v>1</v>
      </c>
      <c r="Y65" s="73">
        <f t="shared" si="19"/>
        <v>23.303999999999998</v>
      </c>
      <c r="Z65" s="73">
        <f t="shared" si="20"/>
        <v>1.41E-2</v>
      </c>
      <c r="AA65" s="73">
        <f t="shared" si="21"/>
        <v>23.289899999999999</v>
      </c>
      <c r="AB65" s="74" t="e">
        <f>VLOOKUP(A65,Enforcements!C64:J127,8,0)</f>
        <v>#N/A</v>
      </c>
      <c r="AC65" s="74" t="e">
        <f>VLOOKUP(A65,Enforcements!C64:E127,3,0)</f>
        <v>#N/A</v>
      </c>
    </row>
    <row r="66" spans="1:29" s="2" customFormat="1" x14ac:dyDescent="0.25">
      <c r="A66" s="60" t="s">
        <v>297</v>
      </c>
      <c r="B66" s="60">
        <v>4044</v>
      </c>
      <c r="C66" s="60" t="s">
        <v>62</v>
      </c>
      <c r="D66" s="60" t="s">
        <v>97</v>
      </c>
      <c r="E66" s="30">
        <v>42541.484675925924</v>
      </c>
      <c r="F66" s="30">
        <v>42541.489675925928</v>
      </c>
      <c r="G66" s="38">
        <v>7</v>
      </c>
      <c r="H66" s="30" t="s">
        <v>298</v>
      </c>
      <c r="I66" s="30">
        <v>42541.516203703701</v>
      </c>
      <c r="J66" s="60">
        <v>1</v>
      </c>
      <c r="K66" s="60" t="str">
        <f t="shared" si="13"/>
        <v>4043/4044</v>
      </c>
      <c r="L66" s="60" t="str">
        <f>VLOOKUP(A66,'Trips&amp;Operators'!$C$1:$E$10000,3,FALSE)</f>
        <v>LOCKLEAR</v>
      </c>
      <c r="M66" s="12">
        <f t="shared" si="14"/>
        <v>2.6527777772571426E-2</v>
      </c>
      <c r="N66" s="13">
        <f t="shared" si="22"/>
        <v>38.199999992502853</v>
      </c>
      <c r="O66" s="13"/>
      <c r="P66" s="13"/>
      <c r="Q66" s="61"/>
      <c r="R66" s="61"/>
      <c r="S66" s="96">
        <f t="shared" si="10"/>
        <v>1</v>
      </c>
      <c r="T66" s="2" t="str">
        <f t="shared" si="15"/>
        <v>NorthBound</v>
      </c>
      <c r="U66" s="2">
        <f>COUNTIFS(Variables!$M$2:$M$13, "&gt;=" &amp; Y66, Variables!$M$2:$M$13, "&lt;=" &amp; Z66)</f>
        <v>12</v>
      </c>
      <c r="V66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https://search-rtdc-monitor-bjffxe2xuh6vdkpspy63sjmuny.us-east-1.es.amazonaws.com/_plugin/kibana/#/discover/Steve-Slow-Train-Analysis-(2080s-and-2083s)?_g=(refreshInterval:(display:Off,section:0,value:0),time:(from:'2016-06-20 11:36:56-0600',mode:absolute,to:'2016-06-20 12:24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6" s="73" t="str">
        <f t="shared" si="17"/>
        <v>N</v>
      </c>
      <c r="X66" s="73">
        <f t="shared" si="18"/>
        <v>1</v>
      </c>
      <c r="Y66" s="73">
        <f t="shared" si="19"/>
        <v>4.58E-2</v>
      </c>
      <c r="Z66" s="73">
        <f t="shared" si="20"/>
        <v>23.345300000000002</v>
      </c>
      <c r="AA66" s="73">
        <f t="shared" si="21"/>
        <v>23.299500000000002</v>
      </c>
      <c r="AB66" s="74" t="e">
        <f>VLOOKUP(A66,Enforcements!C65:J128,8,0)</f>
        <v>#N/A</v>
      </c>
      <c r="AC66" s="74" t="e">
        <f>VLOOKUP(A66,Enforcements!C65:E128,3,0)</f>
        <v>#N/A</v>
      </c>
    </row>
    <row r="67" spans="1:29" s="2" customFormat="1" x14ac:dyDescent="0.25">
      <c r="A67" s="60" t="s">
        <v>299</v>
      </c>
      <c r="B67" s="60">
        <v>4043</v>
      </c>
      <c r="C67" s="60" t="s">
        <v>62</v>
      </c>
      <c r="D67" s="60" t="s">
        <v>300</v>
      </c>
      <c r="E67" s="30">
        <v>42541.525335648148</v>
      </c>
      <c r="F67" s="30">
        <v>42541.526724537034</v>
      </c>
      <c r="G67" s="38">
        <v>2</v>
      </c>
      <c r="H67" s="30" t="s">
        <v>133</v>
      </c>
      <c r="I67" s="30">
        <v>42541.55704861111</v>
      </c>
      <c r="J67" s="60">
        <v>1</v>
      </c>
      <c r="K67" s="60" t="str">
        <f t="shared" ref="K67:K98" si="23">IF(ISEVEN(B67),(B67-1)&amp;"/"&amp;B67,B67&amp;"/"&amp;(B67+1))</f>
        <v>4043/4044</v>
      </c>
      <c r="L67" s="60" t="str">
        <f>VLOOKUP(A67,'Trips&amp;Operators'!$C$1:$E$10000,3,FALSE)</f>
        <v>LOCKLEAR</v>
      </c>
      <c r="M67" s="12">
        <f t="shared" ref="M67:M98" si="24">I67-F67</f>
        <v>3.0324074075906537E-2</v>
      </c>
      <c r="N67" s="13">
        <f t="shared" si="22"/>
        <v>43.666666669305414</v>
      </c>
      <c r="O67" s="13"/>
      <c r="P67" s="13"/>
      <c r="Q67" s="61"/>
      <c r="R67" s="61"/>
      <c r="S67" s="96">
        <f t="shared" si="10"/>
        <v>1</v>
      </c>
      <c r="T67" s="2" t="str">
        <f t="shared" ref="T67:T98" si="25">IF(ISEVEN(LEFT(A67,3)),"Southbound","NorthBound")</f>
        <v>Southbound</v>
      </c>
      <c r="U67" s="2">
        <f>COUNTIFS(Variables!$M$2:$M$13, "&lt;=" &amp; Y67, Variables!$M$2:$M$13, "&gt;=" &amp; Z67)</f>
        <v>12</v>
      </c>
      <c r="V67" s="73" t="str">
        <f t="shared" ref="V67:V98" si="26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https://search-rtdc-monitor-bjffxe2xuh6vdkpspy63sjmuny.us-east-1.es.amazonaws.com/_plugin/kibana/#/discover/Steve-Slow-Train-Analysis-(2080s-and-2083s)?_g=(refreshInterval:(display:Off,section:0,value:0),time:(from:'2016-06-20 12:35:29-0600',mode:absolute,to:'2016-06-20 13:23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7" s="73" t="str">
        <f t="shared" ref="W67:W98" si="27">IF(AA67&lt;23,"Y","N")</f>
        <v>N</v>
      </c>
      <c r="X67" s="73">
        <f t="shared" ref="X67:X98" si="28">VALUE(LEFT(A67,3))-VALUE(LEFT(A66,3))</f>
        <v>1</v>
      </c>
      <c r="Y67" s="73">
        <f t="shared" ref="Y67:Y98" si="29">RIGHT(D67,LEN(D67)-4)/10000</f>
        <v>23.312200000000001</v>
      </c>
      <c r="Z67" s="73">
        <f t="shared" ref="Z67:Z98" si="30">RIGHT(H67,LEN(H67)-4)/10000</f>
        <v>1.5800000000000002E-2</v>
      </c>
      <c r="AA67" s="73">
        <f t="shared" ref="AA67:AA98" si="31">ABS(Z67-Y67)</f>
        <v>23.296400000000002</v>
      </c>
      <c r="AB67" s="74" t="e">
        <f>VLOOKUP(A67,Enforcements!C66:J129,8,0)</f>
        <v>#N/A</v>
      </c>
      <c r="AC67" s="74" t="e">
        <f>VLOOKUP(A67,Enforcements!C66:E129,3,0)</f>
        <v>#N/A</v>
      </c>
    </row>
    <row r="68" spans="1:29" s="2" customFormat="1" x14ac:dyDescent="0.25">
      <c r="A68" s="60" t="s">
        <v>301</v>
      </c>
      <c r="B68" s="60">
        <v>4029</v>
      </c>
      <c r="C68" s="60" t="s">
        <v>62</v>
      </c>
      <c r="D68" s="60" t="s">
        <v>97</v>
      </c>
      <c r="E68" s="30">
        <v>42541.495694444442</v>
      </c>
      <c r="F68" s="30">
        <v>42541.496898148151</v>
      </c>
      <c r="G68" s="38">
        <v>1</v>
      </c>
      <c r="H68" s="30" t="s">
        <v>175</v>
      </c>
      <c r="I68" s="30">
        <v>42541.525868055556</v>
      </c>
      <c r="J68" s="60">
        <v>0</v>
      </c>
      <c r="K68" s="60" t="str">
        <f t="shared" si="23"/>
        <v>4029/4030</v>
      </c>
      <c r="L68" s="60" t="str">
        <f>VLOOKUP(A68,'Trips&amp;Operators'!$C$1:$E$10000,3,FALSE)</f>
        <v>ACKERMAN</v>
      </c>
      <c r="M68" s="12">
        <f t="shared" si="24"/>
        <v>2.8969907405553386E-2</v>
      </c>
      <c r="N68" s="13">
        <f t="shared" si="22"/>
        <v>41.716666663996875</v>
      </c>
      <c r="O68" s="13"/>
      <c r="P68" s="13"/>
      <c r="Q68" s="61"/>
      <c r="R68" s="61"/>
      <c r="S68" s="96">
        <f t="shared" ref="S68:S131" si="32">SUM(U68:U68)/12</f>
        <v>1</v>
      </c>
      <c r="T68" s="2" t="str">
        <f t="shared" si="25"/>
        <v>NorthBound</v>
      </c>
      <c r="U68" s="2">
        <f>COUNTIFS(Variables!$M$2:$M$13, "&gt;=" &amp; Y68, Variables!$M$2:$M$13, "&lt;=" &amp; Z68)</f>
        <v>12</v>
      </c>
      <c r="V68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11:52:48-0600',mode:absolute,to:'2016-06-20 12:38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8" s="73" t="str">
        <f t="shared" si="27"/>
        <v>N</v>
      </c>
      <c r="X68" s="73">
        <f t="shared" si="28"/>
        <v>1</v>
      </c>
      <c r="Y68" s="73">
        <f t="shared" si="29"/>
        <v>4.58E-2</v>
      </c>
      <c r="Z68" s="73">
        <f t="shared" si="30"/>
        <v>23.331</v>
      </c>
      <c r="AA68" s="73">
        <f t="shared" si="31"/>
        <v>23.2852</v>
      </c>
      <c r="AB68" s="74" t="e">
        <f>VLOOKUP(A68,Enforcements!C67:J130,8,0)</f>
        <v>#N/A</v>
      </c>
      <c r="AC68" s="74" t="e">
        <f>VLOOKUP(A68,Enforcements!C67:E130,3,0)</f>
        <v>#N/A</v>
      </c>
    </row>
    <row r="69" spans="1:29" s="2" customFormat="1" x14ac:dyDescent="0.25">
      <c r="A69" s="60" t="s">
        <v>302</v>
      </c>
      <c r="B69" s="60">
        <v>4030</v>
      </c>
      <c r="C69" s="60" t="s">
        <v>62</v>
      </c>
      <c r="D69" s="60" t="s">
        <v>82</v>
      </c>
      <c r="E69" s="30">
        <v>42541.533564814818</v>
      </c>
      <c r="F69" s="30">
        <v>42541.534583333334</v>
      </c>
      <c r="G69" s="38">
        <v>1</v>
      </c>
      <c r="H69" s="30" t="s">
        <v>83</v>
      </c>
      <c r="I69" s="30">
        <v>42541.567337962966</v>
      </c>
      <c r="J69" s="60">
        <v>0</v>
      </c>
      <c r="K69" s="60" t="str">
        <f t="shared" si="23"/>
        <v>4029/4030</v>
      </c>
      <c r="L69" s="60" t="str">
        <f>VLOOKUP(A69,'Trips&amp;Operators'!$C$1:$E$10000,3,FALSE)</f>
        <v>ACKERMAN</v>
      </c>
      <c r="M69" s="12">
        <f t="shared" si="24"/>
        <v>3.2754629632108845E-2</v>
      </c>
      <c r="N69" s="13">
        <f t="shared" si="22"/>
        <v>47.166666670236737</v>
      </c>
      <c r="O69" s="13"/>
      <c r="P69" s="13"/>
      <c r="Q69" s="61"/>
      <c r="R69" s="61"/>
      <c r="S69" s="96">
        <f t="shared" si="32"/>
        <v>1</v>
      </c>
      <c r="T69" s="2" t="str">
        <f t="shared" si="25"/>
        <v>Southbound</v>
      </c>
      <c r="U69" s="2">
        <f>COUNTIFS(Variables!$M$2:$M$13, "&lt;=" &amp; Y69, Variables!$M$2:$M$13, "&gt;=" &amp; Z69)</f>
        <v>12</v>
      </c>
      <c r="V69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12:47:20-0600',mode:absolute,to:'2016-06-20 13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9" s="73" t="str">
        <f t="shared" si="27"/>
        <v>N</v>
      </c>
      <c r="X69" s="73">
        <f t="shared" si="28"/>
        <v>1</v>
      </c>
      <c r="Y69" s="73">
        <f t="shared" si="29"/>
        <v>23.299099999999999</v>
      </c>
      <c r="Z69" s="73">
        <f t="shared" si="30"/>
        <v>1.41E-2</v>
      </c>
      <c r="AA69" s="73">
        <f t="shared" si="31"/>
        <v>23.285</v>
      </c>
      <c r="AB69" s="74" t="e">
        <f>VLOOKUP(A69,Enforcements!C68:J131,8,0)</f>
        <v>#N/A</v>
      </c>
      <c r="AC69" s="74" t="e">
        <f>VLOOKUP(A69,Enforcements!C68:E131,3,0)</f>
        <v>#N/A</v>
      </c>
    </row>
    <row r="70" spans="1:29" s="2" customFormat="1" x14ac:dyDescent="0.25">
      <c r="A70" s="60" t="s">
        <v>303</v>
      </c>
      <c r="B70" s="60">
        <v>4011</v>
      </c>
      <c r="C70" s="60" t="s">
        <v>62</v>
      </c>
      <c r="D70" s="60" t="s">
        <v>304</v>
      </c>
      <c r="E70" s="30">
        <v>42541.511018518519</v>
      </c>
      <c r="F70" s="30">
        <v>42541.512106481481</v>
      </c>
      <c r="G70" s="38">
        <v>1</v>
      </c>
      <c r="H70" s="30" t="s">
        <v>127</v>
      </c>
      <c r="I70" s="30">
        <v>42541.538611111115</v>
      </c>
      <c r="J70" s="60">
        <v>0</v>
      </c>
      <c r="K70" s="60" t="str">
        <f t="shared" si="23"/>
        <v>4011/4012</v>
      </c>
      <c r="L70" s="60" t="str">
        <f>VLOOKUP(A70,'Trips&amp;Operators'!$C$1:$E$10000,3,FALSE)</f>
        <v>LOZA</v>
      </c>
      <c r="M70" s="12">
        <f t="shared" si="24"/>
        <v>2.6504629633564036E-2</v>
      </c>
      <c r="N70" s="13">
        <f t="shared" si="22"/>
        <v>38.166666672332212</v>
      </c>
      <c r="O70" s="13"/>
      <c r="P70" s="13"/>
      <c r="Q70" s="61"/>
      <c r="R70" s="61"/>
      <c r="S70" s="96">
        <f t="shared" si="32"/>
        <v>1</v>
      </c>
      <c r="T70" s="2" t="str">
        <f t="shared" si="25"/>
        <v>NorthBound</v>
      </c>
      <c r="U70" s="2">
        <f>COUNTIFS(Variables!$M$2:$M$13, "&gt;=" &amp; Y70, Variables!$M$2:$M$13, "&lt;=" &amp; Z70)</f>
        <v>12</v>
      </c>
      <c r="V70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12:14:52-0600',mode:absolute,to:'2016-06-20 12:56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0" s="73" t="str">
        <f t="shared" si="27"/>
        <v>N</v>
      </c>
      <c r="X70" s="73">
        <f t="shared" si="28"/>
        <v>1</v>
      </c>
      <c r="Y70" s="73">
        <f t="shared" si="29"/>
        <v>4.8800000000000003E-2</v>
      </c>
      <c r="Z70" s="73">
        <f t="shared" si="30"/>
        <v>23.328900000000001</v>
      </c>
      <c r="AA70" s="73">
        <f t="shared" si="31"/>
        <v>23.280100000000001</v>
      </c>
      <c r="AB70" s="74" t="e">
        <f>VLOOKUP(A70,Enforcements!C69:J132,8,0)</f>
        <v>#N/A</v>
      </c>
      <c r="AC70" s="74" t="e">
        <f>VLOOKUP(A70,Enforcements!C69:E132,3,0)</f>
        <v>#N/A</v>
      </c>
    </row>
    <row r="71" spans="1:29" s="2" customFormat="1" x14ac:dyDescent="0.25">
      <c r="A71" s="60" t="s">
        <v>305</v>
      </c>
      <c r="B71" s="60">
        <v>4012</v>
      </c>
      <c r="C71" s="60" t="s">
        <v>62</v>
      </c>
      <c r="D71" s="60" t="s">
        <v>77</v>
      </c>
      <c r="E71" s="30">
        <v>42541.544629629629</v>
      </c>
      <c r="F71" s="30">
        <v>42541.545983796299</v>
      </c>
      <c r="G71" s="38">
        <v>1</v>
      </c>
      <c r="H71" s="30" t="s">
        <v>84</v>
      </c>
      <c r="I71" s="30">
        <v>42541.578506944446</v>
      </c>
      <c r="J71" s="60">
        <v>0</v>
      </c>
      <c r="K71" s="60" t="str">
        <f t="shared" si="23"/>
        <v>4011/4012</v>
      </c>
      <c r="L71" s="60" t="str">
        <f>VLOOKUP(A71,'Trips&amp;Operators'!$C$1:$E$10000,3,FALSE)</f>
        <v>LOZA</v>
      </c>
      <c r="M71" s="12">
        <f t="shared" si="24"/>
        <v>3.25231481474475E-2</v>
      </c>
      <c r="N71" s="13">
        <f t="shared" si="22"/>
        <v>46.833333332324401</v>
      </c>
      <c r="O71" s="13"/>
      <c r="P71" s="13"/>
      <c r="Q71" s="61"/>
      <c r="R71" s="61"/>
      <c r="S71" s="96">
        <f t="shared" si="32"/>
        <v>1</v>
      </c>
      <c r="T71" s="2" t="str">
        <f t="shared" si="25"/>
        <v>Southbound</v>
      </c>
      <c r="U71" s="2">
        <f>COUNTIFS(Variables!$M$2:$M$13, "&lt;=" &amp; Y71, Variables!$M$2:$M$13, "&gt;=" &amp; Z71)</f>
        <v>12</v>
      </c>
      <c r="V71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13:03:16-0600',mode:absolute,to:'2016-06-20 13:54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1" s="73" t="str">
        <f t="shared" si="27"/>
        <v>N</v>
      </c>
      <c r="X71" s="73">
        <f t="shared" si="28"/>
        <v>1</v>
      </c>
      <c r="Y71" s="73">
        <f t="shared" si="29"/>
        <v>23.297699999999999</v>
      </c>
      <c r="Z71" s="73">
        <f t="shared" si="30"/>
        <v>1.5599999999999999E-2</v>
      </c>
      <c r="AA71" s="73">
        <f t="shared" si="31"/>
        <v>23.2821</v>
      </c>
      <c r="AB71" s="74" t="e">
        <f>VLOOKUP(A71,Enforcements!C70:J133,8,0)</f>
        <v>#N/A</v>
      </c>
      <c r="AC71" s="74" t="e">
        <f>VLOOKUP(A71,Enforcements!C70:E133,3,0)</f>
        <v>#N/A</v>
      </c>
    </row>
    <row r="72" spans="1:29" s="2" customFormat="1" x14ac:dyDescent="0.25">
      <c r="A72" s="60" t="s">
        <v>306</v>
      </c>
      <c r="B72" s="60">
        <v>4009</v>
      </c>
      <c r="C72" s="60" t="s">
        <v>62</v>
      </c>
      <c r="D72" s="60" t="s">
        <v>191</v>
      </c>
      <c r="E72" s="30">
        <v>42541.520381944443</v>
      </c>
      <c r="F72" s="30">
        <v>42541.521527777775</v>
      </c>
      <c r="G72" s="38">
        <v>1</v>
      </c>
      <c r="H72" s="30" t="s">
        <v>179</v>
      </c>
      <c r="I72" s="30">
        <v>42541.548877314817</v>
      </c>
      <c r="J72" s="60">
        <v>1</v>
      </c>
      <c r="K72" s="60" t="str">
        <f t="shared" si="23"/>
        <v>4009/4010</v>
      </c>
      <c r="L72" s="60" t="str">
        <f>VLOOKUP(A72,'Trips&amp;Operators'!$C$1:$E$10000,3,FALSE)</f>
        <v>STORY</v>
      </c>
      <c r="M72" s="12">
        <f t="shared" si="24"/>
        <v>2.7349537042027805E-2</v>
      </c>
      <c r="N72" s="13">
        <f t="shared" si="22"/>
        <v>39.383333340520039</v>
      </c>
      <c r="O72" s="13"/>
      <c r="P72" s="13"/>
      <c r="Q72" s="61"/>
      <c r="R72" s="61"/>
      <c r="S72" s="96">
        <f t="shared" si="32"/>
        <v>1</v>
      </c>
      <c r="T72" s="2" t="str">
        <f t="shared" si="25"/>
        <v>NorthBound</v>
      </c>
      <c r="U72" s="2">
        <f>COUNTIFS(Variables!$M$2:$M$13, "&gt;=" &amp; Y72, Variables!$M$2:$M$13, "&lt;=" &amp; Z72)</f>
        <v>12</v>
      </c>
      <c r="V72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12:28:21-0600',mode:absolute,to:'2016-06-20 13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72" s="73" t="str">
        <f t="shared" si="27"/>
        <v>N</v>
      </c>
      <c r="X72" s="73">
        <f t="shared" si="28"/>
        <v>1</v>
      </c>
      <c r="Y72" s="73">
        <f t="shared" si="29"/>
        <v>4.3099999999999999E-2</v>
      </c>
      <c r="Z72" s="73">
        <f t="shared" si="30"/>
        <v>23.333600000000001</v>
      </c>
      <c r="AA72" s="73">
        <f t="shared" si="31"/>
        <v>23.290500000000002</v>
      </c>
      <c r="AB72" s="74" t="e">
        <f>VLOOKUP(A72,Enforcements!C71:J134,8,0)</f>
        <v>#N/A</v>
      </c>
      <c r="AC72" s="74" t="e">
        <f>VLOOKUP(A72,Enforcements!C71:E134,3,0)</f>
        <v>#N/A</v>
      </c>
    </row>
    <row r="73" spans="1:29" s="2" customFormat="1" x14ac:dyDescent="0.25">
      <c r="A73" s="60" t="s">
        <v>307</v>
      </c>
      <c r="B73" s="60">
        <v>4010</v>
      </c>
      <c r="C73" s="60" t="s">
        <v>62</v>
      </c>
      <c r="D73" s="60" t="s">
        <v>150</v>
      </c>
      <c r="E73" s="30">
        <v>42541.556226851855</v>
      </c>
      <c r="F73" s="30">
        <v>42541.557268518518</v>
      </c>
      <c r="G73" s="38">
        <v>1</v>
      </c>
      <c r="H73" s="30" t="s">
        <v>308</v>
      </c>
      <c r="I73" s="30">
        <v>42541.560937499999</v>
      </c>
      <c r="J73" s="60">
        <v>0</v>
      </c>
      <c r="K73" s="60" t="str">
        <f t="shared" si="23"/>
        <v>4009/4010</v>
      </c>
      <c r="L73" s="60" t="str">
        <f>VLOOKUP(A73,'Trips&amp;Operators'!$C$1:$E$10000,3,FALSE)</f>
        <v>STORY</v>
      </c>
      <c r="M73" s="12">
        <f t="shared" si="24"/>
        <v>3.6689814805868082E-3</v>
      </c>
      <c r="N73" s="13"/>
      <c r="O73" s="13"/>
      <c r="P73" s="13">
        <f>24*60*SUM($M73:$M73)</f>
        <v>5.2833333320450038</v>
      </c>
      <c r="Q73" s="61"/>
      <c r="R73" s="61" t="s">
        <v>196</v>
      </c>
      <c r="S73" s="96">
        <f t="shared" si="32"/>
        <v>0</v>
      </c>
      <c r="T73" s="2" t="str">
        <f t="shared" si="25"/>
        <v>Southbound</v>
      </c>
      <c r="U73" s="2">
        <f>COUNTIFS(Variables!$M$2:$M$13, "&lt;=" &amp; Y73, Variables!$M$2:$M$13, "&gt;=" &amp; Z73)</f>
        <v>0</v>
      </c>
      <c r="V73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13:19:58-0600',mode:absolute,to:'2016-06-20 13:28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73" s="73" t="str">
        <f t="shared" si="27"/>
        <v>Y</v>
      </c>
      <c r="X73" s="73">
        <f t="shared" si="28"/>
        <v>1</v>
      </c>
      <c r="Y73" s="73">
        <f t="shared" si="29"/>
        <v>23.300999999999998</v>
      </c>
      <c r="Z73" s="73">
        <f t="shared" si="30"/>
        <v>22.8215</v>
      </c>
      <c r="AA73" s="73">
        <f t="shared" si="31"/>
        <v>0.47949999999999804</v>
      </c>
      <c r="AB73" s="74" t="e">
        <f>VLOOKUP(A73,Enforcements!C72:J135,8,0)</f>
        <v>#N/A</v>
      </c>
      <c r="AC73" s="74" t="e">
        <f>VLOOKUP(A73,Enforcements!C72:E135,3,0)</f>
        <v>#N/A</v>
      </c>
    </row>
    <row r="74" spans="1:29" s="2" customFormat="1" x14ac:dyDescent="0.25">
      <c r="A74" s="60" t="s">
        <v>309</v>
      </c>
      <c r="B74" s="60">
        <v>4042</v>
      </c>
      <c r="C74" s="60" t="s">
        <v>62</v>
      </c>
      <c r="D74" s="60" t="s">
        <v>105</v>
      </c>
      <c r="E74" s="30">
        <v>42541.529861111114</v>
      </c>
      <c r="F74" s="30">
        <v>42541.532743055555</v>
      </c>
      <c r="G74" s="38">
        <v>4</v>
      </c>
      <c r="H74" s="30" t="s">
        <v>195</v>
      </c>
      <c r="I74" s="30">
        <v>42541.559571759259</v>
      </c>
      <c r="J74" s="60">
        <v>0</v>
      </c>
      <c r="K74" s="60" t="str">
        <f t="shared" si="23"/>
        <v>4041/4042</v>
      </c>
      <c r="L74" s="60" t="str">
        <f>VLOOKUP(A74,'Trips&amp;Operators'!$C$1:$E$10000,3,FALSE)</f>
        <v>MOSES</v>
      </c>
      <c r="M74" s="12">
        <f t="shared" si="24"/>
        <v>2.6828703703358769E-2</v>
      </c>
      <c r="N74" s="13">
        <f t="shared" ref="N74:N79" si="33">24*60*SUM($M74:$M74)</f>
        <v>38.633333332836628</v>
      </c>
      <c r="O74" s="13"/>
      <c r="P74" s="13"/>
      <c r="Q74" s="61"/>
      <c r="R74" s="61"/>
      <c r="S74" s="96">
        <f t="shared" si="32"/>
        <v>1</v>
      </c>
      <c r="T74" s="2" t="str">
        <f t="shared" si="25"/>
        <v>NorthBound</v>
      </c>
      <c r="U74" s="2">
        <f>COUNTIFS(Variables!$M$2:$M$13, "&gt;=" &amp; Y74, Variables!$M$2:$M$13, "&lt;=" &amp; Z74)</f>
        <v>12</v>
      </c>
      <c r="V74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12:42:00-0600',mode:absolute,to:'2016-06-20 13:26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4" s="73" t="str">
        <f t="shared" si="27"/>
        <v>N</v>
      </c>
      <c r="X74" s="73">
        <f t="shared" si="28"/>
        <v>1</v>
      </c>
      <c r="Y74" s="73">
        <f t="shared" si="29"/>
        <v>4.6399999999999997E-2</v>
      </c>
      <c r="Z74" s="73">
        <f t="shared" si="30"/>
        <v>23.330100000000002</v>
      </c>
      <c r="AA74" s="73">
        <f t="shared" si="31"/>
        <v>23.283700000000003</v>
      </c>
      <c r="AB74" s="74" t="e">
        <f>VLOOKUP(A74,Enforcements!C73:J136,8,0)</f>
        <v>#N/A</v>
      </c>
      <c r="AC74" s="74" t="e">
        <f>VLOOKUP(A74,Enforcements!C73:E136,3,0)</f>
        <v>#N/A</v>
      </c>
    </row>
    <row r="75" spans="1:29" s="2" customFormat="1" x14ac:dyDescent="0.25">
      <c r="A75" s="60" t="s">
        <v>310</v>
      </c>
      <c r="B75" s="60">
        <v>4041</v>
      </c>
      <c r="C75" s="60" t="s">
        <v>62</v>
      </c>
      <c r="D75" s="60" t="s">
        <v>160</v>
      </c>
      <c r="E75" s="30">
        <v>42541.565393518518</v>
      </c>
      <c r="F75" s="30">
        <v>42541.566921296297</v>
      </c>
      <c r="G75" s="38">
        <v>2</v>
      </c>
      <c r="H75" s="30" t="s">
        <v>84</v>
      </c>
      <c r="I75" s="30">
        <v>42541.599004629628</v>
      </c>
      <c r="J75" s="60">
        <v>0</v>
      </c>
      <c r="K75" s="60" t="str">
        <f t="shared" si="23"/>
        <v>4041/4042</v>
      </c>
      <c r="L75" s="60" t="str">
        <f>VLOOKUP(A75,'Trips&amp;Operators'!$C$1:$E$10000,3,FALSE)</f>
        <v>MOSES</v>
      </c>
      <c r="M75" s="12">
        <f t="shared" si="24"/>
        <v>3.2083333331684116E-2</v>
      </c>
      <c r="N75" s="13">
        <f t="shared" si="33"/>
        <v>46.199999997625127</v>
      </c>
      <c r="O75" s="13"/>
      <c r="P75" s="13"/>
      <c r="Q75" s="61"/>
      <c r="R75" s="61"/>
      <c r="S75" s="96">
        <f t="shared" si="32"/>
        <v>1</v>
      </c>
      <c r="T75" s="2" t="str">
        <f t="shared" si="25"/>
        <v>Southbound</v>
      </c>
      <c r="U75" s="2">
        <f>COUNTIFS(Variables!$M$2:$M$13, "&lt;=" &amp; Y75, Variables!$M$2:$M$13, "&gt;=" &amp; Z75)</f>
        <v>12</v>
      </c>
      <c r="V75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13:33:10-0600',mode:absolute,to:'2016-06-20 14:23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5" s="73" t="str">
        <f t="shared" si="27"/>
        <v>N</v>
      </c>
      <c r="X75" s="73">
        <f t="shared" si="28"/>
        <v>1</v>
      </c>
      <c r="Y75" s="73">
        <f t="shared" si="29"/>
        <v>23.296900000000001</v>
      </c>
      <c r="Z75" s="73">
        <f t="shared" si="30"/>
        <v>1.5599999999999999E-2</v>
      </c>
      <c r="AA75" s="73">
        <f t="shared" si="31"/>
        <v>23.281300000000002</v>
      </c>
      <c r="AB75" s="74" t="e">
        <f>VLOOKUP(A75,Enforcements!C74:J137,8,0)</f>
        <v>#N/A</v>
      </c>
      <c r="AC75" s="74" t="e">
        <f>VLOOKUP(A75,Enforcements!C74:E137,3,0)</f>
        <v>#N/A</v>
      </c>
    </row>
    <row r="76" spans="1:29" s="2" customFormat="1" x14ac:dyDescent="0.25">
      <c r="A76" s="60" t="s">
        <v>311</v>
      </c>
      <c r="B76" s="60">
        <v>4007</v>
      </c>
      <c r="C76" s="60" t="s">
        <v>62</v>
      </c>
      <c r="D76" s="60" t="s">
        <v>173</v>
      </c>
      <c r="E76" s="30">
        <v>42541.540254629632</v>
      </c>
      <c r="F76" s="30">
        <v>42541.542002314818</v>
      </c>
      <c r="G76" s="38">
        <v>2</v>
      </c>
      <c r="H76" s="30" t="s">
        <v>136</v>
      </c>
      <c r="I76" s="30">
        <v>42541.571481481478</v>
      </c>
      <c r="J76" s="60">
        <v>1</v>
      </c>
      <c r="K76" s="60" t="str">
        <f t="shared" si="23"/>
        <v>4007/4008</v>
      </c>
      <c r="L76" s="60" t="str">
        <f>VLOOKUP(A76,'Trips&amp;Operators'!$C$1:$E$10000,3,FALSE)</f>
        <v>HELVIE</v>
      </c>
      <c r="M76" s="12">
        <f t="shared" si="24"/>
        <v>2.9479166660166811E-2</v>
      </c>
      <c r="N76" s="13">
        <f t="shared" si="33"/>
        <v>42.449999990640208</v>
      </c>
      <c r="O76" s="13"/>
      <c r="P76" s="13"/>
      <c r="Q76" s="61"/>
      <c r="R76" s="61"/>
      <c r="S76" s="96">
        <f t="shared" si="32"/>
        <v>1</v>
      </c>
      <c r="T76" s="2" t="str">
        <f t="shared" si="25"/>
        <v>NorthBound</v>
      </c>
      <c r="U76" s="2">
        <f>COUNTIFS(Variables!$M$2:$M$13, "&gt;=" &amp; Y76, Variables!$M$2:$M$13, "&lt;=" &amp; Z76)</f>
        <v>12</v>
      </c>
      <c r="V76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12:56:58-0600',mode:absolute,to:'2016-06-20 13:43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6" s="73" t="str">
        <f t="shared" si="27"/>
        <v>N</v>
      </c>
      <c r="X76" s="73">
        <f t="shared" si="28"/>
        <v>1</v>
      </c>
      <c r="Y76" s="73">
        <f t="shared" si="29"/>
        <v>4.7100000000000003E-2</v>
      </c>
      <c r="Z76" s="73">
        <f t="shared" si="30"/>
        <v>23.329699999999999</v>
      </c>
      <c r="AA76" s="73">
        <f t="shared" si="31"/>
        <v>23.282599999999999</v>
      </c>
      <c r="AB76" s="74" t="e">
        <f>VLOOKUP(A76,Enforcements!C75:J138,8,0)</f>
        <v>#N/A</v>
      </c>
      <c r="AC76" s="74" t="e">
        <f>VLOOKUP(A76,Enforcements!C75:E138,3,0)</f>
        <v>#N/A</v>
      </c>
    </row>
    <row r="77" spans="1:29" s="2" customFormat="1" x14ac:dyDescent="0.25">
      <c r="A77" s="60" t="s">
        <v>312</v>
      </c>
      <c r="B77" s="60">
        <v>4008</v>
      </c>
      <c r="C77" s="60" t="s">
        <v>62</v>
      </c>
      <c r="D77" s="60" t="s">
        <v>141</v>
      </c>
      <c r="E77" s="30">
        <v>42541.575208333335</v>
      </c>
      <c r="F77" s="30">
        <v>42541.576504629629</v>
      </c>
      <c r="G77" s="38">
        <v>1</v>
      </c>
      <c r="H77" s="30" t="s">
        <v>192</v>
      </c>
      <c r="I77" s="30">
        <v>42541.609826388885</v>
      </c>
      <c r="J77" s="60">
        <v>1</v>
      </c>
      <c r="K77" s="60" t="str">
        <f t="shared" si="23"/>
        <v>4007/4008</v>
      </c>
      <c r="L77" s="60" t="str">
        <f>VLOOKUP(A77,'Trips&amp;Operators'!$C$1:$E$10000,3,FALSE)</f>
        <v>HELVIE</v>
      </c>
      <c r="M77" s="12">
        <f t="shared" si="24"/>
        <v>3.3321759256068617E-2</v>
      </c>
      <c r="N77" s="13">
        <f t="shared" si="33"/>
        <v>47.983333328738809</v>
      </c>
      <c r="O77" s="13"/>
      <c r="P77" s="13"/>
      <c r="Q77" s="61"/>
      <c r="R77" s="61"/>
      <c r="S77" s="96">
        <f t="shared" si="32"/>
        <v>1</v>
      </c>
      <c r="T77" s="2" t="str">
        <f t="shared" si="25"/>
        <v>Southbound</v>
      </c>
      <c r="U77" s="2">
        <f>COUNTIFS(Variables!$M$2:$M$13, "&lt;=" &amp; Y77, Variables!$M$2:$M$13, "&gt;=" &amp; Z77)</f>
        <v>12</v>
      </c>
      <c r="V77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13:47:18-0600',mode:absolute,to:'2016-06-20 14:39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77" s="73" t="str">
        <f t="shared" si="27"/>
        <v>N</v>
      </c>
      <c r="X77" s="73">
        <f t="shared" si="28"/>
        <v>1</v>
      </c>
      <c r="Y77" s="73">
        <f t="shared" si="29"/>
        <v>23.297899999999998</v>
      </c>
      <c r="Z77" s="73">
        <f t="shared" si="30"/>
        <v>4.8000000000000001E-2</v>
      </c>
      <c r="AA77" s="73">
        <f t="shared" si="31"/>
        <v>23.2499</v>
      </c>
      <c r="AB77" s="74" t="e">
        <f>VLOOKUP(A77,Enforcements!C76:J139,8,0)</f>
        <v>#N/A</v>
      </c>
      <c r="AC77" s="74" t="e">
        <f>VLOOKUP(A77,Enforcements!C76:E139,3,0)</f>
        <v>#N/A</v>
      </c>
    </row>
    <row r="78" spans="1:29" s="2" customFormat="1" x14ac:dyDescent="0.25">
      <c r="A78" s="60" t="s">
        <v>313</v>
      </c>
      <c r="B78" s="60">
        <v>4025</v>
      </c>
      <c r="C78" s="60" t="s">
        <v>62</v>
      </c>
      <c r="D78" s="60" t="s">
        <v>88</v>
      </c>
      <c r="E78" s="30">
        <v>42541.547812500001</v>
      </c>
      <c r="F78" s="30">
        <v>42541.54886574074</v>
      </c>
      <c r="G78" s="38">
        <v>1</v>
      </c>
      <c r="H78" s="30" t="s">
        <v>314</v>
      </c>
      <c r="I78" s="30">
        <v>42541.580960648149</v>
      </c>
      <c r="J78" s="60">
        <v>2</v>
      </c>
      <c r="K78" s="60" t="str">
        <f t="shared" si="23"/>
        <v>4025/4026</v>
      </c>
      <c r="L78" s="60" t="str">
        <f>VLOOKUP(A78,'Trips&amp;Operators'!$C$1:$E$10000,3,FALSE)</f>
        <v>MAELZER</v>
      </c>
      <c r="M78" s="12">
        <f t="shared" si="24"/>
        <v>3.2094907408463769E-2</v>
      </c>
      <c r="N78" s="13">
        <f t="shared" si="33"/>
        <v>46.216666668187827</v>
      </c>
      <c r="O78" s="13"/>
      <c r="P78" s="13"/>
      <c r="Q78" s="61"/>
      <c r="R78" s="61"/>
      <c r="S78" s="96">
        <f t="shared" si="32"/>
        <v>1</v>
      </c>
      <c r="T78" s="2" t="str">
        <f t="shared" si="25"/>
        <v>NorthBound</v>
      </c>
      <c r="U78" s="2">
        <f>COUNTIFS(Variables!$M$2:$M$13, "&gt;=" &amp; Y78, Variables!$M$2:$M$13, "&lt;=" &amp; Z78)</f>
        <v>12</v>
      </c>
      <c r="V78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13:07:51-0600',mode:absolute,to:'2016-06-20 13:57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8" s="73" t="str">
        <f t="shared" si="27"/>
        <v>N</v>
      </c>
      <c r="X78" s="73">
        <f t="shared" si="28"/>
        <v>1</v>
      </c>
      <c r="Y78" s="73">
        <f t="shared" si="29"/>
        <v>4.53E-2</v>
      </c>
      <c r="Z78" s="73">
        <f t="shared" si="30"/>
        <v>23.334099999999999</v>
      </c>
      <c r="AA78" s="73">
        <f t="shared" si="31"/>
        <v>23.288799999999998</v>
      </c>
      <c r="AB78" s="74" t="e">
        <f>VLOOKUP(A78,Enforcements!C77:J140,8,0)</f>
        <v>#N/A</v>
      </c>
      <c r="AC78" s="74" t="e">
        <f>VLOOKUP(A78,Enforcements!C77:E140,3,0)</f>
        <v>#N/A</v>
      </c>
    </row>
    <row r="79" spans="1:29" s="2" customFormat="1" ht="16.5" customHeight="1" x14ac:dyDescent="0.25">
      <c r="A79" s="60" t="s">
        <v>315</v>
      </c>
      <c r="B79" s="60">
        <v>4026</v>
      </c>
      <c r="C79" s="60" t="s">
        <v>62</v>
      </c>
      <c r="D79" s="60" t="s">
        <v>316</v>
      </c>
      <c r="E79" s="30">
        <v>42541.587557870371</v>
      </c>
      <c r="F79" s="30">
        <v>42541.588587962964</v>
      </c>
      <c r="G79" s="38">
        <v>1</v>
      </c>
      <c r="H79" s="30" t="s">
        <v>317</v>
      </c>
      <c r="I79" s="30">
        <v>42541.620335648149</v>
      </c>
      <c r="J79" s="60">
        <v>1</v>
      </c>
      <c r="K79" s="60" t="str">
        <f t="shared" si="23"/>
        <v>4025/4026</v>
      </c>
      <c r="L79" s="60" t="str">
        <f>VLOOKUP(A79,'Trips&amp;Operators'!$C$1:$E$10000,3,FALSE)</f>
        <v>MAELZER</v>
      </c>
      <c r="M79" s="12">
        <f t="shared" si="24"/>
        <v>3.1747685185109731E-2</v>
      </c>
      <c r="N79" s="13">
        <f t="shared" si="33"/>
        <v>45.716666666558012</v>
      </c>
      <c r="O79" s="13"/>
      <c r="P79" s="13"/>
      <c r="Q79" s="61"/>
      <c r="R79" s="61"/>
      <c r="S79" s="96">
        <f t="shared" si="32"/>
        <v>1</v>
      </c>
      <c r="T79" s="2" t="str">
        <f t="shared" si="25"/>
        <v>Southbound</v>
      </c>
      <c r="U79" s="2">
        <f>COUNTIFS(Variables!$M$2:$M$13, "&lt;=" &amp; Y79, Variables!$M$2:$M$13, "&gt;=" &amp; Z79)</f>
        <v>12</v>
      </c>
      <c r="V79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14:05:05-0600',mode:absolute,to:'2016-06-20 14:54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9" s="73" t="str">
        <f t="shared" si="27"/>
        <v>N</v>
      </c>
      <c r="X79" s="73">
        <f t="shared" si="28"/>
        <v>1</v>
      </c>
      <c r="Y79" s="73">
        <f t="shared" si="29"/>
        <v>23.301300000000001</v>
      </c>
      <c r="Z79" s="73">
        <f t="shared" si="30"/>
        <v>3.3399999999999999E-2</v>
      </c>
      <c r="AA79" s="73">
        <f t="shared" si="31"/>
        <v>23.267900000000001</v>
      </c>
      <c r="AB79" s="74" t="e">
        <f>VLOOKUP(A79,Enforcements!C78:J141,8,0)</f>
        <v>#N/A</v>
      </c>
      <c r="AC79" s="74" t="e">
        <f>VLOOKUP(A79,Enforcements!C78:E141,3,0)</f>
        <v>#N/A</v>
      </c>
    </row>
    <row r="80" spans="1:29" s="2" customFormat="1" ht="16.5" customHeight="1" x14ac:dyDescent="0.25">
      <c r="A80" s="60" t="s">
        <v>318</v>
      </c>
      <c r="B80" s="60">
        <v>4044</v>
      </c>
      <c r="C80" s="60" t="s">
        <v>62</v>
      </c>
      <c r="D80" s="60" t="s">
        <v>131</v>
      </c>
      <c r="E80" s="30">
        <v>42541.560636574075</v>
      </c>
      <c r="F80" s="30">
        <v>42541.561226851853</v>
      </c>
      <c r="G80" s="38">
        <v>2</v>
      </c>
      <c r="H80" s="30" t="s">
        <v>88</v>
      </c>
      <c r="I80" s="30">
        <v>42541.562650462962</v>
      </c>
      <c r="J80" s="60">
        <v>0</v>
      </c>
      <c r="K80" s="60" t="str">
        <f t="shared" si="23"/>
        <v>4043/4044</v>
      </c>
      <c r="L80" s="60" t="str">
        <f>VLOOKUP(A80,'Trips&amp;Operators'!$C$1:$E$10000,3,FALSE)</f>
        <v>LOCKLEAR</v>
      </c>
      <c r="M80" s="12">
        <f t="shared" si="24"/>
        <v>1.4236111092031933E-3</v>
      </c>
      <c r="N80" s="13"/>
      <c r="O80" s="13"/>
      <c r="P80" s="13">
        <f>24*60*SUM($M80:$M80)</f>
        <v>2.0499999972525984</v>
      </c>
      <c r="Q80" s="61"/>
      <c r="R80" s="61" t="s">
        <v>196</v>
      </c>
      <c r="S80" s="96">
        <f t="shared" si="32"/>
        <v>0</v>
      </c>
      <c r="T80" s="2" t="str">
        <f t="shared" si="25"/>
        <v>NorthBound</v>
      </c>
      <c r="U80" s="2">
        <f>COUNTIFS(Variables!$M$2:$M$13, "&gt;=" &amp; Y80, Variables!$M$2:$M$13, "&lt;=" &amp; Z80)</f>
        <v>0</v>
      </c>
      <c r="V80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13:26:19-0600',mode:absolute,to:'2016-06-20 13:31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0" s="73" t="str">
        <f t="shared" si="27"/>
        <v>Y</v>
      </c>
      <c r="X80" s="73">
        <f t="shared" si="28"/>
        <v>1</v>
      </c>
      <c r="Y80" s="73">
        <f t="shared" si="29"/>
        <v>4.4900000000000002E-2</v>
      </c>
      <c r="Z80" s="73">
        <f t="shared" si="30"/>
        <v>4.53E-2</v>
      </c>
      <c r="AA80" s="73">
        <f t="shared" si="31"/>
        <v>3.9999999999999758E-4</v>
      </c>
      <c r="AB80" s="74" t="e">
        <f>VLOOKUP(A80,Enforcements!C79:J142,8,0)</f>
        <v>#N/A</v>
      </c>
      <c r="AC80" s="74" t="e">
        <f>VLOOKUP(A80,Enforcements!C79:E142,3,0)</f>
        <v>#N/A</v>
      </c>
    </row>
    <row r="81" spans="1:29" s="2" customFormat="1" x14ac:dyDescent="0.25">
      <c r="A81" s="60" t="s">
        <v>319</v>
      </c>
      <c r="B81" s="60">
        <v>4043</v>
      </c>
      <c r="C81" s="60" t="s">
        <v>62</v>
      </c>
      <c r="D81" s="60" t="s">
        <v>320</v>
      </c>
      <c r="E81" s="30">
        <v>42541.599409722221</v>
      </c>
      <c r="F81" s="30">
        <v>42541.600289351853</v>
      </c>
      <c r="G81" s="38">
        <v>1</v>
      </c>
      <c r="H81" s="30" t="s">
        <v>321</v>
      </c>
      <c r="I81" s="30">
        <v>42541.629143518519</v>
      </c>
      <c r="J81" s="60">
        <v>1</v>
      </c>
      <c r="K81" s="60" t="str">
        <f t="shared" si="23"/>
        <v>4043/4044</v>
      </c>
      <c r="L81" s="60" t="str">
        <f>VLOOKUP(A81,'Trips&amp;Operators'!$C$1:$E$10000,3,FALSE)</f>
        <v>LOCKLEAR</v>
      </c>
      <c r="M81" s="12">
        <f t="shared" si="24"/>
        <v>2.8854166666860692E-2</v>
      </c>
      <c r="N81" s="13">
        <f t="shared" ref="N81:N117" si="34">24*60*SUM($M81:$M81)</f>
        <v>41.550000000279397</v>
      </c>
      <c r="O81" s="13"/>
      <c r="P81" s="13"/>
      <c r="Q81" s="61"/>
      <c r="R81" s="61"/>
      <c r="S81" s="96">
        <f t="shared" si="32"/>
        <v>1</v>
      </c>
      <c r="T81" s="2" t="str">
        <f t="shared" si="25"/>
        <v>Southbound</v>
      </c>
      <c r="U81" s="2">
        <f>COUNTIFS(Variables!$M$2:$M$13, "&lt;=" &amp; Y81, Variables!$M$2:$M$13, "&gt;=" &amp; Z81)</f>
        <v>12</v>
      </c>
      <c r="V81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14:22:09-0600',mode:absolute,to:'2016-06-20 15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1" s="73" t="str">
        <f t="shared" si="27"/>
        <v>N</v>
      </c>
      <c r="X81" s="73">
        <f t="shared" si="28"/>
        <v>1</v>
      </c>
      <c r="Y81" s="73">
        <f t="shared" si="29"/>
        <v>23.303000000000001</v>
      </c>
      <c r="Z81" s="73">
        <f t="shared" si="30"/>
        <v>0.1179</v>
      </c>
      <c r="AA81" s="73">
        <f t="shared" si="31"/>
        <v>23.185100000000002</v>
      </c>
      <c r="AB81" s="74" t="e">
        <f>VLOOKUP(A81,Enforcements!C80:J143,8,0)</f>
        <v>#N/A</v>
      </c>
      <c r="AC81" s="74" t="e">
        <f>VLOOKUP(A81,Enforcements!C80:E143,3,0)</f>
        <v>#N/A</v>
      </c>
    </row>
    <row r="82" spans="1:29" s="2" customFormat="1" x14ac:dyDescent="0.25">
      <c r="A82" s="60" t="s">
        <v>322</v>
      </c>
      <c r="B82" s="60">
        <v>4029</v>
      </c>
      <c r="C82" s="60" t="s">
        <v>62</v>
      </c>
      <c r="D82" s="60" t="s">
        <v>178</v>
      </c>
      <c r="E82" s="30">
        <v>42541.56931712963</v>
      </c>
      <c r="F82" s="30">
        <v>42541.570347222223</v>
      </c>
      <c r="G82" s="38">
        <v>1</v>
      </c>
      <c r="H82" s="30" t="s">
        <v>132</v>
      </c>
      <c r="I82" s="30">
        <v>42541.600057870368</v>
      </c>
      <c r="J82" s="60">
        <v>0</v>
      </c>
      <c r="K82" s="60" t="str">
        <f t="shared" si="23"/>
        <v>4029/4030</v>
      </c>
      <c r="L82" s="60" t="str">
        <f>VLOOKUP(A82,'Trips&amp;Operators'!$C$1:$E$10000,3,FALSE)</f>
        <v>ACKERMAN</v>
      </c>
      <c r="M82" s="12">
        <f t="shared" si="24"/>
        <v>2.9710648144828156E-2</v>
      </c>
      <c r="N82" s="13">
        <f t="shared" si="34"/>
        <v>42.783333328552544</v>
      </c>
      <c r="O82" s="13"/>
      <c r="P82" s="13"/>
      <c r="Q82" s="61"/>
      <c r="R82" s="61"/>
      <c r="S82" s="96">
        <f t="shared" si="32"/>
        <v>1</v>
      </c>
      <c r="T82" s="2" t="str">
        <f t="shared" si="25"/>
        <v>NorthBound</v>
      </c>
      <c r="U82" s="2">
        <f>COUNTIFS(Variables!$M$2:$M$13, "&gt;=" &amp; Y82, Variables!$M$2:$M$13, "&lt;=" &amp; Z82)</f>
        <v>12</v>
      </c>
      <c r="V82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13:38:49-0600',mode:absolute,to:'2016-06-20 14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2" s="73" t="str">
        <f t="shared" si="27"/>
        <v>N</v>
      </c>
      <c r="X82" s="73">
        <f t="shared" si="28"/>
        <v>1</v>
      </c>
      <c r="Y82" s="73">
        <f t="shared" si="29"/>
        <v>4.4400000000000002E-2</v>
      </c>
      <c r="Z82" s="73">
        <f t="shared" si="30"/>
        <v>23.3293</v>
      </c>
      <c r="AA82" s="73">
        <f t="shared" si="31"/>
        <v>23.2849</v>
      </c>
      <c r="AB82" s="74" t="e">
        <f>VLOOKUP(A82,Enforcements!C81:J144,8,0)</f>
        <v>#N/A</v>
      </c>
      <c r="AC82" s="74" t="e">
        <f>VLOOKUP(A82,Enforcements!C81:E144,3,0)</f>
        <v>#N/A</v>
      </c>
    </row>
    <row r="83" spans="1:29" s="2" customFormat="1" x14ac:dyDescent="0.25">
      <c r="A83" s="60" t="s">
        <v>323</v>
      </c>
      <c r="B83" s="60">
        <v>4030</v>
      </c>
      <c r="C83" s="60" t="s">
        <v>62</v>
      </c>
      <c r="D83" s="60" t="s">
        <v>104</v>
      </c>
      <c r="E83" s="30">
        <v>42541.605810185189</v>
      </c>
      <c r="F83" s="30">
        <v>42541.606805555559</v>
      </c>
      <c r="G83" s="38">
        <v>1</v>
      </c>
      <c r="H83" s="30" t="s">
        <v>71</v>
      </c>
      <c r="I83" s="30">
        <v>42541.638449074075</v>
      </c>
      <c r="J83" s="60">
        <v>1</v>
      </c>
      <c r="K83" s="60" t="str">
        <f t="shared" si="23"/>
        <v>4029/4030</v>
      </c>
      <c r="L83" s="60" t="str">
        <f>VLOOKUP(A83,'Trips&amp;Operators'!$C$1:$E$10000,3,FALSE)</f>
        <v>ACKERMAN</v>
      </c>
      <c r="M83" s="12">
        <f t="shared" si="24"/>
        <v>3.1643518515920732E-2</v>
      </c>
      <c r="N83" s="13">
        <f t="shared" si="34"/>
        <v>45.566666662925854</v>
      </c>
      <c r="O83" s="13"/>
      <c r="P83" s="13"/>
      <c r="Q83" s="61"/>
      <c r="R83" s="61"/>
      <c r="S83" s="96">
        <f t="shared" si="32"/>
        <v>1</v>
      </c>
      <c r="T83" s="2" t="str">
        <f t="shared" si="25"/>
        <v>Southbound</v>
      </c>
      <c r="U83" s="2">
        <f>COUNTIFS(Variables!$M$2:$M$13, "&lt;=" &amp; Y83, Variables!$M$2:$M$13, "&gt;=" &amp; Z83)</f>
        <v>12</v>
      </c>
      <c r="V83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14:31:22-0600',mode:absolute,to:'2016-06-20 15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3" s="73" t="str">
        <f t="shared" si="27"/>
        <v>N</v>
      </c>
      <c r="X83" s="73">
        <f t="shared" si="28"/>
        <v>1</v>
      </c>
      <c r="Y83" s="73">
        <f t="shared" si="29"/>
        <v>23.297499999999999</v>
      </c>
      <c r="Z83" s="73">
        <f t="shared" si="30"/>
        <v>1.47E-2</v>
      </c>
      <c r="AA83" s="73">
        <f t="shared" si="31"/>
        <v>23.282799999999998</v>
      </c>
      <c r="AB83" s="74" t="e">
        <f>VLOOKUP(A83,Enforcements!C82:J145,8,0)</f>
        <v>#N/A</v>
      </c>
      <c r="AC83" s="74" t="e">
        <f>VLOOKUP(A83,Enforcements!C82:E145,3,0)</f>
        <v>#N/A</v>
      </c>
    </row>
    <row r="84" spans="1:29" s="2" customFormat="1" x14ac:dyDescent="0.25">
      <c r="A84" s="60" t="s">
        <v>324</v>
      </c>
      <c r="B84" s="60">
        <v>4011</v>
      </c>
      <c r="C84" s="60" t="s">
        <v>62</v>
      </c>
      <c r="D84" s="60" t="s">
        <v>74</v>
      </c>
      <c r="E84" s="30">
        <v>42541.581678240742</v>
      </c>
      <c r="F84" s="30">
        <v>42541.582696759258</v>
      </c>
      <c r="G84" s="38">
        <v>1</v>
      </c>
      <c r="H84" s="30" t="s">
        <v>325</v>
      </c>
      <c r="I84" s="30">
        <v>42541.608807870369</v>
      </c>
      <c r="J84" s="60">
        <v>0</v>
      </c>
      <c r="K84" s="60" t="str">
        <f t="shared" si="23"/>
        <v>4011/4012</v>
      </c>
      <c r="L84" s="60" t="str">
        <f>VLOOKUP(A84,'Trips&amp;Operators'!$C$1:$E$10000,3,FALSE)</f>
        <v>LOZA</v>
      </c>
      <c r="M84" s="12">
        <f t="shared" si="24"/>
        <v>2.6111111110367347E-2</v>
      </c>
      <c r="N84" s="13">
        <f t="shared" si="34"/>
        <v>37.599999998928979</v>
      </c>
      <c r="O84" s="13"/>
      <c r="P84" s="13"/>
      <c r="Q84" s="61"/>
      <c r="R84" s="61"/>
      <c r="S84" s="96">
        <f t="shared" si="32"/>
        <v>1</v>
      </c>
      <c r="T84" s="2" t="str">
        <f t="shared" si="25"/>
        <v>NorthBound</v>
      </c>
      <c r="U84" s="2">
        <f>COUNTIFS(Variables!$M$2:$M$13, "&gt;=" &amp; Y84, Variables!$M$2:$M$13, "&lt;=" &amp; Z84)</f>
        <v>12</v>
      </c>
      <c r="V84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13:56:37-0600',mode:absolute,to:'2016-06-20 14:37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4" s="73" t="str">
        <f t="shared" si="27"/>
        <v>N</v>
      </c>
      <c r="X84" s="73">
        <f t="shared" si="28"/>
        <v>1</v>
      </c>
      <c r="Y84" s="73">
        <f t="shared" si="29"/>
        <v>4.5999999999999999E-2</v>
      </c>
      <c r="Z84" s="73">
        <f t="shared" si="30"/>
        <v>23.335100000000001</v>
      </c>
      <c r="AA84" s="73">
        <f t="shared" si="31"/>
        <v>23.289100000000001</v>
      </c>
      <c r="AB84" s="74" t="e">
        <f>VLOOKUP(A84,Enforcements!C83:J146,8,0)</f>
        <v>#N/A</v>
      </c>
      <c r="AC84" s="74" t="e">
        <f>VLOOKUP(A84,Enforcements!C83:E146,3,0)</f>
        <v>#N/A</v>
      </c>
    </row>
    <row r="85" spans="1:29" s="90" customFormat="1" x14ac:dyDescent="0.25">
      <c r="A85" s="60" t="s">
        <v>326</v>
      </c>
      <c r="B85" s="60">
        <v>4012</v>
      </c>
      <c r="C85" s="60" t="s">
        <v>62</v>
      </c>
      <c r="D85" s="60" t="s">
        <v>327</v>
      </c>
      <c r="E85" s="30">
        <v>42541.619826388887</v>
      </c>
      <c r="F85" s="30">
        <v>42541.620868055557</v>
      </c>
      <c r="G85" s="38">
        <v>1</v>
      </c>
      <c r="H85" s="30" t="s">
        <v>149</v>
      </c>
      <c r="I85" s="30">
        <v>42541.650370370371</v>
      </c>
      <c r="J85" s="60">
        <v>0</v>
      </c>
      <c r="K85" s="60" t="str">
        <f t="shared" si="23"/>
        <v>4011/4012</v>
      </c>
      <c r="L85" s="60" t="str">
        <f>VLOOKUP(A85,'Trips&amp;Operators'!$C$1:$E$10000,3,FALSE)</f>
        <v>LOZA</v>
      </c>
      <c r="M85" s="12">
        <f t="shared" si="24"/>
        <v>2.9502314813726116E-2</v>
      </c>
      <c r="N85" s="13">
        <f t="shared" si="34"/>
        <v>42.483333331765607</v>
      </c>
      <c r="O85" s="13"/>
      <c r="P85" s="13"/>
      <c r="Q85" s="61"/>
      <c r="R85" s="61"/>
      <c r="S85" s="96">
        <f t="shared" si="32"/>
        <v>1</v>
      </c>
      <c r="T85" s="2" t="str">
        <f t="shared" si="25"/>
        <v>Southbound</v>
      </c>
      <c r="U85" s="2">
        <f>COUNTIFS(Variables!$M$2:$M$13, "&lt;=" &amp; Y85, Variables!$M$2:$M$13, "&gt;=" &amp; Z85)</f>
        <v>12</v>
      </c>
      <c r="V85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14:51:33-0600',mode:absolute,to:'2016-06-20 15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5" s="73" t="str">
        <f t="shared" si="27"/>
        <v>N</v>
      </c>
      <c r="X85" s="73">
        <f t="shared" si="28"/>
        <v>1</v>
      </c>
      <c r="Y85" s="73">
        <f t="shared" si="29"/>
        <v>23.304300000000001</v>
      </c>
      <c r="Z85" s="73">
        <f t="shared" si="30"/>
        <v>1.3899999999999999E-2</v>
      </c>
      <c r="AA85" s="73">
        <f t="shared" si="31"/>
        <v>23.290400000000002</v>
      </c>
      <c r="AB85" s="74" t="e">
        <f>VLOOKUP(A85,Enforcements!C84:J147,8,0)</f>
        <v>#N/A</v>
      </c>
      <c r="AC85" s="74" t="e">
        <f>VLOOKUP(A85,Enforcements!C84:E147,3,0)</f>
        <v>#N/A</v>
      </c>
    </row>
    <row r="86" spans="1:29" s="2" customFormat="1" x14ac:dyDescent="0.25">
      <c r="A86" s="60" t="s">
        <v>328</v>
      </c>
      <c r="B86" s="60">
        <v>4024</v>
      </c>
      <c r="C86" s="60" t="s">
        <v>62</v>
      </c>
      <c r="D86" s="60" t="s">
        <v>329</v>
      </c>
      <c r="E86" s="30">
        <v>42541.59103009259</v>
      </c>
      <c r="F86" s="30">
        <v>42541.59202546296</v>
      </c>
      <c r="G86" s="38">
        <v>1</v>
      </c>
      <c r="H86" s="30" t="s">
        <v>330</v>
      </c>
      <c r="I86" s="30">
        <v>42541.618981481479</v>
      </c>
      <c r="J86" s="60">
        <v>2</v>
      </c>
      <c r="K86" s="60" t="str">
        <f t="shared" si="23"/>
        <v>4023/4024</v>
      </c>
      <c r="L86" s="60" t="str">
        <f>VLOOKUP(A86,'Trips&amp;Operators'!$C$1:$E$10000,3,FALSE)</f>
        <v>GOODNIGHT</v>
      </c>
      <c r="M86" s="12">
        <f t="shared" si="24"/>
        <v>2.6956018518831115E-2</v>
      </c>
      <c r="N86" s="13">
        <f t="shared" si="34"/>
        <v>38.816666667116806</v>
      </c>
      <c r="O86" s="13"/>
      <c r="P86" s="13"/>
      <c r="Q86" s="61"/>
      <c r="R86" s="61"/>
      <c r="S86" s="96">
        <f t="shared" si="32"/>
        <v>1</v>
      </c>
      <c r="T86" s="2" t="str">
        <f t="shared" si="25"/>
        <v>NorthBound</v>
      </c>
      <c r="U86" s="2">
        <f>COUNTIFS(Variables!$M$2:$M$13, "&gt;=" &amp; Y86, Variables!$M$2:$M$13, "&lt;=" &amp; Z86)</f>
        <v>12</v>
      </c>
      <c r="V86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14:10:05-0600',mode:absolute,to:'2016-06-20 14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86" s="73" t="str">
        <f t="shared" si="27"/>
        <v>N</v>
      </c>
      <c r="X86" s="73">
        <f t="shared" si="28"/>
        <v>1</v>
      </c>
      <c r="Y86" s="73">
        <f t="shared" si="29"/>
        <v>0.1171</v>
      </c>
      <c r="Z86" s="73">
        <f t="shared" si="30"/>
        <v>23.336200000000002</v>
      </c>
      <c r="AA86" s="73">
        <f t="shared" si="31"/>
        <v>23.219100000000001</v>
      </c>
      <c r="AB86" s="74" t="e">
        <f>VLOOKUP(A86,Enforcements!C85:J148,8,0)</f>
        <v>#N/A</v>
      </c>
      <c r="AC86" s="74" t="e">
        <f>VLOOKUP(A86,Enforcements!C85:E148,3,0)</f>
        <v>#N/A</v>
      </c>
    </row>
    <row r="87" spans="1:29" s="2" customFormat="1" ht="14.25" customHeight="1" x14ac:dyDescent="0.25">
      <c r="A87" s="60" t="s">
        <v>331</v>
      </c>
      <c r="B87" s="60">
        <v>4023</v>
      </c>
      <c r="C87" s="60" t="s">
        <v>62</v>
      </c>
      <c r="D87" s="60" t="s">
        <v>332</v>
      </c>
      <c r="E87" s="30">
        <v>42541.631620370368</v>
      </c>
      <c r="F87" s="30">
        <v>42541.632523148146</v>
      </c>
      <c r="G87" s="38">
        <v>1</v>
      </c>
      <c r="H87" s="30" t="s">
        <v>333</v>
      </c>
      <c r="I87" s="30">
        <v>42541.659768518519</v>
      </c>
      <c r="J87" s="60">
        <v>2</v>
      </c>
      <c r="K87" s="60" t="str">
        <f t="shared" si="23"/>
        <v>4023/4024</v>
      </c>
      <c r="L87" s="60" t="str">
        <f>VLOOKUP(A87,'Trips&amp;Operators'!$C$1:$E$10000,3,FALSE)</f>
        <v>GOODNIGHT</v>
      </c>
      <c r="M87" s="12">
        <f t="shared" si="24"/>
        <v>2.7245370372838806E-2</v>
      </c>
      <c r="N87" s="13">
        <f t="shared" si="34"/>
        <v>39.233333336887881</v>
      </c>
      <c r="O87" s="13"/>
      <c r="P87" s="13"/>
      <c r="Q87" s="61"/>
      <c r="R87" s="61"/>
      <c r="S87" s="96">
        <f t="shared" si="32"/>
        <v>1</v>
      </c>
      <c r="T87" s="2" t="str">
        <f t="shared" si="25"/>
        <v>Southbound</v>
      </c>
      <c r="U87" s="2">
        <f>COUNTIFS(Variables!$M$2:$M$13, "&lt;=" &amp; Y87, Variables!$M$2:$M$13, "&gt;=" &amp; Z87)</f>
        <v>12</v>
      </c>
      <c r="V87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15:08:32-0600',mode:absolute,to:'2016-06-20 15:51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87" s="73" t="str">
        <f t="shared" si="27"/>
        <v>N</v>
      </c>
      <c r="X87" s="73">
        <f t="shared" si="28"/>
        <v>1</v>
      </c>
      <c r="Y87" s="73">
        <f t="shared" si="29"/>
        <v>23.304400000000001</v>
      </c>
      <c r="Z87" s="73">
        <f t="shared" si="30"/>
        <v>2.2499999999999999E-2</v>
      </c>
      <c r="AA87" s="73">
        <f t="shared" si="31"/>
        <v>23.2819</v>
      </c>
      <c r="AB87" s="74" t="e">
        <f>VLOOKUP(A87,Enforcements!C86:J149,8,0)</f>
        <v>#N/A</v>
      </c>
      <c r="AC87" s="74" t="e">
        <f>VLOOKUP(A87,Enforcements!C86:E149,3,0)</f>
        <v>#N/A</v>
      </c>
    </row>
    <row r="88" spans="1:29" s="2" customFormat="1" x14ac:dyDescent="0.25">
      <c r="A88" s="60" t="s">
        <v>334</v>
      </c>
      <c r="B88" s="60">
        <v>4042</v>
      </c>
      <c r="C88" s="60" t="s">
        <v>62</v>
      </c>
      <c r="D88" s="60" t="s">
        <v>335</v>
      </c>
      <c r="E88" s="30">
        <v>42541.601087962961</v>
      </c>
      <c r="F88" s="30">
        <v>42541.602442129632</v>
      </c>
      <c r="G88" s="38">
        <v>1</v>
      </c>
      <c r="H88" s="30" t="s">
        <v>336</v>
      </c>
      <c r="I88" s="30">
        <v>42541.634212962963</v>
      </c>
      <c r="J88" s="60">
        <v>3</v>
      </c>
      <c r="K88" s="60" t="str">
        <f t="shared" si="23"/>
        <v>4041/4042</v>
      </c>
      <c r="L88" s="60" t="str">
        <f>VLOOKUP(A88,'Trips&amp;Operators'!$C$1:$E$10000,3,FALSE)</f>
        <v>MOSES</v>
      </c>
      <c r="M88" s="12">
        <f t="shared" si="24"/>
        <v>3.1770833331393078E-2</v>
      </c>
      <c r="N88" s="13">
        <f t="shared" si="34"/>
        <v>45.749999997206032</v>
      </c>
      <c r="O88" s="13"/>
      <c r="P88" s="13"/>
      <c r="Q88" s="61"/>
      <c r="R88" s="61"/>
      <c r="S88" s="96">
        <f t="shared" si="32"/>
        <v>1</v>
      </c>
      <c r="T88" s="2" t="str">
        <f t="shared" si="25"/>
        <v>NorthBound</v>
      </c>
      <c r="U88" s="2">
        <f>COUNTIFS(Variables!$M$2:$M$13, "&gt;=" &amp; Y88, Variables!$M$2:$M$13, "&lt;=" &amp; Z88)</f>
        <v>12</v>
      </c>
      <c r="V88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14:24:34-0600',mode:absolute,to:'2016-06-20 15:14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8" s="73" t="str">
        <f t="shared" si="27"/>
        <v>N</v>
      </c>
      <c r="X88" s="73">
        <f t="shared" si="28"/>
        <v>1</v>
      </c>
      <c r="Y88" s="73">
        <f t="shared" si="29"/>
        <v>4.2000000000000003E-2</v>
      </c>
      <c r="Z88" s="73">
        <f t="shared" si="30"/>
        <v>23.327200000000001</v>
      </c>
      <c r="AA88" s="73">
        <f t="shared" si="31"/>
        <v>23.2852</v>
      </c>
      <c r="AB88" s="74" t="e">
        <f>VLOOKUP(A88,Enforcements!C87:J150,8,0)</f>
        <v>#N/A</v>
      </c>
      <c r="AC88" s="74" t="e">
        <f>VLOOKUP(A88,Enforcements!C87:E150,3,0)</f>
        <v>#N/A</v>
      </c>
    </row>
    <row r="89" spans="1:29" s="2" customFormat="1" x14ac:dyDescent="0.25">
      <c r="A89" s="60" t="s">
        <v>337</v>
      </c>
      <c r="B89" s="60">
        <v>4041</v>
      </c>
      <c r="C89" s="60" t="s">
        <v>62</v>
      </c>
      <c r="D89" s="60" t="s">
        <v>338</v>
      </c>
      <c r="E89" s="30">
        <v>42541.640729166669</v>
      </c>
      <c r="F89" s="30">
        <v>42541.642013888886</v>
      </c>
      <c r="G89" s="38">
        <v>1</v>
      </c>
      <c r="H89" s="30" t="s">
        <v>193</v>
      </c>
      <c r="I89" s="30">
        <v>42541.674861111111</v>
      </c>
      <c r="J89" s="60">
        <v>3</v>
      </c>
      <c r="K89" s="60" t="str">
        <f t="shared" si="23"/>
        <v>4041/4042</v>
      </c>
      <c r="L89" s="60" t="str">
        <f>VLOOKUP(A89,'Trips&amp;Operators'!$C$1:$E$10000,3,FALSE)</f>
        <v>MOSES</v>
      </c>
      <c r="M89" s="12">
        <f t="shared" si="24"/>
        <v>3.2847222224518191E-2</v>
      </c>
      <c r="N89" s="13">
        <f t="shared" si="34"/>
        <v>47.300000003306195</v>
      </c>
      <c r="O89" s="13"/>
      <c r="P89" s="13"/>
      <c r="Q89" s="61"/>
      <c r="R89" s="61"/>
      <c r="S89" s="96">
        <f t="shared" si="32"/>
        <v>1</v>
      </c>
      <c r="T89" s="2" t="str">
        <f t="shared" si="25"/>
        <v>Southbound</v>
      </c>
      <c r="U89" s="2">
        <f>COUNTIFS(Variables!$M$2:$M$13, "&lt;=" &amp; Y89, Variables!$M$2:$M$13, "&gt;=" &amp; Z89)</f>
        <v>12</v>
      </c>
      <c r="V89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15:21:39-0600',mode:absolute,to:'2016-06-20 16:12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9" s="73" t="str">
        <f t="shared" si="27"/>
        <v>N</v>
      </c>
      <c r="X89" s="73">
        <f t="shared" si="28"/>
        <v>1</v>
      </c>
      <c r="Y89" s="73">
        <f t="shared" si="29"/>
        <v>23.2959</v>
      </c>
      <c r="Z89" s="73">
        <f t="shared" si="30"/>
        <v>1.72E-2</v>
      </c>
      <c r="AA89" s="73">
        <f t="shared" si="31"/>
        <v>23.278700000000001</v>
      </c>
      <c r="AB89" s="74" t="e">
        <f>VLOOKUP(A89,Enforcements!C88:J151,8,0)</f>
        <v>#N/A</v>
      </c>
      <c r="AC89" s="74" t="e">
        <f>VLOOKUP(A89,Enforcements!C88:E151,3,0)</f>
        <v>#N/A</v>
      </c>
    </row>
    <row r="90" spans="1:29" s="2" customFormat="1" x14ac:dyDescent="0.25">
      <c r="A90" s="60" t="s">
        <v>339</v>
      </c>
      <c r="B90" s="60">
        <v>4007</v>
      </c>
      <c r="C90" s="60" t="s">
        <v>62</v>
      </c>
      <c r="D90" s="60" t="s">
        <v>340</v>
      </c>
      <c r="E90" s="30">
        <v>42541.612476851849</v>
      </c>
      <c r="F90" s="30">
        <v>42541.613541666666</v>
      </c>
      <c r="G90" s="38">
        <v>1</v>
      </c>
      <c r="H90" s="30" t="s">
        <v>341</v>
      </c>
      <c r="I90" s="30">
        <v>42541.640590277777</v>
      </c>
      <c r="J90" s="60">
        <v>0</v>
      </c>
      <c r="K90" s="60" t="str">
        <f t="shared" si="23"/>
        <v>4007/4008</v>
      </c>
      <c r="L90" s="60" t="str">
        <f>VLOOKUP(A90,'Trips&amp;Operators'!$C$1:$E$10000,3,FALSE)</f>
        <v>HELVIE</v>
      </c>
      <c r="M90" s="12">
        <f t="shared" si="24"/>
        <v>2.7048611111240461E-2</v>
      </c>
      <c r="N90" s="13">
        <f t="shared" si="34"/>
        <v>38.950000000186265</v>
      </c>
      <c r="O90" s="13"/>
      <c r="P90" s="13"/>
      <c r="Q90" s="61"/>
      <c r="R90" s="61"/>
      <c r="S90" s="96">
        <f t="shared" si="32"/>
        <v>1</v>
      </c>
      <c r="T90" s="2" t="str">
        <f t="shared" si="25"/>
        <v>NorthBound</v>
      </c>
      <c r="U90" s="2">
        <f>COUNTIFS(Variables!$M$2:$M$13, "&gt;=" &amp; Y90, Variables!$M$2:$M$13, "&lt;=" &amp; Z90)</f>
        <v>12</v>
      </c>
      <c r="V90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14:40:58-0600',mode:absolute,to:'2016-06-20 15:23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90" s="73" t="str">
        <f t="shared" si="27"/>
        <v>N</v>
      </c>
      <c r="X90" s="73">
        <f t="shared" si="28"/>
        <v>1</v>
      </c>
      <c r="Y90" s="73">
        <f t="shared" si="29"/>
        <v>7.7200000000000005E-2</v>
      </c>
      <c r="Z90" s="73">
        <f t="shared" si="30"/>
        <v>23.328399999999998</v>
      </c>
      <c r="AA90" s="73">
        <f t="shared" si="31"/>
        <v>23.251199999999997</v>
      </c>
      <c r="AB90" s="74" t="e">
        <f>VLOOKUP(A90,Enforcements!C89:J152,8,0)</f>
        <v>#N/A</v>
      </c>
      <c r="AC90" s="74" t="e">
        <f>VLOOKUP(A90,Enforcements!C89:E152,3,0)</f>
        <v>#N/A</v>
      </c>
    </row>
    <row r="91" spans="1:29" s="2" customFormat="1" x14ac:dyDescent="0.25">
      <c r="A91" s="60" t="s">
        <v>342</v>
      </c>
      <c r="B91" s="60">
        <v>4008</v>
      </c>
      <c r="C91" s="60" t="s">
        <v>62</v>
      </c>
      <c r="D91" s="60" t="s">
        <v>142</v>
      </c>
      <c r="E91" s="30">
        <v>42541.648495370369</v>
      </c>
      <c r="F91" s="30">
        <v>42541.64980324074</v>
      </c>
      <c r="G91" s="38">
        <v>1</v>
      </c>
      <c r="H91" s="30" t="s">
        <v>145</v>
      </c>
      <c r="I91" s="30">
        <v>42541.680115740739</v>
      </c>
      <c r="J91" s="60">
        <v>1</v>
      </c>
      <c r="K91" s="60" t="str">
        <f t="shared" si="23"/>
        <v>4007/4008</v>
      </c>
      <c r="L91" s="60" t="str">
        <f>VLOOKUP(A91,'Trips&amp;Operators'!$C$1:$E$10000,3,FALSE)</f>
        <v>HELVIE</v>
      </c>
      <c r="M91" s="12">
        <f t="shared" si="24"/>
        <v>3.0312499999126885E-2</v>
      </c>
      <c r="N91" s="13">
        <f t="shared" si="34"/>
        <v>43.649999998742715</v>
      </c>
      <c r="O91" s="13"/>
      <c r="P91" s="13"/>
      <c r="Q91" s="61"/>
      <c r="R91" s="61"/>
      <c r="S91" s="96">
        <f t="shared" si="32"/>
        <v>1</v>
      </c>
      <c r="T91" s="2" t="str">
        <f t="shared" si="25"/>
        <v>Southbound</v>
      </c>
      <c r="U91" s="2">
        <f>COUNTIFS(Variables!$M$2:$M$13, "&lt;=" &amp; Y91, Variables!$M$2:$M$13, "&gt;=" &amp; Z91)</f>
        <v>12</v>
      </c>
      <c r="V91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15:32:50-0600',mode:absolute,to:'2016-06-20 16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1" s="73" t="str">
        <f t="shared" si="27"/>
        <v>N</v>
      </c>
      <c r="X91" s="73">
        <f t="shared" si="28"/>
        <v>1</v>
      </c>
      <c r="Y91" s="73">
        <f t="shared" si="29"/>
        <v>23.2973</v>
      </c>
      <c r="Z91" s="73">
        <f t="shared" si="30"/>
        <v>1.6299999999999999E-2</v>
      </c>
      <c r="AA91" s="73">
        <f t="shared" si="31"/>
        <v>23.280999999999999</v>
      </c>
      <c r="AB91" s="74" t="e">
        <f>VLOOKUP(A91,Enforcements!C90:J153,8,0)</f>
        <v>#N/A</v>
      </c>
      <c r="AC91" s="74" t="e">
        <f>VLOOKUP(A91,Enforcements!C90:E153,3,0)</f>
        <v>#N/A</v>
      </c>
    </row>
    <row r="92" spans="1:29" s="2" customFormat="1" x14ac:dyDescent="0.25">
      <c r="A92" s="60" t="s">
        <v>343</v>
      </c>
      <c r="B92" s="60">
        <v>4025</v>
      </c>
      <c r="C92" s="60" t="s">
        <v>62</v>
      </c>
      <c r="D92" s="60" t="s">
        <v>344</v>
      </c>
      <c r="E92" s="30">
        <v>42541.621886574074</v>
      </c>
      <c r="F92" s="30">
        <v>42541.623055555552</v>
      </c>
      <c r="G92" s="38">
        <v>1</v>
      </c>
      <c r="H92" s="30" t="s">
        <v>127</v>
      </c>
      <c r="I92" s="30">
        <v>42541.652986111112</v>
      </c>
      <c r="J92" s="60">
        <v>1</v>
      </c>
      <c r="K92" s="60" t="str">
        <f t="shared" si="23"/>
        <v>4025/4026</v>
      </c>
      <c r="L92" s="60" t="str">
        <f>VLOOKUP(A92,'Trips&amp;Operators'!$C$1:$E$10000,3,FALSE)</f>
        <v>MAELZER</v>
      </c>
      <c r="M92" s="12">
        <f t="shared" si="24"/>
        <v>2.9930555559985805E-2</v>
      </c>
      <c r="N92" s="13">
        <f t="shared" si="34"/>
        <v>43.10000000637956</v>
      </c>
      <c r="O92" s="13"/>
      <c r="P92" s="13"/>
      <c r="Q92" s="61"/>
      <c r="R92" s="61"/>
      <c r="S92" s="96">
        <f t="shared" si="32"/>
        <v>1</v>
      </c>
      <c r="T92" s="2" t="str">
        <f t="shared" si="25"/>
        <v>NorthBound</v>
      </c>
      <c r="U92" s="2">
        <f>COUNTIFS(Variables!$M$2:$M$13, "&gt;=" &amp; Y92, Variables!$M$2:$M$13, "&lt;=" &amp; Z92)</f>
        <v>12</v>
      </c>
      <c r="V92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14:54:31-0600',mode:absolute,to:'2016-06-20 15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2" s="73" t="str">
        <f t="shared" si="27"/>
        <v>N</v>
      </c>
      <c r="X92" s="73">
        <f t="shared" si="28"/>
        <v>1</v>
      </c>
      <c r="Y92" s="73">
        <f t="shared" si="29"/>
        <v>6.3299999999999995E-2</v>
      </c>
      <c r="Z92" s="73">
        <f t="shared" si="30"/>
        <v>23.328900000000001</v>
      </c>
      <c r="AA92" s="73">
        <f t="shared" si="31"/>
        <v>23.265599999999999</v>
      </c>
      <c r="AB92" s="74" t="e">
        <f>VLOOKUP(A92,Enforcements!C91:J154,8,0)</f>
        <v>#N/A</v>
      </c>
      <c r="AC92" s="74" t="e">
        <f>VLOOKUP(A92,Enforcements!C91:E154,3,0)</f>
        <v>#N/A</v>
      </c>
    </row>
    <row r="93" spans="1:29" s="2" customFormat="1" x14ac:dyDescent="0.25">
      <c r="A93" s="60" t="s">
        <v>345</v>
      </c>
      <c r="B93" s="60">
        <v>4026</v>
      </c>
      <c r="C93" s="60" t="s">
        <v>62</v>
      </c>
      <c r="D93" s="60" t="s">
        <v>77</v>
      </c>
      <c r="E93" s="30">
        <v>42541.658356481479</v>
      </c>
      <c r="F93" s="30">
        <v>42541.659537037034</v>
      </c>
      <c r="G93" s="38">
        <v>1</v>
      </c>
      <c r="H93" s="30" t="s">
        <v>184</v>
      </c>
      <c r="I93" s="30">
        <v>42541.692280092589</v>
      </c>
      <c r="J93" s="60">
        <v>1</v>
      </c>
      <c r="K93" s="60" t="str">
        <f t="shared" si="23"/>
        <v>4025/4026</v>
      </c>
      <c r="L93" s="60" t="str">
        <f>VLOOKUP(A93,'Trips&amp;Operators'!$C$1:$E$10000,3,FALSE)</f>
        <v>MAELZER</v>
      </c>
      <c r="M93" s="12">
        <f t="shared" si="24"/>
        <v>3.2743055555329192E-2</v>
      </c>
      <c r="N93" s="13">
        <f t="shared" si="34"/>
        <v>47.149999999674037</v>
      </c>
      <c r="O93" s="13"/>
      <c r="P93" s="13"/>
      <c r="Q93" s="61"/>
      <c r="R93" s="61"/>
      <c r="S93" s="96">
        <f t="shared" si="32"/>
        <v>1</v>
      </c>
      <c r="T93" s="2" t="str">
        <f t="shared" si="25"/>
        <v>Southbound</v>
      </c>
      <c r="U93" s="2">
        <f>COUNTIFS(Variables!$M$2:$M$13, "&lt;=" &amp; Y93, Variables!$M$2:$M$13, "&gt;=" &amp; Z93)</f>
        <v>12</v>
      </c>
      <c r="V93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15:47:02-0600',mode:absolute,to:'2016-06-20 16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3" s="73" t="str">
        <f t="shared" si="27"/>
        <v>N</v>
      </c>
      <c r="X93" s="73">
        <f t="shared" si="28"/>
        <v>1</v>
      </c>
      <c r="Y93" s="73">
        <f t="shared" si="29"/>
        <v>23.297699999999999</v>
      </c>
      <c r="Z93" s="73">
        <f t="shared" si="30"/>
        <v>1.7600000000000001E-2</v>
      </c>
      <c r="AA93" s="73">
        <f t="shared" si="31"/>
        <v>23.280099999999997</v>
      </c>
      <c r="AB93" s="74" t="e">
        <f>VLOOKUP(A93,Enforcements!C92:J155,8,0)</f>
        <v>#N/A</v>
      </c>
      <c r="AC93" s="74" t="e">
        <f>VLOOKUP(A93,Enforcements!C92:E155,3,0)</f>
        <v>#N/A</v>
      </c>
    </row>
    <row r="94" spans="1:29" s="2" customFormat="1" x14ac:dyDescent="0.25">
      <c r="A94" s="60" t="s">
        <v>346</v>
      </c>
      <c r="B94" s="60">
        <v>4018</v>
      </c>
      <c r="C94" s="60" t="s">
        <v>62</v>
      </c>
      <c r="D94" s="60" t="s">
        <v>347</v>
      </c>
      <c r="E94" s="30">
        <v>42541.633449074077</v>
      </c>
      <c r="F94" s="30">
        <v>42541.634641203702</v>
      </c>
      <c r="G94" s="38">
        <v>1</v>
      </c>
      <c r="H94" s="30" t="s">
        <v>348</v>
      </c>
      <c r="I94" s="30">
        <v>42541.660960648151</v>
      </c>
      <c r="J94" s="60">
        <v>0</v>
      </c>
      <c r="K94" s="60" t="str">
        <f t="shared" si="23"/>
        <v>4017/4018</v>
      </c>
      <c r="L94" s="60" t="str">
        <f>VLOOKUP(A94,'Trips&amp;Operators'!$C$1:$E$10000,3,FALSE)</f>
        <v>LOCKLEAR</v>
      </c>
      <c r="M94" s="12">
        <f t="shared" si="24"/>
        <v>2.6319444448745344E-2</v>
      </c>
      <c r="N94" s="13">
        <f t="shared" si="34"/>
        <v>37.900000006193295</v>
      </c>
      <c r="O94" s="13"/>
      <c r="P94" s="13"/>
      <c r="Q94" s="61"/>
      <c r="R94" s="61"/>
      <c r="S94" s="96">
        <f t="shared" si="32"/>
        <v>1</v>
      </c>
      <c r="T94" s="2" t="str">
        <f t="shared" si="25"/>
        <v>NorthBound</v>
      </c>
      <c r="U94" s="2">
        <f>COUNTIFS(Variables!$M$2:$M$13, "&gt;=" &amp; Y94, Variables!$M$2:$M$13, "&lt;=" &amp; Z94)</f>
        <v>12</v>
      </c>
      <c r="V94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15:11:10-0600',mode:absolute,to:'2016-06-20 15:52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4" s="73" t="str">
        <f t="shared" si="27"/>
        <v>N</v>
      </c>
      <c r="X94" s="73">
        <f t="shared" si="28"/>
        <v>1</v>
      </c>
      <c r="Y94" s="73">
        <f t="shared" si="29"/>
        <v>3.0499999999999999E-2</v>
      </c>
      <c r="Z94" s="73">
        <f t="shared" si="30"/>
        <v>23.333200000000001</v>
      </c>
      <c r="AA94" s="73">
        <f t="shared" si="31"/>
        <v>23.302700000000002</v>
      </c>
      <c r="AB94" s="74" t="e">
        <f>VLOOKUP(A94,Enforcements!C93:J156,8,0)</f>
        <v>#N/A</v>
      </c>
      <c r="AC94" s="74" t="e">
        <f>VLOOKUP(A94,Enforcements!C93:E156,3,0)</f>
        <v>#N/A</v>
      </c>
    </row>
    <row r="95" spans="1:29" s="2" customFormat="1" x14ac:dyDescent="0.25">
      <c r="A95" s="60" t="s">
        <v>349</v>
      </c>
      <c r="B95" s="60">
        <v>4017</v>
      </c>
      <c r="C95" s="60" t="s">
        <v>62</v>
      </c>
      <c r="D95" s="60" t="s">
        <v>350</v>
      </c>
      <c r="E95" s="30">
        <v>42541.671412037038</v>
      </c>
      <c r="F95" s="30">
        <v>42541.672731481478</v>
      </c>
      <c r="G95" s="38">
        <v>1</v>
      </c>
      <c r="H95" s="30" t="s">
        <v>63</v>
      </c>
      <c r="I95" s="30">
        <v>42541.701018518521</v>
      </c>
      <c r="J95" s="60">
        <v>1</v>
      </c>
      <c r="K95" s="60" t="str">
        <f t="shared" si="23"/>
        <v>4017/4018</v>
      </c>
      <c r="L95" s="60" t="str">
        <f>VLOOKUP(A95,'Trips&amp;Operators'!$C$1:$E$10000,3,FALSE)</f>
        <v>LOCKLEAR</v>
      </c>
      <c r="M95" s="12">
        <f t="shared" si="24"/>
        <v>2.828703704290092E-2</v>
      </c>
      <c r="N95" s="13">
        <f t="shared" si="34"/>
        <v>40.733333341777325</v>
      </c>
      <c r="O95" s="13"/>
      <c r="P95" s="13"/>
      <c r="Q95" s="61"/>
      <c r="R95" s="61"/>
      <c r="S95" s="96">
        <f t="shared" si="32"/>
        <v>1</v>
      </c>
      <c r="T95" s="2" t="str">
        <f t="shared" si="25"/>
        <v>Southbound</v>
      </c>
      <c r="U95" s="2">
        <f>COUNTIFS(Variables!$M$2:$M$13, "&lt;=" &amp; Y95, Variables!$M$2:$M$13, "&gt;=" &amp; Z95)</f>
        <v>12</v>
      </c>
      <c r="V95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16:05:50-0600',mode:absolute,to:'2016-06-20 16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5" s="73" t="str">
        <f t="shared" si="27"/>
        <v>N</v>
      </c>
      <c r="X95" s="73">
        <f t="shared" si="28"/>
        <v>1</v>
      </c>
      <c r="Y95" s="73">
        <f t="shared" si="29"/>
        <v>23.3017</v>
      </c>
      <c r="Z95" s="73">
        <f t="shared" si="30"/>
        <v>1.4500000000000001E-2</v>
      </c>
      <c r="AA95" s="73">
        <f t="shared" si="31"/>
        <v>23.287199999999999</v>
      </c>
      <c r="AB95" s="74" t="e">
        <f>VLOOKUP(A95,Enforcements!C94:J157,8,0)</f>
        <v>#N/A</v>
      </c>
      <c r="AC95" s="74" t="e">
        <f>VLOOKUP(A95,Enforcements!C94:E157,3,0)</f>
        <v>#N/A</v>
      </c>
    </row>
    <row r="96" spans="1:29" s="2" customFormat="1" x14ac:dyDescent="0.25">
      <c r="A96" s="60" t="s">
        <v>351</v>
      </c>
      <c r="B96" s="60">
        <v>4029</v>
      </c>
      <c r="C96" s="60" t="s">
        <v>62</v>
      </c>
      <c r="D96" s="60" t="s">
        <v>88</v>
      </c>
      <c r="E96" s="30">
        <v>42541.640833333331</v>
      </c>
      <c r="F96" s="30">
        <v>42541.642060185186</v>
      </c>
      <c r="G96" s="38">
        <v>1</v>
      </c>
      <c r="H96" s="30" t="s">
        <v>175</v>
      </c>
      <c r="I96" s="30">
        <v>42541.671967592592</v>
      </c>
      <c r="J96" s="60">
        <v>0</v>
      </c>
      <c r="K96" s="60" t="str">
        <f t="shared" si="23"/>
        <v>4029/4030</v>
      </c>
      <c r="L96" s="60" t="str">
        <f>VLOOKUP(A96,'Trips&amp;Operators'!$C$1:$E$10000,3,FALSE)</f>
        <v>ACKERMAN</v>
      </c>
      <c r="M96" s="12">
        <f t="shared" si="24"/>
        <v>2.9907407406426501E-2</v>
      </c>
      <c r="N96" s="13">
        <f t="shared" si="34"/>
        <v>43.066666665254161</v>
      </c>
      <c r="O96" s="13"/>
      <c r="P96" s="13"/>
      <c r="Q96" s="61"/>
      <c r="R96" s="61"/>
      <c r="S96" s="96">
        <f t="shared" si="32"/>
        <v>1</v>
      </c>
      <c r="T96" s="2" t="str">
        <f t="shared" si="25"/>
        <v>NorthBound</v>
      </c>
      <c r="U96" s="2">
        <f>COUNTIFS(Variables!$M$2:$M$13, "&gt;=" &amp; Y96, Variables!$M$2:$M$13, "&lt;=" &amp; Z96)</f>
        <v>12</v>
      </c>
      <c r="V96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15:21:48-0600',mode:absolute,to:'2016-06-20 16:08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6" s="73" t="str">
        <f t="shared" si="27"/>
        <v>N</v>
      </c>
      <c r="X96" s="73">
        <f t="shared" si="28"/>
        <v>1</v>
      </c>
      <c r="Y96" s="73">
        <f t="shared" si="29"/>
        <v>4.53E-2</v>
      </c>
      <c r="Z96" s="73">
        <f t="shared" si="30"/>
        <v>23.331</v>
      </c>
      <c r="AA96" s="73">
        <f t="shared" si="31"/>
        <v>23.285699999999999</v>
      </c>
      <c r="AB96" s="74" t="e">
        <f>VLOOKUP(A96,Enforcements!C95:J158,8,0)</f>
        <v>#N/A</v>
      </c>
      <c r="AC96" s="74" t="e">
        <f>VLOOKUP(A96,Enforcements!C95:E158,3,0)</f>
        <v>#N/A</v>
      </c>
    </row>
    <row r="97" spans="1:29" s="2" customFormat="1" x14ac:dyDescent="0.25">
      <c r="A97" s="60" t="s">
        <v>352</v>
      </c>
      <c r="B97" s="60">
        <v>4030</v>
      </c>
      <c r="C97" s="60" t="s">
        <v>62</v>
      </c>
      <c r="D97" s="60" t="s">
        <v>190</v>
      </c>
      <c r="E97" s="30">
        <v>42541.6796412037</v>
      </c>
      <c r="F97" s="30">
        <v>42541.680509259262</v>
      </c>
      <c r="G97" s="38">
        <v>1</v>
      </c>
      <c r="H97" s="30" t="s">
        <v>84</v>
      </c>
      <c r="I97" s="30">
        <v>42541.712418981479</v>
      </c>
      <c r="J97" s="60">
        <v>0</v>
      </c>
      <c r="K97" s="60" t="str">
        <f t="shared" si="23"/>
        <v>4029/4030</v>
      </c>
      <c r="L97" s="60" t="str">
        <f>VLOOKUP(A97,'Trips&amp;Operators'!$C$1:$E$10000,3,FALSE)</f>
        <v>ACKERMAN</v>
      </c>
      <c r="M97" s="12">
        <f t="shared" si="24"/>
        <v>3.1909722216369119E-2</v>
      </c>
      <c r="N97" s="13">
        <f t="shared" si="34"/>
        <v>45.949999991571531</v>
      </c>
      <c r="O97" s="13"/>
      <c r="P97" s="13"/>
      <c r="Q97" s="61"/>
      <c r="R97" s="61"/>
      <c r="S97" s="96">
        <f t="shared" si="32"/>
        <v>1</v>
      </c>
      <c r="T97" s="2" t="str">
        <f t="shared" si="25"/>
        <v>Southbound</v>
      </c>
      <c r="U97" s="2">
        <f>COUNTIFS(Variables!$M$2:$M$13, "&lt;=" &amp; Y97, Variables!$M$2:$M$13, "&gt;=" &amp; Z97)</f>
        <v>12</v>
      </c>
      <c r="V97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16:17:41-0600',mode:absolute,to:'2016-06-20 17:06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7" s="73" t="str">
        <f t="shared" si="27"/>
        <v>N</v>
      </c>
      <c r="X97" s="73">
        <f t="shared" si="28"/>
        <v>1</v>
      </c>
      <c r="Y97" s="73">
        <f t="shared" si="29"/>
        <v>23.298300000000001</v>
      </c>
      <c r="Z97" s="73">
        <f t="shared" si="30"/>
        <v>1.5599999999999999E-2</v>
      </c>
      <c r="AA97" s="73">
        <f t="shared" si="31"/>
        <v>23.282700000000002</v>
      </c>
      <c r="AB97" s="74" t="e">
        <f>VLOOKUP(A97,Enforcements!C96:J159,8,0)</f>
        <v>#N/A</v>
      </c>
      <c r="AC97" s="74" t="e">
        <f>VLOOKUP(A97,Enforcements!C96:E159,3,0)</f>
        <v>#N/A</v>
      </c>
    </row>
    <row r="98" spans="1:29" s="2" customFormat="1" x14ac:dyDescent="0.25">
      <c r="A98" s="60" t="s">
        <v>353</v>
      </c>
      <c r="B98" s="60">
        <v>4011</v>
      </c>
      <c r="C98" s="60" t="s">
        <v>62</v>
      </c>
      <c r="D98" s="60" t="s">
        <v>191</v>
      </c>
      <c r="E98" s="30">
        <v>42541.652812499997</v>
      </c>
      <c r="F98" s="30">
        <v>42541.654317129629</v>
      </c>
      <c r="G98" s="38">
        <v>2</v>
      </c>
      <c r="H98" s="30" t="s">
        <v>354</v>
      </c>
      <c r="I98" s="30">
        <v>42541.681597222225</v>
      </c>
      <c r="J98" s="60">
        <v>0</v>
      </c>
      <c r="K98" s="60" t="str">
        <f t="shared" si="23"/>
        <v>4011/4012</v>
      </c>
      <c r="L98" s="60" t="str">
        <f>VLOOKUP(A98,'Trips&amp;Operators'!$C$1:$E$10000,3,FALSE)</f>
        <v>LOZA</v>
      </c>
      <c r="M98" s="12">
        <f t="shared" si="24"/>
        <v>2.7280092595901806E-2</v>
      </c>
      <c r="N98" s="13">
        <f t="shared" si="34"/>
        <v>39.283333338098601</v>
      </c>
      <c r="O98" s="13"/>
      <c r="P98" s="13"/>
      <c r="Q98" s="61"/>
      <c r="R98" s="61"/>
      <c r="S98" s="96">
        <f t="shared" si="32"/>
        <v>1</v>
      </c>
      <c r="T98" s="2" t="str">
        <f t="shared" si="25"/>
        <v>NorthBound</v>
      </c>
      <c r="U98" s="2">
        <f>COUNTIFS(Variables!$M$2:$M$13, "&gt;=" &amp; Y98, Variables!$M$2:$M$13, "&lt;=" &amp; Z98)</f>
        <v>12</v>
      </c>
      <c r="V98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https://search-rtdc-monitor-bjffxe2xuh6vdkpspy63sjmuny.us-east-1.es.amazonaws.com/_plugin/kibana/#/discover/Steve-Slow-Train-Analysis-(2080s-and-2083s)?_g=(refreshInterval:(display:Off,section:0,value:0),time:(from:'2016-06-20 15:39:03-0600',mode:absolute,to:'2016-06-20 16:22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8" s="73" t="str">
        <f t="shared" si="27"/>
        <v>N</v>
      </c>
      <c r="X98" s="73">
        <f t="shared" si="28"/>
        <v>1</v>
      </c>
      <c r="Y98" s="73">
        <f t="shared" si="29"/>
        <v>4.3099999999999999E-2</v>
      </c>
      <c r="Z98" s="73">
        <f t="shared" si="30"/>
        <v>23.338899999999999</v>
      </c>
      <c r="AA98" s="73">
        <f t="shared" si="31"/>
        <v>23.2958</v>
      </c>
      <c r="AB98" s="74" t="e">
        <f>VLOOKUP(A98,Enforcements!C97:J160,8,0)</f>
        <v>#N/A</v>
      </c>
      <c r="AC98" s="74" t="e">
        <f>VLOOKUP(A98,Enforcements!C97:E160,3,0)</f>
        <v>#N/A</v>
      </c>
    </row>
    <row r="99" spans="1:29" s="2" customFormat="1" x14ac:dyDescent="0.25">
      <c r="A99" s="60" t="s">
        <v>355</v>
      </c>
      <c r="B99" s="60">
        <v>4012</v>
      </c>
      <c r="C99" s="60" t="s">
        <v>62</v>
      </c>
      <c r="D99" s="60" t="s">
        <v>356</v>
      </c>
      <c r="E99" s="30">
        <v>42541.692083333335</v>
      </c>
      <c r="F99" s="30">
        <v>42541.693182870367</v>
      </c>
      <c r="G99" s="38">
        <v>1</v>
      </c>
      <c r="H99" s="30" t="s">
        <v>85</v>
      </c>
      <c r="I99" s="30">
        <v>42541.724479166667</v>
      </c>
      <c r="J99" s="60">
        <v>1</v>
      </c>
      <c r="K99" s="60" t="str">
        <f t="shared" ref="K99:K130" si="35">IF(ISEVEN(B99),(B99-1)&amp;"/"&amp;B99,B99&amp;"/"&amp;(B99+1))</f>
        <v>4011/4012</v>
      </c>
      <c r="L99" s="60" t="str">
        <f>VLOOKUP(A99,'Trips&amp;Operators'!$C$1:$E$10000,3,FALSE)</f>
        <v>LOZA</v>
      </c>
      <c r="M99" s="12">
        <f t="shared" ref="M99:M130" si="36">I99-F99</f>
        <v>3.1296296299842652E-2</v>
      </c>
      <c r="N99" s="13">
        <f t="shared" si="34"/>
        <v>45.066666671773419</v>
      </c>
      <c r="O99" s="13"/>
      <c r="P99" s="13"/>
      <c r="Q99" s="61"/>
      <c r="R99" s="61"/>
      <c r="S99" s="96">
        <f t="shared" si="32"/>
        <v>1</v>
      </c>
      <c r="T99" s="2" t="str">
        <f t="shared" ref="T99:T130" si="37">IF(ISEVEN(LEFT(A99,3)),"Southbound","NorthBound")</f>
        <v>Southbound</v>
      </c>
      <c r="U99" s="2">
        <f>COUNTIFS(Variables!$M$2:$M$13, "&lt;=" &amp; Y99, Variables!$M$2:$M$13, "&gt;=" &amp; Z99)</f>
        <v>12</v>
      </c>
      <c r="V99" s="73" t="str">
        <f t="shared" ref="V99:V130" si="38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https://search-rtdc-monitor-bjffxe2xuh6vdkpspy63sjmuny.us-east-1.es.amazonaws.com/_plugin/kibana/#/discover/Steve-Slow-Train-Analysis-(2080s-and-2083s)?_g=(refreshInterval:(display:Off,section:0,value:0),time:(from:'2016-06-20 16:35:36-0600',mode:absolute,to:'2016-06-20 17:24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9" s="73" t="str">
        <f t="shared" ref="W99:W130" si="39">IF(AA99&lt;23,"Y","N")</f>
        <v>N</v>
      </c>
      <c r="X99" s="73">
        <f t="shared" ref="X99:X130" si="40">VALUE(LEFT(A99,3))-VALUE(LEFT(A98,3))</f>
        <v>1</v>
      </c>
      <c r="Y99" s="73">
        <f t="shared" ref="Y99:Y130" si="41">RIGHT(D99,LEN(D99)-4)/10000</f>
        <v>23.308399999999999</v>
      </c>
      <c r="Z99" s="73">
        <f t="shared" ref="Z99:Z130" si="42">RIGHT(H99,LEN(H99)-4)/10000</f>
        <v>1.49E-2</v>
      </c>
      <c r="AA99" s="73">
        <f t="shared" ref="AA99:AA130" si="43">ABS(Z99-Y99)</f>
        <v>23.293499999999998</v>
      </c>
      <c r="AB99" s="74" t="e">
        <f>VLOOKUP(A99,Enforcements!C98:J161,8,0)</f>
        <v>#N/A</v>
      </c>
      <c r="AC99" s="74" t="e">
        <f>VLOOKUP(A99,Enforcements!C98:E161,3,0)</f>
        <v>#N/A</v>
      </c>
    </row>
    <row r="100" spans="1:29" s="2" customFormat="1" x14ac:dyDescent="0.25">
      <c r="A100" s="60" t="s">
        <v>357</v>
      </c>
      <c r="B100" s="60">
        <v>4024</v>
      </c>
      <c r="C100" s="60" t="s">
        <v>62</v>
      </c>
      <c r="D100" s="60" t="s">
        <v>358</v>
      </c>
      <c r="E100" s="30">
        <v>42541.66196759259</v>
      </c>
      <c r="F100" s="30">
        <v>42541.663206018522</v>
      </c>
      <c r="G100" s="38">
        <v>1</v>
      </c>
      <c r="H100" s="30" t="s">
        <v>174</v>
      </c>
      <c r="I100" s="30">
        <v>42541.693645833337</v>
      </c>
      <c r="J100" s="60">
        <v>0</v>
      </c>
      <c r="K100" s="60" t="str">
        <f t="shared" si="35"/>
        <v>4023/4024</v>
      </c>
      <c r="L100" s="60" t="str">
        <f>VLOOKUP(A100,'Trips&amp;Operators'!$C$1:$E$10000,3,FALSE)</f>
        <v>STORY</v>
      </c>
      <c r="M100" s="12">
        <f t="shared" si="36"/>
        <v>3.0439814814599231E-2</v>
      </c>
      <c r="N100" s="13">
        <f t="shared" si="34"/>
        <v>43.833333333022892</v>
      </c>
      <c r="O100" s="13"/>
      <c r="P100" s="13"/>
      <c r="Q100" s="61"/>
      <c r="R100" s="61"/>
      <c r="S100" s="96">
        <f t="shared" si="32"/>
        <v>1</v>
      </c>
      <c r="T100" s="2" t="str">
        <f t="shared" si="37"/>
        <v>NorthBound</v>
      </c>
      <c r="U100" s="2">
        <f>COUNTIFS(Variables!$M$2:$M$13, "&gt;=" &amp; Y100, Variables!$M$2:$M$13, "&lt;=" &amp; Z100)</f>
        <v>12</v>
      </c>
      <c r="V100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15:52:14-0600',mode:absolute,to:'2016-06-20 16:39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0" s="73" t="str">
        <f t="shared" si="39"/>
        <v>N</v>
      </c>
      <c r="X100" s="73">
        <f t="shared" si="40"/>
        <v>1</v>
      </c>
      <c r="Y100" s="73">
        <f t="shared" si="41"/>
        <v>5.1999999999999998E-2</v>
      </c>
      <c r="Z100" s="73">
        <f t="shared" si="42"/>
        <v>23.331199999999999</v>
      </c>
      <c r="AA100" s="73">
        <f t="shared" si="43"/>
        <v>23.279199999999999</v>
      </c>
      <c r="AB100" s="74" t="e">
        <f>VLOOKUP(A100,Enforcements!C99:J162,8,0)</f>
        <v>#N/A</v>
      </c>
      <c r="AC100" s="74" t="e">
        <f>VLOOKUP(A100,Enforcements!C99:E162,3,0)</f>
        <v>#N/A</v>
      </c>
    </row>
    <row r="101" spans="1:29" s="2" customFormat="1" x14ac:dyDescent="0.25">
      <c r="A101" s="60" t="s">
        <v>359</v>
      </c>
      <c r="B101" s="60">
        <v>4023</v>
      </c>
      <c r="C101" s="60" t="s">
        <v>62</v>
      </c>
      <c r="D101" s="60" t="s">
        <v>360</v>
      </c>
      <c r="E101" s="30">
        <v>42541.699629629627</v>
      </c>
      <c r="F101" s="30">
        <v>42541.700520833336</v>
      </c>
      <c r="G101" s="38">
        <v>1</v>
      </c>
      <c r="H101" s="30" t="s">
        <v>361</v>
      </c>
      <c r="I101" s="30">
        <v>42541.733506944445</v>
      </c>
      <c r="J101" s="60">
        <v>1</v>
      </c>
      <c r="K101" s="60" t="str">
        <f t="shared" si="35"/>
        <v>4023/4024</v>
      </c>
      <c r="L101" s="60" t="str">
        <f>VLOOKUP(A101,'Trips&amp;Operators'!$C$1:$E$10000,3,FALSE)</f>
        <v>STORY</v>
      </c>
      <c r="M101" s="12">
        <f t="shared" si="36"/>
        <v>3.2986111109494232E-2</v>
      </c>
      <c r="N101" s="13">
        <f t="shared" si="34"/>
        <v>47.499999997671694</v>
      </c>
      <c r="O101" s="13"/>
      <c r="P101" s="13"/>
      <c r="Q101" s="61"/>
      <c r="R101" s="61"/>
      <c r="S101" s="96">
        <f t="shared" si="32"/>
        <v>1</v>
      </c>
      <c r="T101" s="2" t="str">
        <f t="shared" si="37"/>
        <v>Southbound</v>
      </c>
      <c r="U101" s="2">
        <f>COUNTIFS(Variables!$M$2:$M$13, "&lt;=" &amp; Y101, Variables!$M$2:$M$13, "&gt;=" &amp; Z101)</f>
        <v>12</v>
      </c>
      <c r="V101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16:46:28-0600',mode:absolute,to:'2016-06-20 17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1" s="73" t="str">
        <f t="shared" si="39"/>
        <v>N</v>
      </c>
      <c r="X101" s="73">
        <f t="shared" si="40"/>
        <v>1</v>
      </c>
      <c r="Y101" s="73">
        <f t="shared" si="41"/>
        <v>23.301100000000002</v>
      </c>
      <c r="Z101" s="73">
        <f t="shared" si="42"/>
        <v>2.5399999999999999E-2</v>
      </c>
      <c r="AA101" s="73">
        <f t="shared" si="43"/>
        <v>23.275700000000001</v>
      </c>
      <c r="AB101" s="74" t="e">
        <f>VLOOKUP(A101,Enforcements!C100:J163,8,0)</f>
        <v>#N/A</v>
      </c>
      <c r="AC101" s="74" t="e">
        <f>VLOOKUP(A101,Enforcements!C100:E163,3,0)</f>
        <v>#N/A</v>
      </c>
    </row>
    <row r="102" spans="1:29" s="2" customFormat="1" x14ac:dyDescent="0.25">
      <c r="A102" s="60" t="s">
        <v>362</v>
      </c>
      <c r="B102" s="60">
        <v>4042</v>
      </c>
      <c r="C102" s="60" t="s">
        <v>62</v>
      </c>
      <c r="D102" s="60" t="s">
        <v>363</v>
      </c>
      <c r="E102" s="30">
        <v>42541.676365740743</v>
      </c>
      <c r="F102" s="30">
        <v>42541.677673611113</v>
      </c>
      <c r="G102" s="38">
        <v>1</v>
      </c>
      <c r="H102" s="30" t="s">
        <v>147</v>
      </c>
      <c r="I102" s="30">
        <v>42541.706273148149</v>
      </c>
      <c r="J102" s="60">
        <v>0</v>
      </c>
      <c r="K102" s="60" t="str">
        <f t="shared" si="35"/>
        <v>4041/4042</v>
      </c>
      <c r="L102" s="60" t="str">
        <f>VLOOKUP(A102,'Trips&amp;Operators'!$C$1:$E$10000,3,FALSE)</f>
        <v>MOSES</v>
      </c>
      <c r="M102" s="12">
        <f t="shared" si="36"/>
        <v>2.8599537035916001E-2</v>
      </c>
      <c r="N102" s="13">
        <f t="shared" si="34"/>
        <v>41.183333331719041</v>
      </c>
      <c r="O102" s="13"/>
      <c r="P102" s="13"/>
      <c r="Q102" s="61"/>
      <c r="R102" s="61"/>
      <c r="S102" s="96">
        <f t="shared" si="32"/>
        <v>1</v>
      </c>
      <c r="T102" s="2" t="str">
        <f t="shared" si="37"/>
        <v>NorthBound</v>
      </c>
      <c r="U102" s="2">
        <f>COUNTIFS(Variables!$M$2:$M$13, "&gt;=" &amp; Y102, Variables!$M$2:$M$13, "&lt;=" &amp; Z102)</f>
        <v>12</v>
      </c>
      <c r="V102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16:12:58-0600',mode:absolute,to:'2016-06-20 16:58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2" s="73" t="str">
        <f t="shared" si="39"/>
        <v>N</v>
      </c>
      <c r="X102" s="73">
        <f t="shared" si="40"/>
        <v>1</v>
      </c>
      <c r="Y102" s="73">
        <f t="shared" si="41"/>
        <v>4.9099999999999998E-2</v>
      </c>
      <c r="Z102" s="73">
        <f t="shared" si="42"/>
        <v>23.3291</v>
      </c>
      <c r="AA102" s="73">
        <f t="shared" si="43"/>
        <v>23.28</v>
      </c>
      <c r="AB102" s="74" t="e">
        <f>VLOOKUP(A102,Enforcements!C101:J164,8,0)</f>
        <v>#N/A</v>
      </c>
      <c r="AC102" s="74" t="e">
        <f>VLOOKUP(A102,Enforcements!C101:E164,3,0)</f>
        <v>#N/A</v>
      </c>
    </row>
    <row r="103" spans="1:29" s="2" customFormat="1" x14ac:dyDescent="0.25">
      <c r="A103" s="60" t="s">
        <v>364</v>
      </c>
      <c r="B103" s="60">
        <v>4041</v>
      </c>
      <c r="C103" s="60" t="s">
        <v>62</v>
      </c>
      <c r="D103" s="60" t="s">
        <v>365</v>
      </c>
      <c r="E103" s="30">
        <v>42541.711608796293</v>
      </c>
      <c r="F103" s="30">
        <v>42541.713171296295</v>
      </c>
      <c r="G103" s="38">
        <v>2</v>
      </c>
      <c r="H103" s="30" t="s">
        <v>145</v>
      </c>
      <c r="I103" s="30">
        <v>42541.745625000003</v>
      </c>
      <c r="J103" s="60">
        <v>2</v>
      </c>
      <c r="K103" s="60" t="str">
        <f t="shared" si="35"/>
        <v>4041/4042</v>
      </c>
      <c r="L103" s="60" t="str">
        <f>VLOOKUP(A103,'Trips&amp;Operators'!$C$1:$E$10000,3,FALSE)</f>
        <v>MOSES</v>
      </c>
      <c r="M103" s="12">
        <f t="shared" si="36"/>
        <v>3.2453703708597459E-2</v>
      </c>
      <c r="N103" s="13">
        <f t="shared" si="34"/>
        <v>46.733333340380341</v>
      </c>
      <c r="O103" s="13"/>
      <c r="P103" s="13"/>
      <c r="Q103" s="61"/>
      <c r="R103" s="61"/>
      <c r="S103" s="96">
        <f t="shared" si="32"/>
        <v>1</v>
      </c>
      <c r="T103" s="2" t="str">
        <f t="shared" si="37"/>
        <v>Southbound</v>
      </c>
      <c r="U103" s="2">
        <f>COUNTIFS(Variables!$M$2:$M$13, "&lt;=" &amp; Y103, Variables!$M$2:$M$13, "&gt;=" &amp; Z103)</f>
        <v>12</v>
      </c>
      <c r="V103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17:03:43-0600',mode:absolute,to:'2016-06-20 17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3" s="73" t="str">
        <f t="shared" si="39"/>
        <v>N</v>
      </c>
      <c r="X103" s="73">
        <f t="shared" si="40"/>
        <v>1</v>
      </c>
      <c r="Y103" s="73">
        <f t="shared" si="41"/>
        <v>23.296099999999999</v>
      </c>
      <c r="Z103" s="73">
        <f t="shared" si="42"/>
        <v>1.6299999999999999E-2</v>
      </c>
      <c r="AA103" s="73">
        <f t="shared" si="43"/>
        <v>23.279799999999998</v>
      </c>
      <c r="AB103" s="74" t="e">
        <f>VLOOKUP(A103,Enforcements!C102:J165,8,0)</f>
        <v>#N/A</v>
      </c>
      <c r="AC103" s="74" t="e">
        <f>VLOOKUP(A103,Enforcements!C102:E165,3,0)</f>
        <v>#N/A</v>
      </c>
    </row>
    <row r="104" spans="1:29" s="2" customFormat="1" x14ac:dyDescent="0.25">
      <c r="A104" s="60" t="s">
        <v>366</v>
      </c>
      <c r="B104" s="60">
        <v>4007</v>
      </c>
      <c r="C104" s="60" t="s">
        <v>62</v>
      </c>
      <c r="D104" s="60" t="s">
        <v>105</v>
      </c>
      <c r="E104" s="30">
        <v>42541.683946759258</v>
      </c>
      <c r="F104" s="30">
        <v>42541.684918981482</v>
      </c>
      <c r="G104" s="38">
        <v>1</v>
      </c>
      <c r="H104" s="30" t="s">
        <v>172</v>
      </c>
      <c r="I104" s="30">
        <v>42541.714560185188</v>
      </c>
      <c r="J104" s="60">
        <v>1</v>
      </c>
      <c r="K104" s="60" t="str">
        <f t="shared" si="35"/>
        <v>4007/4008</v>
      </c>
      <c r="L104" s="60" t="str">
        <f>VLOOKUP(A104,'Trips&amp;Operators'!$C$1:$E$10000,3,FALSE)</f>
        <v>HELVIE</v>
      </c>
      <c r="M104" s="12">
        <f t="shared" si="36"/>
        <v>2.9641203705978114E-2</v>
      </c>
      <c r="N104" s="13">
        <f t="shared" si="34"/>
        <v>42.683333336608484</v>
      </c>
      <c r="O104" s="13"/>
      <c r="P104" s="13"/>
      <c r="Q104" s="61"/>
      <c r="R104" s="61"/>
      <c r="S104" s="96">
        <f t="shared" si="32"/>
        <v>1</v>
      </c>
      <c r="T104" s="2" t="str">
        <f t="shared" si="37"/>
        <v>NorthBound</v>
      </c>
      <c r="U104" s="2">
        <f>COUNTIFS(Variables!$M$2:$M$13, "&gt;=" &amp; Y104, Variables!$M$2:$M$13, "&lt;=" &amp; Z104)</f>
        <v>12</v>
      </c>
      <c r="V104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16:23:53-0600',mode:absolute,to:'2016-06-20 17:09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04" s="73" t="str">
        <f t="shared" si="39"/>
        <v>N</v>
      </c>
      <c r="X104" s="73">
        <f t="shared" si="40"/>
        <v>1</v>
      </c>
      <c r="Y104" s="73">
        <f t="shared" si="41"/>
        <v>4.6399999999999997E-2</v>
      </c>
      <c r="Z104" s="73">
        <f t="shared" si="42"/>
        <v>23.329799999999999</v>
      </c>
      <c r="AA104" s="73">
        <f t="shared" si="43"/>
        <v>23.2834</v>
      </c>
      <c r="AB104" s="74" t="e">
        <f>VLOOKUP(A104,Enforcements!C103:J166,8,0)</f>
        <v>#N/A</v>
      </c>
      <c r="AC104" s="74" t="e">
        <f>VLOOKUP(A104,Enforcements!C103:E166,3,0)</f>
        <v>#N/A</v>
      </c>
    </row>
    <row r="105" spans="1:29" s="2" customFormat="1" x14ac:dyDescent="0.25">
      <c r="A105" s="60" t="s">
        <v>367</v>
      </c>
      <c r="B105" s="60">
        <v>4008</v>
      </c>
      <c r="C105" s="60" t="s">
        <v>62</v>
      </c>
      <c r="D105" s="60" t="s">
        <v>368</v>
      </c>
      <c r="E105" s="30">
        <v>42541.720405092594</v>
      </c>
      <c r="F105" s="30">
        <v>42541.721701388888</v>
      </c>
      <c r="G105" s="38">
        <v>1</v>
      </c>
      <c r="H105" s="30" t="s">
        <v>145</v>
      </c>
      <c r="I105" s="30">
        <v>42541.755057870374</v>
      </c>
      <c r="J105" s="60">
        <v>1</v>
      </c>
      <c r="K105" s="60" t="str">
        <f t="shared" si="35"/>
        <v>4007/4008</v>
      </c>
      <c r="L105" s="60" t="str">
        <f>VLOOKUP(A105,'Trips&amp;Operators'!$C$1:$E$10000,3,FALSE)</f>
        <v>HELVIE</v>
      </c>
      <c r="M105" s="12">
        <f t="shared" si="36"/>
        <v>3.3356481486407574E-2</v>
      </c>
      <c r="N105" s="13">
        <f t="shared" si="34"/>
        <v>48.033333340426907</v>
      </c>
      <c r="O105" s="13"/>
      <c r="P105" s="13"/>
      <c r="Q105" s="61"/>
      <c r="R105" s="61"/>
      <c r="S105" s="96">
        <f t="shared" si="32"/>
        <v>1</v>
      </c>
      <c r="T105" s="2" t="str">
        <f t="shared" si="37"/>
        <v>Southbound</v>
      </c>
      <c r="U105" s="2">
        <f>COUNTIFS(Variables!$M$2:$M$13, "&lt;=" &amp; Y105, Variables!$M$2:$M$13, "&gt;=" &amp; Z105)</f>
        <v>12</v>
      </c>
      <c r="V105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17:16:23-0600',mode:absolute,to:'2016-06-20 18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05" s="73" t="str">
        <f t="shared" si="39"/>
        <v>N</v>
      </c>
      <c r="X105" s="73">
        <f t="shared" si="40"/>
        <v>1</v>
      </c>
      <c r="Y105" s="73">
        <f t="shared" si="41"/>
        <v>23.297000000000001</v>
      </c>
      <c r="Z105" s="73">
        <f t="shared" si="42"/>
        <v>1.6299999999999999E-2</v>
      </c>
      <c r="AA105" s="73">
        <f t="shared" si="43"/>
        <v>23.2807</v>
      </c>
      <c r="AB105" s="74" t="e">
        <f>VLOOKUP(A105,Enforcements!C104:J167,8,0)</f>
        <v>#N/A</v>
      </c>
      <c r="AC105" s="74" t="e">
        <f>VLOOKUP(A105,Enforcements!C104:E167,3,0)</f>
        <v>#N/A</v>
      </c>
    </row>
    <row r="106" spans="1:29" s="2" customFormat="1" x14ac:dyDescent="0.25">
      <c r="A106" s="60" t="s">
        <v>369</v>
      </c>
      <c r="B106" s="60">
        <v>4025</v>
      </c>
      <c r="C106" s="60" t="s">
        <v>62</v>
      </c>
      <c r="D106" s="60" t="s">
        <v>370</v>
      </c>
      <c r="E106" s="30">
        <v>42541.693865740737</v>
      </c>
      <c r="F106" s="30">
        <v>42541.694826388892</v>
      </c>
      <c r="G106" s="38">
        <v>1</v>
      </c>
      <c r="H106" s="30" t="s">
        <v>371</v>
      </c>
      <c r="I106" s="30">
        <v>42541.724687499998</v>
      </c>
      <c r="J106" s="60">
        <v>0</v>
      </c>
      <c r="K106" s="60" t="str">
        <f t="shared" si="35"/>
        <v>4025/4026</v>
      </c>
      <c r="L106" s="60" t="str">
        <f>VLOOKUP(A106,'Trips&amp;Operators'!$C$1:$E$10000,3,FALSE)</f>
        <v>MAELZER</v>
      </c>
      <c r="M106" s="12">
        <f t="shared" si="36"/>
        <v>2.9861111106583849E-2</v>
      </c>
      <c r="N106" s="13">
        <f t="shared" si="34"/>
        <v>42.999999993480742</v>
      </c>
      <c r="O106" s="13"/>
      <c r="P106" s="13"/>
      <c r="Q106" s="61"/>
      <c r="R106" s="61"/>
      <c r="S106" s="96">
        <f t="shared" si="32"/>
        <v>1</v>
      </c>
      <c r="T106" s="2" t="str">
        <f t="shared" si="37"/>
        <v>NorthBound</v>
      </c>
      <c r="U106" s="2">
        <f>COUNTIFS(Variables!$M$2:$M$13, "&gt;=" &amp; Y106, Variables!$M$2:$M$13, "&lt;=" &amp; Z106)</f>
        <v>12</v>
      </c>
      <c r="V106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16:38:10-0600',mode:absolute,to:'2016-06-20 17:24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6" s="73" t="str">
        <f t="shared" si="39"/>
        <v>N</v>
      </c>
      <c r="X106" s="73">
        <f t="shared" si="40"/>
        <v>1</v>
      </c>
      <c r="Y106" s="73">
        <f t="shared" si="41"/>
        <v>4.7699999999999999E-2</v>
      </c>
      <c r="Z106" s="73">
        <f t="shared" si="42"/>
        <v>23.332799999999999</v>
      </c>
      <c r="AA106" s="73">
        <f t="shared" si="43"/>
        <v>23.2851</v>
      </c>
      <c r="AB106" s="74" t="e">
        <f>VLOOKUP(A106,Enforcements!C105:J168,8,0)</f>
        <v>#N/A</v>
      </c>
      <c r="AC106" s="74" t="e">
        <f>VLOOKUP(A106,Enforcements!C105:E168,3,0)</f>
        <v>#N/A</v>
      </c>
    </row>
    <row r="107" spans="1:29" s="2" customFormat="1" x14ac:dyDescent="0.25">
      <c r="A107" s="60" t="s">
        <v>372</v>
      </c>
      <c r="B107" s="60">
        <v>4026</v>
      </c>
      <c r="C107" s="60" t="s">
        <v>62</v>
      </c>
      <c r="D107" s="60" t="s">
        <v>188</v>
      </c>
      <c r="E107" s="30">
        <v>42541.732152777775</v>
      </c>
      <c r="F107" s="30">
        <v>42541.733275462961</v>
      </c>
      <c r="G107" s="38">
        <v>1</v>
      </c>
      <c r="H107" s="30" t="s">
        <v>373</v>
      </c>
      <c r="I107" s="30">
        <v>42541.767592592594</v>
      </c>
      <c r="J107" s="60">
        <v>1</v>
      </c>
      <c r="K107" s="60" t="str">
        <f t="shared" si="35"/>
        <v>4025/4026</v>
      </c>
      <c r="L107" s="60" t="str">
        <f>VLOOKUP(A107,'Trips&amp;Operators'!$C$1:$E$10000,3,FALSE)</f>
        <v>MAELZER</v>
      </c>
      <c r="M107" s="12">
        <f t="shared" si="36"/>
        <v>3.4317129633564036E-2</v>
      </c>
      <c r="N107" s="13">
        <f t="shared" si="34"/>
        <v>49.416666672332212</v>
      </c>
      <c r="O107" s="13"/>
      <c r="P107" s="13"/>
      <c r="Q107" s="61"/>
      <c r="R107" s="61"/>
      <c r="S107" s="96">
        <f t="shared" si="32"/>
        <v>1</v>
      </c>
      <c r="T107" s="2" t="str">
        <f t="shared" si="37"/>
        <v>Southbound</v>
      </c>
      <c r="U107" s="2">
        <f>COUNTIFS(Variables!$M$2:$M$13, "&lt;=" &amp; Y107, Variables!$M$2:$M$13, "&gt;=" &amp; Z107)</f>
        <v>12</v>
      </c>
      <c r="V107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17:33:18-0600',mode:absolute,to:'2016-06-20 18:26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7" s="73" t="str">
        <f t="shared" si="39"/>
        <v>N</v>
      </c>
      <c r="X107" s="73">
        <f t="shared" si="40"/>
        <v>1</v>
      </c>
      <c r="Y107" s="73">
        <f t="shared" si="41"/>
        <v>23.301500000000001</v>
      </c>
      <c r="Z107" s="73">
        <f t="shared" si="42"/>
        <v>1.89E-2</v>
      </c>
      <c r="AA107" s="73">
        <f t="shared" si="43"/>
        <v>23.282600000000002</v>
      </c>
      <c r="AB107" s="74" t="e">
        <f>VLOOKUP(A107,Enforcements!C106:J169,8,0)</f>
        <v>#N/A</v>
      </c>
      <c r="AC107" s="74" t="e">
        <f>VLOOKUP(A107,Enforcements!C106:E169,3,0)</f>
        <v>#N/A</v>
      </c>
    </row>
    <row r="108" spans="1:29" s="2" customFormat="1" x14ac:dyDescent="0.25">
      <c r="A108" s="60" t="s">
        <v>374</v>
      </c>
      <c r="B108" s="60">
        <v>4018</v>
      </c>
      <c r="C108" s="60" t="s">
        <v>62</v>
      </c>
      <c r="D108" s="60" t="s">
        <v>97</v>
      </c>
      <c r="E108" s="30">
        <v>42541.702777777777</v>
      </c>
      <c r="F108" s="30">
        <v>42541.703958333332</v>
      </c>
      <c r="G108" s="38">
        <v>1</v>
      </c>
      <c r="H108" s="30" t="s">
        <v>375</v>
      </c>
      <c r="I108" s="30">
        <v>42541.733946759261</v>
      </c>
      <c r="J108" s="60">
        <v>1</v>
      </c>
      <c r="K108" s="60" t="str">
        <f t="shared" si="35"/>
        <v>4017/4018</v>
      </c>
      <c r="L108" s="60" t="str">
        <f>VLOOKUP(A108,'Trips&amp;Operators'!$C$1:$E$10000,3,FALSE)</f>
        <v>LOCKLEAR</v>
      </c>
      <c r="M108" s="12">
        <f t="shared" si="36"/>
        <v>2.9988425929332152E-2</v>
      </c>
      <c r="N108" s="13">
        <f t="shared" si="34"/>
        <v>43.183333338238299</v>
      </c>
      <c r="O108" s="13"/>
      <c r="P108" s="13"/>
      <c r="Q108" s="61"/>
      <c r="R108" s="61"/>
      <c r="S108" s="96">
        <f t="shared" si="32"/>
        <v>1</v>
      </c>
      <c r="T108" s="2" t="str">
        <f t="shared" si="37"/>
        <v>NorthBound</v>
      </c>
      <c r="U108" s="2">
        <f>COUNTIFS(Variables!$M$2:$M$13, "&gt;=" &amp; Y108, Variables!$M$2:$M$13, "&lt;=" &amp; Z108)</f>
        <v>12</v>
      </c>
      <c r="V108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16:51:00-0600',mode:absolute,to:'2016-06-20 17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8" s="73" t="str">
        <f t="shared" si="39"/>
        <v>N</v>
      </c>
      <c r="X108" s="73">
        <f t="shared" si="40"/>
        <v>1</v>
      </c>
      <c r="Y108" s="73">
        <f t="shared" si="41"/>
        <v>4.58E-2</v>
      </c>
      <c r="Z108" s="73">
        <f t="shared" si="42"/>
        <v>23.334399999999999</v>
      </c>
      <c r="AA108" s="73">
        <f t="shared" si="43"/>
        <v>23.288599999999999</v>
      </c>
      <c r="AB108" s="74" t="e">
        <f>VLOOKUP(A108,Enforcements!C107:J170,8,0)</f>
        <v>#N/A</v>
      </c>
      <c r="AC108" s="74" t="e">
        <f>VLOOKUP(A108,Enforcements!C107:E170,3,0)</f>
        <v>#N/A</v>
      </c>
    </row>
    <row r="109" spans="1:29" s="2" customFormat="1" x14ac:dyDescent="0.25">
      <c r="A109" s="60" t="s">
        <v>376</v>
      </c>
      <c r="B109" s="60">
        <v>4017</v>
      </c>
      <c r="C109" s="60" t="s">
        <v>62</v>
      </c>
      <c r="D109" s="60" t="s">
        <v>377</v>
      </c>
      <c r="E109" s="30">
        <v>42541.742858796293</v>
      </c>
      <c r="F109" s="30">
        <v>42541.744155092594</v>
      </c>
      <c r="G109" s="38">
        <v>1</v>
      </c>
      <c r="H109" s="30" t="s">
        <v>84</v>
      </c>
      <c r="I109" s="30">
        <v>42541.7731712963</v>
      </c>
      <c r="J109" s="60">
        <v>0</v>
      </c>
      <c r="K109" s="60" t="str">
        <f t="shared" si="35"/>
        <v>4017/4018</v>
      </c>
      <c r="L109" s="60" t="str">
        <f>VLOOKUP(A109,'Trips&amp;Operators'!$C$1:$E$10000,3,FALSE)</f>
        <v>LOCKLEAR</v>
      </c>
      <c r="M109" s="12">
        <f t="shared" si="36"/>
        <v>2.9016203705396038E-2</v>
      </c>
      <c r="N109" s="13">
        <f t="shared" si="34"/>
        <v>41.783333335770294</v>
      </c>
      <c r="O109" s="13"/>
      <c r="P109" s="13"/>
      <c r="Q109" s="61"/>
      <c r="R109" s="61"/>
      <c r="S109" s="96">
        <f t="shared" si="32"/>
        <v>1</v>
      </c>
      <c r="T109" s="2" t="str">
        <f t="shared" si="37"/>
        <v>Southbound</v>
      </c>
      <c r="U109" s="2">
        <f>COUNTIFS(Variables!$M$2:$M$13, "&lt;=" &amp; Y109, Variables!$M$2:$M$13, "&gt;=" &amp; Z109)</f>
        <v>12</v>
      </c>
      <c r="V109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17:48:43-0600',mode:absolute,to:'2016-06-20 18:34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9" s="73" t="str">
        <f t="shared" si="39"/>
        <v>N</v>
      </c>
      <c r="X109" s="73">
        <f t="shared" si="40"/>
        <v>1</v>
      </c>
      <c r="Y109" s="73">
        <f t="shared" si="41"/>
        <v>23.302700000000002</v>
      </c>
      <c r="Z109" s="73">
        <f t="shared" si="42"/>
        <v>1.5599999999999999E-2</v>
      </c>
      <c r="AA109" s="73">
        <f t="shared" si="43"/>
        <v>23.287100000000002</v>
      </c>
      <c r="AB109" s="74" t="e">
        <f>VLOOKUP(A109,Enforcements!C108:J171,8,0)</f>
        <v>#N/A</v>
      </c>
      <c r="AC109" s="74" t="e">
        <f>VLOOKUP(A109,Enforcements!C108:E171,3,0)</f>
        <v>#N/A</v>
      </c>
    </row>
    <row r="110" spans="1:29" s="2" customFormat="1" x14ac:dyDescent="0.25">
      <c r="A110" s="60" t="s">
        <v>378</v>
      </c>
      <c r="B110" s="60">
        <v>4029</v>
      </c>
      <c r="C110" s="60" t="s">
        <v>62</v>
      </c>
      <c r="D110" s="60" t="s">
        <v>105</v>
      </c>
      <c r="E110" s="30">
        <v>42541.716898148145</v>
      </c>
      <c r="F110" s="30">
        <v>42541.717962962961</v>
      </c>
      <c r="G110" s="38">
        <v>1</v>
      </c>
      <c r="H110" s="30" t="s">
        <v>170</v>
      </c>
      <c r="I110" s="30">
        <v>42541.747199074074</v>
      </c>
      <c r="J110" s="60">
        <v>0</v>
      </c>
      <c r="K110" s="60" t="str">
        <f t="shared" si="35"/>
        <v>4029/4030</v>
      </c>
      <c r="L110" s="60" t="str">
        <f>VLOOKUP(A110,'Trips&amp;Operators'!$C$1:$E$10000,3,FALSE)</f>
        <v>YOUNG</v>
      </c>
      <c r="M110" s="12">
        <f t="shared" si="36"/>
        <v>2.923611111327773E-2</v>
      </c>
      <c r="N110" s="13">
        <f t="shared" si="34"/>
        <v>42.100000003119931</v>
      </c>
      <c r="O110" s="13"/>
      <c r="P110" s="13"/>
      <c r="Q110" s="61"/>
      <c r="R110" s="61"/>
      <c r="S110" s="96">
        <f t="shared" si="32"/>
        <v>1</v>
      </c>
      <c r="T110" s="2" t="str">
        <f t="shared" si="37"/>
        <v>NorthBound</v>
      </c>
      <c r="U110" s="2">
        <f>COUNTIFS(Variables!$M$2:$M$13, "&gt;=" &amp; Y110, Variables!$M$2:$M$13, "&lt;=" &amp; Z110)</f>
        <v>12</v>
      </c>
      <c r="V110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17:11:20-0600',mode:absolute,to:'2016-06-20 17:56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0" s="73" t="str">
        <f t="shared" si="39"/>
        <v>N</v>
      </c>
      <c r="X110" s="73">
        <f t="shared" si="40"/>
        <v>1</v>
      </c>
      <c r="Y110" s="73">
        <f t="shared" si="41"/>
        <v>4.6399999999999997E-2</v>
      </c>
      <c r="Z110" s="73">
        <f t="shared" si="42"/>
        <v>23.331399999999999</v>
      </c>
      <c r="AA110" s="73">
        <f t="shared" si="43"/>
        <v>23.285</v>
      </c>
      <c r="AB110" s="74" t="e">
        <f>VLOOKUP(A110,Enforcements!C109:J172,8,0)</f>
        <v>#N/A</v>
      </c>
      <c r="AC110" s="74" t="e">
        <f>VLOOKUP(A110,Enforcements!C109:E172,3,0)</f>
        <v>#N/A</v>
      </c>
    </row>
    <row r="111" spans="1:29" s="2" customFormat="1" x14ac:dyDescent="0.25">
      <c r="A111" s="60" t="s">
        <v>379</v>
      </c>
      <c r="B111" s="60">
        <v>4030</v>
      </c>
      <c r="C111" s="60" t="s">
        <v>62</v>
      </c>
      <c r="D111" s="60" t="s">
        <v>380</v>
      </c>
      <c r="E111" s="30">
        <v>42541.751030092593</v>
      </c>
      <c r="F111" s="30">
        <v>42541.752199074072</v>
      </c>
      <c r="G111" s="38">
        <v>1</v>
      </c>
      <c r="H111" s="30" t="s">
        <v>73</v>
      </c>
      <c r="I111" s="30">
        <v>42541.787962962961</v>
      </c>
      <c r="J111" s="60">
        <v>0</v>
      </c>
      <c r="K111" s="60" t="str">
        <f t="shared" si="35"/>
        <v>4029/4030</v>
      </c>
      <c r="L111" s="60" t="str">
        <f>VLOOKUP(A111,'Trips&amp;Operators'!$C$1:$E$10000,3,FALSE)</f>
        <v>YOUNG</v>
      </c>
      <c r="M111" s="12">
        <f t="shared" si="36"/>
        <v>3.5763888889050577E-2</v>
      </c>
      <c r="N111" s="13">
        <f t="shared" si="34"/>
        <v>51.500000000232831</v>
      </c>
      <c r="O111" s="13"/>
      <c r="P111" s="13"/>
      <c r="Q111" s="61"/>
      <c r="R111" s="61"/>
      <c r="S111" s="96">
        <f t="shared" si="32"/>
        <v>1</v>
      </c>
      <c r="T111" s="2" t="str">
        <f t="shared" si="37"/>
        <v>Southbound</v>
      </c>
      <c r="U111" s="2">
        <f>COUNTIFS(Variables!$M$2:$M$13, "&lt;=" &amp; Y111, Variables!$M$2:$M$13, "&gt;=" &amp; Z111)</f>
        <v>12</v>
      </c>
      <c r="V111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18:00:29-0600',mode:absolute,to:'2016-06-20 18:55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1" s="73" t="str">
        <f t="shared" si="39"/>
        <v>N</v>
      </c>
      <c r="X111" s="73">
        <f t="shared" si="40"/>
        <v>1</v>
      </c>
      <c r="Y111" s="73">
        <f t="shared" si="41"/>
        <v>23.300899999999999</v>
      </c>
      <c r="Z111" s="73">
        <f t="shared" si="42"/>
        <v>1.6E-2</v>
      </c>
      <c r="AA111" s="73">
        <f t="shared" si="43"/>
        <v>23.2849</v>
      </c>
      <c r="AB111" s="74" t="e">
        <f>VLOOKUP(A111,Enforcements!C110:J173,8,0)</f>
        <v>#N/A</v>
      </c>
      <c r="AC111" s="74" t="e">
        <f>VLOOKUP(A111,Enforcements!C110:E173,3,0)</f>
        <v>#N/A</v>
      </c>
    </row>
    <row r="112" spans="1:29" s="2" customFormat="1" x14ac:dyDescent="0.25">
      <c r="A112" s="60" t="s">
        <v>381</v>
      </c>
      <c r="B112" s="60">
        <v>4011</v>
      </c>
      <c r="C112" s="60" t="s">
        <v>62</v>
      </c>
      <c r="D112" s="60" t="s">
        <v>126</v>
      </c>
      <c r="E112" s="30">
        <v>42541.727106481485</v>
      </c>
      <c r="F112" s="30">
        <v>42541.728229166663</v>
      </c>
      <c r="G112" s="38">
        <v>1</v>
      </c>
      <c r="H112" s="30" t="s">
        <v>382</v>
      </c>
      <c r="I112" s="30">
        <v>42541.755370370367</v>
      </c>
      <c r="J112" s="60">
        <v>0</v>
      </c>
      <c r="K112" s="60" t="str">
        <f t="shared" si="35"/>
        <v>4011/4012</v>
      </c>
      <c r="L112" s="60" t="str">
        <f>VLOOKUP(A112,'Trips&amp;Operators'!$C$1:$E$10000,3,FALSE)</f>
        <v>LOZA</v>
      </c>
      <c r="M112" s="12">
        <f t="shared" si="36"/>
        <v>2.7141203703649808E-2</v>
      </c>
      <c r="N112" s="13">
        <f t="shared" si="34"/>
        <v>39.083333333255723</v>
      </c>
      <c r="O112" s="13"/>
      <c r="P112" s="13"/>
      <c r="Q112" s="61"/>
      <c r="R112" s="61"/>
      <c r="S112" s="96">
        <f t="shared" si="32"/>
        <v>1</v>
      </c>
      <c r="T112" s="2" t="str">
        <f t="shared" si="37"/>
        <v>NorthBound</v>
      </c>
      <c r="U112" s="2">
        <f>COUNTIFS(Variables!$M$2:$M$13, "&gt;=" &amp; Y112, Variables!$M$2:$M$13, "&lt;=" &amp; Z112)</f>
        <v>12</v>
      </c>
      <c r="V112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17:26:02-0600',mode:absolute,to:'2016-06-20 18:08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2" s="73" t="str">
        <f t="shared" si="39"/>
        <v>N</v>
      </c>
      <c r="X112" s="73">
        <f t="shared" si="40"/>
        <v>1</v>
      </c>
      <c r="Y112" s="73">
        <f t="shared" si="41"/>
        <v>4.4699999999999997E-2</v>
      </c>
      <c r="Z112" s="73">
        <f t="shared" si="42"/>
        <v>23.3355</v>
      </c>
      <c r="AA112" s="73">
        <f t="shared" si="43"/>
        <v>23.290800000000001</v>
      </c>
      <c r="AB112" s="74" t="e">
        <f>VLOOKUP(A112,Enforcements!C111:J174,8,0)</f>
        <v>#N/A</v>
      </c>
      <c r="AC112" s="74" t="e">
        <f>VLOOKUP(A112,Enforcements!C111:E174,3,0)</f>
        <v>#N/A</v>
      </c>
    </row>
    <row r="113" spans="1:29" s="2" customFormat="1" x14ac:dyDescent="0.25">
      <c r="A113" s="60" t="s">
        <v>383</v>
      </c>
      <c r="B113" s="60">
        <v>4012</v>
      </c>
      <c r="C113" s="60" t="s">
        <v>62</v>
      </c>
      <c r="D113" s="60" t="s">
        <v>384</v>
      </c>
      <c r="E113" s="30">
        <v>42541.764618055553</v>
      </c>
      <c r="F113" s="30">
        <v>42541.765775462962</v>
      </c>
      <c r="G113" s="38">
        <v>1</v>
      </c>
      <c r="H113" s="30" t="s">
        <v>149</v>
      </c>
      <c r="I113" s="30">
        <v>42541.797638888886</v>
      </c>
      <c r="J113" s="60">
        <v>0</v>
      </c>
      <c r="K113" s="60" t="str">
        <f t="shared" si="35"/>
        <v>4011/4012</v>
      </c>
      <c r="L113" s="60" t="str">
        <f>VLOOKUP(A113,'Trips&amp;Operators'!$C$1:$E$10000,3,FALSE)</f>
        <v>LOZA</v>
      </c>
      <c r="M113" s="12">
        <f t="shared" si="36"/>
        <v>3.1863425923802424E-2</v>
      </c>
      <c r="N113" s="13">
        <f t="shared" si="34"/>
        <v>45.883333330275491</v>
      </c>
      <c r="O113" s="13"/>
      <c r="P113" s="13"/>
      <c r="Q113" s="61"/>
      <c r="R113" s="61"/>
      <c r="S113" s="96">
        <f t="shared" si="32"/>
        <v>1</v>
      </c>
      <c r="T113" s="2" t="str">
        <f t="shared" si="37"/>
        <v>Southbound</v>
      </c>
      <c r="U113" s="2">
        <f>COUNTIFS(Variables!$M$2:$M$13, "&lt;=" &amp; Y113, Variables!$M$2:$M$13, "&gt;=" &amp; Z113)</f>
        <v>12</v>
      </c>
      <c r="V113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18:20:03-0600',mode:absolute,to:'2016-06-20 19:09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3" s="73" t="str">
        <f t="shared" si="39"/>
        <v>N</v>
      </c>
      <c r="X113" s="73">
        <f t="shared" si="40"/>
        <v>1</v>
      </c>
      <c r="Y113" s="73">
        <f t="shared" si="41"/>
        <v>23.302299999999999</v>
      </c>
      <c r="Z113" s="73">
        <f t="shared" si="42"/>
        <v>1.3899999999999999E-2</v>
      </c>
      <c r="AA113" s="73">
        <f t="shared" si="43"/>
        <v>23.288399999999999</v>
      </c>
      <c r="AB113" s="74" t="e">
        <f>VLOOKUP(A113,Enforcements!C112:J175,8,0)</f>
        <v>#N/A</v>
      </c>
      <c r="AC113" s="74" t="e">
        <f>VLOOKUP(A113,Enforcements!C112:E175,3,0)</f>
        <v>#N/A</v>
      </c>
    </row>
    <row r="114" spans="1:29" s="2" customFormat="1" x14ac:dyDescent="0.25">
      <c r="A114" s="60" t="s">
        <v>385</v>
      </c>
      <c r="B114" s="60">
        <v>4024</v>
      </c>
      <c r="C114" s="60" t="s">
        <v>62</v>
      </c>
      <c r="D114" s="60" t="s">
        <v>386</v>
      </c>
      <c r="E114" s="30">
        <v>42541.736261574071</v>
      </c>
      <c r="F114" s="30">
        <v>42541.739710648151</v>
      </c>
      <c r="G114" s="38">
        <v>4</v>
      </c>
      <c r="H114" s="30" t="s">
        <v>176</v>
      </c>
      <c r="I114" s="30">
        <v>42541.765023148146</v>
      </c>
      <c r="J114" s="60">
        <v>1</v>
      </c>
      <c r="K114" s="60" t="str">
        <f t="shared" si="35"/>
        <v>4023/4024</v>
      </c>
      <c r="L114" s="60" t="str">
        <f>VLOOKUP(A114,'Trips&amp;Operators'!$C$1:$E$10000,3,FALSE)</f>
        <v>COOLAHAN</v>
      </c>
      <c r="M114" s="12">
        <f t="shared" si="36"/>
        <v>2.5312499994470272E-2</v>
      </c>
      <c r="N114" s="13">
        <f t="shared" si="34"/>
        <v>36.449999992037192</v>
      </c>
      <c r="O114" s="13"/>
      <c r="P114" s="13"/>
      <c r="Q114" s="61"/>
      <c r="R114" s="61"/>
      <c r="S114" s="96">
        <f t="shared" si="32"/>
        <v>1</v>
      </c>
      <c r="T114" s="2" t="str">
        <f t="shared" si="37"/>
        <v>NorthBound</v>
      </c>
      <c r="U114" s="2">
        <f>COUNTIFS(Variables!$M$2:$M$13, "&gt;=" &amp; Y114, Variables!$M$2:$M$13, "&lt;=" &amp; Z114)</f>
        <v>12</v>
      </c>
      <c r="V114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17:39:13-0600',mode:absolute,to:'2016-06-20 18:22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4" s="73" t="str">
        <f t="shared" si="39"/>
        <v>N</v>
      </c>
      <c r="X114" s="73">
        <f t="shared" si="40"/>
        <v>1</v>
      </c>
      <c r="Y114" s="73">
        <f t="shared" si="41"/>
        <v>5.7000000000000002E-2</v>
      </c>
      <c r="Z114" s="73">
        <f t="shared" si="42"/>
        <v>23.3307</v>
      </c>
      <c r="AA114" s="73">
        <f t="shared" si="43"/>
        <v>23.273700000000002</v>
      </c>
      <c r="AB114" s="74" t="e">
        <f>VLOOKUP(A114,Enforcements!C113:J176,8,0)</f>
        <v>#N/A</v>
      </c>
      <c r="AC114" s="74" t="e">
        <f>VLOOKUP(A114,Enforcements!C113:E176,3,0)</f>
        <v>#N/A</v>
      </c>
    </row>
    <row r="115" spans="1:29" s="2" customFormat="1" x14ac:dyDescent="0.25">
      <c r="A115" s="60" t="s">
        <v>387</v>
      </c>
      <c r="B115" s="60">
        <v>4023</v>
      </c>
      <c r="C115" s="60" t="s">
        <v>62</v>
      </c>
      <c r="D115" s="60" t="s">
        <v>380</v>
      </c>
      <c r="E115" s="30">
        <v>42541.774884259263</v>
      </c>
      <c r="F115" s="30">
        <v>42541.776435185187</v>
      </c>
      <c r="G115" s="38">
        <v>2</v>
      </c>
      <c r="H115" s="30" t="s">
        <v>388</v>
      </c>
      <c r="I115" s="30">
        <v>42541.805034722223</v>
      </c>
      <c r="J115" s="60">
        <v>0</v>
      </c>
      <c r="K115" s="60" t="str">
        <f t="shared" si="35"/>
        <v>4023/4024</v>
      </c>
      <c r="L115" s="60" t="str">
        <f>VLOOKUP(A115,'Trips&amp;Operators'!$C$1:$E$10000,3,FALSE)</f>
        <v>COOLAHAN</v>
      </c>
      <c r="M115" s="12">
        <f t="shared" si="36"/>
        <v>2.8599537035916001E-2</v>
      </c>
      <c r="N115" s="13">
        <f t="shared" si="34"/>
        <v>41.183333331719041</v>
      </c>
      <c r="O115" s="13"/>
      <c r="P115" s="13"/>
      <c r="Q115" s="61"/>
      <c r="R115" s="61"/>
      <c r="S115" s="96">
        <f t="shared" si="32"/>
        <v>1</v>
      </c>
      <c r="T115" s="2" t="str">
        <f t="shared" si="37"/>
        <v>Southbound</v>
      </c>
      <c r="U115" s="2">
        <f>COUNTIFS(Variables!$M$2:$M$13, "&lt;=" &amp; Y115, Variables!$M$2:$M$13, "&gt;=" &amp; Z115)</f>
        <v>12</v>
      </c>
      <c r="V115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18:34:50-0600',mode:absolute,to:'2016-06-20 19:20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15" s="73" t="str">
        <f t="shared" si="39"/>
        <v>N</v>
      </c>
      <c r="X115" s="73">
        <f t="shared" si="40"/>
        <v>1</v>
      </c>
      <c r="Y115" s="73">
        <f t="shared" si="41"/>
        <v>23.300899999999999</v>
      </c>
      <c r="Z115" s="73">
        <f t="shared" si="42"/>
        <v>1.32E-2</v>
      </c>
      <c r="AA115" s="73">
        <f t="shared" si="43"/>
        <v>23.287699999999997</v>
      </c>
      <c r="AB115" s="74" t="e">
        <f>VLOOKUP(A115,Enforcements!C114:J177,8,0)</f>
        <v>#N/A</v>
      </c>
      <c r="AC115" s="74" t="e">
        <f>VLOOKUP(A115,Enforcements!C114:E177,3,0)</f>
        <v>#N/A</v>
      </c>
    </row>
    <row r="116" spans="1:29" s="2" customFormat="1" x14ac:dyDescent="0.25">
      <c r="A116" s="60" t="s">
        <v>389</v>
      </c>
      <c r="B116" s="60">
        <v>4042</v>
      </c>
      <c r="C116" s="60" t="s">
        <v>62</v>
      </c>
      <c r="D116" s="60" t="s">
        <v>390</v>
      </c>
      <c r="E116" s="30">
        <v>42541.74795138889</v>
      </c>
      <c r="F116" s="30">
        <v>42541.749074074076</v>
      </c>
      <c r="G116" s="38">
        <v>1</v>
      </c>
      <c r="H116" s="30" t="s">
        <v>391</v>
      </c>
      <c r="I116" s="30">
        <v>42541.778865740744</v>
      </c>
      <c r="J116" s="60">
        <v>0</v>
      </c>
      <c r="K116" s="60" t="str">
        <f t="shared" si="35"/>
        <v>4041/4042</v>
      </c>
      <c r="L116" s="60" t="str">
        <f>VLOOKUP(A116,'Trips&amp;Operators'!$C$1:$E$10000,3,FALSE)</f>
        <v>MOSES</v>
      </c>
      <c r="M116" s="12">
        <f t="shared" si="36"/>
        <v>2.9791666667733807E-2</v>
      </c>
      <c r="N116" s="13">
        <f t="shared" si="34"/>
        <v>42.900000001536682</v>
      </c>
      <c r="O116" s="13"/>
      <c r="P116" s="13"/>
      <c r="Q116" s="61"/>
      <c r="R116" s="61"/>
      <c r="S116" s="96">
        <f t="shared" si="32"/>
        <v>1</v>
      </c>
      <c r="T116" s="2" t="str">
        <f t="shared" si="37"/>
        <v>NorthBound</v>
      </c>
      <c r="U116" s="2">
        <f>COUNTIFS(Variables!$M$2:$M$13, "&gt;=" &amp; Y116, Variables!$M$2:$M$13, "&lt;=" &amp; Z116)</f>
        <v>12</v>
      </c>
      <c r="V116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17:56:03-0600',mode:absolute,to:'2016-06-20 18:42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6" s="73" t="str">
        <f t="shared" si="39"/>
        <v>N</v>
      </c>
      <c r="X116" s="73">
        <f t="shared" si="40"/>
        <v>1</v>
      </c>
      <c r="Y116" s="73">
        <f t="shared" si="41"/>
        <v>0.13150000000000001</v>
      </c>
      <c r="Z116" s="73">
        <f t="shared" si="42"/>
        <v>23.328700000000001</v>
      </c>
      <c r="AA116" s="73">
        <f t="shared" si="43"/>
        <v>23.197200000000002</v>
      </c>
      <c r="AB116" s="74" t="e">
        <f>VLOOKUP(A116,Enforcements!C115:J178,8,0)</f>
        <v>#N/A</v>
      </c>
      <c r="AC116" s="74" t="e">
        <f>VLOOKUP(A116,Enforcements!C115:E178,3,0)</f>
        <v>#N/A</v>
      </c>
    </row>
    <row r="117" spans="1:29" s="2" customFormat="1" x14ac:dyDescent="0.25">
      <c r="A117" s="60" t="s">
        <v>392</v>
      </c>
      <c r="B117" s="60">
        <v>4041</v>
      </c>
      <c r="C117" s="60" t="s">
        <v>62</v>
      </c>
      <c r="D117" s="60" t="s">
        <v>393</v>
      </c>
      <c r="E117" s="30">
        <v>42541.787789351853</v>
      </c>
      <c r="F117" s="30">
        <v>42541.788645833331</v>
      </c>
      <c r="G117" s="38">
        <v>1</v>
      </c>
      <c r="H117" s="30" t="s">
        <v>64</v>
      </c>
      <c r="I117" s="30">
        <v>42541.818101851852</v>
      </c>
      <c r="J117" s="60">
        <v>0</v>
      </c>
      <c r="K117" s="60" t="str">
        <f t="shared" si="35"/>
        <v>4041/4042</v>
      </c>
      <c r="L117" s="60" t="str">
        <f>VLOOKUP(A117,'Trips&amp;Operators'!$C$1:$E$10000,3,FALSE)</f>
        <v>MOSES</v>
      </c>
      <c r="M117" s="12">
        <f t="shared" si="36"/>
        <v>2.9456018521159422E-2</v>
      </c>
      <c r="N117" s="13">
        <f t="shared" si="34"/>
        <v>42.416666670469567</v>
      </c>
      <c r="O117" s="13"/>
      <c r="P117" s="13"/>
      <c r="Q117" s="61"/>
      <c r="R117" s="61"/>
      <c r="S117" s="96">
        <f t="shared" si="32"/>
        <v>1</v>
      </c>
      <c r="T117" s="2" t="str">
        <f t="shared" si="37"/>
        <v>Southbound</v>
      </c>
      <c r="U117" s="2">
        <f>COUNTIFS(Variables!$M$2:$M$13, "&lt;=" &amp; Y117, Variables!$M$2:$M$13, "&gt;=" &amp; Z117)</f>
        <v>12</v>
      </c>
      <c r="V117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18:53:25-0600',mode:absolute,to:'2016-06-20 19:39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7" s="73" t="str">
        <f t="shared" si="39"/>
        <v>N</v>
      </c>
      <c r="X117" s="73">
        <f t="shared" si="40"/>
        <v>1</v>
      </c>
      <c r="Y117" s="73">
        <f t="shared" si="41"/>
        <v>23.295999999999999</v>
      </c>
      <c r="Z117" s="73">
        <f t="shared" si="42"/>
        <v>1.52E-2</v>
      </c>
      <c r="AA117" s="73">
        <f t="shared" si="43"/>
        <v>23.280799999999999</v>
      </c>
      <c r="AB117" s="74" t="e">
        <f>VLOOKUP(A117,Enforcements!C116:J179,8,0)</f>
        <v>#N/A</v>
      </c>
      <c r="AC117" s="74" t="e">
        <f>VLOOKUP(A117,Enforcements!C116:E179,3,0)</f>
        <v>#N/A</v>
      </c>
    </row>
    <row r="118" spans="1:29" s="2" customFormat="1" x14ac:dyDescent="0.25">
      <c r="A118" s="60" t="s">
        <v>394</v>
      </c>
      <c r="B118" s="60">
        <v>4007</v>
      </c>
      <c r="C118" s="60" t="s">
        <v>62</v>
      </c>
      <c r="D118" s="60" t="s">
        <v>157</v>
      </c>
      <c r="E118" s="30">
        <v>42541.758819444447</v>
      </c>
      <c r="F118" s="30">
        <v>42541.760405092595</v>
      </c>
      <c r="G118" s="38">
        <v>2</v>
      </c>
      <c r="H118" s="30" t="s">
        <v>397</v>
      </c>
      <c r="I118" s="30">
        <v>42541.762442129628</v>
      </c>
      <c r="J118" s="60">
        <v>0</v>
      </c>
      <c r="K118" s="60" t="str">
        <f t="shared" si="35"/>
        <v>4007/4008</v>
      </c>
      <c r="L118" s="60" t="str">
        <f>VLOOKUP(A118,'Trips&amp;Operators'!$C$1:$E$10000,3,FALSE)</f>
        <v>BRUDER</v>
      </c>
      <c r="M118" s="12">
        <f t="shared" si="36"/>
        <v>2.0370370330056176E-3</v>
      </c>
      <c r="N118" s="13"/>
      <c r="O118" s="13"/>
      <c r="P118" s="13">
        <f>24*60*SUM($M118:$M119)</f>
        <v>42.883333320496604</v>
      </c>
      <c r="Q118" s="61"/>
      <c r="R118" s="61" t="s">
        <v>199</v>
      </c>
      <c r="S118" s="96">
        <f>SUM(U118:U119)/12</f>
        <v>1</v>
      </c>
      <c r="T118" s="2" t="str">
        <f t="shared" si="37"/>
        <v>NorthBound</v>
      </c>
      <c r="U118" s="2">
        <f>COUNTIFS(Variables!$M$2:$M$13, "&gt;=" &amp; Y118, Variables!$M$2:$M$13, "&lt;=" &amp; Z118)</f>
        <v>0</v>
      </c>
      <c r="V118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18:11:42-0600',mode:absolute,to:'2016-06-20 18:18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8" s="73" t="str">
        <f t="shared" si="39"/>
        <v>Y</v>
      </c>
      <c r="X118" s="73">
        <f t="shared" si="40"/>
        <v>1</v>
      </c>
      <c r="Y118" s="73">
        <f t="shared" si="41"/>
        <v>4.6699999999999998E-2</v>
      </c>
      <c r="Z118" s="73">
        <f t="shared" si="42"/>
        <v>0.60089999999999999</v>
      </c>
      <c r="AA118" s="73">
        <f t="shared" si="43"/>
        <v>0.55420000000000003</v>
      </c>
      <c r="AB118" s="74" t="e">
        <f>VLOOKUP(A118,Enforcements!C117:J180,8,0)</f>
        <v>#N/A</v>
      </c>
      <c r="AC118" s="74" t="e">
        <f>VLOOKUP(A118,Enforcements!C117:E180,3,0)</f>
        <v>#N/A</v>
      </c>
    </row>
    <row r="119" spans="1:29" s="2" customFormat="1" x14ac:dyDescent="0.25">
      <c r="A119" s="60" t="s">
        <v>394</v>
      </c>
      <c r="B119" s="60">
        <v>4007</v>
      </c>
      <c r="C119" s="60" t="s">
        <v>62</v>
      </c>
      <c r="D119" s="60" t="s">
        <v>395</v>
      </c>
      <c r="E119" s="30">
        <v>42541.764108796298</v>
      </c>
      <c r="F119" s="30">
        <v>42541.765046296299</v>
      </c>
      <c r="G119" s="38">
        <v>1</v>
      </c>
      <c r="H119" s="30" t="s">
        <v>396</v>
      </c>
      <c r="I119" s="30">
        <v>42541.79278935185</v>
      </c>
      <c r="J119" s="60">
        <v>0</v>
      </c>
      <c r="K119" s="60" t="str">
        <f t="shared" si="35"/>
        <v>4007/4008</v>
      </c>
      <c r="L119" s="60" t="str">
        <f>VLOOKUP(A119,'Trips&amp;Operators'!$C$1:$E$10000,3,FALSE)</f>
        <v>BRUDER</v>
      </c>
      <c r="M119" s="12">
        <f t="shared" si="36"/>
        <v>2.774305555067258E-2</v>
      </c>
      <c r="N119" s="13"/>
      <c r="O119" s="13"/>
      <c r="P119" s="13"/>
      <c r="Q119" s="61"/>
      <c r="R119" s="61"/>
      <c r="S119" s="96"/>
      <c r="T119" s="2" t="str">
        <f t="shared" si="37"/>
        <v>NorthBound</v>
      </c>
      <c r="U119" s="2">
        <f>COUNTIFS(Variables!$M$2:$M$13, "&gt;=" &amp; Y119, Variables!$M$2:$M$13, "&lt;=" &amp; Z119)</f>
        <v>12</v>
      </c>
      <c r="V119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18:19:19-0600',mode:absolute,to:'2016-06-20 19:02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9" s="73" t="str">
        <f t="shared" si="39"/>
        <v>Y</v>
      </c>
      <c r="X119" s="73">
        <f t="shared" si="40"/>
        <v>0</v>
      </c>
      <c r="Y119" s="73">
        <f t="shared" si="41"/>
        <v>1.9132</v>
      </c>
      <c r="Z119" s="73">
        <f t="shared" si="42"/>
        <v>23.331099999999999</v>
      </c>
      <c r="AA119" s="73">
        <f t="shared" si="43"/>
        <v>21.417899999999999</v>
      </c>
      <c r="AB119" s="74" t="e">
        <f>VLOOKUP(A119,Enforcements!C118:J181,8,0)</f>
        <v>#N/A</v>
      </c>
      <c r="AC119" s="74" t="e">
        <f>VLOOKUP(A119,Enforcements!C118:E181,3,0)</f>
        <v>#N/A</v>
      </c>
    </row>
    <row r="120" spans="1:29" s="2" customFormat="1" x14ac:dyDescent="0.25">
      <c r="A120" s="60" t="s">
        <v>398</v>
      </c>
      <c r="B120" s="60">
        <v>4008</v>
      </c>
      <c r="C120" s="60" t="s">
        <v>62</v>
      </c>
      <c r="D120" s="60" t="s">
        <v>135</v>
      </c>
      <c r="E120" s="30">
        <v>42541.795011574075</v>
      </c>
      <c r="F120" s="30">
        <v>42541.796574074076</v>
      </c>
      <c r="G120" s="38">
        <v>2</v>
      </c>
      <c r="H120" s="30" t="s">
        <v>63</v>
      </c>
      <c r="I120" s="30">
        <v>42541.833854166667</v>
      </c>
      <c r="J120" s="60">
        <v>0</v>
      </c>
      <c r="K120" s="60" t="str">
        <f t="shared" si="35"/>
        <v>4007/4008</v>
      </c>
      <c r="L120" s="60" t="str">
        <f>VLOOKUP(A120,'Trips&amp;Operators'!$C$1:$E$10000,3,FALSE)</f>
        <v>BRUDER</v>
      </c>
      <c r="M120" s="12">
        <f t="shared" si="36"/>
        <v>3.7280092590663116E-2</v>
      </c>
      <c r="N120" s="13">
        <f t="shared" ref="N120:N128" si="44">24*60*SUM($M120:$M120)</f>
        <v>53.683333330554888</v>
      </c>
      <c r="O120" s="13"/>
      <c r="P120" s="13"/>
      <c r="Q120" s="61"/>
      <c r="R120" s="61"/>
      <c r="S120" s="96">
        <f t="shared" si="32"/>
        <v>1</v>
      </c>
      <c r="T120" s="2" t="str">
        <f t="shared" si="37"/>
        <v>Southbound</v>
      </c>
      <c r="U120" s="2">
        <f>COUNTIFS(Variables!$M$2:$M$13, "&lt;=" &amp; Y120, Variables!$M$2:$M$13, "&gt;=" &amp; Z120)</f>
        <v>12</v>
      </c>
      <c r="V120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19:03:49-0600',mode:absolute,to:'2016-06-20 20:01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0" s="73" t="str">
        <f t="shared" si="39"/>
        <v>N</v>
      </c>
      <c r="X120" s="73">
        <f t="shared" si="40"/>
        <v>1</v>
      </c>
      <c r="Y120" s="73">
        <f t="shared" si="41"/>
        <v>23.297999999999998</v>
      </c>
      <c r="Z120" s="73">
        <f t="shared" si="42"/>
        <v>1.4500000000000001E-2</v>
      </c>
      <c r="AA120" s="73">
        <f t="shared" si="43"/>
        <v>23.283499999999997</v>
      </c>
      <c r="AB120" s="74" t="e">
        <f>VLOOKUP(A120,Enforcements!C119:J182,8,0)</f>
        <v>#N/A</v>
      </c>
      <c r="AC120" s="74" t="e">
        <f>VLOOKUP(A120,Enforcements!C119:E182,3,0)</f>
        <v>#N/A</v>
      </c>
    </row>
    <row r="121" spans="1:29" s="2" customFormat="1" x14ac:dyDescent="0.25">
      <c r="A121" s="60" t="s">
        <v>399</v>
      </c>
      <c r="B121" s="60">
        <v>4025</v>
      </c>
      <c r="C121" s="60" t="s">
        <v>62</v>
      </c>
      <c r="D121" s="60" t="s">
        <v>304</v>
      </c>
      <c r="E121" s="30">
        <v>42541.769733796296</v>
      </c>
      <c r="F121" s="30">
        <v>42541.770740740743</v>
      </c>
      <c r="G121" s="38">
        <v>1</v>
      </c>
      <c r="H121" s="30" t="s">
        <v>391</v>
      </c>
      <c r="I121" s="30">
        <v>42541.803969907407</v>
      </c>
      <c r="J121" s="60">
        <v>0</v>
      </c>
      <c r="K121" s="60" t="str">
        <f t="shared" si="35"/>
        <v>4025/4026</v>
      </c>
      <c r="L121" s="60" t="str">
        <f>VLOOKUP(A121,'Trips&amp;Operators'!$C$1:$E$10000,3,FALSE)</f>
        <v>BARTLETT</v>
      </c>
      <c r="M121" s="12">
        <f t="shared" si="36"/>
        <v>3.3229166663659271E-2</v>
      </c>
      <c r="N121" s="13">
        <f t="shared" si="44"/>
        <v>47.84999999566935</v>
      </c>
      <c r="O121" s="13"/>
      <c r="P121" s="13"/>
      <c r="Q121" s="61"/>
      <c r="R121" s="61"/>
      <c r="S121" s="96">
        <f t="shared" si="32"/>
        <v>1</v>
      </c>
      <c r="T121" s="2" t="str">
        <f t="shared" si="37"/>
        <v>NorthBound</v>
      </c>
      <c r="U121" s="2">
        <f>COUNTIFS(Variables!$M$2:$M$13, "&gt;=" &amp; Y121, Variables!$M$2:$M$13, "&lt;=" &amp; Z121)</f>
        <v>12</v>
      </c>
      <c r="V121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18:27:25-0600',mode:absolute,to:'2016-06-20 19:18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1" s="73" t="str">
        <f t="shared" si="39"/>
        <v>N</v>
      </c>
      <c r="X121" s="73">
        <f t="shared" si="40"/>
        <v>1</v>
      </c>
      <c r="Y121" s="73">
        <f t="shared" si="41"/>
        <v>4.8800000000000003E-2</v>
      </c>
      <c r="Z121" s="73">
        <f t="shared" si="42"/>
        <v>23.328700000000001</v>
      </c>
      <c r="AA121" s="73">
        <f t="shared" si="43"/>
        <v>23.279900000000001</v>
      </c>
      <c r="AB121" s="74" t="e">
        <f>VLOOKUP(A121,Enforcements!C120:J183,8,0)</f>
        <v>#N/A</v>
      </c>
      <c r="AC121" s="74" t="e">
        <f>VLOOKUP(A121,Enforcements!C120:E183,3,0)</f>
        <v>#N/A</v>
      </c>
    </row>
    <row r="122" spans="1:29" s="2" customFormat="1" x14ac:dyDescent="0.25">
      <c r="A122" s="60" t="s">
        <v>400</v>
      </c>
      <c r="B122" s="60">
        <v>4026</v>
      </c>
      <c r="C122" s="60" t="s">
        <v>62</v>
      </c>
      <c r="D122" s="60" t="s">
        <v>148</v>
      </c>
      <c r="E122" s="30">
        <v>42541.807638888888</v>
      </c>
      <c r="F122" s="30">
        <v>42541.808912037035</v>
      </c>
      <c r="G122" s="38">
        <v>1</v>
      </c>
      <c r="H122" s="30" t="s">
        <v>133</v>
      </c>
      <c r="I122" s="30">
        <v>42541.838634259257</v>
      </c>
      <c r="J122" s="60">
        <v>0</v>
      </c>
      <c r="K122" s="60" t="str">
        <f t="shared" si="35"/>
        <v>4025/4026</v>
      </c>
      <c r="L122" s="60" t="str">
        <f>VLOOKUP(A122,'Trips&amp;Operators'!$C$1:$E$10000,3,FALSE)</f>
        <v>BARTLETT</v>
      </c>
      <c r="M122" s="12">
        <f t="shared" si="36"/>
        <v>2.9722222221607808E-2</v>
      </c>
      <c r="N122" s="13">
        <f t="shared" si="44"/>
        <v>42.799999999115244</v>
      </c>
      <c r="O122" s="13"/>
      <c r="P122" s="13"/>
      <c r="Q122" s="61"/>
      <c r="R122" s="61"/>
      <c r="S122" s="96">
        <f t="shared" si="32"/>
        <v>1</v>
      </c>
      <c r="T122" s="2" t="str">
        <f t="shared" si="37"/>
        <v>Southbound</v>
      </c>
      <c r="U122" s="2">
        <f>COUNTIFS(Variables!$M$2:$M$13, "&lt;=" &amp; Y122, Variables!$M$2:$M$13, "&gt;=" &amp; Z122)</f>
        <v>12</v>
      </c>
      <c r="V122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19:22:00-0600',mode:absolute,to:'2016-06-20 20:08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2" s="73" t="str">
        <f t="shared" si="39"/>
        <v>N</v>
      </c>
      <c r="X122" s="73">
        <f t="shared" si="40"/>
        <v>1</v>
      </c>
      <c r="Y122" s="73">
        <f t="shared" si="41"/>
        <v>23.2974</v>
      </c>
      <c r="Z122" s="73">
        <f t="shared" si="42"/>
        <v>1.5800000000000002E-2</v>
      </c>
      <c r="AA122" s="73">
        <f t="shared" si="43"/>
        <v>23.281600000000001</v>
      </c>
      <c r="AB122" s="74" t="e">
        <f>VLOOKUP(A122,Enforcements!C121:J184,8,0)</f>
        <v>#N/A</v>
      </c>
      <c r="AC122" s="74" t="e">
        <f>VLOOKUP(A122,Enforcements!C121:E184,3,0)</f>
        <v>#N/A</v>
      </c>
    </row>
    <row r="123" spans="1:29" s="2" customFormat="1" x14ac:dyDescent="0.25">
      <c r="A123" s="60" t="s">
        <v>401</v>
      </c>
      <c r="B123" s="60">
        <v>4029</v>
      </c>
      <c r="C123" s="60" t="s">
        <v>62</v>
      </c>
      <c r="D123" s="60" t="s">
        <v>105</v>
      </c>
      <c r="E123" s="30">
        <v>42541.790671296294</v>
      </c>
      <c r="F123" s="30">
        <v>42541.792581018519</v>
      </c>
      <c r="G123" s="38">
        <v>2</v>
      </c>
      <c r="H123" s="30" t="s">
        <v>176</v>
      </c>
      <c r="I123" s="30">
        <v>42541.824687499997</v>
      </c>
      <c r="J123" s="60">
        <v>0</v>
      </c>
      <c r="K123" s="60" t="str">
        <f t="shared" si="35"/>
        <v>4029/4030</v>
      </c>
      <c r="L123" s="60" t="str">
        <f>VLOOKUP(A123,'Trips&amp;Operators'!$C$1:$E$10000,3,FALSE)</f>
        <v>YOUNG</v>
      </c>
      <c r="M123" s="12">
        <f t="shared" si="36"/>
        <v>3.2106481477967463E-2</v>
      </c>
      <c r="N123" s="13">
        <f t="shared" si="44"/>
        <v>46.233333328273147</v>
      </c>
      <c r="O123" s="13"/>
      <c r="P123" s="13"/>
      <c r="Q123" s="61"/>
      <c r="R123" s="61"/>
      <c r="S123" s="96">
        <f t="shared" si="32"/>
        <v>1</v>
      </c>
      <c r="T123" s="2" t="str">
        <f t="shared" si="37"/>
        <v>NorthBound</v>
      </c>
      <c r="U123" s="2">
        <f>COUNTIFS(Variables!$M$2:$M$13, "&gt;=" &amp; Y123, Variables!$M$2:$M$13, "&lt;=" &amp; Z123)</f>
        <v>12</v>
      </c>
      <c r="V123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18:57:34-0600',mode:absolute,to:'2016-06-20 19:48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3" s="73" t="str">
        <f t="shared" si="39"/>
        <v>N</v>
      </c>
      <c r="X123" s="73">
        <f t="shared" si="40"/>
        <v>1</v>
      </c>
      <c r="Y123" s="73">
        <f t="shared" si="41"/>
        <v>4.6399999999999997E-2</v>
      </c>
      <c r="Z123" s="73">
        <f t="shared" si="42"/>
        <v>23.3307</v>
      </c>
      <c r="AA123" s="73">
        <f t="shared" si="43"/>
        <v>23.284300000000002</v>
      </c>
      <c r="AB123" s="74" t="e">
        <f>VLOOKUP(A123,Enforcements!C122:J185,8,0)</f>
        <v>#N/A</v>
      </c>
      <c r="AC123" s="74" t="e">
        <f>VLOOKUP(A123,Enforcements!C122:E185,3,0)</f>
        <v>#N/A</v>
      </c>
    </row>
    <row r="124" spans="1:29" s="2" customFormat="1" x14ac:dyDescent="0.25">
      <c r="A124" s="60" t="s">
        <v>402</v>
      </c>
      <c r="B124" s="60">
        <v>4030</v>
      </c>
      <c r="C124" s="60" t="s">
        <v>62</v>
      </c>
      <c r="D124" s="60" t="s">
        <v>403</v>
      </c>
      <c r="E124" s="30">
        <v>42541.826678240737</v>
      </c>
      <c r="F124" s="30">
        <v>42541.827430555553</v>
      </c>
      <c r="G124" s="38">
        <v>1</v>
      </c>
      <c r="H124" s="30" t="s">
        <v>256</v>
      </c>
      <c r="I124" s="30">
        <v>42541.861087962963</v>
      </c>
      <c r="J124" s="60">
        <v>1</v>
      </c>
      <c r="K124" s="60" t="str">
        <f t="shared" si="35"/>
        <v>4029/4030</v>
      </c>
      <c r="L124" s="60" t="str">
        <f>VLOOKUP(A124,'Trips&amp;Operators'!$C$1:$E$10000,3,FALSE)</f>
        <v>YOUNG</v>
      </c>
      <c r="M124" s="12">
        <f t="shared" si="36"/>
        <v>3.365740740991896E-2</v>
      </c>
      <c r="N124" s="13">
        <f t="shared" si="44"/>
        <v>48.466666670283303</v>
      </c>
      <c r="O124" s="13"/>
      <c r="P124" s="13"/>
      <c r="Q124" s="61"/>
      <c r="R124" s="61"/>
      <c r="S124" s="96">
        <f t="shared" si="32"/>
        <v>1</v>
      </c>
      <c r="T124" s="2" t="str">
        <f t="shared" si="37"/>
        <v>Southbound</v>
      </c>
      <c r="U124" s="2">
        <f>COUNTIFS(Variables!$M$2:$M$13, "&lt;=" &amp; Y124, Variables!$M$2:$M$13, "&gt;=" &amp; Z124)</f>
        <v>12</v>
      </c>
      <c r="V124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19:49:25-0600',mode:absolute,to:'2016-06-20 20:40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4" s="73" t="str">
        <f t="shared" si="39"/>
        <v>N</v>
      </c>
      <c r="X124" s="73">
        <f t="shared" si="40"/>
        <v>1</v>
      </c>
      <c r="Y124" s="73">
        <f t="shared" si="41"/>
        <v>23.299199999999999</v>
      </c>
      <c r="Z124" s="73">
        <f t="shared" si="42"/>
        <v>1.6500000000000001E-2</v>
      </c>
      <c r="AA124" s="73">
        <f t="shared" si="43"/>
        <v>23.282699999999998</v>
      </c>
      <c r="AB124" s="74" t="e">
        <f>VLOOKUP(A124,Enforcements!C123:J186,8,0)</f>
        <v>#N/A</v>
      </c>
      <c r="AC124" s="74" t="e">
        <f>VLOOKUP(A124,Enforcements!C123:E186,3,0)</f>
        <v>#N/A</v>
      </c>
    </row>
    <row r="125" spans="1:29" s="2" customFormat="1" x14ac:dyDescent="0.25">
      <c r="A125" s="60" t="s">
        <v>404</v>
      </c>
      <c r="B125" s="60">
        <v>4024</v>
      </c>
      <c r="C125" s="60" t="s">
        <v>62</v>
      </c>
      <c r="D125" s="60" t="s">
        <v>405</v>
      </c>
      <c r="E125" s="30">
        <v>42541.80809027778</v>
      </c>
      <c r="F125" s="30">
        <v>42541.809166666666</v>
      </c>
      <c r="G125" s="38">
        <v>1</v>
      </c>
      <c r="H125" s="30" t="s">
        <v>158</v>
      </c>
      <c r="I125" s="30">
        <v>42541.839212962965</v>
      </c>
      <c r="J125" s="60">
        <v>0</v>
      </c>
      <c r="K125" s="60" t="str">
        <f t="shared" si="35"/>
        <v>4023/4024</v>
      </c>
      <c r="L125" s="60" t="str">
        <f>VLOOKUP(A125,'Trips&amp;Operators'!$C$1:$E$10000,3,FALSE)</f>
        <v>COOLAHAN</v>
      </c>
      <c r="M125" s="12">
        <f t="shared" si="36"/>
        <v>3.0046296298678499E-2</v>
      </c>
      <c r="N125" s="13">
        <f t="shared" si="44"/>
        <v>43.266666670097038</v>
      </c>
      <c r="O125" s="13"/>
      <c r="P125" s="13"/>
      <c r="Q125" s="61"/>
      <c r="R125" s="61"/>
      <c r="S125" s="96">
        <f t="shared" si="32"/>
        <v>1</v>
      </c>
      <c r="T125" s="2" t="str">
        <f t="shared" si="37"/>
        <v>NorthBound</v>
      </c>
      <c r="U125" s="2">
        <f>COUNTIFS(Variables!$M$2:$M$13, "&gt;=" &amp; Y125, Variables!$M$2:$M$13, "&lt;=" &amp; Z125)</f>
        <v>12</v>
      </c>
      <c r="V125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19:22:39-0600',mode:absolute,to:'2016-06-20 20:09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5" s="73" t="str">
        <f t="shared" si="39"/>
        <v>N</v>
      </c>
      <c r="X125" s="73">
        <f t="shared" si="40"/>
        <v>1</v>
      </c>
      <c r="Y125" s="73">
        <f t="shared" si="41"/>
        <v>4.1300000000000003E-2</v>
      </c>
      <c r="Z125" s="73">
        <f t="shared" si="42"/>
        <v>23.330300000000001</v>
      </c>
      <c r="AA125" s="73">
        <f t="shared" si="43"/>
        <v>23.289000000000001</v>
      </c>
      <c r="AB125" s="74" t="e">
        <f>VLOOKUP(A125,Enforcements!C124:J187,8,0)</f>
        <v>#N/A</v>
      </c>
      <c r="AC125" s="74" t="e">
        <f>VLOOKUP(A125,Enforcements!C124:E187,3,0)</f>
        <v>#N/A</v>
      </c>
    </row>
    <row r="126" spans="1:29" s="2" customFormat="1" x14ac:dyDescent="0.25">
      <c r="A126" s="60" t="s">
        <v>406</v>
      </c>
      <c r="B126" s="60">
        <v>4023</v>
      </c>
      <c r="C126" s="60" t="s">
        <v>62</v>
      </c>
      <c r="D126" s="60" t="s">
        <v>189</v>
      </c>
      <c r="E126" s="30">
        <v>42541.847361111111</v>
      </c>
      <c r="F126" s="30">
        <v>42541.848981481482</v>
      </c>
      <c r="G126" s="38">
        <v>2</v>
      </c>
      <c r="H126" s="30" t="s">
        <v>407</v>
      </c>
      <c r="I126" s="30">
        <v>42541.881249999999</v>
      </c>
      <c r="J126" s="60">
        <v>0</v>
      </c>
      <c r="K126" s="60" t="str">
        <f t="shared" si="35"/>
        <v>4023/4024</v>
      </c>
      <c r="L126" s="60" t="str">
        <f>VLOOKUP(A126,'Trips&amp;Operators'!$C$1:$E$10000,3,FALSE)</f>
        <v>COOLAHAN</v>
      </c>
      <c r="M126" s="12">
        <f t="shared" si="36"/>
        <v>3.2268518516502809E-2</v>
      </c>
      <c r="N126" s="13">
        <f t="shared" si="44"/>
        <v>46.466666663764045</v>
      </c>
      <c r="O126" s="13"/>
      <c r="P126" s="13"/>
      <c r="Q126" s="61"/>
      <c r="R126" s="61"/>
      <c r="S126" s="96">
        <f t="shared" si="32"/>
        <v>1</v>
      </c>
      <c r="T126" s="2" t="str">
        <f t="shared" si="37"/>
        <v>Southbound</v>
      </c>
      <c r="U126" s="2">
        <f>COUNTIFS(Variables!$M$2:$M$13, "&lt;=" &amp; Y126, Variables!$M$2:$M$13, "&gt;=" &amp; Z126)</f>
        <v>12</v>
      </c>
      <c r="V126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20:19:12-0600',mode:absolute,to:'2016-06-20 21:10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26" s="73" t="str">
        <f t="shared" si="39"/>
        <v>N</v>
      </c>
      <c r="X126" s="73">
        <f t="shared" si="40"/>
        <v>1</v>
      </c>
      <c r="Y126" s="73">
        <f t="shared" si="41"/>
        <v>23.2986</v>
      </c>
      <c r="Z126" s="73">
        <f t="shared" si="42"/>
        <v>0.11899999999999999</v>
      </c>
      <c r="AA126" s="73">
        <f t="shared" si="43"/>
        <v>23.179600000000001</v>
      </c>
      <c r="AB126" s="74" t="e">
        <f>VLOOKUP(A126,Enforcements!C125:J188,8,0)</f>
        <v>#N/A</v>
      </c>
      <c r="AC126" s="74" t="e">
        <f>VLOOKUP(A126,Enforcements!C125:E188,3,0)</f>
        <v>#N/A</v>
      </c>
    </row>
    <row r="127" spans="1:29" s="2" customFormat="1" x14ac:dyDescent="0.25">
      <c r="A127" s="60" t="s">
        <v>408</v>
      </c>
      <c r="B127" s="60">
        <v>4007</v>
      </c>
      <c r="C127" s="60" t="s">
        <v>62</v>
      </c>
      <c r="D127" s="60" t="s">
        <v>220</v>
      </c>
      <c r="E127" s="30">
        <v>42541.834988425922</v>
      </c>
      <c r="F127" s="30">
        <v>42541.836793981478</v>
      </c>
      <c r="G127" s="38">
        <v>2</v>
      </c>
      <c r="H127" s="30" t="s">
        <v>147</v>
      </c>
      <c r="I127" s="30">
        <v>42541.866226851853</v>
      </c>
      <c r="J127" s="60">
        <v>0</v>
      </c>
      <c r="K127" s="60" t="str">
        <f t="shared" si="35"/>
        <v>4007/4008</v>
      </c>
      <c r="L127" s="60" t="str">
        <f>VLOOKUP(A127,'Trips&amp;Operators'!$C$1:$E$10000,3,FALSE)</f>
        <v>BRUDER</v>
      </c>
      <c r="M127" s="12">
        <f t="shared" si="36"/>
        <v>2.9432870374876074E-2</v>
      </c>
      <c r="N127" s="13">
        <f t="shared" si="44"/>
        <v>42.383333339821547</v>
      </c>
      <c r="O127" s="13"/>
      <c r="P127" s="13"/>
      <c r="Q127" s="61"/>
      <c r="R127" s="61"/>
      <c r="S127" s="96">
        <f t="shared" si="32"/>
        <v>1</v>
      </c>
      <c r="T127" s="2" t="str">
        <f t="shared" si="37"/>
        <v>NorthBound</v>
      </c>
      <c r="U127" s="2">
        <f>COUNTIFS(Variables!$M$2:$M$13, "&gt;=" &amp; Y127, Variables!$M$2:$M$13, "&lt;=" &amp; Z127)</f>
        <v>12</v>
      </c>
      <c r="V127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20:01:23-0600',mode:absolute,to:'2016-06-20 20:48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7" s="73" t="str">
        <f t="shared" si="39"/>
        <v>N</v>
      </c>
      <c r="X127" s="73">
        <f t="shared" si="40"/>
        <v>1</v>
      </c>
      <c r="Y127" s="73">
        <f t="shared" si="41"/>
        <v>4.7800000000000002E-2</v>
      </c>
      <c r="Z127" s="73">
        <f t="shared" si="42"/>
        <v>23.3291</v>
      </c>
      <c r="AA127" s="73">
        <f t="shared" si="43"/>
        <v>23.281300000000002</v>
      </c>
      <c r="AB127" s="74" t="e">
        <f>VLOOKUP(A127,Enforcements!C126:J189,8,0)</f>
        <v>#N/A</v>
      </c>
      <c r="AC127" s="74" t="e">
        <f>VLOOKUP(A127,Enforcements!C126:E189,3,0)</f>
        <v>#N/A</v>
      </c>
    </row>
    <row r="128" spans="1:29" s="2" customFormat="1" x14ac:dyDescent="0.25">
      <c r="A128" s="60" t="s">
        <v>409</v>
      </c>
      <c r="B128" s="60">
        <v>4008</v>
      </c>
      <c r="C128" s="60" t="s">
        <v>62</v>
      </c>
      <c r="D128" s="60" t="s">
        <v>90</v>
      </c>
      <c r="E128" s="30">
        <v>42541.867407407408</v>
      </c>
      <c r="F128" s="30">
        <v>42541.868900462963</v>
      </c>
      <c r="G128" s="38">
        <v>2</v>
      </c>
      <c r="H128" s="30" t="s">
        <v>71</v>
      </c>
      <c r="I128" s="30">
        <v>42541.898530092592</v>
      </c>
      <c r="J128" s="60">
        <v>0</v>
      </c>
      <c r="K128" s="60" t="str">
        <f t="shared" si="35"/>
        <v>4007/4008</v>
      </c>
      <c r="L128" s="60" t="str">
        <f>VLOOKUP(A128,'Trips&amp;Operators'!$C$1:$E$10000,3,FALSE)</f>
        <v>BRUDER</v>
      </c>
      <c r="M128" s="12">
        <f t="shared" si="36"/>
        <v>2.9629629629198462E-2</v>
      </c>
      <c r="N128" s="13">
        <f t="shared" si="44"/>
        <v>42.666666666045785</v>
      </c>
      <c r="O128" s="13"/>
      <c r="P128" s="13"/>
      <c r="Q128" s="61"/>
      <c r="R128" s="61"/>
      <c r="S128" s="96">
        <f t="shared" si="32"/>
        <v>1</v>
      </c>
      <c r="T128" s="2" t="str">
        <f t="shared" si="37"/>
        <v>Southbound</v>
      </c>
      <c r="U128" s="2">
        <f>COUNTIFS(Variables!$M$2:$M$13, "&lt;=" &amp; Y128, Variables!$M$2:$M$13, "&gt;=" &amp; Z128)</f>
        <v>12</v>
      </c>
      <c r="V128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20:48:04-0600',mode:absolute,to:'2016-06-20 21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8" s="73" t="str">
        <f t="shared" si="39"/>
        <v>N</v>
      </c>
      <c r="X128" s="73">
        <f t="shared" si="40"/>
        <v>1</v>
      </c>
      <c r="Y128" s="73">
        <f t="shared" si="41"/>
        <v>23.297799999999999</v>
      </c>
      <c r="Z128" s="73">
        <f t="shared" si="42"/>
        <v>1.47E-2</v>
      </c>
      <c r="AA128" s="73">
        <f t="shared" si="43"/>
        <v>23.283099999999997</v>
      </c>
      <c r="AB128" s="74" t="e">
        <f>VLOOKUP(A128,Enforcements!C127:J190,8,0)</f>
        <v>#N/A</v>
      </c>
      <c r="AC128" s="74" t="e">
        <f>VLOOKUP(A128,Enforcements!C127:E190,3,0)</f>
        <v>#N/A</v>
      </c>
    </row>
    <row r="129" spans="1:29" s="2" customFormat="1" x14ac:dyDescent="0.25">
      <c r="A129" s="60" t="s">
        <v>410</v>
      </c>
      <c r="B129" s="60">
        <v>4025</v>
      </c>
      <c r="C129" s="60" t="s">
        <v>62</v>
      </c>
      <c r="D129" s="60" t="s">
        <v>411</v>
      </c>
      <c r="E129" s="30">
        <v>42541.858217592591</v>
      </c>
      <c r="F129" s="30">
        <v>42541.859768518516</v>
      </c>
      <c r="G129" s="38">
        <v>2</v>
      </c>
      <c r="H129" s="30" t="s">
        <v>125</v>
      </c>
      <c r="I129" s="30">
        <v>42541.888113425928</v>
      </c>
      <c r="J129" s="60">
        <v>0</v>
      </c>
      <c r="K129" s="60" t="str">
        <f t="shared" si="35"/>
        <v>4025/4026</v>
      </c>
      <c r="L129" s="60" t="str">
        <f>VLOOKUP(A129,'Trips&amp;Operators'!$C$1:$E$10000,3,FALSE)</f>
        <v>CHANDLER</v>
      </c>
      <c r="M129" s="12">
        <f t="shared" si="36"/>
        <v>2.8344907412247267E-2</v>
      </c>
      <c r="N129" s="13"/>
      <c r="O129" s="13"/>
      <c r="P129" s="13">
        <f>24*60*SUM($M129:$M129)</f>
        <v>40.816666673636064</v>
      </c>
      <c r="Q129" s="61"/>
      <c r="R129" s="61" t="s">
        <v>501</v>
      </c>
      <c r="S129" s="96">
        <f t="shared" si="32"/>
        <v>1</v>
      </c>
      <c r="T129" s="2" t="str">
        <f t="shared" si="37"/>
        <v>NorthBound</v>
      </c>
      <c r="U129" s="2">
        <f>COUNTIFS(Variables!$M$2:$M$13, "&gt;=" &amp; Y129, Variables!$M$2:$M$13, "&lt;=" &amp; Z129)</f>
        <v>12</v>
      </c>
      <c r="V129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20:34:50-0600',mode:absolute,to:'2016-06-20 21:19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9" s="73" t="str">
        <f t="shared" si="39"/>
        <v>Y</v>
      </c>
      <c r="X129" s="73">
        <f t="shared" si="40"/>
        <v>1</v>
      </c>
      <c r="Y129" s="73">
        <f t="shared" si="41"/>
        <v>1.9133</v>
      </c>
      <c r="Z129" s="73">
        <f t="shared" si="42"/>
        <v>23.329499999999999</v>
      </c>
      <c r="AA129" s="73">
        <f t="shared" si="43"/>
        <v>21.4162</v>
      </c>
      <c r="AB129" s="74" t="e">
        <f>VLOOKUP(A129,Enforcements!C128:J191,8,0)</f>
        <v>#N/A</v>
      </c>
      <c r="AC129" s="74" t="e">
        <f>VLOOKUP(A129,Enforcements!C128:E191,3,0)</f>
        <v>#N/A</v>
      </c>
    </row>
    <row r="130" spans="1:29" s="2" customFormat="1" x14ac:dyDescent="0.25">
      <c r="A130" s="60" t="s">
        <v>412</v>
      </c>
      <c r="B130" s="60">
        <v>4026</v>
      </c>
      <c r="C130" s="60" t="s">
        <v>62</v>
      </c>
      <c r="D130" s="60" t="s">
        <v>255</v>
      </c>
      <c r="E130" s="30">
        <v>42541.892974537041</v>
      </c>
      <c r="F130" s="30">
        <v>42541.894409722219</v>
      </c>
      <c r="G130" s="38">
        <v>2</v>
      </c>
      <c r="H130" s="30" t="s">
        <v>84</v>
      </c>
      <c r="I130" s="30">
        <v>42541.924537037034</v>
      </c>
      <c r="J130" s="60">
        <v>0</v>
      </c>
      <c r="K130" s="60" t="str">
        <f t="shared" si="35"/>
        <v>4025/4026</v>
      </c>
      <c r="L130" s="60" t="str">
        <f>VLOOKUP(A130,'Trips&amp;Operators'!$C$1:$E$10000,3,FALSE)</f>
        <v>CHANDLER</v>
      </c>
      <c r="M130" s="12">
        <f t="shared" si="36"/>
        <v>3.0127314814308193E-2</v>
      </c>
      <c r="N130" s="13">
        <f>24*60*SUM($M130:$M130)</f>
        <v>43.383333332603797</v>
      </c>
      <c r="O130" s="13"/>
      <c r="P130" s="13"/>
      <c r="Q130" s="61"/>
      <c r="R130" s="61"/>
      <c r="S130" s="96">
        <f t="shared" si="32"/>
        <v>1</v>
      </c>
      <c r="T130" s="2" t="str">
        <f t="shared" si="37"/>
        <v>Southbound</v>
      </c>
      <c r="U130" s="2">
        <f>COUNTIFS(Variables!$M$2:$M$13, "&lt;=" &amp; Y130, Variables!$M$2:$M$13, "&gt;=" &amp; Z130)</f>
        <v>12</v>
      </c>
      <c r="V130" s="73" t="str">
        <f t="shared" si="38"/>
        <v>https://search-rtdc-monitor-bjffxe2xuh6vdkpspy63sjmuny.us-east-1.es.amazonaws.com/_plugin/kibana/#/discover/Steve-Slow-Train-Analysis-(2080s-and-2083s)?_g=(refreshInterval:(display:Off,section:0,value:0),time:(from:'2016-06-20 21:24:53-0600',mode:absolute,to:'2016-06-20 22:12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0" s="73" t="str">
        <f t="shared" si="39"/>
        <v>N</v>
      </c>
      <c r="X130" s="73">
        <f t="shared" si="40"/>
        <v>1</v>
      </c>
      <c r="Y130" s="73">
        <f t="shared" si="41"/>
        <v>23.296500000000002</v>
      </c>
      <c r="Z130" s="73">
        <f t="shared" si="42"/>
        <v>1.5599999999999999E-2</v>
      </c>
      <c r="AA130" s="73">
        <f t="shared" si="43"/>
        <v>23.280900000000003</v>
      </c>
      <c r="AB130" s="74" t="e">
        <f>VLOOKUP(A130,Enforcements!C129:J192,8,0)</f>
        <v>#N/A</v>
      </c>
      <c r="AC130" s="74" t="e">
        <f>VLOOKUP(A130,Enforcements!C129:E192,3,0)</f>
        <v>#N/A</v>
      </c>
    </row>
    <row r="131" spans="1:29" s="2" customFormat="1" x14ac:dyDescent="0.25">
      <c r="A131" s="60" t="s">
        <v>413</v>
      </c>
      <c r="B131" s="60">
        <v>4029</v>
      </c>
      <c r="C131" s="60" t="s">
        <v>62</v>
      </c>
      <c r="D131" s="60" t="s">
        <v>220</v>
      </c>
      <c r="E131" s="30">
        <v>42541.867766203701</v>
      </c>
      <c r="F131" s="30">
        <v>42541.869120370371</v>
      </c>
      <c r="G131" s="38">
        <v>1</v>
      </c>
      <c r="H131" s="30" t="s">
        <v>414</v>
      </c>
      <c r="I131" s="30">
        <v>42541.890474537038</v>
      </c>
      <c r="J131" s="60">
        <v>0</v>
      </c>
      <c r="K131" s="60" t="str">
        <f t="shared" ref="K131:K146" si="45">IF(ISEVEN(B131),(B131-1)&amp;"/"&amp;B131,B131&amp;"/"&amp;(B131+1))</f>
        <v>4029/4030</v>
      </c>
      <c r="L131" s="60" t="str">
        <f>VLOOKUP(A131,'Trips&amp;Operators'!$C$1:$E$10000,3,FALSE)</f>
        <v>YOUNG</v>
      </c>
      <c r="M131" s="12">
        <f t="shared" ref="M131:M146" si="46">I131-F131</f>
        <v>2.1354166667151731E-2</v>
      </c>
      <c r="N131" s="13"/>
      <c r="O131" s="13"/>
      <c r="P131" s="13">
        <f>24*60*SUM($M131:$M131)</f>
        <v>30.750000000698492</v>
      </c>
      <c r="Q131" s="61"/>
      <c r="R131" s="61" t="s">
        <v>198</v>
      </c>
      <c r="S131" s="96">
        <f t="shared" si="32"/>
        <v>0.83333333333333337</v>
      </c>
      <c r="T131" s="2" t="str">
        <f t="shared" ref="T131:T146" si="47">IF(ISEVEN(LEFT(A131,3)),"Southbound","NorthBound")</f>
        <v>NorthBound</v>
      </c>
      <c r="U131" s="2">
        <f>COUNTIFS(Variables!$M$2:$M$13, "&gt;=" &amp; Y131, Variables!$M$2:$M$13, "&lt;=" &amp; Z131)</f>
        <v>10</v>
      </c>
      <c r="V131" s="73" t="str">
        <f t="shared" ref="V131:V146" si="48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https://search-rtdc-monitor-bjffxe2xuh6vdkpspy63sjmuny.us-east-1.es.amazonaws.com/_plugin/kibana/#/discover/Steve-Slow-Train-Analysis-(2080s-and-2083s)?_g=(refreshInterval:(display:Off,section:0,value:0),time:(from:'2016-06-20 20:48:35-0600',mode:absolute,to:'2016-06-20 21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1" s="73" t="str">
        <f t="shared" ref="W131:W146" si="49">IF(AA131&lt;23,"Y","N")</f>
        <v>Y</v>
      </c>
      <c r="X131" s="73">
        <f t="shared" ref="X131:X146" si="50">VALUE(LEFT(A131,3))-VALUE(LEFT(A130,3))</f>
        <v>1</v>
      </c>
      <c r="Y131" s="73">
        <f t="shared" ref="Y131:Y146" si="51">RIGHT(D131,LEN(D131)-4)/10000</f>
        <v>4.7800000000000002E-2</v>
      </c>
      <c r="Z131" s="73">
        <f t="shared" ref="Z131:Z146" si="52">RIGHT(H131,LEN(H131)-4)/10000</f>
        <v>9.9426000000000005</v>
      </c>
      <c r="AA131" s="73">
        <f t="shared" ref="AA131:AA146" si="53">ABS(Z131-Y131)</f>
        <v>9.8948</v>
      </c>
      <c r="AB131" s="74" t="e">
        <f>VLOOKUP(A131,Enforcements!C130:J193,8,0)</f>
        <v>#N/A</v>
      </c>
      <c r="AC131" s="74" t="e">
        <f>VLOOKUP(A131,Enforcements!C130:E193,3,0)</f>
        <v>#N/A</v>
      </c>
    </row>
    <row r="132" spans="1:29" s="2" customFormat="1" x14ac:dyDescent="0.25">
      <c r="A132" s="60" t="s">
        <v>415</v>
      </c>
      <c r="B132" s="60">
        <v>4030</v>
      </c>
      <c r="C132" s="60" t="s">
        <v>62</v>
      </c>
      <c r="D132" s="60" t="s">
        <v>143</v>
      </c>
      <c r="E132" s="30">
        <v>42541.909849537034</v>
      </c>
      <c r="F132" s="30">
        <v>42541.910624999997</v>
      </c>
      <c r="G132" s="38">
        <v>1</v>
      </c>
      <c r="H132" s="30" t="s">
        <v>85</v>
      </c>
      <c r="I132" s="30">
        <v>42541.943541666667</v>
      </c>
      <c r="J132" s="60">
        <v>0</v>
      </c>
      <c r="K132" s="60" t="str">
        <f t="shared" si="45"/>
        <v>4029/4030</v>
      </c>
      <c r="L132" s="60" t="str">
        <f>VLOOKUP(A132,'Trips&amp;Operators'!$C$1:$E$10000,3,FALSE)</f>
        <v>YOUNG</v>
      </c>
      <c r="M132" s="12">
        <f t="shared" si="46"/>
        <v>3.291666667064419E-2</v>
      </c>
      <c r="N132" s="13">
        <f t="shared" ref="N132:N146" si="54">24*60*SUM($M132:$M132)</f>
        <v>47.400000005727634</v>
      </c>
      <c r="O132" s="13"/>
      <c r="P132" s="13"/>
      <c r="Q132" s="61"/>
      <c r="R132" s="61"/>
      <c r="S132" s="96">
        <f t="shared" ref="S132:S146" si="55">SUM(U132:U132)/12</f>
        <v>1</v>
      </c>
      <c r="T132" s="2" t="str">
        <f t="shared" si="47"/>
        <v>Southbound</v>
      </c>
      <c r="U132" s="2">
        <f>COUNTIFS(Variables!$M$2:$M$13, "&lt;=" &amp; Y132, Variables!$M$2:$M$13, "&gt;=" &amp; Z132)</f>
        <v>12</v>
      </c>
      <c r="V132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https://search-rtdc-monitor-bjffxe2xuh6vdkpspy63sjmuny.us-east-1.es.amazonaws.com/_plugin/kibana/#/discover/Steve-Slow-Train-Analysis-(2080s-and-2083s)?_g=(refreshInterval:(display:Off,section:0,value:0),time:(from:'2016-06-20 21:49:11-0600',mode:absolute,to:'2016-06-20 22:39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2" s="73" t="str">
        <f t="shared" si="49"/>
        <v>N</v>
      </c>
      <c r="X132" s="73">
        <f t="shared" si="50"/>
        <v>1</v>
      </c>
      <c r="Y132" s="73">
        <f t="shared" si="51"/>
        <v>23.299800000000001</v>
      </c>
      <c r="Z132" s="73">
        <f t="shared" si="52"/>
        <v>1.49E-2</v>
      </c>
      <c r="AA132" s="73">
        <f t="shared" si="53"/>
        <v>23.2849</v>
      </c>
      <c r="AB132" s="74" t="e">
        <f>VLOOKUP(A132,Enforcements!C131:J194,8,0)</f>
        <v>#N/A</v>
      </c>
      <c r="AC132" s="74" t="e">
        <f>VLOOKUP(A132,Enforcements!C131:E194,3,0)</f>
        <v>#N/A</v>
      </c>
    </row>
    <row r="133" spans="1:29" s="2" customFormat="1" x14ac:dyDescent="0.25">
      <c r="A133" s="60" t="s">
        <v>416</v>
      </c>
      <c r="B133" s="60">
        <v>4044</v>
      </c>
      <c r="C133" s="60" t="s">
        <v>62</v>
      </c>
      <c r="D133" s="60" t="s">
        <v>267</v>
      </c>
      <c r="E133" s="30">
        <v>42541.891759259262</v>
      </c>
      <c r="F133" s="30">
        <v>42541.893750000003</v>
      </c>
      <c r="G133" s="38">
        <v>2</v>
      </c>
      <c r="H133" s="30" t="s">
        <v>134</v>
      </c>
      <c r="I133" s="30">
        <v>42541.921932870369</v>
      </c>
      <c r="J133" s="60">
        <v>0</v>
      </c>
      <c r="K133" s="60" t="str">
        <f t="shared" si="45"/>
        <v>4043/4044</v>
      </c>
      <c r="L133" s="60" t="str">
        <f>VLOOKUP(A133,'Trips&amp;Operators'!$C$1:$E$10000,3,FALSE)</f>
        <v>COOLAHAN</v>
      </c>
      <c r="M133" s="12">
        <f t="shared" si="46"/>
        <v>2.8182870366435964E-2</v>
      </c>
      <c r="N133" s="13">
        <f t="shared" si="54"/>
        <v>40.583333327667788</v>
      </c>
      <c r="O133" s="13"/>
      <c r="P133" s="13"/>
      <c r="Q133" s="61"/>
      <c r="R133" s="61"/>
      <c r="S133" s="96">
        <f t="shared" si="55"/>
        <v>1</v>
      </c>
      <c r="T133" s="2" t="str">
        <f t="shared" si="47"/>
        <v>NorthBound</v>
      </c>
      <c r="U133" s="2">
        <f>COUNTIFS(Variables!$M$2:$M$13, "&gt;=" &amp; Y133, Variables!$M$2:$M$13, "&lt;=" &amp; Z133)</f>
        <v>12</v>
      </c>
      <c r="V133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https://search-rtdc-monitor-bjffxe2xuh6vdkpspy63sjmuny.us-east-1.es.amazonaws.com/_plugin/kibana/#/discover/Steve-Slow-Train-Analysis-(2080s-and-2083s)?_g=(refreshInterval:(display:Off,section:0,value:0),time:(from:'2016-06-20 21:23:08-0600',mode:absolute,to:'2016-06-20 22:08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3" s="73" t="str">
        <f t="shared" si="49"/>
        <v>N</v>
      </c>
      <c r="X133" s="73">
        <f t="shared" si="50"/>
        <v>1</v>
      </c>
      <c r="Y133" s="73">
        <f t="shared" si="51"/>
        <v>4.5100000000000001E-2</v>
      </c>
      <c r="Z133" s="73">
        <f t="shared" si="52"/>
        <v>23.3309</v>
      </c>
      <c r="AA133" s="73">
        <f t="shared" si="53"/>
        <v>23.285799999999998</v>
      </c>
      <c r="AB133" s="74" t="e">
        <f>VLOOKUP(A133,Enforcements!C132:J195,8,0)</f>
        <v>#N/A</v>
      </c>
      <c r="AC133" s="74" t="e">
        <f>VLOOKUP(A133,Enforcements!C132:E195,3,0)</f>
        <v>#N/A</v>
      </c>
    </row>
    <row r="134" spans="1:29" s="2" customFormat="1" x14ac:dyDescent="0.25">
      <c r="A134" s="60" t="s">
        <v>417</v>
      </c>
      <c r="B134" s="60">
        <v>4043</v>
      </c>
      <c r="C134" s="60" t="s">
        <v>62</v>
      </c>
      <c r="D134" s="60" t="s">
        <v>65</v>
      </c>
      <c r="E134" s="30">
        <v>42541.931400462963</v>
      </c>
      <c r="F134" s="30">
        <v>42541.932812500003</v>
      </c>
      <c r="G134" s="38">
        <v>2</v>
      </c>
      <c r="H134" s="30" t="s">
        <v>181</v>
      </c>
      <c r="I134" s="30">
        <v>42541.961423611108</v>
      </c>
      <c r="J134" s="60">
        <v>0</v>
      </c>
      <c r="K134" s="60" t="str">
        <f t="shared" si="45"/>
        <v>4043/4044</v>
      </c>
      <c r="L134" s="60" t="str">
        <f>VLOOKUP(A134,'Trips&amp;Operators'!$C$1:$E$10000,3,FALSE)</f>
        <v>COOLAHAN</v>
      </c>
      <c r="M134" s="12">
        <f t="shared" si="46"/>
        <v>2.8611111105419695E-2</v>
      </c>
      <c r="N134" s="13">
        <f t="shared" si="54"/>
        <v>41.199999991804361</v>
      </c>
      <c r="O134" s="13"/>
      <c r="P134" s="13"/>
      <c r="Q134" s="61"/>
      <c r="R134" s="61"/>
      <c r="S134" s="96">
        <f t="shared" si="55"/>
        <v>1</v>
      </c>
      <c r="T134" s="2" t="str">
        <f t="shared" si="47"/>
        <v>Southbound</v>
      </c>
      <c r="U134" s="2">
        <f>COUNTIFS(Variables!$M$2:$M$13, "&lt;=" &amp; Y134, Variables!$M$2:$M$13, "&gt;=" &amp; Z134)</f>
        <v>12</v>
      </c>
      <c r="V134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https://search-rtdc-monitor-bjffxe2xuh6vdkpspy63sjmuny.us-east-1.es.amazonaws.com/_plugin/kibana/#/discover/Steve-Slow-Train-Analysis-(2080s-and-2083s)?_g=(refreshInterval:(display:Off,section:0,value:0),time:(from:'2016-06-20 22:20:13-0600',mode:absolute,to:'2016-06-20 23:05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4" s="73" t="str">
        <f t="shared" si="49"/>
        <v>N</v>
      </c>
      <c r="X134" s="73">
        <f t="shared" si="50"/>
        <v>1</v>
      </c>
      <c r="Y134" s="73">
        <f t="shared" si="51"/>
        <v>23.299399999999999</v>
      </c>
      <c r="Z134" s="73">
        <f t="shared" si="52"/>
        <v>1.43E-2</v>
      </c>
      <c r="AA134" s="73">
        <f t="shared" si="53"/>
        <v>23.2851</v>
      </c>
      <c r="AB134" s="74" t="e">
        <f>VLOOKUP(A134,Enforcements!C133:J196,8,0)</f>
        <v>#N/A</v>
      </c>
      <c r="AC134" s="74" t="e">
        <f>VLOOKUP(A134,Enforcements!C133:E196,3,0)</f>
        <v>#N/A</v>
      </c>
    </row>
    <row r="135" spans="1:29" s="2" customFormat="1" x14ac:dyDescent="0.25">
      <c r="A135" s="60" t="s">
        <v>418</v>
      </c>
      <c r="B135" s="60">
        <v>4007</v>
      </c>
      <c r="C135" s="60" t="s">
        <v>62</v>
      </c>
      <c r="D135" s="60" t="s">
        <v>74</v>
      </c>
      <c r="E135" s="30">
        <v>42541.910821759258</v>
      </c>
      <c r="F135" s="30">
        <v>42541.911712962959</v>
      </c>
      <c r="G135" s="38">
        <v>1</v>
      </c>
      <c r="H135" s="30" t="s">
        <v>94</v>
      </c>
      <c r="I135" s="30">
        <v>42541.949236111112</v>
      </c>
      <c r="J135" s="60">
        <v>1</v>
      </c>
      <c r="K135" s="60" t="str">
        <f t="shared" si="45"/>
        <v>4007/4008</v>
      </c>
      <c r="L135" s="60" t="str">
        <f>VLOOKUP(A135,'Trips&amp;Operators'!$C$1:$E$10000,3,FALSE)</f>
        <v>BRUDER</v>
      </c>
      <c r="M135" s="12">
        <f t="shared" si="46"/>
        <v>3.7523148152104113E-2</v>
      </c>
      <c r="N135" s="13">
        <f t="shared" si="54"/>
        <v>54.033333339029923</v>
      </c>
      <c r="O135" s="13"/>
      <c r="P135" s="13"/>
      <c r="Q135" s="61"/>
      <c r="R135" s="61"/>
      <c r="S135" s="96">
        <f t="shared" si="55"/>
        <v>1</v>
      </c>
      <c r="T135" s="2" t="str">
        <f t="shared" si="47"/>
        <v>NorthBound</v>
      </c>
      <c r="U135" s="2">
        <f>COUNTIFS(Variables!$M$2:$M$13, "&gt;=" &amp; Y135, Variables!$M$2:$M$13, "&lt;=" &amp; Z135)</f>
        <v>12</v>
      </c>
      <c r="V135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https://search-rtdc-monitor-bjffxe2xuh6vdkpspy63sjmuny.us-east-1.es.amazonaws.com/_plugin/kibana/#/discover/Steve-Slow-Train-Analysis-(2080s-and-2083s)?_g=(refreshInterval:(display:Off,section:0,value:0),time:(from:'2016-06-20 21:50:35-0600',mode:absolute,to:'2016-06-20 22:47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5" s="73" t="str">
        <f t="shared" si="49"/>
        <v>N</v>
      </c>
      <c r="X135" s="73">
        <f t="shared" si="50"/>
        <v>1</v>
      </c>
      <c r="Y135" s="73">
        <f t="shared" si="51"/>
        <v>4.5999999999999999E-2</v>
      </c>
      <c r="Z135" s="73">
        <f t="shared" si="52"/>
        <v>23.329899999999999</v>
      </c>
      <c r="AA135" s="73">
        <f t="shared" si="53"/>
        <v>23.283899999999999</v>
      </c>
      <c r="AB135" s="74" t="e">
        <f>VLOOKUP(A135,Enforcements!C134:J197,8,0)</f>
        <v>#N/A</v>
      </c>
      <c r="AC135" s="74" t="e">
        <f>VLOOKUP(A135,Enforcements!C134:E197,3,0)</f>
        <v>#N/A</v>
      </c>
    </row>
    <row r="136" spans="1:29" s="2" customFormat="1" x14ac:dyDescent="0.25">
      <c r="A136" s="60" t="s">
        <v>419</v>
      </c>
      <c r="B136" s="60">
        <v>4008</v>
      </c>
      <c r="C136" s="60" t="s">
        <v>62</v>
      </c>
      <c r="D136" s="60" t="s">
        <v>135</v>
      </c>
      <c r="E136" s="30">
        <v>42541.950601851851</v>
      </c>
      <c r="F136" s="30">
        <v>42541.951458333337</v>
      </c>
      <c r="G136" s="38">
        <v>1</v>
      </c>
      <c r="H136" s="30" t="s">
        <v>118</v>
      </c>
      <c r="I136" s="30">
        <v>42541.983067129629</v>
      </c>
      <c r="J136" s="60">
        <v>0</v>
      </c>
      <c r="K136" s="60" t="str">
        <f t="shared" si="45"/>
        <v>4007/4008</v>
      </c>
      <c r="L136" s="60" t="str">
        <f>VLOOKUP(A136,'Trips&amp;Operators'!$C$1:$E$10000,3,FALSE)</f>
        <v>BRUDER</v>
      </c>
      <c r="M136" s="12">
        <f t="shared" si="46"/>
        <v>3.1608796292857733E-2</v>
      </c>
      <c r="N136" s="13">
        <f t="shared" si="54"/>
        <v>45.516666661715135</v>
      </c>
      <c r="O136" s="13"/>
      <c r="P136" s="13"/>
      <c r="Q136" s="61"/>
      <c r="R136" s="61"/>
      <c r="S136" s="96">
        <f t="shared" si="55"/>
        <v>1</v>
      </c>
      <c r="T136" s="2" t="str">
        <f t="shared" si="47"/>
        <v>Southbound</v>
      </c>
      <c r="U136" s="2">
        <f>COUNTIFS(Variables!$M$2:$M$13, "&lt;=" &amp; Y136, Variables!$M$2:$M$13, "&gt;=" &amp; Z136)</f>
        <v>12</v>
      </c>
      <c r="V136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https://search-rtdc-monitor-bjffxe2xuh6vdkpspy63sjmuny.us-east-1.es.amazonaws.com/_plugin/kibana/#/discover/Steve-Slow-Train-Analysis-(2080s-and-2083s)?_g=(refreshInterval:(display:Off,section:0,value:0),time:(from:'2016-06-20 22:47:52-0600',mode:absolute,to:'2016-06-20 23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36" s="73" t="str">
        <f t="shared" si="49"/>
        <v>N</v>
      </c>
      <c r="X136" s="73">
        <f t="shared" si="50"/>
        <v>1</v>
      </c>
      <c r="Y136" s="73">
        <f t="shared" si="51"/>
        <v>23.297999999999998</v>
      </c>
      <c r="Z136" s="73">
        <f t="shared" si="52"/>
        <v>1.61E-2</v>
      </c>
      <c r="AA136" s="73">
        <f t="shared" si="53"/>
        <v>23.281899999999997</v>
      </c>
      <c r="AB136" s="74" t="e">
        <f>VLOOKUP(A136,Enforcements!C135:J198,8,0)</f>
        <v>#N/A</v>
      </c>
      <c r="AC136" s="74" t="e">
        <f>VLOOKUP(A136,Enforcements!C135:E198,3,0)</f>
        <v>#N/A</v>
      </c>
    </row>
    <row r="137" spans="1:29" s="2" customFormat="1" x14ac:dyDescent="0.25">
      <c r="A137" s="60" t="s">
        <v>420</v>
      </c>
      <c r="B137" s="60">
        <v>4025</v>
      </c>
      <c r="C137" s="60" t="s">
        <v>62</v>
      </c>
      <c r="D137" s="60" t="s">
        <v>97</v>
      </c>
      <c r="E137" s="30">
        <v>42541.934479166666</v>
      </c>
      <c r="F137" s="30">
        <v>42541.935995370368</v>
      </c>
      <c r="G137" s="38">
        <v>2</v>
      </c>
      <c r="H137" s="30" t="s">
        <v>158</v>
      </c>
      <c r="I137" s="30">
        <v>42541.965127314812</v>
      </c>
      <c r="J137" s="60">
        <v>0</v>
      </c>
      <c r="K137" s="60" t="str">
        <f t="shared" si="45"/>
        <v>4025/4026</v>
      </c>
      <c r="L137" s="60" t="str">
        <f>VLOOKUP(A137,'Trips&amp;Operators'!$C$1:$E$10000,3,FALSE)</f>
        <v>CHANDLER</v>
      </c>
      <c r="M137" s="12">
        <f t="shared" si="46"/>
        <v>2.9131944444088731E-2</v>
      </c>
      <c r="N137" s="13">
        <f t="shared" si="54"/>
        <v>41.949999999487773</v>
      </c>
      <c r="O137" s="13"/>
      <c r="P137" s="13"/>
      <c r="Q137" s="61"/>
      <c r="R137" s="61"/>
      <c r="S137" s="96">
        <f t="shared" si="55"/>
        <v>1</v>
      </c>
      <c r="T137" s="2" t="str">
        <f t="shared" si="47"/>
        <v>NorthBound</v>
      </c>
      <c r="U137" s="2">
        <f>COUNTIFS(Variables!$M$2:$M$13, "&gt;=" &amp; Y137, Variables!$M$2:$M$13, "&lt;=" &amp; Z137)</f>
        <v>12</v>
      </c>
      <c r="V137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https://search-rtdc-monitor-bjffxe2xuh6vdkpspy63sjmuny.us-east-1.es.amazonaws.com/_plugin/kibana/#/discover/Steve-Slow-Train-Analysis-(2080s-and-2083s)?_g=(refreshInterval:(display:Off,section:0,value:0),time:(from:'2016-06-20 22:24:39-0600',mode:absolute,to:'2016-06-20 23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7" s="73" t="str">
        <f t="shared" si="49"/>
        <v>N</v>
      </c>
      <c r="X137" s="73">
        <f t="shared" si="50"/>
        <v>1</v>
      </c>
      <c r="Y137" s="73">
        <f t="shared" si="51"/>
        <v>4.58E-2</v>
      </c>
      <c r="Z137" s="73">
        <f t="shared" si="52"/>
        <v>23.330300000000001</v>
      </c>
      <c r="AA137" s="73">
        <f t="shared" si="53"/>
        <v>23.284500000000001</v>
      </c>
      <c r="AB137" s="74" t="e">
        <f>VLOOKUP(A137,Enforcements!C136:J199,8,0)</f>
        <v>#N/A</v>
      </c>
      <c r="AC137" s="74" t="e">
        <f>VLOOKUP(A137,Enforcements!C136:E199,3,0)</f>
        <v>#N/A</v>
      </c>
    </row>
    <row r="138" spans="1:29" s="2" customFormat="1" x14ac:dyDescent="0.25">
      <c r="A138" s="60" t="s">
        <v>421</v>
      </c>
      <c r="B138" s="60">
        <v>4026</v>
      </c>
      <c r="C138" s="60" t="s">
        <v>62</v>
      </c>
      <c r="D138" s="60" t="s">
        <v>90</v>
      </c>
      <c r="E138" s="30">
        <v>42541.972187500003</v>
      </c>
      <c r="F138" s="30">
        <v>42541.973055555558</v>
      </c>
      <c r="G138" s="38">
        <v>1</v>
      </c>
      <c r="H138" s="30" t="s">
        <v>118</v>
      </c>
      <c r="I138" s="30">
        <v>42542.007268518515</v>
      </c>
      <c r="J138" s="60">
        <v>0</v>
      </c>
      <c r="K138" s="60" t="str">
        <f t="shared" si="45"/>
        <v>4025/4026</v>
      </c>
      <c r="L138" s="60" t="str">
        <f>VLOOKUP(A138,'Trips&amp;Operators'!$C$1:$E$10000,3,FALSE)</f>
        <v>CHANDLER</v>
      </c>
      <c r="M138" s="12">
        <f t="shared" si="46"/>
        <v>3.421296295709908E-2</v>
      </c>
      <c r="N138" s="13">
        <f t="shared" si="54"/>
        <v>49.266666658222675</v>
      </c>
      <c r="O138" s="13"/>
      <c r="P138" s="13"/>
      <c r="Q138" s="61"/>
      <c r="R138" s="61"/>
      <c r="S138" s="96">
        <f t="shared" si="55"/>
        <v>1</v>
      </c>
      <c r="T138" s="2" t="str">
        <f t="shared" si="47"/>
        <v>Southbound</v>
      </c>
      <c r="U138" s="2">
        <f>COUNTIFS(Variables!$M$2:$M$13, "&lt;=" &amp; Y138, Variables!$M$2:$M$13, "&gt;=" &amp; Z138)</f>
        <v>12</v>
      </c>
      <c r="V138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https://search-rtdc-monitor-bjffxe2xuh6vdkpspy63sjmuny.us-east-1.es.amazonaws.com/_plugin/kibana/#/discover/Steve-Slow-Train-Analysis-(2080s-and-2083s)?_g=(refreshInterval:(display:Off,section:0,value:0),time:(from:'2016-06-20 23:18:57-0600',mode:absolute,to:'2016-06-21 00:11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8" s="73" t="str">
        <f t="shared" si="49"/>
        <v>N</v>
      </c>
      <c r="X138" s="73">
        <f t="shared" si="50"/>
        <v>1</v>
      </c>
      <c r="Y138" s="73">
        <f t="shared" si="51"/>
        <v>23.297799999999999</v>
      </c>
      <c r="Z138" s="73">
        <f t="shared" si="52"/>
        <v>1.61E-2</v>
      </c>
      <c r="AA138" s="73">
        <f t="shared" si="53"/>
        <v>23.281699999999997</v>
      </c>
      <c r="AB138" s="74" t="e">
        <f>VLOOKUP(A138,Enforcements!C137:J200,8,0)</f>
        <v>#N/A</v>
      </c>
      <c r="AC138" s="74" t="e">
        <f>VLOOKUP(A138,Enforcements!C137:E200,3,0)</f>
        <v>#N/A</v>
      </c>
    </row>
    <row r="139" spans="1:29" s="2" customFormat="1" x14ac:dyDescent="0.25">
      <c r="A139" s="60" t="s">
        <v>422</v>
      </c>
      <c r="B139" s="60">
        <v>4029</v>
      </c>
      <c r="C139" s="60" t="s">
        <v>62</v>
      </c>
      <c r="D139" s="60" t="s">
        <v>370</v>
      </c>
      <c r="E139" s="30">
        <v>42541.949699074074</v>
      </c>
      <c r="F139" s="30">
        <v>42541.951122685183</v>
      </c>
      <c r="G139" s="38">
        <v>2</v>
      </c>
      <c r="H139" s="30" t="s">
        <v>423</v>
      </c>
      <c r="I139" s="30">
        <v>42541.98709490741</v>
      </c>
      <c r="J139" s="60">
        <v>0</v>
      </c>
      <c r="K139" s="60" t="str">
        <f t="shared" si="45"/>
        <v>4029/4030</v>
      </c>
      <c r="L139" s="60" t="str">
        <f>VLOOKUP(A139,'Trips&amp;Operators'!$C$1:$E$10000,3,FALSE)</f>
        <v>YOUNG</v>
      </c>
      <c r="M139" s="12">
        <f t="shared" si="46"/>
        <v>3.5972222227428574E-2</v>
      </c>
      <c r="N139" s="13">
        <f t="shared" si="54"/>
        <v>51.800000007497147</v>
      </c>
      <c r="O139" s="13"/>
      <c r="P139" s="13"/>
      <c r="Q139" s="61"/>
      <c r="R139" s="61"/>
      <c r="S139" s="96">
        <f t="shared" si="55"/>
        <v>1</v>
      </c>
      <c r="T139" s="2" t="str">
        <f t="shared" si="47"/>
        <v>NorthBound</v>
      </c>
      <c r="U139" s="2">
        <f>COUNTIFS(Variables!$M$2:$M$13, "&gt;=" &amp; Y139, Variables!$M$2:$M$13, "&lt;=" &amp; Z139)</f>
        <v>12</v>
      </c>
      <c r="V139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https://search-rtdc-monitor-bjffxe2xuh6vdkpspy63sjmuny.us-east-1.es.amazonaws.com/_plugin/kibana/#/discover/Steve-Slow-Train-Analysis-(2080s-and-2083s)?_g=(refreshInterval:(display:Off,section:0,value:0),time:(from:'2016-06-20 22:46:34-0600',mode:absolute,to:'2016-06-20 23:42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9" s="73" t="str">
        <f t="shared" si="49"/>
        <v>N</v>
      </c>
      <c r="X139" s="73">
        <f t="shared" si="50"/>
        <v>1</v>
      </c>
      <c r="Y139" s="73">
        <f t="shared" si="51"/>
        <v>4.7699999999999999E-2</v>
      </c>
      <c r="Z139" s="73">
        <f t="shared" si="52"/>
        <v>23.330500000000001</v>
      </c>
      <c r="AA139" s="73">
        <f t="shared" si="53"/>
        <v>23.282800000000002</v>
      </c>
      <c r="AB139" s="74" t="e">
        <f>VLOOKUP(A139,Enforcements!C138:J201,8,0)</f>
        <v>#N/A</v>
      </c>
      <c r="AC139" s="74" t="e">
        <f>VLOOKUP(A139,Enforcements!C138:E201,3,0)</f>
        <v>#N/A</v>
      </c>
    </row>
    <row r="140" spans="1:29" s="2" customFormat="1" x14ac:dyDescent="0.25">
      <c r="A140" s="60" t="s">
        <v>424</v>
      </c>
      <c r="B140" s="60">
        <v>4030</v>
      </c>
      <c r="C140" s="60" t="s">
        <v>62</v>
      </c>
      <c r="D140" s="60" t="s">
        <v>403</v>
      </c>
      <c r="E140" s="30">
        <v>42541.991122685184</v>
      </c>
      <c r="F140" s="30">
        <v>42541.992060185185</v>
      </c>
      <c r="G140" s="38">
        <v>1</v>
      </c>
      <c r="H140" s="30" t="s">
        <v>133</v>
      </c>
      <c r="I140" s="30">
        <v>42542.026712962965</v>
      </c>
      <c r="J140" s="60">
        <v>1</v>
      </c>
      <c r="K140" s="60" t="str">
        <f t="shared" si="45"/>
        <v>4029/4030</v>
      </c>
      <c r="L140" s="60" t="str">
        <f>VLOOKUP(A140,'Trips&amp;Operators'!$C$1:$E$10000,3,FALSE)</f>
        <v>YOUNG</v>
      </c>
      <c r="M140" s="12">
        <f t="shared" si="46"/>
        <v>3.4652777780138422E-2</v>
      </c>
      <c r="N140" s="13">
        <f t="shared" si="54"/>
        <v>49.900000003399327</v>
      </c>
      <c r="O140" s="13"/>
      <c r="P140" s="13"/>
      <c r="Q140" s="61"/>
      <c r="R140" s="61"/>
      <c r="S140" s="96">
        <f t="shared" si="55"/>
        <v>1</v>
      </c>
      <c r="T140" s="2" t="str">
        <f t="shared" si="47"/>
        <v>Southbound</v>
      </c>
      <c r="U140" s="2">
        <f>COUNTIFS(Variables!$M$2:$M$13, "&lt;=" &amp; Y140, Variables!$M$2:$M$13, "&gt;=" &amp; Z140)</f>
        <v>12</v>
      </c>
      <c r="V140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https://search-rtdc-monitor-bjffxe2xuh6vdkpspy63sjmuny.us-east-1.es.amazonaws.com/_plugin/kibana/#/discover/Steve-Slow-Train-Analysis-(2080s-and-2083s)?_g=(refreshInterval:(display:Off,section:0,value:0),time:(from:'2016-06-20 23:46:13-0600',mode:absolute,to:'2016-06-21 00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0" s="73" t="str">
        <f t="shared" si="49"/>
        <v>N</v>
      </c>
      <c r="X140" s="73">
        <f t="shared" si="50"/>
        <v>1</v>
      </c>
      <c r="Y140" s="73">
        <f t="shared" si="51"/>
        <v>23.299199999999999</v>
      </c>
      <c r="Z140" s="73">
        <f t="shared" si="52"/>
        <v>1.5800000000000002E-2</v>
      </c>
      <c r="AA140" s="73">
        <f t="shared" si="53"/>
        <v>23.2834</v>
      </c>
      <c r="AB140" s="74" t="e">
        <f>VLOOKUP(A140,Enforcements!C139:J202,8,0)</f>
        <v>#N/A</v>
      </c>
      <c r="AC140" s="74" t="e">
        <f>VLOOKUP(A140,Enforcements!C139:E202,3,0)</f>
        <v>#N/A</v>
      </c>
    </row>
    <row r="141" spans="1:29" s="2" customFormat="1" x14ac:dyDescent="0.25">
      <c r="A141" s="60" t="s">
        <v>425</v>
      </c>
      <c r="B141" s="60">
        <v>4044</v>
      </c>
      <c r="C141" s="60" t="s">
        <v>62</v>
      </c>
      <c r="D141" s="60" t="s">
        <v>88</v>
      </c>
      <c r="E141" s="30">
        <v>42541.975925925923</v>
      </c>
      <c r="F141" s="30">
        <v>42541.976898148147</v>
      </c>
      <c r="G141" s="38">
        <v>1</v>
      </c>
      <c r="H141" s="30" t="s">
        <v>125</v>
      </c>
      <c r="I141" s="30">
        <v>42542.00513888889</v>
      </c>
      <c r="J141" s="60">
        <v>0</v>
      </c>
      <c r="K141" s="60" t="str">
        <f t="shared" si="45"/>
        <v>4043/4044</v>
      </c>
      <c r="L141" s="60" t="str">
        <f>VLOOKUP(A141,'Trips&amp;Operators'!$C$1:$E$10000,3,FALSE)</f>
        <v>COOLAHAN</v>
      </c>
      <c r="M141" s="12">
        <f t="shared" si="46"/>
        <v>2.8240740743058268E-2</v>
      </c>
      <c r="N141" s="13">
        <f t="shared" si="54"/>
        <v>40.666666670003906</v>
      </c>
      <c r="O141" s="13"/>
      <c r="P141" s="13"/>
      <c r="Q141" s="61"/>
      <c r="R141" s="61"/>
      <c r="S141" s="96">
        <f t="shared" si="55"/>
        <v>1</v>
      </c>
      <c r="T141" s="2" t="str">
        <f t="shared" si="47"/>
        <v>NorthBound</v>
      </c>
      <c r="U141" s="2">
        <f>COUNTIFS(Variables!$M$2:$M$13, "&gt;=" &amp; Y141, Variables!$M$2:$M$13, "&lt;=" &amp; Z141)</f>
        <v>12</v>
      </c>
      <c r="V141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https://search-rtdc-monitor-bjffxe2xuh6vdkpspy63sjmuny.us-east-1.es.amazonaws.com/_plugin/kibana/#/discover/Steve-Slow-Train-Analysis-(2080s-and-2083s)?_g=(refreshInterval:(display:Off,section:0,value:0),time:(from:'2016-06-20 23:24:20-0600',mode:absolute,to:'2016-06-21 00:08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1" s="73" t="str">
        <f t="shared" si="49"/>
        <v>N</v>
      </c>
      <c r="X141" s="73">
        <f t="shared" si="50"/>
        <v>1</v>
      </c>
      <c r="Y141" s="73">
        <f t="shared" si="51"/>
        <v>4.53E-2</v>
      </c>
      <c r="Z141" s="73">
        <f t="shared" si="52"/>
        <v>23.329499999999999</v>
      </c>
      <c r="AA141" s="73">
        <f t="shared" si="53"/>
        <v>23.284199999999998</v>
      </c>
      <c r="AB141" s="74" t="e">
        <f>VLOOKUP(A141,Enforcements!C140:J203,8,0)</f>
        <v>#N/A</v>
      </c>
      <c r="AC141" s="74" t="e">
        <f>VLOOKUP(A141,Enforcements!C140:E203,3,0)</f>
        <v>#N/A</v>
      </c>
    </row>
    <row r="142" spans="1:29" s="2" customFormat="1" x14ac:dyDescent="0.25">
      <c r="A142" s="60" t="s">
        <v>426</v>
      </c>
      <c r="B142" s="60">
        <v>4043</v>
      </c>
      <c r="C142" s="60" t="s">
        <v>62</v>
      </c>
      <c r="D142" s="60" t="s">
        <v>90</v>
      </c>
      <c r="E142" s="30">
        <v>42542.013541666667</v>
      </c>
      <c r="F142" s="30">
        <v>42542.015138888892</v>
      </c>
      <c r="G142" s="38">
        <v>2</v>
      </c>
      <c r="H142" s="30" t="s">
        <v>427</v>
      </c>
      <c r="I142" s="30">
        <v>42542.045740740738</v>
      </c>
      <c r="J142" s="60">
        <v>0</v>
      </c>
      <c r="K142" s="60" t="str">
        <f t="shared" si="45"/>
        <v>4043/4044</v>
      </c>
      <c r="L142" s="60" t="str">
        <f>VLOOKUP(A142,'Trips&amp;Operators'!$C$1:$E$10000,3,FALSE)</f>
        <v>COOLAHAN</v>
      </c>
      <c r="M142" s="12">
        <f t="shared" si="46"/>
        <v>3.0601851845858619E-2</v>
      </c>
      <c r="N142" s="13">
        <f t="shared" si="54"/>
        <v>44.066666658036411</v>
      </c>
      <c r="O142" s="13"/>
      <c r="P142" s="13"/>
      <c r="Q142" s="61"/>
      <c r="R142" s="61"/>
      <c r="S142" s="96">
        <f t="shared" si="55"/>
        <v>1</v>
      </c>
      <c r="T142" s="2" t="str">
        <f t="shared" si="47"/>
        <v>Southbound</v>
      </c>
      <c r="U142" s="2">
        <f>COUNTIFS(Variables!$M$2:$M$13, "&lt;=" &amp; Y142, Variables!$M$2:$M$13, "&gt;=" &amp; Z142)</f>
        <v>12</v>
      </c>
      <c r="V142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https://search-rtdc-monitor-bjffxe2xuh6vdkpspy63sjmuny.us-east-1.es.amazonaws.com/_plugin/kibana/#/discover/Steve-Slow-Train-Analysis-(2080s-and-2083s)?_g=(refreshInterval:(display:Off,section:0,value:0),time:(from:'2016-06-21 00:18:30-0600',mode:absolute,to:'2016-06-21 01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2" s="73" t="str">
        <f t="shared" si="49"/>
        <v>N</v>
      </c>
      <c r="X142" s="73">
        <f t="shared" si="50"/>
        <v>1</v>
      </c>
      <c r="Y142" s="73">
        <f t="shared" si="51"/>
        <v>23.297799999999999</v>
      </c>
      <c r="Z142" s="73">
        <f t="shared" si="52"/>
        <v>2.0500000000000001E-2</v>
      </c>
      <c r="AA142" s="73">
        <f t="shared" si="53"/>
        <v>23.2773</v>
      </c>
      <c r="AB142" s="74" t="e">
        <f>VLOOKUP(A142,Enforcements!C141:J204,8,0)</f>
        <v>#N/A</v>
      </c>
      <c r="AC142" s="74" t="e">
        <f>VLOOKUP(A142,Enforcements!C141:E204,3,0)</f>
        <v>#N/A</v>
      </c>
    </row>
    <row r="143" spans="1:29" s="2" customFormat="1" x14ac:dyDescent="0.25">
      <c r="A143" s="60" t="s">
        <v>428</v>
      </c>
      <c r="B143" s="60">
        <v>4007</v>
      </c>
      <c r="C143" s="60" t="s">
        <v>62</v>
      </c>
      <c r="D143" s="60" t="s">
        <v>146</v>
      </c>
      <c r="E143" s="30">
        <v>42541.996053240742</v>
      </c>
      <c r="F143" s="30">
        <v>42541.996817129628</v>
      </c>
      <c r="G143" s="38">
        <v>1</v>
      </c>
      <c r="H143" s="30" t="s">
        <v>174</v>
      </c>
      <c r="I143" s="30">
        <v>42542.025648148148</v>
      </c>
      <c r="J143" s="60">
        <v>0</v>
      </c>
      <c r="K143" s="60" t="str">
        <f t="shared" si="45"/>
        <v>4007/4008</v>
      </c>
      <c r="L143" s="60" t="str">
        <f>VLOOKUP(A143,'Trips&amp;Operators'!$C$1:$E$10000,3,FALSE)</f>
        <v>BRUDER</v>
      </c>
      <c r="M143" s="12">
        <f t="shared" si="46"/>
        <v>2.8831018520577345E-2</v>
      </c>
      <c r="N143" s="13">
        <f t="shared" si="54"/>
        <v>41.516666669631377</v>
      </c>
      <c r="O143" s="13"/>
      <c r="P143" s="13"/>
      <c r="Q143" s="61"/>
      <c r="R143" s="61"/>
      <c r="S143" s="96">
        <f t="shared" si="55"/>
        <v>1</v>
      </c>
      <c r="T143" s="2" t="str">
        <f t="shared" si="47"/>
        <v>NorthBound</v>
      </c>
      <c r="U143" s="2">
        <f>COUNTIFS(Variables!$M$2:$M$13, "&gt;=" &amp; Y143, Variables!$M$2:$M$13, "&lt;=" &amp; Z143)</f>
        <v>12</v>
      </c>
      <c r="V143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https://search-rtdc-monitor-bjffxe2xuh6vdkpspy63sjmuny.us-east-1.es.amazonaws.com/_plugin/kibana/#/discover/Steve-Slow-Train-Analysis-(2080s-and-2083s)?_g=(refreshInterval:(display:Off,section:0,value:0),time:(from:'2016-06-20 23:53:19-0600',mode:absolute,to:'2016-06-21 00:37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43" s="73" t="str">
        <f t="shared" si="49"/>
        <v>N</v>
      </c>
      <c r="X143" s="73">
        <f t="shared" si="50"/>
        <v>1</v>
      </c>
      <c r="Y143" s="73">
        <f t="shared" si="51"/>
        <v>4.6899999999999997E-2</v>
      </c>
      <c r="Z143" s="73">
        <f t="shared" si="52"/>
        <v>23.331199999999999</v>
      </c>
      <c r="AA143" s="73">
        <f t="shared" si="53"/>
        <v>23.284299999999998</v>
      </c>
      <c r="AB143" s="74" t="e">
        <f>VLOOKUP(A143,Enforcements!C142:J205,8,0)</f>
        <v>#N/A</v>
      </c>
      <c r="AC143" s="74" t="e">
        <f>VLOOKUP(A143,Enforcements!C142:E205,3,0)</f>
        <v>#N/A</v>
      </c>
    </row>
    <row r="144" spans="1:29" s="2" customFormat="1" x14ac:dyDescent="0.25">
      <c r="A144" s="60" t="s">
        <v>429</v>
      </c>
      <c r="B144" s="60">
        <v>4008</v>
      </c>
      <c r="C144" s="60" t="s">
        <v>62</v>
      </c>
      <c r="D144" s="60" t="s">
        <v>430</v>
      </c>
      <c r="E144" s="30">
        <v>42542.033495370371</v>
      </c>
      <c r="F144" s="30">
        <v>42542.035532407404</v>
      </c>
      <c r="G144" s="38">
        <v>2</v>
      </c>
      <c r="H144" s="30" t="s">
        <v>73</v>
      </c>
      <c r="I144" s="30">
        <v>42542.06585648148</v>
      </c>
      <c r="J144" s="60">
        <v>0</v>
      </c>
      <c r="K144" s="60" t="str">
        <f t="shared" si="45"/>
        <v>4007/4008</v>
      </c>
      <c r="L144" s="60" t="str">
        <f>VLOOKUP(A144,'Trips&amp;Operators'!$C$1:$E$10000,3,FALSE)</f>
        <v>BRUDER</v>
      </c>
      <c r="M144" s="12">
        <f t="shared" si="46"/>
        <v>3.0324074075906537E-2</v>
      </c>
      <c r="N144" s="13">
        <f t="shared" si="54"/>
        <v>43.666666669305414</v>
      </c>
      <c r="O144" s="13"/>
      <c r="P144" s="13"/>
      <c r="Q144" s="61"/>
      <c r="R144" s="61"/>
      <c r="S144" s="96">
        <f t="shared" si="55"/>
        <v>1</v>
      </c>
      <c r="T144" s="2" t="str">
        <f t="shared" si="47"/>
        <v>Southbound</v>
      </c>
      <c r="U144" s="2">
        <f>COUNTIFS(Variables!$M$2:$M$13, "&lt;=" &amp; Y144, Variables!$M$2:$M$13, "&gt;=" &amp; Z144)</f>
        <v>12</v>
      </c>
      <c r="V144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https://search-rtdc-monitor-bjffxe2xuh6vdkpspy63sjmuny.us-east-1.es.amazonaws.com/_plugin/kibana/#/discover/Steve-Slow-Train-Analysis-(2080s-and-2083s)?_g=(refreshInterval:(display:Off,section:0,value:0),time:(from:'2016-06-21 00:47:14-0600',mode:absolute,to:'2016-06-21 01:35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4" s="73" t="str">
        <f t="shared" si="49"/>
        <v>N</v>
      </c>
      <c r="X144" s="73">
        <f t="shared" si="50"/>
        <v>1</v>
      </c>
      <c r="Y144" s="73">
        <f t="shared" si="51"/>
        <v>23.298400000000001</v>
      </c>
      <c r="Z144" s="73">
        <f t="shared" si="52"/>
        <v>1.6E-2</v>
      </c>
      <c r="AA144" s="73">
        <f t="shared" si="53"/>
        <v>23.282400000000003</v>
      </c>
      <c r="AB144" s="74" t="e">
        <f>VLOOKUP(A144,Enforcements!C143:J206,8,0)</f>
        <v>#N/A</v>
      </c>
      <c r="AC144" s="74" t="e">
        <f>VLOOKUP(A144,Enforcements!C143:E206,3,0)</f>
        <v>#N/A</v>
      </c>
    </row>
    <row r="145" spans="1:29" s="2" customFormat="1" x14ac:dyDescent="0.25">
      <c r="A145" s="60" t="s">
        <v>431</v>
      </c>
      <c r="B145" s="60">
        <v>4025</v>
      </c>
      <c r="C145" s="60" t="s">
        <v>62</v>
      </c>
      <c r="D145" s="60" t="s">
        <v>78</v>
      </c>
      <c r="E145" s="30">
        <v>42542.017650462964</v>
      </c>
      <c r="F145" s="30">
        <v>42542.018877314818</v>
      </c>
      <c r="G145" s="38">
        <v>1</v>
      </c>
      <c r="H145" s="30" t="s">
        <v>195</v>
      </c>
      <c r="I145" s="30">
        <v>42542.050173611111</v>
      </c>
      <c r="J145" s="60">
        <v>1</v>
      </c>
      <c r="K145" s="60" t="str">
        <f t="shared" si="45"/>
        <v>4025/4026</v>
      </c>
      <c r="L145" s="60" t="str">
        <f>VLOOKUP(A145,'Trips&amp;Operators'!$C$1:$E$10000,3,FALSE)</f>
        <v>CHANDLER</v>
      </c>
      <c r="M145" s="12">
        <f t="shared" si="46"/>
        <v>3.1296296292566694E-2</v>
      </c>
      <c r="N145" s="13">
        <f t="shared" si="54"/>
        <v>45.06666666129604</v>
      </c>
      <c r="O145" s="13"/>
      <c r="P145" s="13"/>
      <c r="Q145" s="61"/>
      <c r="R145" s="61"/>
      <c r="S145" s="96">
        <f t="shared" si="55"/>
        <v>1</v>
      </c>
      <c r="T145" s="2" t="str">
        <f t="shared" si="47"/>
        <v>NorthBound</v>
      </c>
      <c r="U145" s="2">
        <f>COUNTIFS(Variables!$M$2:$M$13, "&gt;=" &amp; Y145, Variables!$M$2:$M$13, "&lt;=" &amp; Z145)</f>
        <v>12</v>
      </c>
      <c r="V145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https://search-rtdc-monitor-bjffxe2xuh6vdkpspy63sjmuny.us-east-1.es.amazonaws.com/_plugin/kibana/#/discover/Steve-Slow-Train-Analysis-(2080s-and-2083s)?_g=(refreshInterval:(display:Off,section:0,value:0),time:(from:'2016-06-21 00:24:25-0600',mode:absolute,to:'2016-06-21 01:13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5" s="73" t="str">
        <f t="shared" si="49"/>
        <v>N</v>
      </c>
      <c r="X145" s="73">
        <f t="shared" si="50"/>
        <v>1</v>
      </c>
      <c r="Y145" s="73">
        <f t="shared" si="51"/>
        <v>4.6600000000000003E-2</v>
      </c>
      <c r="Z145" s="73">
        <f t="shared" si="52"/>
        <v>23.330100000000002</v>
      </c>
      <c r="AA145" s="73">
        <f t="shared" si="53"/>
        <v>23.2835</v>
      </c>
      <c r="AB145" s="74" t="e">
        <f>VLOOKUP(A145,Enforcements!C144:J207,8,0)</f>
        <v>#N/A</v>
      </c>
      <c r="AC145" s="74" t="e">
        <f>VLOOKUP(A145,Enforcements!C144:E207,3,0)</f>
        <v>#N/A</v>
      </c>
    </row>
    <row r="146" spans="1:29" s="2" customFormat="1" x14ac:dyDescent="0.25">
      <c r="A146" s="60" t="s">
        <v>432</v>
      </c>
      <c r="B146" s="60">
        <v>4026</v>
      </c>
      <c r="C146" s="60" t="s">
        <v>62</v>
      </c>
      <c r="D146" s="60" t="s">
        <v>142</v>
      </c>
      <c r="E146" s="30">
        <v>42542.057083333333</v>
      </c>
      <c r="F146" s="30">
        <v>42542.057986111111</v>
      </c>
      <c r="G146" s="38">
        <v>1</v>
      </c>
      <c r="H146" s="30" t="s">
        <v>433</v>
      </c>
      <c r="I146" s="30">
        <v>42542.088136574072</v>
      </c>
      <c r="J146" s="60">
        <v>0</v>
      </c>
      <c r="K146" s="60" t="str">
        <f t="shared" si="45"/>
        <v>4025/4026</v>
      </c>
      <c r="L146" s="60" t="str">
        <f>VLOOKUP(A146,'Trips&amp;Operators'!$C$1:$E$10000,3,FALSE)</f>
        <v>CHANDLER</v>
      </c>
      <c r="M146" s="12">
        <f t="shared" si="46"/>
        <v>3.015046296059154E-2</v>
      </c>
      <c r="N146" s="13">
        <f t="shared" si="54"/>
        <v>43.416666663251817</v>
      </c>
      <c r="O146" s="13"/>
      <c r="P146" s="13"/>
      <c r="Q146" s="61"/>
      <c r="R146" s="61"/>
      <c r="S146" s="96">
        <f t="shared" si="55"/>
        <v>1</v>
      </c>
      <c r="T146" s="2" t="str">
        <f t="shared" si="47"/>
        <v>Southbound</v>
      </c>
      <c r="U146" s="2">
        <f>COUNTIFS(Variables!$M$2:$M$13, "&lt;=" &amp; Y146, Variables!$M$2:$M$13, "&gt;=" &amp; Z146)</f>
        <v>12</v>
      </c>
      <c r="V146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https://search-rtdc-monitor-bjffxe2xuh6vdkpspy63sjmuny.us-east-1.es.amazonaws.com/_plugin/kibana/#/discover/Steve-Slow-Train-Analysis-(2080s-and-2083s)?_g=(refreshInterval:(display:Off,section:0,value:0),time:(from:'2016-06-21 01:21:12-0600',mode:absolute,to:'2016-06-21 02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6" s="73" t="str">
        <f t="shared" si="49"/>
        <v>N</v>
      </c>
      <c r="X146" s="73">
        <f t="shared" si="50"/>
        <v>1</v>
      </c>
      <c r="Y146" s="73">
        <f t="shared" si="51"/>
        <v>23.2973</v>
      </c>
      <c r="Z146" s="73">
        <f t="shared" si="52"/>
        <v>1.8700000000000001E-2</v>
      </c>
      <c r="AA146" s="73">
        <f t="shared" si="53"/>
        <v>23.278600000000001</v>
      </c>
      <c r="AB146" s="74" t="e">
        <f>VLOOKUP(A146,Enforcements!C145:J208,8,0)</f>
        <v>#N/A</v>
      </c>
      <c r="AC146" s="74" t="e">
        <f>VLOOKUP(A146,Enforcements!C145:E208,3,0)</f>
        <v>#N/A</v>
      </c>
    </row>
    <row r="147" spans="1:29" s="2" customFormat="1" x14ac:dyDescent="0.25">
      <c r="B147" s="62"/>
      <c r="C147" s="62"/>
      <c r="D147" s="62"/>
      <c r="E147" s="63"/>
      <c r="F147" s="63"/>
      <c r="G147" s="64"/>
      <c r="H147" s="63"/>
      <c r="I147" s="63"/>
      <c r="J147" s="62"/>
      <c r="K147" s="62"/>
      <c r="L147" s="62"/>
      <c r="M147" s="65"/>
      <c r="N147" s="66"/>
      <c r="O147" s="66"/>
      <c r="P147" s="66"/>
      <c r="Q147" s="67"/>
      <c r="R147" s="67"/>
      <c r="S147" s="67"/>
      <c r="V147" s="73"/>
      <c r="W147" s="73"/>
      <c r="X147" s="73"/>
      <c r="Y147" s="73"/>
      <c r="Z147" s="73"/>
      <c r="AA147" s="73"/>
      <c r="AB147" s="74"/>
      <c r="AC147" s="74"/>
    </row>
    <row r="148" spans="1:29" s="2" customFormat="1" ht="15.75" thickBot="1" x14ac:dyDescent="0.3">
      <c r="B148" s="62"/>
      <c r="C148" s="62"/>
      <c r="D148" s="62"/>
      <c r="E148" s="63"/>
      <c r="F148" s="63"/>
      <c r="G148" s="64"/>
      <c r="H148" s="63"/>
      <c r="I148" s="63"/>
      <c r="J148" s="62"/>
      <c r="K148" s="62"/>
      <c r="L148" s="62"/>
      <c r="M148" s="65"/>
      <c r="N148" s="66"/>
      <c r="O148" s="66"/>
      <c r="P148" s="66"/>
      <c r="Q148" s="67"/>
      <c r="R148" s="67"/>
      <c r="S148" s="67"/>
      <c r="V148" s="68"/>
      <c r="W148" s="68"/>
      <c r="X148" s="68"/>
      <c r="Y148" s="68"/>
      <c r="Z148" s="68"/>
      <c r="AA148" s="68"/>
      <c r="AB148" s="69"/>
      <c r="AC148" s="69"/>
    </row>
    <row r="149" spans="1:29" s="2" customFormat="1" ht="15.75" thickBot="1" x14ac:dyDescent="0.3">
      <c r="E149" s="31"/>
      <c r="F149" s="31"/>
      <c r="G149" s="39"/>
      <c r="H149" s="31"/>
      <c r="I149" s="97">
        <f>Variables!A2</f>
        <v>42541</v>
      </c>
      <c r="J149" s="98"/>
      <c r="K149" s="75"/>
      <c r="L149" s="75"/>
      <c r="M149" s="99" t="s">
        <v>8</v>
      </c>
      <c r="N149" s="100"/>
      <c r="O149" s="101"/>
      <c r="P149" s="5"/>
      <c r="V149" s="56"/>
      <c r="W149" s="56"/>
      <c r="X149" s="56"/>
      <c r="Y149" s="56"/>
      <c r="Z149" s="56"/>
      <c r="AA149" s="56"/>
      <c r="AB149" s="57"/>
      <c r="AC149" s="57"/>
    </row>
    <row r="150" spans="1:29" s="2" customFormat="1" ht="15.75" thickBot="1" x14ac:dyDescent="0.3">
      <c r="E150" s="31"/>
      <c r="F150" s="31"/>
      <c r="G150" s="39"/>
      <c r="H150" s="31"/>
      <c r="I150" s="102" t="s">
        <v>10</v>
      </c>
      <c r="J150" s="103"/>
      <c r="K150" s="35"/>
      <c r="L150" s="58"/>
      <c r="M150" s="9" t="s">
        <v>11</v>
      </c>
      <c r="N150" s="6" t="s">
        <v>12</v>
      </c>
      <c r="O150" s="7" t="s">
        <v>13</v>
      </c>
      <c r="P150" s="5"/>
      <c r="V150" s="56"/>
      <c r="W150" s="56"/>
      <c r="X150" s="56"/>
      <c r="Y150" s="56"/>
      <c r="Z150" s="56"/>
      <c r="AA150" s="56"/>
      <c r="AB150" s="57"/>
      <c r="AC150" s="57"/>
    </row>
    <row r="151" spans="1:29" s="2" customFormat="1" ht="15.75" thickBot="1" x14ac:dyDescent="0.3">
      <c r="E151" s="31"/>
      <c r="F151" s="31"/>
      <c r="G151" s="39"/>
      <c r="H151" s="31"/>
      <c r="I151" s="32" t="s">
        <v>14</v>
      </c>
      <c r="J151" s="3">
        <f>COUNT(N3:P146)</f>
        <v>142</v>
      </c>
      <c r="K151" s="3"/>
      <c r="L151" s="3"/>
      <c r="M151" s="70" t="s">
        <v>15</v>
      </c>
      <c r="N151" s="6" t="s">
        <v>15</v>
      </c>
      <c r="O151" s="7" t="s">
        <v>15</v>
      </c>
      <c r="P151" s="5"/>
      <c r="V151" s="56"/>
      <c r="W151" s="56"/>
      <c r="X151" s="56"/>
      <c r="Y151" s="56"/>
      <c r="Z151" s="56"/>
      <c r="AA151" s="56"/>
      <c r="AB151" s="57"/>
      <c r="AC151" s="57"/>
    </row>
    <row r="152" spans="1:29" s="2" customFormat="1" ht="15.75" thickBot="1" x14ac:dyDescent="0.3">
      <c r="E152" s="31"/>
      <c r="F152" s="31"/>
      <c r="G152" s="39"/>
      <c r="H152" s="31"/>
      <c r="I152" s="32" t="s">
        <v>17</v>
      </c>
      <c r="J152" s="3">
        <f>COUNT(N3:N146)</f>
        <v>133</v>
      </c>
      <c r="K152" s="3"/>
      <c r="L152" s="3"/>
      <c r="M152" s="70">
        <f>AVERAGE(N3:N146)</f>
        <v>43.773057644125913</v>
      </c>
      <c r="N152" s="6">
        <f>MIN(N3:N146)</f>
        <v>36.366666670655832</v>
      </c>
      <c r="O152" s="7">
        <f>MAX(N3:N146)</f>
        <v>54.199999992270023</v>
      </c>
      <c r="P152" s="5"/>
      <c r="V152" s="56"/>
      <c r="W152" s="56"/>
      <c r="X152" s="56"/>
      <c r="Y152" s="56"/>
      <c r="Z152" s="56"/>
      <c r="AA152" s="56"/>
      <c r="AB152" s="57"/>
      <c r="AC152" s="57"/>
    </row>
    <row r="153" spans="1:29" s="2" customFormat="1" ht="15.75" thickBot="1" x14ac:dyDescent="0.3">
      <c r="B153" s="59"/>
      <c r="C153" s="59"/>
      <c r="D153" s="59"/>
      <c r="E153" s="14"/>
      <c r="F153" s="14"/>
      <c r="G153" s="40"/>
      <c r="H153" s="14"/>
      <c r="I153" s="33" t="s">
        <v>45</v>
      </c>
      <c r="J153" s="3">
        <f>COUNT(O3:O146)</f>
        <v>0</v>
      </c>
      <c r="K153" s="3"/>
      <c r="L153" s="3"/>
      <c r="M153" s="70">
        <f>IFERROR(AVERAGE(O3:O146),0)</f>
        <v>0</v>
      </c>
      <c r="N153" s="6">
        <f>MIN(O3:O146)</f>
        <v>0</v>
      </c>
      <c r="O153" s="7">
        <f>MAX(O3:O146)</f>
        <v>0</v>
      </c>
      <c r="P153" s="4"/>
      <c r="Q153"/>
      <c r="R153"/>
      <c r="S153" s="59"/>
      <c r="T153"/>
      <c r="U153" s="59"/>
      <c r="V153" s="54"/>
      <c r="W153" s="54"/>
      <c r="X153" s="54"/>
      <c r="Y153" s="54"/>
      <c r="Z153" s="54"/>
      <c r="AA153" s="54"/>
      <c r="AB153" s="55"/>
      <c r="AC153" s="55"/>
    </row>
    <row r="154" spans="1:29" s="2" customFormat="1" ht="15.75" thickBot="1" x14ac:dyDescent="0.3">
      <c r="B154" s="59"/>
      <c r="C154" s="59"/>
      <c r="D154" s="59"/>
      <c r="E154" s="14"/>
      <c r="F154" s="14"/>
      <c r="G154" s="40"/>
      <c r="H154" s="14"/>
      <c r="I154" s="34" t="s">
        <v>9</v>
      </c>
      <c r="J154" s="3">
        <f>COUNT(P3:P146)</f>
        <v>9</v>
      </c>
      <c r="K154" s="3"/>
      <c r="L154" s="3"/>
      <c r="M154" s="70" t="s">
        <v>15</v>
      </c>
      <c r="N154" s="6" t="s">
        <v>15</v>
      </c>
      <c r="O154" s="7" t="s">
        <v>15</v>
      </c>
      <c r="P154" s="4"/>
      <c r="Q154"/>
      <c r="R154"/>
      <c r="S154" s="59"/>
      <c r="T154"/>
      <c r="U154" s="59"/>
      <c r="V154" s="54"/>
      <c r="W154" s="54"/>
      <c r="X154" s="54"/>
      <c r="Y154" s="54"/>
      <c r="Z154" s="54"/>
      <c r="AA154" s="54"/>
      <c r="AB154" s="55"/>
      <c r="AC154" s="55"/>
    </row>
    <row r="155" spans="1:29" s="2" customFormat="1" ht="30.75" thickBot="1" x14ac:dyDescent="0.3">
      <c r="E155" s="31"/>
      <c r="F155" s="31"/>
      <c r="G155" s="39"/>
      <c r="H155" s="31"/>
      <c r="I155" s="32" t="s">
        <v>16</v>
      </c>
      <c r="J155" s="3">
        <f>COUNT(N3:O146)</f>
        <v>133</v>
      </c>
      <c r="K155" s="3"/>
      <c r="L155" s="3"/>
      <c r="M155" s="70">
        <f>AVERAGE(N3:P146)</f>
        <v>42.127582159503298</v>
      </c>
      <c r="N155" s="6">
        <f>MIN(N3:O146)</f>
        <v>36.366666670655832</v>
      </c>
      <c r="O155" s="7">
        <f>MAX(N3:O146)</f>
        <v>54.199999992270023</v>
      </c>
      <c r="P155" s="5"/>
      <c r="V155" s="56"/>
      <c r="W155" s="56"/>
      <c r="X155" s="56"/>
      <c r="Y155" s="56"/>
      <c r="Z155" s="56"/>
      <c r="AA155" s="56"/>
      <c r="AB155" s="57"/>
      <c r="AC155" s="57"/>
    </row>
    <row r="156" spans="1:29" s="2" customFormat="1" ht="30.75" thickBot="1" x14ac:dyDescent="0.3">
      <c r="B156" s="59"/>
      <c r="C156" s="59"/>
      <c r="D156" s="59"/>
      <c r="E156" s="14"/>
      <c r="F156" s="14"/>
      <c r="G156" s="40"/>
      <c r="H156" s="14"/>
      <c r="I156" s="32" t="s">
        <v>19</v>
      </c>
      <c r="J156" s="8">
        <f>J155/J151</f>
        <v>0.93661971830985913</v>
      </c>
      <c r="K156" s="8"/>
      <c r="L156" s="8"/>
      <c r="M156" s="1"/>
      <c r="N156" s="4"/>
      <c r="O156" s="4"/>
      <c r="P156" s="4"/>
      <c r="Q156"/>
      <c r="R156"/>
      <c r="S156" s="59"/>
      <c r="T156"/>
      <c r="U156" s="59"/>
      <c r="V156" s="54"/>
      <c r="W156" s="54"/>
      <c r="X156" s="54"/>
      <c r="Y156" s="54"/>
      <c r="Z156" s="54"/>
      <c r="AA156" s="54"/>
      <c r="AB156" s="55"/>
      <c r="AC156" s="55"/>
    </row>
    <row r="157" spans="1:29" s="2" customFormat="1" x14ac:dyDescent="0.25">
      <c r="B157" s="59"/>
      <c r="C157" s="59"/>
      <c r="D157" s="59"/>
      <c r="E157" s="14"/>
      <c r="F157" s="14"/>
      <c r="G157" s="40"/>
      <c r="H157" s="14"/>
      <c r="I157" s="14"/>
      <c r="J157" s="59"/>
      <c r="K157"/>
      <c r="L157" s="59"/>
      <c r="M157" s="1"/>
      <c r="N157" s="4"/>
      <c r="O157" s="4"/>
      <c r="P157" s="4"/>
      <c r="Q157"/>
      <c r="R157"/>
      <c r="S157" s="59"/>
      <c r="T157"/>
      <c r="U157" s="59"/>
      <c r="V157" s="54"/>
      <c r="W157" s="54"/>
      <c r="X157" s="54"/>
      <c r="Y157" s="54"/>
      <c r="Z157" s="54"/>
      <c r="AA157" s="54"/>
      <c r="AB157" s="55"/>
      <c r="AC157" s="55"/>
    </row>
    <row r="158" spans="1:29" s="2" customFormat="1" x14ac:dyDescent="0.25">
      <c r="B158" s="59"/>
      <c r="C158" s="59"/>
      <c r="D158" s="59"/>
      <c r="E158" s="14"/>
      <c r="F158" s="14"/>
      <c r="G158" s="40"/>
      <c r="H158" s="14"/>
      <c r="I158" s="14"/>
      <c r="J158" s="59"/>
      <c r="K158"/>
      <c r="L158" s="59"/>
      <c r="M158" s="1"/>
      <c r="N158" s="4"/>
      <c r="O158" s="4"/>
      <c r="P158" s="4"/>
      <c r="Q158"/>
      <c r="R158"/>
      <c r="S158" s="59"/>
      <c r="T158"/>
      <c r="U158" s="59"/>
      <c r="V158" s="54"/>
      <c r="W158" s="54"/>
      <c r="X158" s="54"/>
      <c r="Y158" s="54"/>
      <c r="Z158" s="54"/>
      <c r="AA158" s="54"/>
      <c r="AB158" s="55"/>
      <c r="AC158" s="55"/>
    </row>
    <row r="159" spans="1:29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S159" s="59"/>
      <c r="T159"/>
      <c r="U159" s="59"/>
      <c r="V159" s="54"/>
      <c r="W159" s="54"/>
      <c r="X159" s="54"/>
      <c r="Y159" s="54"/>
      <c r="Z159" s="54"/>
      <c r="AA159" s="54"/>
      <c r="AB159" s="55"/>
      <c r="AC159" s="55"/>
    </row>
    <row r="160" spans="1:29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 s="59"/>
      <c r="T160"/>
      <c r="U160" s="59"/>
      <c r="V160" s="54"/>
      <c r="W160" s="54"/>
      <c r="X160" s="54"/>
      <c r="Y160" s="54"/>
      <c r="Z160" s="54"/>
      <c r="AA160" s="54"/>
      <c r="AB160" s="55"/>
      <c r="AC160" s="55"/>
    </row>
    <row r="161" spans="2:29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 s="59"/>
      <c r="T161"/>
      <c r="U161" s="59"/>
      <c r="V161" s="54"/>
      <c r="W161" s="54"/>
      <c r="X161" s="54"/>
      <c r="Y161" s="54"/>
      <c r="Z161" s="54"/>
      <c r="AA161" s="54"/>
      <c r="AB161" s="55"/>
      <c r="AC161" s="55"/>
    </row>
    <row r="162" spans="2:29" x14ac:dyDescent="0.25">
      <c r="B162" s="59"/>
      <c r="C162" s="59"/>
      <c r="D162" s="59"/>
      <c r="J162" s="59"/>
    </row>
    <row r="163" spans="2:29" x14ac:dyDescent="0.25">
      <c r="B163" s="59"/>
      <c r="C163" s="59"/>
      <c r="D163" s="59"/>
      <c r="J163" s="59"/>
    </row>
    <row r="164" spans="2:29" s="2" customFormat="1" x14ac:dyDescent="0.25">
      <c r="B164" s="59"/>
      <c r="C164" s="59"/>
      <c r="D164" s="59"/>
      <c r="E164" s="14"/>
      <c r="F164" s="14"/>
      <c r="G164" s="40"/>
      <c r="H164" s="14"/>
      <c r="I164" s="14"/>
      <c r="J164" s="59"/>
      <c r="K164"/>
      <c r="L164" s="59"/>
      <c r="M164" s="1"/>
      <c r="N164" s="4"/>
      <c r="O164" s="4"/>
      <c r="P164" s="4"/>
      <c r="Q164"/>
      <c r="R164"/>
      <c r="S164" s="59"/>
      <c r="T164"/>
      <c r="U164" s="59"/>
      <c r="V164" s="54"/>
      <c r="W164" s="54"/>
      <c r="X164" s="54"/>
      <c r="Y164" s="54"/>
      <c r="Z164" s="54"/>
      <c r="AA164" s="54"/>
      <c r="AB164" s="55"/>
      <c r="AC164" s="55"/>
    </row>
  </sheetData>
  <autoFilter ref="A2:AC146">
    <sortState ref="A3:AC146">
      <sortCondition ref="A3:A146"/>
      <sortCondition ref="F3:F146"/>
    </sortState>
  </autoFilter>
  <sortState ref="A3:S150">
    <sortCondition ref="A3:A150"/>
    <sortCondition ref="F3:F150"/>
  </sortState>
  <mergeCells count="4">
    <mergeCell ref="I149:J149"/>
    <mergeCell ref="M149:O149"/>
    <mergeCell ref="I150:J150"/>
    <mergeCell ref="A1:P1"/>
  </mergeCells>
  <conditionalFormatting sqref="W1:W2 W3:X1048576">
    <cfRule type="cellIs" dxfId="22" priority="69" operator="equal">
      <formula>"Y"</formula>
    </cfRule>
  </conditionalFormatting>
  <conditionalFormatting sqref="X3:X1048576">
    <cfRule type="cellIs" dxfId="21" priority="52" operator="greaterThan">
      <formula>1</formula>
    </cfRule>
  </conditionalFormatting>
  <conditionalFormatting sqref="X2:X1048576">
    <cfRule type="cellIs" dxfId="20" priority="49" operator="equal">
      <formula>0</formula>
    </cfRule>
  </conditionalFormatting>
  <conditionalFormatting sqref="B147:S147 A146:E146 B144:E145 F144:R146 A3:S3 A4:R143 S4:S146">
    <cfRule type="expression" dxfId="19" priority="44">
      <formula>$P3&gt;0</formula>
    </cfRule>
    <cfRule type="expression" dxfId="18" priority="45">
      <formula>$O3&gt;0</formula>
    </cfRule>
  </conditionalFormatting>
  <conditionalFormatting sqref="A144:A145">
    <cfRule type="expression" dxfId="17" priority="1">
      <formula>$F280&gt;0</formula>
    </cfRule>
    <cfRule type="expression" dxfId="16" priority="2">
      <formula>$E280&gt;0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B147:S147 A146:E146 B144:E145 F144:R146 A3:S3 A4:R143 S4:S146</xm:sqref>
        </x14:conditionalFormatting>
        <x14:conditionalFormatting xmlns:xm="http://schemas.microsoft.com/office/excel/2006/main">
          <x14:cfRule type="expression" priority="3" id="{B2F94C47-29E2-4F28-83ED-BBD86AD29978}">
            <xm:f>$D280&gt;Variables!$C$2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A144:A145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showGridLines="0" tabSelected="1" topLeftCell="A22" zoomScale="85" zoomScaleNormal="85" workbookViewId="0">
      <selection activeCell="K67" sqref="K67:M68"/>
    </sheetView>
  </sheetViews>
  <sheetFormatPr defaultRowHeight="15" x14ac:dyDescent="0.25"/>
  <cols>
    <col min="1" max="1" width="18.42578125" style="14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80"/>
  </cols>
  <sheetData>
    <row r="1" spans="1:17" s="26" customFormat="1" ht="15" customHeight="1" x14ac:dyDescent="0.25">
      <c r="A1" s="105" t="str">
        <f>"Eagle P3 Braking Events - "&amp;TEXT(Variables!$A$2,"YYYY-mm-dd")</f>
        <v>Eagle P3 Braking Events - 2016-06-20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27"/>
      <c r="P1" s="78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1" t="s">
        <v>80</v>
      </c>
    </row>
    <row r="3" spans="1:17" s="2" customFormat="1" x14ac:dyDescent="0.25">
      <c r="A3" s="23">
        <v>42541.364340277774</v>
      </c>
      <c r="B3" s="22" t="s">
        <v>117</v>
      </c>
      <c r="C3" s="22" t="s">
        <v>263</v>
      </c>
      <c r="D3" s="22" t="s">
        <v>52</v>
      </c>
      <c r="E3" s="22" t="s">
        <v>86</v>
      </c>
      <c r="F3" s="22">
        <v>0</v>
      </c>
      <c r="G3" s="22">
        <v>155</v>
      </c>
      <c r="H3" s="22">
        <v>62043</v>
      </c>
      <c r="I3" s="22" t="s">
        <v>87</v>
      </c>
      <c r="J3" s="22">
        <v>63068</v>
      </c>
      <c r="K3" s="21" t="s">
        <v>55</v>
      </c>
      <c r="L3" s="21" t="str">
        <f>VLOOKUP(C3,'Trips&amp;Operators'!$C$2:$E$10000,3,FALSE)</f>
        <v>SANTIZO</v>
      </c>
      <c r="M3" s="20" t="s">
        <v>66</v>
      </c>
      <c r="N3" s="21" t="s">
        <v>197</v>
      </c>
      <c r="P3" s="79" t="str">
        <f>VLOOKUP(C3,'Train Runs'!$A$3:$V$256,22,0)</f>
        <v>https://search-rtdc-monitor-bjffxe2xuh6vdkpspy63sjmuny.us-east-1.es.amazonaws.com/_plugin/kibana/#/discover/Steve-Slow-Train-Analysis-(2080s-and-2083s)?_g=(refreshInterval:(display:Off,section:0,value:0),time:(from:'2016-06-20 08:25:08-0600',mode:absolute,to:'2016-06-20 09:12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" s="19" t="str">
        <f t="shared" ref="Q3" si="0">MID(B3,13,4)</f>
        <v>4029</v>
      </c>
    </row>
    <row r="4" spans="1:17" s="2" customFormat="1" x14ac:dyDescent="0.25">
      <c r="A4" s="23">
        <v>42541.432789351849</v>
      </c>
      <c r="B4" s="22" t="s">
        <v>154</v>
      </c>
      <c r="C4" s="22" t="s">
        <v>271</v>
      </c>
      <c r="D4" s="22" t="s">
        <v>52</v>
      </c>
      <c r="E4" s="22" t="s">
        <v>86</v>
      </c>
      <c r="F4" s="22">
        <v>0</v>
      </c>
      <c r="G4" s="22">
        <v>65</v>
      </c>
      <c r="H4" s="22">
        <v>63550</v>
      </c>
      <c r="I4" s="22" t="s">
        <v>87</v>
      </c>
      <c r="J4" s="22">
        <v>63309</v>
      </c>
      <c r="K4" s="21" t="s">
        <v>56</v>
      </c>
      <c r="L4" s="21" t="str">
        <f>VLOOKUP(C4,'Trips&amp;Operators'!$C$2:$E$10000,3,FALSE)</f>
        <v>MALAVE</v>
      </c>
      <c r="M4" s="20" t="s">
        <v>66</v>
      </c>
      <c r="N4" s="21" t="s">
        <v>197</v>
      </c>
      <c r="P4" s="79" t="str">
        <f>VLOOKUP(C4,'Train Runs'!$A$3:$V$256,22,0)</f>
        <v>https://search-rtdc-monitor-bjffxe2xuh6vdkpspy63sjmuny.us-east-1.es.amazonaws.com/_plugin/kibana/#/discover/Steve-Slow-Train-Analysis-(2080s-and-2083s)?_g=(refreshInterval:(display:Off,section:0,value:0),time:(from:'2016-06-20 09:54:32-0600',mode:absolute,to:'2016-06-20 10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4" s="19" t="str">
        <f t="shared" ref="Q4:Q65" si="1">MID(B4,13,4)</f>
        <v>4010</v>
      </c>
    </row>
    <row r="5" spans="1:17" s="2" customFormat="1" x14ac:dyDescent="0.25">
      <c r="A5" s="23">
        <v>42541.5156712963</v>
      </c>
      <c r="B5" s="22" t="s">
        <v>138</v>
      </c>
      <c r="C5" s="22" t="s">
        <v>290</v>
      </c>
      <c r="D5" s="22" t="s">
        <v>52</v>
      </c>
      <c r="E5" s="22" t="s">
        <v>86</v>
      </c>
      <c r="F5" s="22">
        <v>0</v>
      </c>
      <c r="G5" s="22">
        <v>31</v>
      </c>
      <c r="H5" s="22">
        <v>63371</v>
      </c>
      <c r="I5" s="22" t="s">
        <v>87</v>
      </c>
      <c r="J5" s="22">
        <v>63309</v>
      </c>
      <c r="K5" s="21" t="s">
        <v>56</v>
      </c>
      <c r="L5" s="21" t="str">
        <f>VLOOKUP(C5,'Trips&amp;Operators'!$C$2:$E$10000,3,FALSE)</f>
        <v>MALAVE</v>
      </c>
      <c r="M5" s="20" t="s">
        <v>66</v>
      </c>
      <c r="N5" s="21" t="s">
        <v>197</v>
      </c>
      <c r="P5" s="79" t="str">
        <f>VLOOKUP(C5,'Train Runs'!$A$3:$V$256,22,0)</f>
        <v>https://search-rtdc-monitor-bjffxe2xuh6vdkpspy63sjmuny.us-east-1.es.amazonaws.com/_plugin/kibana/#/discover/Steve-Slow-Train-Analysis-(2080s-and-2083s)?_g=(refreshInterval:(display:Off,section:0,value:0),time:(from:'2016-06-20 11:52:09-0600',mode:absolute,to:'2016-06-20 12:37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" s="19" t="str">
        <f t="shared" si="1"/>
        <v>4041</v>
      </c>
    </row>
    <row r="6" spans="1:17" s="2" customFormat="1" x14ac:dyDescent="0.25">
      <c r="A6" s="23">
        <v>42541.609363425923</v>
      </c>
      <c r="B6" s="22" t="s">
        <v>129</v>
      </c>
      <c r="C6" s="22" t="s">
        <v>315</v>
      </c>
      <c r="D6" s="22" t="s">
        <v>52</v>
      </c>
      <c r="E6" s="22" t="s">
        <v>86</v>
      </c>
      <c r="F6" s="22">
        <v>80</v>
      </c>
      <c r="G6" s="22">
        <v>127</v>
      </c>
      <c r="H6" s="22">
        <v>63850</v>
      </c>
      <c r="I6" s="22" t="s">
        <v>87</v>
      </c>
      <c r="J6" s="22">
        <v>63309</v>
      </c>
      <c r="K6" s="21" t="s">
        <v>56</v>
      </c>
      <c r="L6" s="21" t="str">
        <f>VLOOKUP(C6,'Trips&amp;Operators'!$C$2:$E$10000,3,FALSE)</f>
        <v>MAELZER</v>
      </c>
      <c r="M6" s="20" t="s">
        <v>66</v>
      </c>
      <c r="N6" s="21" t="s">
        <v>200</v>
      </c>
      <c r="P6" s="79" t="str">
        <f>VLOOKUP(C6,'Train Runs'!$A$3:$V$256,22,0)</f>
        <v>https://search-rtdc-monitor-bjffxe2xuh6vdkpspy63sjmuny.us-east-1.es.amazonaws.com/_plugin/kibana/#/discover/Steve-Slow-Train-Analysis-(2080s-and-2083s)?_g=(refreshInterval:(display:Off,section:0,value:0),time:(from:'2016-06-20 14:05:05-0600',mode:absolute,to:'2016-06-20 14:54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6" s="19" t="str">
        <f t="shared" si="1"/>
        <v>4026</v>
      </c>
    </row>
    <row r="7" spans="1:17" s="2" customFormat="1" x14ac:dyDescent="0.25">
      <c r="A7" s="23">
        <v>42541.602777777778</v>
      </c>
      <c r="B7" s="22" t="s">
        <v>107</v>
      </c>
      <c r="C7" s="22" t="s">
        <v>328</v>
      </c>
      <c r="D7" s="22" t="s">
        <v>52</v>
      </c>
      <c r="E7" s="22" t="s">
        <v>86</v>
      </c>
      <c r="F7" s="22">
        <v>150</v>
      </c>
      <c r="G7" s="22">
        <v>114</v>
      </c>
      <c r="H7" s="22">
        <v>63044</v>
      </c>
      <c r="I7" s="22" t="s">
        <v>87</v>
      </c>
      <c r="J7" s="22">
        <v>63068</v>
      </c>
      <c r="K7" s="21" t="s">
        <v>55</v>
      </c>
      <c r="L7" s="21" t="str">
        <f>VLOOKUP(C7,'Trips&amp;Operators'!$C$2:$E$10000,3,FALSE)</f>
        <v>GOODNIGHT</v>
      </c>
      <c r="M7" s="20" t="s">
        <v>66</v>
      </c>
      <c r="N7" s="21" t="s">
        <v>200</v>
      </c>
      <c r="P7" s="79" t="str">
        <f>VLOOKUP(C7,'Train Runs'!$A$3:$V$256,22,0)</f>
        <v>https://search-rtdc-monitor-bjffxe2xuh6vdkpspy63sjmuny.us-east-1.es.amazonaws.com/_plugin/kibana/#/discover/Steve-Slow-Train-Analysis-(2080s-and-2083s)?_g=(refreshInterval:(display:Off,section:0,value:0),time:(from:'2016-06-20 14:10:05-0600',mode:absolute,to:'2016-06-20 14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7" s="19" t="str">
        <f t="shared" si="1"/>
        <v>4024</v>
      </c>
    </row>
    <row r="8" spans="1:17" s="2" customFormat="1" x14ac:dyDescent="0.25">
      <c r="A8" s="23">
        <v>42541.635671296295</v>
      </c>
      <c r="B8" s="22" t="s">
        <v>128</v>
      </c>
      <c r="C8" s="22" t="s">
        <v>343</v>
      </c>
      <c r="D8" s="22" t="s">
        <v>52</v>
      </c>
      <c r="E8" s="22" t="s">
        <v>86</v>
      </c>
      <c r="F8" s="22">
        <v>0</v>
      </c>
      <c r="G8" s="22">
        <v>47</v>
      </c>
      <c r="H8" s="22">
        <v>62925</v>
      </c>
      <c r="I8" s="22" t="s">
        <v>87</v>
      </c>
      <c r="J8" s="22">
        <v>63068</v>
      </c>
      <c r="K8" s="21" t="s">
        <v>55</v>
      </c>
      <c r="L8" s="21" t="str">
        <f>VLOOKUP(C8,'Trips&amp;Operators'!$C$2:$E$10000,3,FALSE)</f>
        <v>MAELZER</v>
      </c>
      <c r="M8" s="20" t="s">
        <v>66</v>
      </c>
      <c r="N8" s="21" t="s">
        <v>197</v>
      </c>
      <c r="P8" s="79" t="str">
        <f>VLOOKUP(C8,'Train Runs'!$A$3:$V$256,22,0)</f>
        <v>https://search-rtdc-monitor-bjffxe2xuh6vdkpspy63sjmuny.us-east-1.es.amazonaws.com/_plugin/kibana/#/discover/Steve-Slow-Train-Analysis-(2080s-and-2083s)?_g=(refreshInterval:(display:Off,section:0,value:0),time:(from:'2016-06-20 14:54:31-0600',mode:absolute,to:'2016-06-20 15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8" s="19" t="str">
        <f t="shared" si="1"/>
        <v>4025</v>
      </c>
    </row>
    <row r="9" spans="1:17" s="2" customFormat="1" x14ac:dyDescent="0.25">
      <c r="A9" s="23">
        <v>42541.220995370371</v>
      </c>
      <c r="B9" s="22" t="s">
        <v>154</v>
      </c>
      <c r="C9" s="22" t="s">
        <v>213</v>
      </c>
      <c r="D9" s="22" t="s">
        <v>52</v>
      </c>
      <c r="E9" s="22" t="s">
        <v>60</v>
      </c>
      <c r="F9" s="22">
        <v>450</v>
      </c>
      <c r="G9" s="22">
        <v>447</v>
      </c>
      <c r="H9" s="22">
        <v>191532</v>
      </c>
      <c r="I9" s="22" t="s">
        <v>61</v>
      </c>
      <c r="J9" s="22">
        <v>191108</v>
      </c>
      <c r="K9" s="21" t="s">
        <v>56</v>
      </c>
      <c r="L9" s="21" t="str">
        <f>VLOOKUP(C9,'Trips&amp;Operators'!$C$2:$E$10000,3,FALSE)</f>
        <v>ROCHA</v>
      </c>
      <c r="M9" s="20" t="s">
        <v>66</v>
      </c>
      <c r="N9" s="21"/>
      <c r="P9" s="79" t="str">
        <f>VLOOKUP(C9,'Train Runs'!$A$3:$V$256,22,0)</f>
        <v>https://search-rtdc-monitor-bjffxe2xuh6vdkpspy63sjmuny.us-east-1.es.amazonaws.com/_plugin/kibana/#/discover/Steve-Slow-Train-Analysis-(2080s-and-2083s)?_g=(refreshInterval:(display:Off,section:0,value:0),time:(from:'2016-06-20 05:08:50-0600',mode:absolute,to:'2016-06-20 05:53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9" s="19" t="str">
        <f t="shared" si="1"/>
        <v>4010</v>
      </c>
    </row>
    <row r="10" spans="1:17" s="2" customFormat="1" x14ac:dyDescent="0.25">
      <c r="A10" s="23">
        <v>42541.484143518515</v>
      </c>
      <c r="B10" s="22" t="s">
        <v>140</v>
      </c>
      <c r="C10" s="22" t="s">
        <v>286</v>
      </c>
      <c r="D10" s="22" t="s">
        <v>57</v>
      </c>
      <c r="E10" s="22" t="s">
        <v>60</v>
      </c>
      <c r="F10" s="22">
        <v>600</v>
      </c>
      <c r="G10" s="22">
        <v>650</v>
      </c>
      <c r="H10" s="22">
        <v>183827</v>
      </c>
      <c r="I10" s="22" t="s">
        <v>61</v>
      </c>
      <c r="J10" s="22">
        <v>190834</v>
      </c>
      <c r="K10" s="21" t="s">
        <v>56</v>
      </c>
      <c r="L10" s="21" t="str">
        <f>VLOOKUP(C10,'Trips&amp;Operators'!$C$2:$E$10000,3,FALSE)</f>
        <v>SANTIZO</v>
      </c>
      <c r="M10" s="20" t="s">
        <v>66</v>
      </c>
      <c r="N10" s="21"/>
      <c r="P10" s="79" t="str">
        <f>VLOOKUP(C10,'Train Runs'!$A$3:$V$256,22,0)</f>
        <v>https://search-rtdc-monitor-bjffxe2xuh6vdkpspy63sjmuny.us-east-1.es.amazonaws.com/_plugin/kibana/#/discover/Steve-Slow-Train-Analysis-(2080s-and-2083s)?_g=(refreshInterval:(display:Off,section:0,value:0),time:(from:'2016-06-20 11:17:12-0600',mode:absolute,to:'2016-06-20 12:11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0" s="19" t="str">
        <f t="shared" si="1"/>
        <v>4012</v>
      </c>
    </row>
    <row r="11" spans="1:17" s="2" customFormat="1" x14ac:dyDescent="0.25">
      <c r="A11" s="23">
        <v>42541.49895833333</v>
      </c>
      <c r="B11" s="22" t="s">
        <v>138</v>
      </c>
      <c r="C11" s="22" t="s">
        <v>290</v>
      </c>
      <c r="D11" s="22" t="s">
        <v>57</v>
      </c>
      <c r="E11" s="22" t="s">
        <v>60</v>
      </c>
      <c r="F11" s="22">
        <v>350</v>
      </c>
      <c r="G11" s="22">
        <v>400</v>
      </c>
      <c r="H11" s="22">
        <v>224577</v>
      </c>
      <c r="I11" s="22" t="s">
        <v>61</v>
      </c>
      <c r="J11" s="22">
        <v>232107</v>
      </c>
      <c r="K11" s="21" t="s">
        <v>56</v>
      </c>
      <c r="L11" s="21" t="str">
        <f>VLOOKUP(C11,'Trips&amp;Operators'!$C$2:$E$10000,3,FALSE)</f>
        <v>MALAVE</v>
      </c>
      <c r="M11" s="20" t="s">
        <v>66</v>
      </c>
      <c r="N11" s="21"/>
      <c r="P11" s="79" t="str">
        <f>VLOOKUP(C11,'Train Runs'!$A$3:$V$256,22,0)</f>
        <v>https://search-rtdc-monitor-bjffxe2xuh6vdkpspy63sjmuny.us-east-1.es.amazonaws.com/_plugin/kibana/#/discover/Steve-Slow-Train-Analysis-(2080s-and-2083s)?_g=(refreshInterval:(display:Off,section:0,value:0),time:(from:'2016-06-20 11:52:09-0600',mode:absolute,to:'2016-06-20 12:37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1" s="19" t="str">
        <f t="shared" si="1"/>
        <v>4041</v>
      </c>
    </row>
    <row r="12" spans="1:17" s="2" customFormat="1" x14ac:dyDescent="0.25">
      <c r="A12" s="23">
        <v>42541.541666666664</v>
      </c>
      <c r="B12" s="22" t="s">
        <v>89</v>
      </c>
      <c r="C12" s="22" t="s">
        <v>299</v>
      </c>
      <c r="D12" s="22" t="s">
        <v>52</v>
      </c>
      <c r="E12" s="22" t="s">
        <v>60</v>
      </c>
      <c r="F12" s="22">
        <v>400</v>
      </c>
      <c r="G12" s="22">
        <v>458</v>
      </c>
      <c r="H12" s="22">
        <v>120839</v>
      </c>
      <c r="I12" s="22" t="s">
        <v>61</v>
      </c>
      <c r="J12" s="22">
        <v>119716</v>
      </c>
      <c r="K12" s="21" t="s">
        <v>56</v>
      </c>
      <c r="L12" s="21" t="str">
        <f>VLOOKUP(C12,'Trips&amp;Operators'!$C$2:$E$10000,3,FALSE)</f>
        <v>LOCKLEAR</v>
      </c>
      <c r="M12" s="20" t="s">
        <v>66</v>
      </c>
      <c r="N12" s="21"/>
      <c r="P12" s="79" t="str">
        <f>VLOOKUP(C12,'Train Runs'!$A$3:$V$256,22,0)</f>
        <v>https://search-rtdc-monitor-bjffxe2xuh6vdkpspy63sjmuny.us-east-1.es.amazonaws.com/_plugin/kibana/#/discover/Steve-Slow-Train-Analysis-(2080s-and-2083s)?_g=(refreshInterval:(display:Off,section:0,value:0),time:(from:'2016-06-20 12:35:29-0600',mode:absolute,to:'2016-06-20 13:23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12" s="19" t="str">
        <f t="shared" si="1"/>
        <v>4043</v>
      </c>
    </row>
    <row r="13" spans="1:17" s="2" customFormat="1" x14ac:dyDescent="0.25">
      <c r="A13" s="23">
        <v>42541.579918981479</v>
      </c>
      <c r="B13" s="22" t="s">
        <v>128</v>
      </c>
      <c r="C13" s="22" t="s">
        <v>313</v>
      </c>
      <c r="D13" s="22" t="s">
        <v>52</v>
      </c>
      <c r="E13" s="22" t="s">
        <v>60</v>
      </c>
      <c r="F13" s="22">
        <v>150</v>
      </c>
      <c r="G13" s="22">
        <v>122</v>
      </c>
      <c r="H13" s="22">
        <v>231740</v>
      </c>
      <c r="I13" s="22" t="s">
        <v>61</v>
      </c>
      <c r="J13" s="22">
        <v>232080</v>
      </c>
      <c r="K13" s="21" t="s">
        <v>55</v>
      </c>
      <c r="L13" s="21" t="str">
        <f>VLOOKUP(C13,'Trips&amp;Operators'!$C$2:$E$10000,3,FALSE)</f>
        <v>MAELZER</v>
      </c>
      <c r="M13" s="20" t="s">
        <v>66</v>
      </c>
      <c r="N13" s="21"/>
      <c r="P13" s="79" t="str">
        <f>VLOOKUP(C13,'Train Runs'!$A$3:$V$256,22,0)</f>
        <v>https://search-rtdc-monitor-bjffxe2xuh6vdkpspy63sjmuny.us-east-1.es.amazonaws.com/_plugin/kibana/#/discover/Steve-Slow-Train-Analysis-(2080s-and-2083s)?_g=(refreshInterval:(display:Off,section:0,value:0),time:(from:'2016-06-20 13:07:51-0600',mode:absolute,to:'2016-06-20 13:57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3" s="19" t="str">
        <f t="shared" si="1"/>
        <v>4025</v>
      </c>
    </row>
    <row r="14" spans="1:17" s="2" customFormat="1" x14ac:dyDescent="0.25">
      <c r="A14" s="23">
        <v>42541.653055555558</v>
      </c>
      <c r="B14" s="22" t="s">
        <v>100</v>
      </c>
      <c r="C14" s="22" t="s">
        <v>331</v>
      </c>
      <c r="D14" s="22" t="s">
        <v>52</v>
      </c>
      <c r="E14" s="22" t="s">
        <v>60</v>
      </c>
      <c r="F14" s="22">
        <v>200</v>
      </c>
      <c r="G14" s="22">
        <v>277</v>
      </c>
      <c r="H14" s="22">
        <v>36248</v>
      </c>
      <c r="I14" s="22" t="s">
        <v>61</v>
      </c>
      <c r="J14" s="22">
        <v>30562</v>
      </c>
      <c r="K14" s="21" t="s">
        <v>56</v>
      </c>
      <c r="L14" s="21" t="str">
        <f>VLOOKUP(C14,'Trips&amp;Operators'!$C$2:$E$10000,3,FALSE)</f>
        <v>GOODNIGHT</v>
      </c>
      <c r="M14" s="20" t="s">
        <v>66</v>
      </c>
      <c r="N14" s="21"/>
      <c r="P14" s="79" t="str">
        <f>VLOOKUP(C14,'Train Runs'!$A$3:$V$256,22,0)</f>
        <v>https://search-rtdc-monitor-bjffxe2xuh6vdkpspy63sjmuny.us-east-1.es.amazonaws.com/_plugin/kibana/#/discover/Steve-Slow-Train-Analysis-(2080s-and-2083s)?_g=(refreshInterval:(display:Off,section:0,value:0),time:(from:'2016-06-20 15:08:32-0600',mode:absolute,to:'2016-06-20 15:51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4" s="19" t="str">
        <f t="shared" si="1"/>
        <v>4023</v>
      </c>
    </row>
    <row r="15" spans="1:17" s="2" customFormat="1" x14ac:dyDescent="0.25">
      <c r="A15" s="23">
        <v>42541.671840277777</v>
      </c>
      <c r="B15" s="22" t="s">
        <v>138</v>
      </c>
      <c r="C15" s="22" t="s">
        <v>337</v>
      </c>
      <c r="D15" s="22" t="s">
        <v>52</v>
      </c>
      <c r="E15" s="22" t="s">
        <v>60</v>
      </c>
      <c r="F15" s="22">
        <v>200</v>
      </c>
      <c r="G15" s="22">
        <v>241</v>
      </c>
      <c r="H15" s="22">
        <v>6087</v>
      </c>
      <c r="I15" s="22" t="s">
        <v>61</v>
      </c>
      <c r="J15" s="22">
        <v>5457</v>
      </c>
      <c r="K15" s="21" t="s">
        <v>56</v>
      </c>
      <c r="L15" s="21" t="str">
        <f>VLOOKUP(C15,'Trips&amp;Operators'!$C$2:$E$10000,3,FALSE)</f>
        <v>MOSES</v>
      </c>
      <c r="M15" s="20" t="s">
        <v>66</v>
      </c>
      <c r="N15" s="21"/>
      <c r="P15" s="79" t="str">
        <f>VLOOKUP(C15,'Train Runs'!$A$3:$V$256,22,0)</f>
        <v>https://search-rtdc-monitor-bjffxe2xuh6vdkpspy63sjmuny.us-east-1.es.amazonaws.com/_plugin/kibana/#/discover/Steve-Slow-Train-Analysis-(2080s-and-2083s)?_g=(refreshInterval:(display:Off,section:0,value:0),time:(from:'2016-06-20 15:21:39-0600',mode:absolute,to:'2016-06-20 16:12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5" s="19" t="str">
        <f t="shared" si="1"/>
        <v>4041</v>
      </c>
    </row>
    <row r="16" spans="1:17" s="2" customFormat="1" x14ac:dyDescent="0.25">
      <c r="A16" s="23">
        <v>42541.658587962964</v>
      </c>
      <c r="B16" s="22" t="s">
        <v>108</v>
      </c>
      <c r="C16" s="22" t="s">
        <v>342</v>
      </c>
      <c r="D16" s="22" t="s">
        <v>57</v>
      </c>
      <c r="E16" s="22" t="s">
        <v>60</v>
      </c>
      <c r="F16" s="22">
        <v>600</v>
      </c>
      <c r="G16" s="22">
        <v>654</v>
      </c>
      <c r="H16" s="22">
        <v>184619</v>
      </c>
      <c r="I16" s="22" t="s">
        <v>61</v>
      </c>
      <c r="J16" s="22">
        <v>190834</v>
      </c>
      <c r="K16" s="21" t="s">
        <v>56</v>
      </c>
      <c r="L16" s="21" t="str">
        <f>VLOOKUP(C16,'Trips&amp;Operators'!$C$2:$E$10000,3,FALSE)</f>
        <v>HELVIE</v>
      </c>
      <c r="M16" s="20" t="s">
        <v>66</v>
      </c>
      <c r="N16" s="21"/>
      <c r="P16" s="79" t="str">
        <f>VLOOKUP(C16,'Train Runs'!$A$3:$V$256,22,0)</f>
        <v>https://search-rtdc-monitor-bjffxe2xuh6vdkpspy63sjmuny.us-east-1.es.amazonaws.com/_plugin/kibana/#/discover/Steve-Slow-Train-Analysis-(2080s-and-2083s)?_g=(refreshInterval:(display:Off,section:0,value:0),time:(from:'2016-06-20 15:32:50-0600',mode:absolute,to:'2016-06-20 16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6" s="19" t="str">
        <f t="shared" si="1"/>
        <v>4008</v>
      </c>
    </row>
    <row r="17" spans="1:17" s="2" customFormat="1" x14ac:dyDescent="0.25">
      <c r="A17" s="23">
        <v>42541.67559027778</v>
      </c>
      <c r="B17" s="22" t="s">
        <v>99</v>
      </c>
      <c r="C17" s="22" t="s">
        <v>349</v>
      </c>
      <c r="D17" s="22" t="s">
        <v>52</v>
      </c>
      <c r="E17" s="22" t="s">
        <v>60</v>
      </c>
      <c r="F17" s="22">
        <v>150</v>
      </c>
      <c r="G17" s="22">
        <v>182</v>
      </c>
      <c r="H17" s="22">
        <v>229237</v>
      </c>
      <c r="I17" s="22" t="s">
        <v>61</v>
      </c>
      <c r="J17" s="22">
        <v>229055</v>
      </c>
      <c r="K17" s="21" t="s">
        <v>56</v>
      </c>
      <c r="L17" s="21" t="str">
        <f>VLOOKUP(C17,'Trips&amp;Operators'!$C$2:$E$10000,3,FALSE)</f>
        <v>LOCKLEAR</v>
      </c>
      <c r="M17" s="20" t="s">
        <v>66</v>
      </c>
      <c r="N17" s="21"/>
      <c r="P17" s="79" t="str">
        <f>VLOOKUP(C17,'Train Runs'!$A$3:$V$256,22,0)</f>
        <v>https://search-rtdc-monitor-bjffxe2xuh6vdkpspy63sjmuny.us-east-1.es.amazonaws.com/_plugin/kibana/#/discover/Steve-Slow-Train-Analysis-(2080s-and-2083s)?_g=(refreshInterval:(display:Off,section:0,value:0),time:(from:'2016-06-20 16:05:50-0600',mode:absolute,to:'2016-06-20 16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7" s="19" t="str">
        <f t="shared" si="1"/>
        <v>4017</v>
      </c>
    </row>
    <row r="18" spans="1:17" s="2" customFormat="1" x14ac:dyDescent="0.25">
      <c r="A18" s="23">
        <v>42541.702349537038</v>
      </c>
      <c r="B18" s="22" t="s">
        <v>140</v>
      </c>
      <c r="C18" s="22" t="s">
        <v>355</v>
      </c>
      <c r="D18" s="22" t="s">
        <v>52</v>
      </c>
      <c r="E18" s="22" t="s">
        <v>60</v>
      </c>
      <c r="F18" s="22">
        <v>450</v>
      </c>
      <c r="G18" s="22">
        <v>450</v>
      </c>
      <c r="H18" s="22">
        <v>191805</v>
      </c>
      <c r="I18" s="22" t="s">
        <v>61</v>
      </c>
      <c r="J18" s="22">
        <v>191108</v>
      </c>
      <c r="K18" s="21" t="s">
        <v>56</v>
      </c>
      <c r="L18" s="21" t="str">
        <f>VLOOKUP(C18,'Trips&amp;Operators'!$C$2:$E$10000,3,FALSE)</f>
        <v>LOZA</v>
      </c>
      <c r="M18" s="20" t="s">
        <v>66</v>
      </c>
      <c r="N18" s="21"/>
      <c r="P18" s="79" t="str">
        <f>VLOOKUP(C18,'Train Runs'!$A$3:$V$256,22,0)</f>
        <v>https://search-rtdc-monitor-bjffxe2xuh6vdkpspy63sjmuny.us-east-1.es.amazonaws.com/_plugin/kibana/#/discover/Steve-Slow-Train-Analysis-(2080s-and-2083s)?_g=(refreshInterval:(display:Off,section:0,value:0),time:(from:'2016-06-20 16:35:36-0600',mode:absolute,to:'2016-06-20 17:24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8" s="19" t="str">
        <f t="shared" si="1"/>
        <v>4012</v>
      </c>
    </row>
    <row r="19" spans="1:17" s="2" customFormat="1" x14ac:dyDescent="0.25">
      <c r="A19" s="23">
        <v>42541.738553240742</v>
      </c>
      <c r="B19" s="22" t="s">
        <v>138</v>
      </c>
      <c r="C19" s="22" t="s">
        <v>364</v>
      </c>
      <c r="D19" s="22" t="s">
        <v>52</v>
      </c>
      <c r="E19" s="22" t="s">
        <v>60</v>
      </c>
      <c r="F19" s="22">
        <v>200</v>
      </c>
      <c r="G19" s="22">
        <v>305</v>
      </c>
      <c r="H19" s="22">
        <v>31054</v>
      </c>
      <c r="I19" s="22" t="s">
        <v>61</v>
      </c>
      <c r="J19" s="22">
        <v>30562</v>
      </c>
      <c r="K19" s="21" t="s">
        <v>56</v>
      </c>
      <c r="L19" s="21" t="str">
        <f>VLOOKUP(C19,'Trips&amp;Operators'!$C$2:$E$10000,3,FALSE)</f>
        <v>MOSES</v>
      </c>
      <c r="M19" s="20" t="s">
        <v>66</v>
      </c>
      <c r="N19" s="21"/>
      <c r="P19" s="79" t="str">
        <f>VLOOKUP(C19,'Train Runs'!$A$3:$V$256,22,0)</f>
        <v>https://search-rtdc-monitor-bjffxe2xuh6vdkpspy63sjmuny.us-east-1.es.amazonaws.com/_plugin/kibana/#/discover/Steve-Slow-Train-Analysis-(2080s-and-2083s)?_g=(refreshInterval:(display:Off,section:0,value:0),time:(from:'2016-06-20 17:03:43-0600',mode:absolute,to:'2016-06-20 17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9" s="19" t="str">
        <f t="shared" si="1"/>
        <v>4041</v>
      </c>
    </row>
    <row r="20" spans="1:17" s="2" customFormat="1" x14ac:dyDescent="0.25">
      <c r="A20" s="23">
        <v>42541.691458333335</v>
      </c>
      <c r="B20" s="22" t="s">
        <v>110</v>
      </c>
      <c r="C20" s="22" t="s">
        <v>366</v>
      </c>
      <c r="D20" s="22" t="s">
        <v>52</v>
      </c>
      <c r="E20" s="22" t="s">
        <v>60</v>
      </c>
      <c r="F20" s="22">
        <v>300</v>
      </c>
      <c r="G20" s="22">
        <v>290</v>
      </c>
      <c r="H20" s="22">
        <v>20229</v>
      </c>
      <c r="I20" s="22" t="s">
        <v>61</v>
      </c>
      <c r="J20" s="22">
        <v>20338</v>
      </c>
      <c r="K20" s="21" t="s">
        <v>55</v>
      </c>
      <c r="L20" s="21" t="str">
        <f>VLOOKUP(C20,'Trips&amp;Operators'!$C$2:$E$10000,3,FALSE)</f>
        <v>HELVIE</v>
      </c>
      <c r="M20" s="20" t="s">
        <v>66</v>
      </c>
      <c r="N20" s="21"/>
      <c r="P20" s="79" t="str">
        <f>VLOOKUP(C20,'Train Runs'!$A$3:$V$256,22,0)</f>
        <v>https://search-rtdc-monitor-bjffxe2xuh6vdkpspy63sjmuny.us-east-1.es.amazonaws.com/_plugin/kibana/#/discover/Steve-Slow-Train-Analysis-(2080s-and-2083s)?_g=(refreshInterval:(display:Off,section:0,value:0),time:(from:'2016-06-20 16:23:53-0600',mode:absolute,to:'2016-06-20 17:09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0" s="19" t="str">
        <f t="shared" si="1"/>
        <v>4007</v>
      </c>
    </row>
    <row r="21" spans="1:17" s="2" customFormat="1" x14ac:dyDescent="0.25">
      <c r="A21" s="23">
        <v>42541.730613425927</v>
      </c>
      <c r="B21" s="22" t="s">
        <v>108</v>
      </c>
      <c r="C21" s="22" t="s">
        <v>367</v>
      </c>
      <c r="D21" s="22" t="s">
        <v>52</v>
      </c>
      <c r="E21" s="22" t="s">
        <v>60</v>
      </c>
      <c r="F21" s="22">
        <v>450</v>
      </c>
      <c r="G21" s="22">
        <v>449</v>
      </c>
      <c r="H21" s="22">
        <v>192400</v>
      </c>
      <c r="I21" s="22" t="s">
        <v>61</v>
      </c>
      <c r="J21" s="22">
        <v>191108</v>
      </c>
      <c r="K21" s="21" t="s">
        <v>56</v>
      </c>
      <c r="L21" s="21" t="str">
        <f>VLOOKUP(C21,'Trips&amp;Operators'!$C$2:$E$10000,3,FALSE)</f>
        <v>HELVIE</v>
      </c>
      <c r="M21" s="20" t="s">
        <v>66</v>
      </c>
      <c r="N21" s="21"/>
      <c r="P21" s="79" t="str">
        <f>VLOOKUP(C21,'Train Runs'!$A$3:$V$256,22,0)</f>
        <v>https://search-rtdc-monitor-bjffxe2xuh6vdkpspy63sjmuny.us-east-1.es.amazonaws.com/_plugin/kibana/#/discover/Steve-Slow-Train-Analysis-(2080s-and-2083s)?_g=(refreshInterval:(display:Off,section:0,value:0),time:(from:'2016-06-20 17:16:23-0600',mode:absolute,to:'2016-06-20 18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1" s="19" t="str">
        <f t="shared" si="1"/>
        <v>4008</v>
      </c>
    </row>
    <row r="22" spans="1:17" s="2" customFormat="1" x14ac:dyDescent="0.25">
      <c r="A22" s="23">
        <v>42541.744189814817</v>
      </c>
      <c r="B22" s="22" t="s">
        <v>129</v>
      </c>
      <c r="C22" s="22" t="s">
        <v>372</v>
      </c>
      <c r="D22" s="22" t="s">
        <v>57</v>
      </c>
      <c r="E22" s="22" t="s">
        <v>60</v>
      </c>
      <c r="F22" s="22">
        <v>600</v>
      </c>
      <c r="G22" s="22">
        <v>658</v>
      </c>
      <c r="H22" s="22">
        <v>184335</v>
      </c>
      <c r="I22" s="22" t="s">
        <v>61</v>
      </c>
      <c r="J22" s="22">
        <v>190834</v>
      </c>
      <c r="K22" s="21" t="s">
        <v>56</v>
      </c>
      <c r="L22" s="21" t="str">
        <f>VLOOKUP(C22,'Trips&amp;Operators'!$C$2:$E$10000,3,FALSE)</f>
        <v>MAELZER</v>
      </c>
      <c r="M22" s="20" t="s">
        <v>66</v>
      </c>
      <c r="N22" s="21"/>
      <c r="P22" s="79" t="str">
        <f>VLOOKUP(C22,'Train Runs'!$A$3:$V$256,22,0)</f>
        <v>https://search-rtdc-monitor-bjffxe2xuh6vdkpspy63sjmuny.us-east-1.es.amazonaws.com/_plugin/kibana/#/discover/Steve-Slow-Train-Analysis-(2080s-and-2083s)?_g=(refreshInterval:(display:Off,section:0,value:0),time:(from:'2016-06-20 17:33:18-0600',mode:absolute,to:'2016-06-20 18:26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2" s="19" t="str">
        <f t="shared" si="1"/>
        <v>4026</v>
      </c>
    </row>
    <row r="23" spans="1:17" s="2" customFormat="1" x14ac:dyDescent="0.25">
      <c r="A23" s="23">
        <v>42541.833124999997</v>
      </c>
      <c r="B23" s="22" t="s">
        <v>109</v>
      </c>
      <c r="C23" s="22" t="s">
        <v>402</v>
      </c>
      <c r="D23" s="22" t="s">
        <v>57</v>
      </c>
      <c r="E23" s="22" t="s">
        <v>60</v>
      </c>
      <c r="F23" s="22">
        <v>350</v>
      </c>
      <c r="G23" s="22">
        <v>410</v>
      </c>
      <c r="H23" s="22">
        <v>224620</v>
      </c>
      <c r="I23" s="22" t="s">
        <v>61</v>
      </c>
      <c r="J23" s="22">
        <v>228668</v>
      </c>
      <c r="K23" s="21" t="s">
        <v>56</v>
      </c>
      <c r="L23" s="21" t="str">
        <f>VLOOKUP(C23,'Trips&amp;Operators'!$C$2:$E$10000,3,FALSE)</f>
        <v>YOUNG</v>
      </c>
      <c r="M23" s="20" t="s">
        <v>66</v>
      </c>
      <c r="N23" s="21"/>
      <c r="P23" s="79" t="str">
        <f>VLOOKUP(C23,'Train Runs'!$A$3:$V$256,22,0)</f>
        <v>https://search-rtdc-monitor-bjffxe2xuh6vdkpspy63sjmuny.us-east-1.es.amazonaws.com/_plugin/kibana/#/discover/Steve-Slow-Train-Analysis-(2080s-and-2083s)?_g=(refreshInterval:(display:Off,section:0,value:0),time:(from:'2016-06-20 19:49:25-0600',mode:absolute,to:'2016-06-20 20:40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3" s="19" t="str">
        <f t="shared" si="1"/>
        <v>4030</v>
      </c>
    </row>
    <row r="24" spans="1:17" s="2" customFormat="1" x14ac:dyDescent="0.25">
      <c r="A24" s="23">
        <v>42541.281805555554</v>
      </c>
      <c r="B24" s="22" t="s">
        <v>111</v>
      </c>
      <c r="C24" s="22" t="s">
        <v>242</v>
      </c>
      <c r="D24" s="22" t="s">
        <v>52</v>
      </c>
      <c r="E24" s="22" t="s">
        <v>58</v>
      </c>
      <c r="F24" s="22">
        <v>0</v>
      </c>
      <c r="G24" s="22">
        <v>201</v>
      </c>
      <c r="H24" s="22">
        <v>63389</v>
      </c>
      <c r="I24" s="22" t="s">
        <v>59</v>
      </c>
      <c r="J24" s="22">
        <v>63995</v>
      </c>
      <c r="K24" s="21" t="s">
        <v>55</v>
      </c>
      <c r="L24" s="21" t="str">
        <f>VLOOKUP(C24,'Trips&amp;Operators'!$C$2:$E$10000,3,FALSE)</f>
        <v>SPECTOR</v>
      </c>
      <c r="M24" s="20" t="s">
        <v>76</v>
      </c>
      <c r="N24" s="21" t="s">
        <v>198</v>
      </c>
      <c r="P24" s="79" t="str">
        <f>VLOOKUP(C24,'Train Runs'!$A$3:$V$256,22,0)</f>
        <v>https://search-rtdc-monitor-bjffxe2xuh6vdkpspy63sjmuny.us-east-1.es.amazonaws.com/_plugin/kibana/#/discover/Steve-Slow-Train-Analysis-(2080s-and-2083s)?_g=(refreshInterval:(display:Off,section:0,value:0),time:(from:'2016-06-20 06:23:14-0600',mode:absolute,to:'2016-06-20 07:10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4" s="19" t="str">
        <f t="shared" si="1"/>
        <v>4044</v>
      </c>
    </row>
    <row r="25" spans="1:17" s="2" customFormat="1" x14ac:dyDescent="0.25">
      <c r="A25" s="23">
        <v>42541.521770833337</v>
      </c>
      <c r="B25" s="22" t="s">
        <v>129</v>
      </c>
      <c r="C25" s="22" t="s">
        <v>295</v>
      </c>
      <c r="D25" s="22" t="s">
        <v>52</v>
      </c>
      <c r="E25" s="22" t="s">
        <v>58</v>
      </c>
      <c r="F25" s="22">
        <v>0</v>
      </c>
      <c r="G25" s="22">
        <v>389</v>
      </c>
      <c r="H25" s="22">
        <v>194122</v>
      </c>
      <c r="I25" s="22" t="s">
        <v>59</v>
      </c>
      <c r="J25" s="22">
        <v>191723</v>
      </c>
      <c r="K25" s="21" t="s">
        <v>56</v>
      </c>
      <c r="L25" s="21" t="str">
        <f>VLOOKUP(C25,'Trips&amp;Operators'!$C$2:$E$10000,3,FALSE)</f>
        <v>MAELZER</v>
      </c>
      <c r="M25" s="20" t="s">
        <v>66</v>
      </c>
      <c r="N25" s="21" t="s">
        <v>503</v>
      </c>
      <c r="P25" s="79" t="str">
        <f>VLOOKUP(C25,'Train Runs'!$A$3:$V$256,22,0)</f>
        <v>https://search-rtdc-monitor-bjffxe2xuh6vdkpspy63sjmuny.us-east-1.es.amazonaws.com/_plugin/kibana/#/discover/Steve-Slow-Train-Analysis-(2080s-and-2083s)?_g=(refreshInterval:(display:Off,section:0,value:0),time:(from:'2016-06-20 12:14:48-0600',mode:absolute,to:'2016-06-20 13:07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5" s="19" t="str">
        <f t="shared" si="1"/>
        <v>4026</v>
      </c>
    </row>
    <row r="26" spans="1:17" s="2" customFormat="1" x14ac:dyDescent="0.25">
      <c r="A26" s="23">
        <v>42541.56150462963</v>
      </c>
      <c r="B26" s="22" t="s">
        <v>128</v>
      </c>
      <c r="C26" s="22" t="s">
        <v>313</v>
      </c>
      <c r="D26" s="22" t="s">
        <v>52</v>
      </c>
      <c r="E26" s="22" t="s">
        <v>58</v>
      </c>
      <c r="F26" s="22">
        <v>0</v>
      </c>
      <c r="G26" s="22">
        <v>370</v>
      </c>
      <c r="H26" s="22">
        <v>49118</v>
      </c>
      <c r="I26" s="22" t="s">
        <v>59</v>
      </c>
      <c r="J26" s="22">
        <v>50746</v>
      </c>
      <c r="K26" s="21" t="s">
        <v>55</v>
      </c>
      <c r="L26" s="21" t="str">
        <f>VLOOKUP(C26,'Trips&amp;Operators'!$C$2:$E$10000,3,FALSE)</f>
        <v>MAELZER</v>
      </c>
      <c r="M26" s="20" t="s">
        <v>76</v>
      </c>
      <c r="N26" s="21" t="s">
        <v>198</v>
      </c>
      <c r="P26" s="79" t="str">
        <f>VLOOKUP(C26,'Train Runs'!$A$3:$V$256,22,0)</f>
        <v>https://search-rtdc-monitor-bjffxe2xuh6vdkpspy63sjmuny.us-east-1.es.amazonaws.com/_plugin/kibana/#/discover/Steve-Slow-Train-Analysis-(2080s-and-2083s)?_g=(refreshInterval:(display:Off,section:0,value:0),time:(from:'2016-06-20 13:07:51-0600',mode:absolute,to:'2016-06-20 13:57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6" s="19" t="str">
        <f t="shared" si="1"/>
        <v>4025</v>
      </c>
    </row>
    <row r="27" spans="1:17" s="2" customFormat="1" x14ac:dyDescent="0.25">
      <c r="A27" s="23">
        <v>42541.647152777776</v>
      </c>
      <c r="B27" s="22" t="s">
        <v>138</v>
      </c>
      <c r="C27" s="22" t="s">
        <v>337</v>
      </c>
      <c r="D27" s="22" t="s">
        <v>52</v>
      </c>
      <c r="E27" s="22" t="s">
        <v>58</v>
      </c>
      <c r="F27" s="22">
        <v>0</v>
      </c>
      <c r="G27" s="22">
        <v>594</v>
      </c>
      <c r="H27" s="22">
        <v>196066</v>
      </c>
      <c r="I27" s="22" t="s">
        <v>59</v>
      </c>
      <c r="J27" s="22">
        <v>191723</v>
      </c>
      <c r="K27" s="21" t="s">
        <v>56</v>
      </c>
      <c r="L27" s="21" t="str">
        <f>VLOOKUP(C27,'Trips&amp;Operators'!$C$2:$E$10000,3,FALSE)</f>
        <v>MOSES</v>
      </c>
      <c r="M27" s="20" t="s">
        <v>66</v>
      </c>
      <c r="N27" s="21" t="s">
        <v>503</v>
      </c>
      <c r="P27" s="79" t="str">
        <f>VLOOKUP(C27,'Train Runs'!$A$3:$V$256,22,0)</f>
        <v>https://search-rtdc-monitor-bjffxe2xuh6vdkpspy63sjmuny.us-east-1.es.amazonaws.com/_plugin/kibana/#/discover/Steve-Slow-Train-Analysis-(2080s-and-2083s)?_g=(refreshInterval:(display:Off,section:0,value:0),time:(from:'2016-06-20 15:21:39-0600',mode:absolute,to:'2016-06-20 16:12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27" s="19" t="str">
        <f t="shared" si="1"/>
        <v>4041</v>
      </c>
    </row>
    <row r="28" spans="1:17" s="2" customFormat="1" x14ac:dyDescent="0.25">
      <c r="A28" s="23">
        <v>42542.043935185182</v>
      </c>
      <c r="B28" s="22" t="s">
        <v>128</v>
      </c>
      <c r="C28" s="22" t="s">
        <v>431</v>
      </c>
      <c r="D28" s="22" t="s">
        <v>52</v>
      </c>
      <c r="E28" s="22" t="s">
        <v>485</v>
      </c>
      <c r="F28" s="22">
        <v>600</v>
      </c>
      <c r="G28" s="22">
        <v>632</v>
      </c>
      <c r="H28" s="22">
        <v>193318</v>
      </c>
      <c r="I28" s="22" t="s">
        <v>87</v>
      </c>
      <c r="J28" s="22">
        <v>195000</v>
      </c>
      <c r="K28" s="21" t="s">
        <v>55</v>
      </c>
      <c r="L28" s="21" t="str">
        <f>VLOOKUP(C28,'Trips&amp;Operators'!$C$2:$E$10000,3,FALSE)</f>
        <v>CHANDLER</v>
      </c>
      <c r="M28" s="20" t="s">
        <v>66</v>
      </c>
      <c r="N28" s="21"/>
      <c r="P28" s="79" t="str">
        <f>VLOOKUP(C28,'Train Runs'!$A$3:$V$256,22,0)</f>
        <v>https://search-rtdc-monitor-bjffxe2xuh6vdkpspy63sjmuny.us-east-1.es.amazonaws.com/_plugin/kibana/#/discover/Steve-Slow-Train-Analysis-(2080s-and-2083s)?_g=(refreshInterval:(display:Off,section:0,value:0),time:(from:'2016-06-21 00:24:25-0600',mode:absolute,to:'2016-06-21 01:13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8" s="19" t="str">
        <f t="shared" si="1"/>
        <v>4025</v>
      </c>
    </row>
    <row r="29" spans="1:17" s="2" customFormat="1" x14ac:dyDescent="0.25">
      <c r="A29" s="23">
        <v>42541.183587962965</v>
      </c>
      <c r="B29" s="22" t="s">
        <v>483</v>
      </c>
      <c r="C29" s="22" t="s">
        <v>206</v>
      </c>
      <c r="D29" s="22" t="s">
        <v>52</v>
      </c>
      <c r="E29" s="22" t="s">
        <v>53</v>
      </c>
      <c r="F29" s="22">
        <v>0</v>
      </c>
      <c r="G29" s="22">
        <v>7</v>
      </c>
      <c r="H29" s="22">
        <v>233323</v>
      </c>
      <c r="I29" s="22" t="s">
        <v>54</v>
      </c>
      <c r="J29" s="22">
        <v>233491</v>
      </c>
      <c r="K29" s="21" t="s">
        <v>55</v>
      </c>
      <c r="L29" s="21" t="str">
        <f>VLOOKUP(C29,'Trips&amp;Operators'!$C$2:$E$10000,3,FALSE)</f>
        <v>STURGEON</v>
      </c>
      <c r="M29" s="20" t="s">
        <v>66</v>
      </c>
      <c r="N29" s="21"/>
      <c r="P29" s="79" t="str">
        <f>VLOOKUP(C29,'Train Runs'!$A$3:$V$256,22,0)</f>
        <v>https://search-rtdc-monitor-bjffxe2xuh6vdkpspy63sjmuny.us-east-1.es.amazonaws.com/_plugin/kibana/#/discover/Steve-Slow-Train-Analysis-(2080s-and-2083s)?_g=(refreshInterval:(display:Off,section:0,value:0),time:(from:'2016-06-20 03:40:02-0600',mode:absolute,to:'2016-06-20 04:25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9" s="19" t="str">
        <f t="shared" si="1"/>
        <v>4038</v>
      </c>
    </row>
    <row r="30" spans="1:17" s="2" customFormat="1" x14ac:dyDescent="0.25">
      <c r="A30" s="23">
        <v>42541.203020833331</v>
      </c>
      <c r="B30" s="22" t="s">
        <v>110</v>
      </c>
      <c r="C30" s="22" t="s">
        <v>210</v>
      </c>
      <c r="D30" s="22" t="s">
        <v>52</v>
      </c>
      <c r="E30" s="22" t="s">
        <v>53</v>
      </c>
      <c r="F30" s="22">
        <v>0</v>
      </c>
      <c r="G30" s="22">
        <v>3</v>
      </c>
      <c r="H30" s="22">
        <v>233344</v>
      </c>
      <c r="I30" s="22" t="s">
        <v>54</v>
      </c>
      <c r="J30" s="22">
        <v>233491</v>
      </c>
      <c r="K30" s="21" t="s">
        <v>55</v>
      </c>
      <c r="L30" s="21" t="e">
        <f>VLOOKUP(C30,'Trips&amp;Operators'!$C$2:$E$10000,3,FALSE)</f>
        <v>#N/A</v>
      </c>
      <c r="M30" s="20" t="s">
        <v>66</v>
      </c>
      <c r="N30" s="21"/>
      <c r="P30" s="79" t="str">
        <f>VLOOKUP(C30,'Train Runs'!$A$3:$V$256,22,0)</f>
        <v>https://search-rtdc-monitor-bjffxe2xuh6vdkpspy63sjmuny.us-east-1.es.amazonaws.com/_plugin/kibana/#/discover/Steve-Slow-Train-Analysis-(2080s-and-2083s)?_g=(refreshInterval:(display:Off,section:0,value:0),time:(from:'2016-06-20 04:05:27-0600',mode:absolute,to:'2016-06-20 04:53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30" s="19" t="str">
        <f t="shared" si="1"/>
        <v>4007</v>
      </c>
    </row>
    <row r="31" spans="1:17" s="2" customFormat="1" x14ac:dyDescent="0.25">
      <c r="A31" s="23">
        <v>42541.273854166669</v>
      </c>
      <c r="B31" s="22" t="s">
        <v>109</v>
      </c>
      <c r="C31" s="22" t="s">
        <v>226</v>
      </c>
      <c r="D31" s="22" t="s">
        <v>52</v>
      </c>
      <c r="E31" s="22" t="s">
        <v>53</v>
      </c>
      <c r="F31" s="22">
        <v>0</v>
      </c>
      <c r="G31" s="22">
        <v>66</v>
      </c>
      <c r="H31" s="22">
        <v>240</v>
      </c>
      <c r="I31" s="22" t="s">
        <v>54</v>
      </c>
      <c r="J31" s="22">
        <v>1</v>
      </c>
      <c r="K31" s="21" t="s">
        <v>56</v>
      </c>
      <c r="L31" s="21" t="str">
        <f>VLOOKUP(C31,'Trips&amp;Operators'!$C$2:$E$10000,3,FALSE)</f>
        <v>SANTIZO</v>
      </c>
      <c r="M31" s="20" t="s">
        <v>66</v>
      </c>
      <c r="N31" s="21"/>
      <c r="P31" s="79" t="str">
        <f>VLOOKUP(C31,'Train Runs'!$A$3:$V$256,22,0)</f>
        <v>https://search-rtdc-monitor-bjffxe2xuh6vdkpspy63sjmuny.us-east-1.es.amazonaws.com/_plugin/kibana/#/discover/Steve-Slow-Train-Analysis-(2080s-and-2083s)?_g=(refreshInterval:(display:Off,section:0,value:0),time:(from:'2016-06-20 05:51:38-0600',mode:absolute,to:'2016-06-20 06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31" s="19" t="str">
        <f t="shared" si="1"/>
        <v>4030</v>
      </c>
    </row>
    <row r="32" spans="1:17" s="2" customFormat="1" x14ac:dyDescent="0.25">
      <c r="A32" s="23">
        <v>42541.255312499998</v>
      </c>
      <c r="B32" s="22" t="s">
        <v>483</v>
      </c>
      <c r="C32" s="22" t="s">
        <v>231</v>
      </c>
      <c r="D32" s="22" t="s">
        <v>52</v>
      </c>
      <c r="E32" s="22" t="s">
        <v>53</v>
      </c>
      <c r="F32" s="22">
        <v>0</v>
      </c>
      <c r="G32" s="22">
        <v>8</v>
      </c>
      <c r="H32" s="22">
        <v>233312</v>
      </c>
      <c r="I32" s="22" t="s">
        <v>54</v>
      </c>
      <c r="J32" s="22">
        <v>233491</v>
      </c>
      <c r="K32" s="21" t="s">
        <v>55</v>
      </c>
      <c r="L32" s="21" t="str">
        <f>VLOOKUP(C32,'Trips&amp;Operators'!$C$2:$E$10000,3,FALSE)</f>
        <v>MALAVE</v>
      </c>
      <c r="M32" s="20" t="s">
        <v>66</v>
      </c>
      <c r="N32" s="21"/>
      <c r="P32" s="79" t="str">
        <f>VLOOKUP(C32,'Train Runs'!$A$3:$V$256,22,0)</f>
        <v>https://search-rtdc-monitor-bjffxe2xuh6vdkpspy63sjmuny.us-east-1.es.amazonaws.com/_plugin/kibana/#/discover/Steve-Slow-Train-Analysis-(2080s-and-2083s)?_g=(refreshInterval:(display:Off,section:0,value:0),time:(from:'2016-06-20 05:25:21-0600',mode:absolute,to:'2016-06-20 06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2" s="19" t="str">
        <f t="shared" si="1"/>
        <v>4038</v>
      </c>
    </row>
    <row r="33" spans="1:17" s="2" customFormat="1" x14ac:dyDescent="0.25">
      <c r="A33" s="23">
        <v>42541.27484953704</v>
      </c>
      <c r="B33" s="22" t="s">
        <v>110</v>
      </c>
      <c r="C33" s="22" t="s">
        <v>237</v>
      </c>
      <c r="D33" s="22" t="s">
        <v>52</v>
      </c>
      <c r="E33" s="22" t="s">
        <v>53</v>
      </c>
      <c r="F33" s="22">
        <v>0</v>
      </c>
      <c r="G33" s="22">
        <v>8</v>
      </c>
      <c r="H33" s="22">
        <v>233326</v>
      </c>
      <c r="I33" s="22" t="s">
        <v>54</v>
      </c>
      <c r="J33" s="22">
        <v>233491</v>
      </c>
      <c r="K33" s="21" t="s">
        <v>55</v>
      </c>
      <c r="L33" s="21" t="str">
        <f>VLOOKUP(C33,'Trips&amp;Operators'!$C$2:$E$10000,3,FALSE)</f>
        <v>ROCHA</v>
      </c>
      <c r="M33" s="20" t="s">
        <v>66</v>
      </c>
      <c r="N33" s="21"/>
      <c r="P33" s="79" t="str">
        <f>VLOOKUP(C33,'Train Runs'!$A$3:$V$256,22,0)</f>
        <v>https://search-rtdc-monitor-bjffxe2xuh6vdkpspy63sjmuny.us-east-1.es.amazonaws.com/_plugin/kibana/#/discover/Steve-Slow-Train-Analysis-(2080s-and-2083s)?_g=(refreshInterval:(display:Off,section:0,value:0),time:(from:'2016-06-20 05:57:30-0600',mode:absolute,to:'2016-06-20 06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33" s="19" t="str">
        <f t="shared" si="1"/>
        <v>4007</v>
      </c>
    </row>
    <row r="34" spans="1:17" s="2" customFormat="1" x14ac:dyDescent="0.25">
      <c r="A34" s="23">
        <v>42541.305960648147</v>
      </c>
      <c r="B34" s="22" t="s">
        <v>117</v>
      </c>
      <c r="C34" s="22" t="s">
        <v>244</v>
      </c>
      <c r="D34" s="22" t="s">
        <v>52</v>
      </c>
      <c r="E34" s="22" t="s">
        <v>53</v>
      </c>
      <c r="F34" s="22">
        <v>0</v>
      </c>
      <c r="G34" s="22">
        <v>132</v>
      </c>
      <c r="H34" s="22">
        <v>232392</v>
      </c>
      <c r="I34" s="22" t="s">
        <v>54</v>
      </c>
      <c r="J34" s="22">
        <v>233491</v>
      </c>
      <c r="K34" s="21" t="s">
        <v>55</v>
      </c>
      <c r="L34" s="21" t="str">
        <f>VLOOKUP(C34,'Trips&amp;Operators'!$C$2:$E$10000,3,FALSE)</f>
        <v>SANTIZO</v>
      </c>
      <c r="M34" s="20" t="s">
        <v>66</v>
      </c>
      <c r="N34" s="21"/>
      <c r="P34" s="79" t="str">
        <f>VLOOKUP(C34,'Train Runs'!$A$3:$V$256,22,0)</f>
        <v>https://search-rtdc-monitor-bjffxe2xuh6vdkpspy63sjmuny.us-east-1.es.amazonaws.com/_plugin/kibana/#/discover/Steve-Slow-Train-Analysis-(2080s-and-2083s)?_g=(refreshInterval:(display:Off,section:0,value:0),time:(from:'2016-06-20 06:42:35-0600',mode:absolute,to:'2016-06-20 07:23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4" s="19" t="str">
        <f t="shared" si="1"/>
        <v>4029</v>
      </c>
    </row>
    <row r="35" spans="1:17" s="2" customFormat="1" x14ac:dyDescent="0.25">
      <c r="A35" s="23">
        <v>42541.327928240738</v>
      </c>
      <c r="B35" s="22" t="s">
        <v>483</v>
      </c>
      <c r="C35" s="22" t="s">
        <v>248</v>
      </c>
      <c r="D35" s="22" t="s">
        <v>52</v>
      </c>
      <c r="E35" s="22" t="s">
        <v>53</v>
      </c>
      <c r="F35" s="22">
        <v>0</v>
      </c>
      <c r="G35" s="22">
        <v>8</v>
      </c>
      <c r="H35" s="22">
        <v>233323</v>
      </c>
      <c r="I35" s="22" t="s">
        <v>54</v>
      </c>
      <c r="J35" s="22">
        <v>233491</v>
      </c>
      <c r="K35" s="21" t="s">
        <v>55</v>
      </c>
      <c r="L35" s="21" t="str">
        <f>VLOOKUP(C35,'Trips&amp;Operators'!$C$2:$E$10000,3,FALSE)</f>
        <v>MALAVE</v>
      </c>
      <c r="M35" s="20" t="s">
        <v>66</v>
      </c>
      <c r="N35" s="21"/>
      <c r="P35" s="79" t="str">
        <f>VLOOKUP(C35,'Train Runs'!$A$3:$V$256,22,0)</f>
        <v>https://search-rtdc-monitor-bjffxe2xuh6vdkpspy63sjmuny.us-east-1.es.amazonaws.com/_plugin/kibana/#/discover/Steve-Slow-Train-Analysis-(2080s-and-2083s)?_g=(refreshInterval:(display:Off,section:0,value:0),time:(from:'2016-06-20 07:11:41-0600',mode:absolute,to:'2016-06-20 07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5" s="19" t="str">
        <f t="shared" si="1"/>
        <v>4038</v>
      </c>
    </row>
    <row r="36" spans="1:17" s="2" customFormat="1" x14ac:dyDescent="0.25">
      <c r="A36" s="23">
        <v>42541.339884259258</v>
      </c>
      <c r="B36" s="22" t="s">
        <v>139</v>
      </c>
      <c r="C36" s="22" t="s">
        <v>249</v>
      </c>
      <c r="D36" s="22" t="s">
        <v>52</v>
      </c>
      <c r="E36" s="22" t="s">
        <v>53</v>
      </c>
      <c r="F36" s="22">
        <v>0</v>
      </c>
      <c r="G36" s="22">
        <v>7</v>
      </c>
      <c r="H36" s="22">
        <v>232921</v>
      </c>
      <c r="I36" s="22" t="s">
        <v>54</v>
      </c>
      <c r="J36" s="22">
        <v>233491</v>
      </c>
      <c r="K36" s="21" t="s">
        <v>55</v>
      </c>
      <c r="L36" s="21" t="str">
        <f>VLOOKUP(C36,'Trips&amp;Operators'!$C$2:$E$10000,3,FALSE)</f>
        <v>STAMBAUGH</v>
      </c>
      <c r="M36" s="20" t="s">
        <v>66</v>
      </c>
      <c r="N36" s="21"/>
      <c r="P36" s="79" t="str">
        <f>VLOOKUP(C36,'Train Runs'!$A$3:$V$256,22,0)</f>
        <v>https://search-rtdc-monitor-bjffxe2xuh6vdkpspy63sjmuny.us-east-1.es.amazonaws.com/_plugin/kibana/#/discover/Steve-Slow-Train-Analysis-(2080s-and-2083s)?_g=(refreshInterval:(display:Off,section:0,value:0),time:(from:'2016-06-20 07:24:17-0600',mode:absolute,to:'2016-06-20 08:10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6" s="19" t="str">
        <f t="shared" si="1"/>
        <v>4042</v>
      </c>
    </row>
    <row r="37" spans="1:17" s="2" customFormat="1" x14ac:dyDescent="0.25">
      <c r="A37" s="23">
        <v>42541.355370370373</v>
      </c>
      <c r="B37" s="22" t="s">
        <v>110</v>
      </c>
      <c r="C37" s="22" t="s">
        <v>253</v>
      </c>
      <c r="D37" s="22" t="s">
        <v>52</v>
      </c>
      <c r="E37" s="22" t="s">
        <v>53</v>
      </c>
      <c r="F37" s="22">
        <v>0</v>
      </c>
      <c r="G37" s="22">
        <v>8</v>
      </c>
      <c r="H37" s="22">
        <v>233336</v>
      </c>
      <c r="I37" s="22" t="s">
        <v>54</v>
      </c>
      <c r="J37" s="22">
        <v>233491</v>
      </c>
      <c r="K37" s="21" t="s">
        <v>55</v>
      </c>
      <c r="L37" s="21" t="str">
        <f>VLOOKUP(C37,'Trips&amp;Operators'!$C$2:$E$10000,3,FALSE)</f>
        <v>ROCHA</v>
      </c>
      <c r="M37" s="20" t="s">
        <v>66</v>
      </c>
      <c r="N37" s="21"/>
      <c r="P37" s="79" t="str">
        <f>VLOOKUP(C37,'Train Runs'!$A$3:$V$256,22,0)</f>
        <v>https://search-rtdc-monitor-bjffxe2xuh6vdkpspy63sjmuny.us-east-1.es.amazonaws.com/_plugin/kibana/#/discover/Steve-Slow-Train-Analysis-(2080s-and-2083s)?_g=(refreshInterval:(display:Off,section:0,value:0),time:(from:'2016-06-20 07:36:54-0600',mode:absolute,to:'2016-06-20 08:32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37" s="19" t="str">
        <f t="shared" si="1"/>
        <v>4007</v>
      </c>
    </row>
    <row r="38" spans="1:17" s="2" customFormat="1" x14ac:dyDescent="0.25">
      <c r="A38" s="23">
        <v>42541.392106481479</v>
      </c>
      <c r="B38" s="22" t="s">
        <v>108</v>
      </c>
      <c r="C38" s="22" t="s">
        <v>254</v>
      </c>
      <c r="D38" s="22" t="s">
        <v>52</v>
      </c>
      <c r="E38" s="22" t="s">
        <v>53</v>
      </c>
      <c r="F38" s="22">
        <v>0</v>
      </c>
      <c r="G38" s="22">
        <v>9</v>
      </c>
      <c r="H38" s="22">
        <v>129</v>
      </c>
      <c r="I38" s="22" t="s">
        <v>54</v>
      </c>
      <c r="J38" s="22">
        <v>1</v>
      </c>
      <c r="K38" s="21" t="s">
        <v>56</v>
      </c>
      <c r="L38" s="21" t="str">
        <f>VLOOKUP(C38,'Trips&amp;Operators'!$C$2:$E$10000,3,FALSE)</f>
        <v>ROCHA</v>
      </c>
      <c r="M38" s="20" t="s">
        <v>66</v>
      </c>
      <c r="N38" s="21"/>
      <c r="P38" s="79" t="str">
        <f>VLOOKUP(C38,'Train Runs'!$A$3:$V$256,22,0)</f>
        <v>https://search-rtdc-monitor-bjffxe2xuh6vdkpspy63sjmuny.us-east-1.es.amazonaws.com/_plugin/kibana/#/discover/Steve-Slow-Train-Analysis-(2080s-and-2083s)?_g=(refreshInterval:(display:Off,section:0,value:0),time:(from:'2016-06-20 08:37:41-0600',mode:absolute,to:'2016-06-20 09:25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38" s="19" t="str">
        <f t="shared" si="1"/>
        <v>4008</v>
      </c>
    </row>
    <row r="39" spans="1:17" s="2" customFormat="1" x14ac:dyDescent="0.25">
      <c r="A39" s="23">
        <v>42541.421087962961</v>
      </c>
      <c r="B39" s="22" t="s">
        <v>109</v>
      </c>
      <c r="C39" s="22" t="s">
        <v>265</v>
      </c>
      <c r="D39" s="22" t="s">
        <v>52</v>
      </c>
      <c r="E39" s="22" t="s">
        <v>53</v>
      </c>
      <c r="F39" s="22">
        <v>0</v>
      </c>
      <c r="G39" s="22">
        <v>7</v>
      </c>
      <c r="H39" s="22">
        <v>203</v>
      </c>
      <c r="I39" s="22" t="s">
        <v>54</v>
      </c>
      <c r="J39" s="22">
        <v>1</v>
      </c>
      <c r="K39" s="21" t="s">
        <v>56</v>
      </c>
      <c r="L39" s="21" t="str">
        <f>VLOOKUP(C39,'Trips&amp;Operators'!$C$2:$E$10000,3,FALSE)</f>
        <v>SANTIZO</v>
      </c>
      <c r="M39" s="20" t="s">
        <v>66</v>
      </c>
      <c r="N39" s="21"/>
      <c r="P39" s="79" t="str">
        <f>VLOOKUP(C39,'Train Runs'!$A$3:$V$256,22,0)</f>
        <v>https://search-rtdc-monitor-bjffxe2xuh6vdkpspy63sjmuny.us-east-1.es.amazonaws.com/_plugin/kibana/#/discover/Steve-Slow-Train-Analysis-(2080s-and-2083s)?_g=(refreshInterval:(display:Off,section:0,value:0),time:(from:'2016-06-20 09:17:41-0600',mode:absolute,to:'2016-06-20 10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39" s="19" t="str">
        <f t="shared" si="1"/>
        <v>4030</v>
      </c>
    </row>
    <row r="40" spans="1:17" s="2" customFormat="1" x14ac:dyDescent="0.25">
      <c r="A40" s="23">
        <v>42541.401655092595</v>
      </c>
      <c r="B40" s="22" t="s">
        <v>152</v>
      </c>
      <c r="C40" s="22" t="s">
        <v>269</v>
      </c>
      <c r="D40" s="22" t="s">
        <v>52</v>
      </c>
      <c r="E40" s="22" t="s">
        <v>53</v>
      </c>
      <c r="F40" s="22">
        <v>0</v>
      </c>
      <c r="G40" s="22">
        <v>8</v>
      </c>
      <c r="H40" s="22">
        <v>233329</v>
      </c>
      <c r="I40" s="22" t="s">
        <v>54</v>
      </c>
      <c r="J40" s="22">
        <v>233491</v>
      </c>
      <c r="K40" s="21" t="s">
        <v>55</v>
      </c>
      <c r="L40" s="21" t="str">
        <f>VLOOKUP(C40,'Trips&amp;Operators'!$C$2:$E$10000,3,FALSE)</f>
        <v>MALAVE</v>
      </c>
      <c r="M40" s="20" t="s">
        <v>66</v>
      </c>
      <c r="N40" s="21"/>
      <c r="P40" s="79" t="str">
        <f>VLOOKUP(C40,'Train Runs'!$A$3:$V$256,22,0)</f>
        <v>https://search-rtdc-monitor-bjffxe2xuh6vdkpspy63sjmuny.us-east-1.es.amazonaws.com/_plugin/kibana/#/discover/Steve-Slow-Train-Analysis-(2080s-and-2083s)?_g=(refreshInterval:(display:Off,section:0,value:0),time:(from:'2016-06-20 08:58:50-0600',mode:absolute,to:'2016-06-20 09:39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40" s="19" t="str">
        <f t="shared" si="1"/>
        <v>4009</v>
      </c>
    </row>
    <row r="41" spans="1:17" s="2" customFormat="1" x14ac:dyDescent="0.25">
      <c r="A41" s="23">
        <v>42541.453981481478</v>
      </c>
      <c r="B41" s="22" t="s">
        <v>138</v>
      </c>
      <c r="C41" s="22" t="s">
        <v>273</v>
      </c>
      <c r="D41" s="22" t="s">
        <v>52</v>
      </c>
      <c r="E41" s="22" t="s">
        <v>53</v>
      </c>
      <c r="F41" s="22">
        <v>0</v>
      </c>
      <c r="G41" s="22">
        <v>53</v>
      </c>
      <c r="H41" s="22">
        <v>187</v>
      </c>
      <c r="I41" s="22" t="s">
        <v>54</v>
      </c>
      <c r="J41" s="22">
        <v>1</v>
      </c>
      <c r="K41" s="21" t="s">
        <v>56</v>
      </c>
      <c r="L41" s="21" t="str">
        <f>VLOOKUP(C41,'Trips&amp;Operators'!$C$2:$E$10000,3,FALSE)</f>
        <v>STAMBAUGH</v>
      </c>
      <c r="M41" s="20" t="s">
        <v>66</v>
      </c>
      <c r="N41" s="21"/>
      <c r="P41" s="79" t="str">
        <f>VLOOKUP(C41,'Train Runs'!$A$3:$V$256,22,0)</f>
        <v>https://search-rtdc-monitor-bjffxe2xuh6vdkpspy63sjmuny.us-east-1.es.amazonaws.com/_plugin/kibana/#/discover/Steve-Slow-Train-Analysis-(2080s-and-2083s)?_g=(refreshInterval:(display:Off,section:0,value:0),time:(from:'2016-06-20 10:05:13-0600',mode:absolute,to:'2016-06-20 10:54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1" s="19" t="str">
        <f t="shared" si="1"/>
        <v>4041</v>
      </c>
    </row>
    <row r="42" spans="1:17" s="2" customFormat="1" x14ac:dyDescent="0.25">
      <c r="A42" s="23">
        <v>42541.422118055554</v>
      </c>
      <c r="B42" s="22" t="s">
        <v>110</v>
      </c>
      <c r="C42" s="22" t="s">
        <v>274</v>
      </c>
      <c r="D42" s="22" t="s">
        <v>52</v>
      </c>
      <c r="E42" s="22" t="s">
        <v>53</v>
      </c>
      <c r="F42" s="22">
        <v>0</v>
      </c>
      <c r="G42" s="22">
        <v>6</v>
      </c>
      <c r="H42" s="22">
        <v>233338</v>
      </c>
      <c r="I42" s="22" t="s">
        <v>54</v>
      </c>
      <c r="J42" s="22">
        <v>233491</v>
      </c>
      <c r="K42" s="21" t="s">
        <v>55</v>
      </c>
      <c r="L42" s="21" t="str">
        <f>VLOOKUP(C42,'Trips&amp;Operators'!$C$2:$E$10000,3,FALSE)</f>
        <v>ROCHA</v>
      </c>
      <c r="M42" s="20" t="s">
        <v>66</v>
      </c>
      <c r="N42" s="21"/>
      <c r="P42" s="79" t="str">
        <f>VLOOKUP(C42,'Train Runs'!$A$3:$V$256,22,0)</f>
        <v>https://search-rtdc-monitor-bjffxe2xuh6vdkpspy63sjmuny.us-east-1.es.amazonaws.com/_plugin/kibana/#/discover/Steve-Slow-Train-Analysis-(2080s-and-2083s)?_g=(refreshInterval:(display:Off,section:0,value:0),time:(from:'2016-06-20 09:27:36-0600',mode:absolute,to:'2016-06-20 10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2" s="19" t="str">
        <f t="shared" si="1"/>
        <v>4007</v>
      </c>
    </row>
    <row r="43" spans="1:17" s="2" customFormat="1" x14ac:dyDescent="0.25">
      <c r="A43" s="23">
        <v>42541.432986111111</v>
      </c>
      <c r="B43" s="22" t="s">
        <v>128</v>
      </c>
      <c r="C43" s="22" t="s">
        <v>277</v>
      </c>
      <c r="D43" s="22" t="s">
        <v>52</v>
      </c>
      <c r="E43" s="22" t="s">
        <v>53</v>
      </c>
      <c r="F43" s="22">
        <v>0</v>
      </c>
      <c r="G43" s="22">
        <v>91</v>
      </c>
      <c r="H43" s="22">
        <v>233099</v>
      </c>
      <c r="I43" s="22" t="s">
        <v>54</v>
      </c>
      <c r="J43" s="22">
        <v>233491</v>
      </c>
      <c r="K43" s="21" t="s">
        <v>55</v>
      </c>
      <c r="L43" s="21" t="str">
        <f>VLOOKUP(C43,'Trips&amp;Operators'!$C$2:$E$10000,3,FALSE)</f>
        <v>PELLITIER</v>
      </c>
      <c r="M43" s="20" t="s">
        <v>66</v>
      </c>
      <c r="N43" s="21"/>
      <c r="P43" s="79" t="str">
        <f>VLOOKUP(C43,'Train Runs'!$A$3:$V$256,22,0)</f>
        <v>https://search-rtdc-monitor-bjffxe2xuh6vdkpspy63sjmuny.us-east-1.es.amazonaws.com/_plugin/kibana/#/discover/Steve-Slow-Train-Analysis-(2080s-and-2083s)?_g=(refreshInterval:(display:Off,section:0,value:0),time:(from:'2016-06-20 09:40:20-0600',mode:absolute,to:'2016-06-20 10:25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3" s="19" t="str">
        <f t="shared" si="1"/>
        <v>4025</v>
      </c>
    </row>
    <row r="44" spans="1:17" s="2" customFormat="1" x14ac:dyDescent="0.25">
      <c r="A44" s="23">
        <v>42541.507245370369</v>
      </c>
      <c r="B44" s="22" t="s">
        <v>140</v>
      </c>
      <c r="C44" s="22" t="s">
        <v>286</v>
      </c>
      <c r="D44" s="22" t="s">
        <v>52</v>
      </c>
      <c r="E44" s="22" t="s">
        <v>53</v>
      </c>
      <c r="F44" s="22">
        <v>0</v>
      </c>
      <c r="G44" s="22">
        <v>53</v>
      </c>
      <c r="H44" s="22">
        <v>212</v>
      </c>
      <c r="I44" s="22" t="s">
        <v>54</v>
      </c>
      <c r="J44" s="22">
        <v>1</v>
      </c>
      <c r="K44" s="21" t="s">
        <v>56</v>
      </c>
      <c r="L44" s="21" t="str">
        <f>VLOOKUP(C44,'Trips&amp;Operators'!$C$2:$E$10000,3,FALSE)</f>
        <v>SANTIZO</v>
      </c>
      <c r="M44" s="20" t="s">
        <v>66</v>
      </c>
      <c r="N44" s="21"/>
      <c r="P44" s="79" t="str">
        <f>VLOOKUP(C44,'Train Runs'!$A$3:$V$256,22,0)</f>
        <v>https://search-rtdc-monitor-bjffxe2xuh6vdkpspy63sjmuny.us-east-1.es.amazonaws.com/_plugin/kibana/#/discover/Steve-Slow-Train-Analysis-(2080s-and-2083s)?_g=(refreshInterval:(display:Off,section:0,value:0),time:(from:'2016-06-20 11:17:12-0600',mode:absolute,to:'2016-06-20 12:11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4" s="19" t="str">
        <f t="shared" si="1"/>
        <v>4012</v>
      </c>
    </row>
    <row r="45" spans="1:17" s="2" customFormat="1" x14ac:dyDescent="0.25">
      <c r="A45" s="23">
        <v>42541.516111111108</v>
      </c>
      <c r="B45" s="22" t="s">
        <v>111</v>
      </c>
      <c r="C45" s="22" t="s">
        <v>297</v>
      </c>
      <c r="D45" s="22" t="s">
        <v>52</v>
      </c>
      <c r="E45" s="22" t="s">
        <v>53</v>
      </c>
      <c r="F45" s="22">
        <v>0</v>
      </c>
      <c r="G45" s="22">
        <v>26</v>
      </c>
      <c r="H45" s="22">
        <v>233445</v>
      </c>
      <c r="I45" s="22" t="s">
        <v>54</v>
      </c>
      <c r="J45" s="22">
        <v>233491</v>
      </c>
      <c r="K45" s="21" t="s">
        <v>55</v>
      </c>
      <c r="L45" s="21" t="str">
        <f>VLOOKUP(C45,'Trips&amp;Operators'!$C$2:$E$10000,3,FALSE)</f>
        <v>LOCKLEAR</v>
      </c>
      <c r="M45" s="20" t="s">
        <v>66</v>
      </c>
      <c r="N45" s="21"/>
      <c r="P45" s="79" t="str">
        <f>VLOOKUP(C45,'Train Runs'!$A$3:$V$256,22,0)</f>
        <v>https://search-rtdc-monitor-bjffxe2xuh6vdkpspy63sjmuny.us-east-1.es.amazonaws.com/_plugin/kibana/#/discover/Steve-Slow-Train-Analysis-(2080s-and-2083s)?_g=(refreshInterval:(display:Off,section:0,value:0),time:(from:'2016-06-20 11:36:56-0600',mode:absolute,to:'2016-06-20 12:24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45" s="19" t="str">
        <f t="shared" si="1"/>
        <v>4044</v>
      </c>
    </row>
    <row r="46" spans="1:17" s="2" customFormat="1" x14ac:dyDescent="0.25">
      <c r="A46" s="23">
        <v>42541.547766203701</v>
      </c>
      <c r="B46" s="22" t="s">
        <v>152</v>
      </c>
      <c r="C46" s="22" t="s">
        <v>306</v>
      </c>
      <c r="D46" s="22" t="s">
        <v>52</v>
      </c>
      <c r="E46" s="22" t="s">
        <v>53</v>
      </c>
      <c r="F46" s="22">
        <v>0</v>
      </c>
      <c r="G46" s="22">
        <v>8</v>
      </c>
      <c r="H46" s="22">
        <v>232145</v>
      </c>
      <c r="I46" s="22" t="s">
        <v>54</v>
      </c>
      <c r="J46" s="22">
        <v>233491</v>
      </c>
      <c r="K46" s="21" t="s">
        <v>55</v>
      </c>
      <c r="L46" s="21" t="str">
        <f>VLOOKUP(C46,'Trips&amp;Operators'!$C$2:$E$10000,3,FALSE)</f>
        <v>STORY</v>
      </c>
      <c r="M46" s="20" t="s">
        <v>66</v>
      </c>
      <c r="N46" s="21"/>
      <c r="P46" s="79" t="str">
        <f>VLOOKUP(C46,'Train Runs'!$A$3:$V$256,22,0)</f>
        <v>https://search-rtdc-monitor-bjffxe2xuh6vdkpspy63sjmuny.us-east-1.es.amazonaws.com/_plugin/kibana/#/discover/Steve-Slow-Train-Analysis-(2080s-and-2083s)?_g=(refreshInterval:(display:Off,section:0,value:0),time:(from:'2016-06-20 12:28:21-0600',mode:absolute,to:'2016-06-20 13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46" s="19" t="str">
        <f t="shared" si="1"/>
        <v>4009</v>
      </c>
    </row>
    <row r="47" spans="1:17" s="2" customFormat="1" x14ac:dyDescent="0.25">
      <c r="A47" s="23">
        <v>42541.598958333336</v>
      </c>
      <c r="B47" s="22" t="s">
        <v>138</v>
      </c>
      <c r="C47" s="22" t="s">
        <v>310</v>
      </c>
      <c r="D47" s="22" t="s">
        <v>52</v>
      </c>
      <c r="E47" s="22" t="s">
        <v>53</v>
      </c>
      <c r="F47" s="22">
        <v>0</v>
      </c>
      <c r="G47" s="22">
        <v>4</v>
      </c>
      <c r="H47" s="22">
        <v>129</v>
      </c>
      <c r="I47" s="22" t="s">
        <v>54</v>
      </c>
      <c r="J47" s="22">
        <v>1</v>
      </c>
      <c r="K47" s="21" t="s">
        <v>56</v>
      </c>
      <c r="L47" s="21" t="str">
        <f>VLOOKUP(C47,'Trips&amp;Operators'!$C$2:$E$10000,3,FALSE)</f>
        <v>MOSES</v>
      </c>
      <c r="M47" s="20" t="s">
        <v>66</v>
      </c>
      <c r="N47" s="21"/>
      <c r="P47" s="79" t="str">
        <f>VLOOKUP(C47,'Train Runs'!$A$3:$V$256,22,0)</f>
        <v>https://search-rtdc-monitor-bjffxe2xuh6vdkpspy63sjmuny.us-east-1.es.amazonaws.com/_plugin/kibana/#/discover/Steve-Slow-Train-Analysis-(2080s-and-2083s)?_g=(refreshInterval:(display:Off,section:0,value:0),time:(from:'2016-06-20 13:33:10-0600',mode:absolute,to:'2016-06-20 14:23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7" s="19" t="str">
        <f t="shared" si="1"/>
        <v>4041</v>
      </c>
    </row>
    <row r="48" spans="1:17" s="2" customFormat="1" x14ac:dyDescent="0.25">
      <c r="A48" s="23">
        <v>42541.57136574074</v>
      </c>
      <c r="B48" s="22" t="s">
        <v>110</v>
      </c>
      <c r="C48" s="22" t="s">
        <v>311</v>
      </c>
      <c r="D48" s="22" t="s">
        <v>52</v>
      </c>
      <c r="E48" s="22" t="s">
        <v>53</v>
      </c>
      <c r="F48" s="22">
        <v>0</v>
      </c>
      <c r="G48" s="22">
        <v>37</v>
      </c>
      <c r="H48" s="22">
        <v>233298</v>
      </c>
      <c r="I48" s="22" t="s">
        <v>54</v>
      </c>
      <c r="J48" s="22">
        <v>233491</v>
      </c>
      <c r="K48" s="21" t="s">
        <v>55</v>
      </c>
      <c r="L48" s="21" t="str">
        <f>VLOOKUP(C48,'Trips&amp;Operators'!$C$2:$E$10000,3,FALSE)</f>
        <v>HELVIE</v>
      </c>
      <c r="M48" s="20" t="s">
        <v>66</v>
      </c>
      <c r="N48" s="21"/>
      <c r="P48" s="79" t="str">
        <f>VLOOKUP(C48,'Train Runs'!$A$3:$V$256,22,0)</f>
        <v>https://search-rtdc-monitor-bjffxe2xuh6vdkpspy63sjmuny.us-east-1.es.amazonaws.com/_plugin/kibana/#/discover/Steve-Slow-Train-Analysis-(2080s-and-2083s)?_g=(refreshInterval:(display:Off,section:0,value:0),time:(from:'2016-06-20 12:56:58-0600',mode:absolute,to:'2016-06-20 13:43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8" s="19" t="str">
        <f t="shared" si="1"/>
        <v>4007</v>
      </c>
    </row>
    <row r="49" spans="1:17" s="2" customFormat="1" x14ac:dyDescent="0.25">
      <c r="A49" s="23">
        <v>42541.609594907408</v>
      </c>
      <c r="B49" s="22" t="s">
        <v>108</v>
      </c>
      <c r="C49" s="22" t="s">
        <v>312</v>
      </c>
      <c r="D49" s="22" t="s">
        <v>52</v>
      </c>
      <c r="E49" s="22" t="s">
        <v>53</v>
      </c>
      <c r="F49" s="22">
        <v>0</v>
      </c>
      <c r="G49" s="22">
        <v>3</v>
      </c>
      <c r="H49" s="22">
        <v>437</v>
      </c>
      <c r="I49" s="22" t="s">
        <v>54</v>
      </c>
      <c r="J49" s="22">
        <v>1</v>
      </c>
      <c r="K49" s="21" t="s">
        <v>56</v>
      </c>
      <c r="L49" s="21" t="str">
        <f>VLOOKUP(C49,'Trips&amp;Operators'!$C$2:$E$10000,3,FALSE)</f>
        <v>HELVIE</v>
      </c>
      <c r="M49" s="20" t="s">
        <v>66</v>
      </c>
      <c r="N49" s="21"/>
      <c r="P49" s="79" t="str">
        <f>VLOOKUP(C49,'Train Runs'!$A$3:$V$256,22,0)</f>
        <v>https://search-rtdc-monitor-bjffxe2xuh6vdkpspy63sjmuny.us-east-1.es.amazonaws.com/_plugin/kibana/#/discover/Steve-Slow-Train-Analysis-(2080s-and-2083s)?_g=(refreshInterval:(display:Off,section:0,value:0),time:(from:'2016-06-20 13:47:18-0600',mode:absolute,to:'2016-06-20 14:39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9" s="19" t="str">
        <f t="shared" si="1"/>
        <v>4008</v>
      </c>
    </row>
    <row r="50" spans="1:17" s="2" customFormat="1" x14ac:dyDescent="0.25">
      <c r="A50" s="23">
        <v>42541.629050925927</v>
      </c>
      <c r="B50" s="22" t="s">
        <v>89</v>
      </c>
      <c r="C50" s="22" t="s">
        <v>319</v>
      </c>
      <c r="D50" s="22" t="s">
        <v>52</v>
      </c>
      <c r="E50" s="22" t="s">
        <v>53</v>
      </c>
      <c r="F50" s="22">
        <v>0</v>
      </c>
      <c r="G50" s="22">
        <v>7</v>
      </c>
      <c r="H50" s="22">
        <v>1148</v>
      </c>
      <c r="I50" s="22" t="s">
        <v>54</v>
      </c>
      <c r="J50" s="22">
        <v>839</v>
      </c>
      <c r="K50" s="21" t="s">
        <v>56</v>
      </c>
      <c r="L50" s="21" t="str">
        <f>VLOOKUP(C50,'Trips&amp;Operators'!$C$2:$E$10000,3,FALSE)</f>
        <v>LOCKLEAR</v>
      </c>
      <c r="M50" s="20" t="s">
        <v>66</v>
      </c>
      <c r="N50" s="21"/>
      <c r="P50" s="79" t="str">
        <f>VLOOKUP(C50,'Train Runs'!$A$3:$V$256,22,0)</f>
        <v>https://search-rtdc-monitor-bjffxe2xuh6vdkpspy63sjmuny.us-east-1.es.amazonaws.com/_plugin/kibana/#/discover/Steve-Slow-Train-Analysis-(2080s-and-2083s)?_g=(refreshInterval:(display:Off,section:0,value:0),time:(from:'2016-06-20 14:22:09-0600',mode:absolute,to:'2016-06-20 15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50" s="19" t="str">
        <f t="shared" si="1"/>
        <v>4043</v>
      </c>
    </row>
    <row r="51" spans="1:17" s="2" customFormat="1" x14ac:dyDescent="0.25">
      <c r="A51" s="23">
        <v>42541.638333333336</v>
      </c>
      <c r="B51" s="22" t="s">
        <v>109</v>
      </c>
      <c r="C51" s="22" t="s">
        <v>323</v>
      </c>
      <c r="D51" s="22" t="s">
        <v>52</v>
      </c>
      <c r="E51" s="22" t="s">
        <v>53</v>
      </c>
      <c r="F51" s="22">
        <v>0</v>
      </c>
      <c r="G51" s="22">
        <v>7</v>
      </c>
      <c r="H51" s="22">
        <v>116</v>
      </c>
      <c r="I51" s="22" t="s">
        <v>54</v>
      </c>
      <c r="J51" s="22">
        <v>1</v>
      </c>
      <c r="K51" s="21" t="s">
        <v>56</v>
      </c>
      <c r="L51" s="21" t="str">
        <f>VLOOKUP(C51,'Trips&amp;Operators'!$C$2:$E$10000,3,FALSE)</f>
        <v>ACKERMAN</v>
      </c>
      <c r="M51" s="20" t="s">
        <v>66</v>
      </c>
      <c r="N51" s="21"/>
      <c r="P51" s="79" t="str">
        <f>VLOOKUP(C51,'Train Runs'!$A$3:$V$256,22,0)</f>
        <v>https://search-rtdc-monitor-bjffxe2xuh6vdkpspy63sjmuny.us-east-1.es.amazonaws.com/_plugin/kibana/#/discover/Steve-Slow-Train-Analysis-(2080s-and-2083s)?_g=(refreshInterval:(display:Off,section:0,value:0),time:(from:'2016-06-20 14:31:22-0600',mode:absolute,to:'2016-06-20 15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51" s="19" t="str">
        <f t="shared" si="1"/>
        <v>4030</v>
      </c>
    </row>
    <row r="52" spans="1:17" s="2" customFormat="1" x14ac:dyDescent="0.25">
      <c r="A52" s="23">
        <v>42541.618888888886</v>
      </c>
      <c r="B52" s="22" t="s">
        <v>107</v>
      </c>
      <c r="C52" s="22" t="s">
        <v>328</v>
      </c>
      <c r="D52" s="22" t="s">
        <v>52</v>
      </c>
      <c r="E52" s="22" t="s">
        <v>53</v>
      </c>
      <c r="F52" s="22">
        <v>0</v>
      </c>
      <c r="G52" s="22">
        <v>49</v>
      </c>
      <c r="H52" s="22">
        <v>233357</v>
      </c>
      <c r="I52" s="22" t="s">
        <v>54</v>
      </c>
      <c r="J52" s="22">
        <v>233491</v>
      </c>
      <c r="K52" s="21" t="s">
        <v>55</v>
      </c>
      <c r="L52" s="21" t="str">
        <f>VLOOKUP(C52,'Trips&amp;Operators'!$C$2:$E$10000,3,FALSE)</f>
        <v>GOODNIGHT</v>
      </c>
      <c r="M52" s="20" t="s">
        <v>66</v>
      </c>
      <c r="N52" s="21"/>
      <c r="P52" s="79" t="str">
        <f>VLOOKUP(C52,'Train Runs'!$A$3:$V$256,22,0)</f>
        <v>https://search-rtdc-monitor-bjffxe2xuh6vdkpspy63sjmuny.us-east-1.es.amazonaws.com/_plugin/kibana/#/discover/Steve-Slow-Train-Analysis-(2080s-and-2083s)?_g=(refreshInterval:(display:Off,section:0,value:0),time:(from:'2016-06-20 14:10:05-0600',mode:absolute,to:'2016-06-20 14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2" s="19" t="str">
        <f t="shared" si="1"/>
        <v>4024</v>
      </c>
    </row>
    <row r="53" spans="1:17" s="2" customFormat="1" x14ac:dyDescent="0.25">
      <c r="A53" s="23">
        <v>42541.659675925926</v>
      </c>
      <c r="B53" s="22" t="s">
        <v>100</v>
      </c>
      <c r="C53" s="22" t="s">
        <v>331</v>
      </c>
      <c r="D53" s="22" t="s">
        <v>52</v>
      </c>
      <c r="E53" s="22" t="s">
        <v>53</v>
      </c>
      <c r="F53" s="22">
        <v>0</v>
      </c>
      <c r="G53" s="22">
        <v>75</v>
      </c>
      <c r="H53" s="22">
        <v>251</v>
      </c>
      <c r="I53" s="22" t="s">
        <v>54</v>
      </c>
      <c r="J53" s="22">
        <v>1</v>
      </c>
      <c r="K53" s="21" t="s">
        <v>56</v>
      </c>
      <c r="L53" s="21" t="str">
        <f>VLOOKUP(C53,'Trips&amp;Operators'!$C$2:$E$10000,3,FALSE)</f>
        <v>GOODNIGHT</v>
      </c>
      <c r="M53" s="20" t="s">
        <v>66</v>
      </c>
      <c r="N53" s="21"/>
      <c r="P53" s="79" t="str">
        <f>VLOOKUP(C53,'Train Runs'!$A$3:$V$256,22,0)</f>
        <v>https://search-rtdc-monitor-bjffxe2xuh6vdkpspy63sjmuny.us-east-1.es.amazonaws.com/_plugin/kibana/#/discover/Steve-Slow-Train-Analysis-(2080s-and-2083s)?_g=(refreshInterval:(display:Off,section:0,value:0),time:(from:'2016-06-20 15:08:32-0600',mode:absolute,to:'2016-06-20 15:51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3" s="19" t="str">
        <f t="shared" si="1"/>
        <v>4023</v>
      </c>
    </row>
    <row r="54" spans="1:17" s="2" customFormat="1" x14ac:dyDescent="0.25">
      <c r="A54" s="23">
        <v>42541.631377314814</v>
      </c>
      <c r="B54" s="22" t="s">
        <v>139</v>
      </c>
      <c r="C54" s="22" t="s">
        <v>334</v>
      </c>
      <c r="D54" s="22" t="s">
        <v>52</v>
      </c>
      <c r="E54" s="22" t="s">
        <v>53</v>
      </c>
      <c r="F54" s="22">
        <v>0</v>
      </c>
      <c r="G54" s="22">
        <v>6</v>
      </c>
      <c r="H54" s="22">
        <v>232301</v>
      </c>
      <c r="I54" s="22" t="s">
        <v>54</v>
      </c>
      <c r="J54" s="22">
        <v>233491</v>
      </c>
      <c r="K54" s="21" t="s">
        <v>55</v>
      </c>
      <c r="L54" s="21" t="str">
        <f>VLOOKUP(C54,'Trips&amp;Operators'!$C$2:$E$10000,3,FALSE)</f>
        <v>MOSES</v>
      </c>
      <c r="M54" s="20" t="s">
        <v>66</v>
      </c>
      <c r="N54" s="21"/>
      <c r="P54" s="79" t="str">
        <f>VLOOKUP(C54,'Train Runs'!$A$3:$V$256,22,0)</f>
        <v>https://search-rtdc-monitor-bjffxe2xuh6vdkpspy63sjmuny.us-east-1.es.amazonaws.com/_plugin/kibana/#/discover/Steve-Slow-Train-Analysis-(2080s-and-2083s)?_g=(refreshInterval:(display:Off,section:0,value:0),time:(from:'2016-06-20 14:24:34-0600',mode:absolute,to:'2016-06-20 15:14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4" s="19" t="str">
        <f t="shared" si="1"/>
        <v>4042</v>
      </c>
    </row>
    <row r="55" spans="1:17" s="2" customFormat="1" x14ac:dyDescent="0.25">
      <c r="A55" s="23">
        <v>42541.632881944446</v>
      </c>
      <c r="B55" s="22" t="s">
        <v>139</v>
      </c>
      <c r="C55" s="22" t="s">
        <v>334</v>
      </c>
      <c r="D55" s="22" t="s">
        <v>52</v>
      </c>
      <c r="E55" s="22" t="s">
        <v>53</v>
      </c>
      <c r="F55" s="22">
        <v>0</v>
      </c>
      <c r="G55" s="22">
        <v>3</v>
      </c>
      <c r="H55" s="22">
        <v>233274</v>
      </c>
      <c r="I55" s="22" t="s">
        <v>54</v>
      </c>
      <c r="J55" s="22">
        <v>233491</v>
      </c>
      <c r="K55" s="21" t="s">
        <v>55</v>
      </c>
      <c r="L55" s="21" t="str">
        <f>VLOOKUP(C55,'Trips&amp;Operators'!$C$2:$E$10000,3,FALSE)</f>
        <v>MOSES</v>
      </c>
      <c r="M55" s="20" t="s">
        <v>66</v>
      </c>
      <c r="N55" s="21"/>
      <c r="P55" s="79" t="str">
        <f>VLOOKUP(C55,'Train Runs'!$A$3:$V$256,22,0)</f>
        <v>https://search-rtdc-monitor-bjffxe2xuh6vdkpspy63sjmuny.us-east-1.es.amazonaws.com/_plugin/kibana/#/discover/Steve-Slow-Train-Analysis-(2080s-and-2083s)?_g=(refreshInterval:(display:Off,section:0,value:0),time:(from:'2016-06-20 14:24:34-0600',mode:absolute,to:'2016-06-20 15:14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5" s="19" t="str">
        <f t="shared" si="1"/>
        <v>4042</v>
      </c>
    </row>
    <row r="56" spans="1:17" s="2" customFormat="1" x14ac:dyDescent="0.25">
      <c r="A56" s="23">
        <v>42541.632916666669</v>
      </c>
      <c r="B56" s="22" t="s">
        <v>139</v>
      </c>
      <c r="C56" s="22" t="s">
        <v>334</v>
      </c>
      <c r="D56" s="22" t="s">
        <v>52</v>
      </c>
      <c r="E56" s="22" t="s">
        <v>53</v>
      </c>
      <c r="F56" s="22">
        <v>0</v>
      </c>
      <c r="G56" s="22">
        <v>4</v>
      </c>
      <c r="H56" s="22">
        <v>233289</v>
      </c>
      <c r="I56" s="22" t="s">
        <v>54</v>
      </c>
      <c r="J56" s="22">
        <v>233491</v>
      </c>
      <c r="K56" s="21" t="s">
        <v>55</v>
      </c>
      <c r="L56" s="21" t="str">
        <f>VLOOKUP(C56,'Trips&amp;Operators'!$C$2:$E$10000,3,FALSE)</f>
        <v>MOSES</v>
      </c>
      <c r="M56" s="20" t="s">
        <v>66</v>
      </c>
      <c r="N56" s="21"/>
      <c r="P56" s="79" t="str">
        <f>VLOOKUP(C56,'Train Runs'!$A$3:$V$256,22,0)</f>
        <v>https://search-rtdc-monitor-bjffxe2xuh6vdkpspy63sjmuny.us-east-1.es.amazonaws.com/_plugin/kibana/#/discover/Steve-Slow-Train-Analysis-(2080s-and-2083s)?_g=(refreshInterval:(display:Off,section:0,value:0),time:(from:'2016-06-20 14:24:34-0600',mode:absolute,to:'2016-06-20 15:14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6" s="19" t="str">
        <f t="shared" si="1"/>
        <v>4042</v>
      </c>
    </row>
    <row r="57" spans="1:17" s="2" customFormat="1" x14ac:dyDescent="0.25">
      <c r="A57" s="23">
        <v>42541.674664351849</v>
      </c>
      <c r="B57" s="22" t="s">
        <v>138</v>
      </c>
      <c r="C57" s="22" t="s">
        <v>337</v>
      </c>
      <c r="D57" s="22" t="s">
        <v>52</v>
      </c>
      <c r="E57" s="22" t="s">
        <v>53</v>
      </c>
      <c r="F57" s="22">
        <v>0</v>
      </c>
      <c r="G57" s="22">
        <v>53</v>
      </c>
      <c r="H57" s="22">
        <v>185</v>
      </c>
      <c r="I57" s="22" t="s">
        <v>54</v>
      </c>
      <c r="J57" s="22">
        <v>1</v>
      </c>
      <c r="K57" s="21" t="s">
        <v>56</v>
      </c>
      <c r="L57" s="21" t="str">
        <f>VLOOKUP(C57,'Trips&amp;Operators'!$C$2:$E$10000,3,FALSE)</f>
        <v>MOSES</v>
      </c>
      <c r="M57" s="20" t="s">
        <v>66</v>
      </c>
      <c r="N57" s="21"/>
      <c r="P57" s="79" t="str">
        <f>VLOOKUP(C57,'Train Runs'!$A$3:$V$256,22,0)</f>
        <v>https://search-rtdc-monitor-bjffxe2xuh6vdkpspy63sjmuny.us-east-1.es.amazonaws.com/_plugin/kibana/#/discover/Steve-Slow-Train-Analysis-(2080s-and-2083s)?_g=(refreshInterval:(display:Off,section:0,value:0),time:(from:'2016-06-20 15:21:39-0600',mode:absolute,to:'2016-06-20 16:12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7" s="19" t="str">
        <f t="shared" si="1"/>
        <v>4041</v>
      </c>
    </row>
    <row r="58" spans="1:17" s="2" customFormat="1" x14ac:dyDescent="0.25">
      <c r="A58" s="23">
        <v>42541.692025462966</v>
      </c>
      <c r="B58" s="22" t="s">
        <v>129</v>
      </c>
      <c r="C58" s="22" t="s">
        <v>345</v>
      </c>
      <c r="D58" s="22" t="s">
        <v>52</v>
      </c>
      <c r="E58" s="22" t="s">
        <v>53</v>
      </c>
      <c r="F58" s="22">
        <v>0</v>
      </c>
      <c r="G58" s="22">
        <v>5</v>
      </c>
      <c r="H58" s="22">
        <v>134</v>
      </c>
      <c r="I58" s="22" t="s">
        <v>54</v>
      </c>
      <c r="J58" s="22">
        <v>1</v>
      </c>
      <c r="K58" s="21" t="s">
        <v>56</v>
      </c>
      <c r="L58" s="21" t="str">
        <f>VLOOKUP(C58,'Trips&amp;Operators'!$C$2:$E$10000,3,FALSE)</f>
        <v>MAELZER</v>
      </c>
      <c r="M58" s="20" t="s">
        <v>66</v>
      </c>
      <c r="N58" s="21"/>
      <c r="P58" s="79" t="str">
        <f>VLOOKUP(C58,'Train Runs'!$A$3:$V$256,22,0)</f>
        <v>https://search-rtdc-monitor-bjffxe2xuh6vdkpspy63sjmuny.us-east-1.es.amazonaws.com/_plugin/kibana/#/discover/Steve-Slow-Train-Analysis-(2080s-and-2083s)?_g=(refreshInterval:(display:Off,section:0,value:0),time:(from:'2016-06-20 15:47:02-0600',mode:absolute,to:'2016-06-20 16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8" s="19" t="str">
        <f t="shared" si="1"/>
        <v>4026</v>
      </c>
    </row>
    <row r="59" spans="1:17" s="2" customFormat="1" x14ac:dyDescent="0.25">
      <c r="A59" s="23">
        <v>42541.733414351853</v>
      </c>
      <c r="B59" s="22" t="s">
        <v>100</v>
      </c>
      <c r="C59" s="22" t="s">
        <v>359</v>
      </c>
      <c r="D59" s="22" t="s">
        <v>52</v>
      </c>
      <c r="E59" s="22" t="s">
        <v>53</v>
      </c>
      <c r="F59" s="22">
        <v>0</v>
      </c>
      <c r="G59" s="22">
        <v>70</v>
      </c>
      <c r="H59" s="22">
        <v>265</v>
      </c>
      <c r="I59" s="22" t="s">
        <v>54</v>
      </c>
      <c r="J59" s="22">
        <v>1</v>
      </c>
      <c r="K59" s="21" t="s">
        <v>56</v>
      </c>
      <c r="L59" s="21" t="str">
        <f>VLOOKUP(C59,'Trips&amp;Operators'!$C$2:$E$10000,3,FALSE)</f>
        <v>STORY</v>
      </c>
      <c r="M59" s="20" t="s">
        <v>66</v>
      </c>
      <c r="N59" s="21"/>
      <c r="P59" s="79" t="str">
        <f>VLOOKUP(C59,'Train Runs'!$A$3:$V$256,22,0)</f>
        <v>https://search-rtdc-monitor-bjffxe2xuh6vdkpspy63sjmuny.us-east-1.es.amazonaws.com/_plugin/kibana/#/discover/Steve-Slow-Train-Analysis-(2080s-and-2083s)?_g=(refreshInterval:(display:Off,section:0,value:0),time:(from:'2016-06-20 16:46:28-0600',mode:absolute,to:'2016-06-20 17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9" s="19" t="str">
        <f t="shared" si="1"/>
        <v>4023</v>
      </c>
    </row>
    <row r="60" spans="1:17" s="2" customFormat="1" x14ac:dyDescent="0.25">
      <c r="A60" s="23">
        <v>42541.706238425926</v>
      </c>
      <c r="B60" s="22" t="s">
        <v>139</v>
      </c>
      <c r="C60" s="22" t="s">
        <v>362</v>
      </c>
      <c r="D60" s="22" t="s">
        <v>52</v>
      </c>
      <c r="E60" s="22" t="s">
        <v>53</v>
      </c>
      <c r="F60" s="22">
        <v>0</v>
      </c>
      <c r="G60" s="22">
        <v>6</v>
      </c>
      <c r="H60" s="22">
        <v>233322</v>
      </c>
      <c r="I60" s="22" t="s">
        <v>54</v>
      </c>
      <c r="J60" s="22">
        <v>233491</v>
      </c>
      <c r="K60" s="21" t="s">
        <v>55</v>
      </c>
      <c r="L60" s="21" t="str">
        <f>VLOOKUP(C60,'Trips&amp;Operators'!$C$2:$E$10000,3,FALSE)</f>
        <v>MOSES</v>
      </c>
      <c r="M60" s="20" t="s">
        <v>66</v>
      </c>
      <c r="N60" s="21"/>
      <c r="P60" s="79" t="str">
        <f>VLOOKUP(C60,'Train Runs'!$A$3:$V$256,22,0)</f>
        <v>https://search-rtdc-monitor-bjffxe2xuh6vdkpspy63sjmuny.us-east-1.es.amazonaws.com/_plugin/kibana/#/discover/Steve-Slow-Train-Analysis-(2080s-and-2083s)?_g=(refreshInterval:(display:Off,section:0,value:0),time:(from:'2016-06-20 16:12:58-0600',mode:absolute,to:'2016-06-20 16:58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0" s="19" t="str">
        <f t="shared" si="1"/>
        <v>4042</v>
      </c>
    </row>
    <row r="61" spans="1:17" s="2" customFormat="1" x14ac:dyDescent="0.25">
      <c r="A61" s="23">
        <v>42541.745532407411</v>
      </c>
      <c r="B61" s="22" t="s">
        <v>138</v>
      </c>
      <c r="C61" s="22" t="s">
        <v>364</v>
      </c>
      <c r="D61" s="22" t="s">
        <v>52</v>
      </c>
      <c r="E61" s="22" t="s">
        <v>53</v>
      </c>
      <c r="F61" s="22">
        <v>0</v>
      </c>
      <c r="G61" s="22">
        <v>6</v>
      </c>
      <c r="H61" s="22">
        <v>136</v>
      </c>
      <c r="I61" s="22" t="s">
        <v>54</v>
      </c>
      <c r="J61" s="22">
        <v>1</v>
      </c>
      <c r="K61" s="21" t="s">
        <v>56</v>
      </c>
      <c r="L61" s="21" t="str">
        <f>VLOOKUP(C61,'Trips&amp;Operators'!$C$2:$E$10000,3,FALSE)</f>
        <v>MOSES</v>
      </c>
      <c r="M61" s="20" t="s">
        <v>66</v>
      </c>
      <c r="N61" s="21"/>
      <c r="P61" s="79" t="str">
        <f>VLOOKUP(C61,'Train Runs'!$A$3:$V$256,22,0)</f>
        <v>https://search-rtdc-monitor-bjffxe2xuh6vdkpspy63sjmuny.us-east-1.es.amazonaws.com/_plugin/kibana/#/discover/Steve-Slow-Train-Analysis-(2080s-and-2083s)?_g=(refreshInterval:(display:Off,section:0,value:0),time:(from:'2016-06-20 17:03:43-0600',mode:absolute,to:'2016-06-20 17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1" s="19" t="str">
        <f t="shared" si="1"/>
        <v>4041</v>
      </c>
    </row>
    <row r="62" spans="1:17" s="2" customFormat="1" x14ac:dyDescent="0.25">
      <c r="A62" s="23">
        <v>42541.733854166669</v>
      </c>
      <c r="B62" s="22" t="s">
        <v>98</v>
      </c>
      <c r="C62" s="22" t="s">
        <v>374</v>
      </c>
      <c r="D62" s="22" t="s">
        <v>52</v>
      </c>
      <c r="E62" s="22" t="s">
        <v>53</v>
      </c>
      <c r="F62" s="22">
        <v>0</v>
      </c>
      <c r="G62" s="22">
        <v>6</v>
      </c>
      <c r="H62" s="22">
        <v>233366</v>
      </c>
      <c r="I62" s="22" t="s">
        <v>54</v>
      </c>
      <c r="J62" s="22">
        <v>233491</v>
      </c>
      <c r="K62" s="21" t="s">
        <v>55</v>
      </c>
      <c r="L62" s="21" t="str">
        <f>VLOOKUP(C62,'Trips&amp;Operators'!$C$2:$E$10000,3,FALSE)</f>
        <v>LOCKLEAR</v>
      </c>
      <c r="M62" s="20" t="s">
        <v>66</v>
      </c>
      <c r="N62" s="21"/>
      <c r="P62" s="79" t="str">
        <f>VLOOKUP(C62,'Train Runs'!$A$3:$V$256,22,0)</f>
        <v>https://search-rtdc-monitor-bjffxe2xuh6vdkpspy63sjmuny.us-east-1.es.amazonaws.com/_plugin/kibana/#/discover/Steve-Slow-Train-Analysis-(2080s-and-2083s)?_g=(refreshInterval:(display:Off,section:0,value:0),time:(from:'2016-06-20 16:51:00-0600',mode:absolute,to:'2016-06-20 17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2" s="19" t="str">
        <f t="shared" si="1"/>
        <v>4018</v>
      </c>
    </row>
    <row r="63" spans="1:17" s="2" customFormat="1" x14ac:dyDescent="0.25">
      <c r="A63" s="23">
        <v>42541.764872685184</v>
      </c>
      <c r="B63" s="22" t="s">
        <v>107</v>
      </c>
      <c r="C63" s="22" t="s">
        <v>385</v>
      </c>
      <c r="D63" s="22" t="s">
        <v>52</v>
      </c>
      <c r="E63" s="22" t="s">
        <v>53</v>
      </c>
      <c r="F63" s="22">
        <v>0</v>
      </c>
      <c r="G63" s="22">
        <v>8</v>
      </c>
      <c r="H63" s="22">
        <v>233355</v>
      </c>
      <c r="I63" s="22" t="s">
        <v>54</v>
      </c>
      <c r="J63" s="22">
        <v>233491</v>
      </c>
      <c r="K63" s="21" t="s">
        <v>55</v>
      </c>
      <c r="L63" s="21" t="str">
        <f>VLOOKUP(C63,'Trips&amp;Operators'!$C$2:$E$10000,3,FALSE)</f>
        <v>COOLAHAN</v>
      </c>
      <c r="M63" s="20" t="s">
        <v>66</v>
      </c>
      <c r="N63" s="21"/>
      <c r="P63" s="79" t="str">
        <f>VLOOKUP(C63,'Train Runs'!$A$3:$V$256,22,0)</f>
        <v>https://search-rtdc-monitor-bjffxe2xuh6vdkpspy63sjmuny.us-east-1.es.amazonaws.com/_plugin/kibana/#/discover/Steve-Slow-Train-Analysis-(2080s-and-2083s)?_g=(refreshInterval:(display:Off,section:0,value:0),time:(from:'2016-06-20 17:39:13-0600',mode:absolute,to:'2016-06-20 18:22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63" s="19" t="str">
        <f t="shared" si="1"/>
        <v>4024</v>
      </c>
    </row>
    <row r="64" spans="1:17" s="2" customFormat="1" x14ac:dyDescent="0.25">
      <c r="A64" s="23">
        <v>42541.949131944442</v>
      </c>
      <c r="B64" s="22" t="s">
        <v>110</v>
      </c>
      <c r="C64" s="22" t="s">
        <v>418</v>
      </c>
      <c r="D64" s="22" t="s">
        <v>52</v>
      </c>
      <c r="E64" s="22" t="s">
        <v>53</v>
      </c>
      <c r="F64" s="22">
        <v>0</v>
      </c>
      <c r="G64" s="22">
        <v>8</v>
      </c>
      <c r="H64" s="22">
        <v>233337</v>
      </c>
      <c r="I64" s="22" t="s">
        <v>54</v>
      </c>
      <c r="J64" s="22">
        <v>233491</v>
      </c>
      <c r="K64" s="21" t="s">
        <v>55</v>
      </c>
      <c r="L64" s="21" t="str">
        <f>VLOOKUP(C64,'Trips&amp;Operators'!$C$2:$E$10000,3,FALSE)</f>
        <v>BRUDER</v>
      </c>
      <c r="M64" s="20" t="s">
        <v>66</v>
      </c>
      <c r="N64" s="21"/>
      <c r="P64" s="79" t="str">
        <f>VLOOKUP(C64,'Train Runs'!$A$3:$V$256,22,0)</f>
        <v>https://search-rtdc-monitor-bjffxe2xuh6vdkpspy63sjmuny.us-east-1.es.amazonaws.com/_plugin/kibana/#/discover/Steve-Slow-Train-Analysis-(2080s-and-2083s)?_g=(refreshInterval:(display:Off,section:0,value:0),time:(from:'2016-06-20 21:50:35-0600',mode:absolute,to:'2016-06-20 22:47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64" s="19" t="str">
        <f t="shared" si="1"/>
        <v>4007</v>
      </c>
    </row>
    <row r="65" spans="1:17" s="2" customFormat="1" x14ac:dyDescent="0.25">
      <c r="A65" s="23">
        <v>42542.026608796295</v>
      </c>
      <c r="B65" s="22" t="s">
        <v>109</v>
      </c>
      <c r="C65" s="22" t="s">
        <v>424</v>
      </c>
      <c r="D65" s="22" t="s">
        <v>52</v>
      </c>
      <c r="E65" s="22" t="s">
        <v>53</v>
      </c>
      <c r="F65" s="22">
        <v>0</v>
      </c>
      <c r="G65" s="22">
        <v>55</v>
      </c>
      <c r="H65" s="22">
        <v>165</v>
      </c>
      <c r="I65" s="22" t="s">
        <v>54</v>
      </c>
      <c r="J65" s="22">
        <v>1</v>
      </c>
      <c r="K65" s="21" t="s">
        <v>56</v>
      </c>
      <c r="L65" s="21" t="str">
        <f>VLOOKUP(C65,'Trips&amp;Operators'!$C$2:$E$10000,3,FALSE)</f>
        <v>YOUNG</v>
      </c>
      <c r="M65" s="20" t="s">
        <v>66</v>
      </c>
      <c r="N65" s="21"/>
      <c r="P65" s="79" t="str">
        <f>VLOOKUP(C65,'Train Runs'!$A$3:$V$256,22,0)</f>
        <v>https://search-rtdc-monitor-bjffxe2xuh6vdkpspy63sjmuny.us-east-1.es.amazonaws.com/_plugin/kibana/#/discover/Steve-Slow-Train-Analysis-(2080s-and-2083s)?_g=(refreshInterval:(display:Off,section:0,value:0),time:(from:'2016-06-20 23:46:13-0600',mode:absolute,to:'2016-06-21 00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65" s="19" t="str">
        <f t="shared" si="1"/>
        <v>4030</v>
      </c>
    </row>
    <row r="66" spans="1:17" s="19" customFormat="1" ht="15.75" thickBot="1" x14ac:dyDescent="0.3">
      <c r="A66" s="41"/>
      <c r="B66" s="42"/>
      <c r="C66" s="42"/>
      <c r="D66" s="42"/>
      <c r="E66" s="42"/>
      <c r="F66" s="42"/>
      <c r="G66" s="42"/>
      <c r="H66" s="42"/>
      <c r="I66" s="42"/>
      <c r="J66" s="42"/>
      <c r="K66" s="43"/>
      <c r="L66" s="43"/>
      <c r="M66" s="44"/>
      <c r="N66" s="43"/>
      <c r="P66" s="79"/>
    </row>
    <row r="67" spans="1:17" ht="30" x14ac:dyDescent="0.25">
      <c r="B67" s="59"/>
      <c r="C67" s="59"/>
      <c r="D67" s="59"/>
      <c r="E67" s="59"/>
      <c r="F67" s="59"/>
      <c r="G67" s="59"/>
      <c r="H67" s="59"/>
      <c r="I67" s="59"/>
      <c r="J67" s="59"/>
      <c r="K67" s="18" t="s">
        <v>28</v>
      </c>
      <c r="L67" s="52"/>
      <c r="M67" s="17">
        <f>COUNTIF(M3:M65,"=Y")</f>
        <v>2</v>
      </c>
      <c r="N67" s="77"/>
    </row>
    <row r="68" spans="1:17" ht="15.75" thickBot="1" x14ac:dyDescent="0.3">
      <c r="B68" s="59"/>
      <c r="C68" s="59"/>
      <c r="D68" s="59"/>
      <c r="E68" s="59"/>
      <c r="F68" s="59"/>
      <c r="G68" s="59"/>
      <c r="H68" s="59"/>
      <c r="I68" s="59"/>
      <c r="J68" s="59"/>
      <c r="K68" s="16" t="s">
        <v>27</v>
      </c>
      <c r="L68" s="53"/>
      <c r="M68" s="15">
        <f>COUNTA(M3:M65)-M67</f>
        <v>61</v>
      </c>
    </row>
  </sheetData>
  <autoFilter ref="A2:N65">
    <sortState ref="A3:N66">
      <sortCondition ref="E2:E66"/>
    </sortState>
  </autoFilter>
  <sortState ref="A3:N9">
    <sortCondition ref="F3:F9"/>
  </sortState>
  <mergeCells count="1">
    <mergeCell ref="A1:M1"/>
  </mergeCells>
  <conditionalFormatting sqref="P2 M2:N2 M3:M1048576">
    <cfRule type="cellIs" dxfId="13" priority="8" operator="equal">
      <formula>"Y"</formula>
    </cfRule>
  </conditionalFormatting>
  <conditionalFormatting sqref="A3:N65">
    <cfRule type="expression" dxfId="12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selection activeCell="D5" sqref="D5"/>
    </sheetView>
  </sheetViews>
  <sheetFormatPr defaultRowHeight="15" x14ac:dyDescent="0.25"/>
  <cols>
    <col min="1" max="1" width="9.140625" customWidth="1"/>
    <col min="2" max="2" width="8" style="85" bestFit="1" customWidth="1"/>
    <col min="3" max="3" width="7.85546875" style="87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7" s="59" customFormat="1" x14ac:dyDescent="0.25">
      <c r="A1" s="106" t="str">
        <f>"Trips that did not appear in PTC Data "&amp;TEXT(Variables!$A$2,"YYYY-mm-dd")</f>
        <v>Trips that did not appear in PTC Data 2016-06-20</v>
      </c>
      <c r="B1" s="106"/>
      <c r="C1" s="106"/>
      <c r="D1" s="106"/>
      <c r="E1" s="106"/>
    </row>
    <row r="2" spans="1:7" s="77" customFormat="1" ht="45" x14ac:dyDescent="0.25">
      <c r="A2" s="76" t="s">
        <v>122</v>
      </c>
      <c r="B2" s="88" t="s">
        <v>123</v>
      </c>
      <c r="C2" s="86" t="s">
        <v>124</v>
      </c>
      <c r="D2" s="77" t="s">
        <v>120</v>
      </c>
      <c r="E2" s="77" t="s">
        <v>121</v>
      </c>
      <c r="F2" s="77" t="s">
        <v>161</v>
      </c>
      <c r="G2" s="90" t="s">
        <v>162</v>
      </c>
    </row>
    <row r="3" spans="1:7" x14ac:dyDescent="0.25">
      <c r="A3" s="92" t="s">
        <v>497</v>
      </c>
      <c r="B3" s="89"/>
      <c r="C3" s="60">
        <v>4048</v>
      </c>
      <c r="D3" s="61" t="s">
        <v>519</v>
      </c>
      <c r="E3" s="60" t="e">
        <f>VLOOKUP(A3,'Trips&amp;Operators'!$C$2:$E$10000,3,FALSE)</f>
        <v>#N/A</v>
      </c>
      <c r="F3" s="60" t="e">
        <f>VLOOKUP(A3,'Trips&amp;Operators'!$C$1:$F$10000,4,FALSE)</f>
        <v>#N/A</v>
      </c>
      <c r="G3" s="91" t="e">
        <f>VLOOKUP(A3,'Trips&amp;Operators'!$C$1:$H$10000,5,FALSE)</f>
        <v>#N/A</v>
      </c>
    </row>
    <row r="4" spans="1:7" x14ac:dyDescent="0.25">
      <c r="A4" s="92" t="s">
        <v>498</v>
      </c>
      <c r="B4" s="89"/>
      <c r="C4" s="60">
        <v>4007</v>
      </c>
      <c r="D4" s="61" t="s">
        <v>520</v>
      </c>
      <c r="E4" s="60" t="e">
        <f>VLOOKUP(A4,'Trips&amp;Operators'!$C$2:$E$10000,3,FALSE)</f>
        <v>#N/A</v>
      </c>
      <c r="F4" s="60" t="e">
        <f>VLOOKUP(A4,'Trips&amp;Operators'!$C$1:$F$10000,4,FALSE)</f>
        <v>#N/A</v>
      </c>
      <c r="G4" s="91" t="e">
        <f>VLOOKUP(A4,'Trips&amp;Operators'!$C$1:$H$10000,5,FALSE)</f>
        <v>#N/A</v>
      </c>
    </row>
    <row r="5" spans="1:7" x14ac:dyDescent="0.25">
      <c r="B5"/>
      <c r="C5"/>
    </row>
    <row r="6" spans="1:7" x14ac:dyDescent="0.25">
      <c r="B6"/>
      <c r="C6"/>
    </row>
    <row r="7" spans="1:7" x14ac:dyDescent="0.25">
      <c r="B7"/>
      <c r="C7"/>
    </row>
    <row r="8" spans="1:7" x14ac:dyDescent="0.25">
      <c r="B8"/>
      <c r="C8"/>
    </row>
    <row r="9" spans="1:7" x14ac:dyDescent="0.25">
      <c r="B9"/>
      <c r="C9"/>
    </row>
    <row r="10" spans="1:7" x14ac:dyDescent="0.25">
      <c r="B10"/>
      <c r="C10"/>
    </row>
    <row r="11" spans="1:7" x14ac:dyDescent="0.25">
      <c r="B11"/>
      <c r="C11"/>
    </row>
    <row r="12" spans="1:7" x14ac:dyDescent="0.25">
      <c r="B12"/>
      <c r="C12"/>
    </row>
    <row r="13" spans="1:7" x14ac:dyDescent="0.25">
      <c r="B13"/>
      <c r="C13"/>
    </row>
    <row r="14" spans="1:7" x14ac:dyDescent="0.25">
      <c r="B14"/>
      <c r="C14"/>
    </row>
    <row r="15" spans="1:7" x14ac:dyDescent="0.25">
      <c r="B15"/>
      <c r="C15"/>
    </row>
    <row r="16" spans="1:7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</sheetData>
  <autoFilter ref="A2:I2"/>
  <mergeCells count="1">
    <mergeCell ref="A1:E1"/>
  </mergeCells>
  <conditionalFormatting sqref="B4:G4">
    <cfRule type="expression" dxfId="11" priority="82">
      <formula>$H140&gt;0</formula>
    </cfRule>
    <cfRule type="expression" dxfId="10" priority="83">
      <formula>$G140&gt;0</formula>
    </cfRule>
  </conditionalFormatting>
  <conditionalFormatting sqref="A4">
    <cfRule type="expression" dxfId="9" priority="84">
      <formula>$F140&gt;0</formula>
    </cfRule>
    <cfRule type="expression" dxfId="8" priority="85">
      <formula>$E140&gt;0</formula>
    </cfRule>
  </conditionalFormatting>
  <conditionalFormatting sqref="B3:G3">
    <cfRule type="expression" dxfId="7" priority="88">
      <formula>$H137&gt;0</formula>
    </cfRule>
    <cfRule type="expression" dxfId="6" priority="89">
      <formula>$G137&gt;0</formula>
    </cfRule>
  </conditionalFormatting>
  <conditionalFormatting sqref="A3">
    <cfRule type="expression" dxfId="5" priority="92">
      <formula>$F137&gt;0</formula>
    </cfRule>
    <cfRule type="expression" dxfId="4" priority="93">
      <formula>$E137&gt;0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6" id="{EB016D9B-668F-4EEA-859B-63F0F621CEF6}">
            <xm:f>$F140&gt;Variables!$C$2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B4:G4</xm:sqref>
        </x14:conditionalFormatting>
        <x14:conditionalFormatting xmlns:xm="http://schemas.microsoft.com/office/excel/2006/main">
          <x14:cfRule type="expression" priority="87" id="{7BEE79D8-A35C-466F-9288-52F47D361E87}">
            <xm:f>$D140&gt;Variables!$C$2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expression" priority="96" id="{EB016D9B-668F-4EEA-859B-63F0F621CEF6}">
            <xm:f>$F137&gt;Variables!$C$2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B3:G3</xm:sqref>
        </x14:conditionalFormatting>
        <x14:conditionalFormatting xmlns:xm="http://schemas.microsoft.com/office/excel/2006/main">
          <x14:cfRule type="expression" priority="98" id="{7BEE79D8-A35C-466F-9288-52F47D361E87}">
            <xm:f>$D137&gt;Variables!$C$2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11"/>
  <sheetViews>
    <sheetView workbookViewId="0">
      <selection activeCell="F1" sqref="F1:F1048576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59" bestFit="1" customWidth="1"/>
    <col min="7" max="7" width="18.28515625" style="14" bestFit="1" customWidth="1"/>
  </cols>
  <sheetData>
    <row r="1" spans="1:7" s="59" customFormat="1" x14ac:dyDescent="0.25">
      <c r="A1" s="14">
        <v>42541.171620370369</v>
      </c>
      <c r="B1" s="59" t="s">
        <v>110</v>
      </c>
      <c r="C1" s="59" t="s">
        <v>210</v>
      </c>
      <c r="D1" s="59">
        <v>900000</v>
      </c>
      <c r="E1" s="59" t="s">
        <v>113</v>
      </c>
      <c r="F1" s="59" t="s">
        <v>110</v>
      </c>
      <c r="G1" s="14">
        <v>42541.171620370369</v>
      </c>
    </row>
    <row r="2" spans="1:7" x14ac:dyDescent="0.25">
      <c r="A2" s="14">
        <v>42541.133298611108</v>
      </c>
      <c r="B2" t="s">
        <v>117</v>
      </c>
      <c r="C2" t="s">
        <v>202</v>
      </c>
      <c r="D2">
        <v>1840000</v>
      </c>
      <c r="E2" t="s">
        <v>153</v>
      </c>
      <c r="F2" s="59" t="s">
        <v>117</v>
      </c>
      <c r="G2" s="14">
        <v>42541.133298611108</v>
      </c>
    </row>
    <row r="3" spans="1:7" x14ac:dyDescent="0.25">
      <c r="A3" s="14">
        <v>42541.135277777779</v>
      </c>
      <c r="B3" t="s">
        <v>117</v>
      </c>
      <c r="C3" t="s">
        <v>202</v>
      </c>
      <c r="D3">
        <v>1840000</v>
      </c>
      <c r="E3" t="s">
        <v>153</v>
      </c>
      <c r="F3" s="59" t="s">
        <v>117</v>
      </c>
      <c r="G3" s="14">
        <v>42541.135277777779</v>
      </c>
    </row>
    <row r="4" spans="1:7" x14ac:dyDescent="0.25">
      <c r="A4" s="14">
        <v>42541.169895833336</v>
      </c>
      <c r="B4" t="s">
        <v>140</v>
      </c>
      <c r="C4" t="s">
        <v>204</v>
      </c>
      <c r="D4">
        <v>1840000</v>
      </c>
      <c r="E4" t="s">
        <v>153</v>
      </c>
      <c r="F4" s="59" t="s">
        <v>140</v>
      </c>
      <c r="G4" s="14">
        <v>42541.169895833336</v>
      </c>
    </row>
    <row r="5" spans="1:7" x14ac:dyDescent="0.25">
      <c r="A5" s="14">
        <v>42541.153993055559</v>
      </c>
      <c r="B5" t="s">
        <v>483</v>
      </c>
      <c r="C5" t="s">
        <v>206</v>
      </c>
      <c r="D5">
        <v>1480000</v>
      </c>
      <c r="E5" t="s">
        <v>168</v>
      </c>
      <c r="F5" s="59" t="s">
        <v>483</v>
      </c>
      <c r="G5" s="14">
        <v>42541.153993055559</v>
      </c>
    </row>
    <row r="6" spans="1:7" x14ac:dyDescent="0.25">
      <c r="A6" s="14">
        <v>42541.191689814812</v>
      </c>
      <c r="B6" t="s">
        <v>138</v>
      </c>
      <c r="C6" t="s">
        <v>208</v>
      </c>
      <c r="D6">
        <v>1480000</v>
      </c>
      <c r="E6" t="s">
        <v>168</v>
      </c>
      <c r="F6" s="59" t="s">
        <v>138</v>
      </c>
      <c r="G6" s="14">
        <v>42541.191689814812</v>
      </c>
    </row>
    <row r="7" spans="1:7" x14ac:dyDescent="0.25">
      <c r="A7" s="14">
        <v>42541.215555555558</v>
      </c>
      <c r="B7" t="s">
        <v>154</v>
      </c>
      <c r="C7" t="s">
        <v>213</v>
      </c>
      <c r="D7">
        <v>900000</v>
      </c>
      <c r="E7" t="s">
        <v>113</v>
      </c>
      <c r="F7" s="59" t="s">
        <v>154</v>
      </c>
      <c r="G7" s="14">
        <v>42541.215555555558</v>
      </c>
    </row>
    <row r="8" spans="1:7" x14ac:dyDescent="0.25">
      <c r="A8" s="14">
        <v>42541.184074074074</v>
      </c>
      <c r="B8" t="s">
        <v>128</v>
      </c>
      <c r="C8" t="s">
        <v>215</v>
      </c>
      <c r="D8">
        <v>1230000</v>
      </c>
      <c r="E8" t="s">
        <v>493</v>
      </c>
      <c r="F8" s="59" t="s">
        <v>128</v>
      </c>
      <c r="G8" s="14">
        <v>42541.184074074074</v>
      </c>
    </row>
    <row r="9" spans="1:7" ht="15.75" thickBot="1" x14ac:dyDescent="0.3">
      <c r="A9" s="82">
        <v>42541.223356481481</v>
      </c>
      <c r="B9" t="s">
        <v>129</v>
      </c>
      <c r="C9" t="s">
        <v>217</v>
      </c>
      <c r="D9">
        <v>1230000</v>
      </c>
      <c r="E9" t="s">
        <v>493</v>
      </c>
      <c r="F9" s="59" t="s">
        <v>129</v>
      </c>
      <c r="G9" s="82">
        <v>42541.223356481481</v>
      </c>
    </row>
    <row r="10" spans="1:7" x14ac:dyDescent="0.25">
      <c r="A10" s="14">
        <v>42541.191134259258</v>
      </c>
      <c r="B10" t="s">
        <v>111</v>
      </c>
      <c r="C10" t="s">
        <v>219</v>
      </c>
      <c r="D10">
        <v>1090000</v>
      </c>
      <c r="E10" t="s">
        <v>490</v>
      </c>
      <c r="F10" s="59" t="s">
        <v>111</v>
      </c>
      <c r="G10" s="14">
        <v>42541.191134259258</v>
      </c>
    </row>
    <row r="11" spans="1:7" x14ac:dyDescent="0.25">
      <c r="A11" s="14">
        <v>42541.231921296298</v>
      </c>
      <c r="B11" t="s">
        <v>89</v>
      </c>
      <c r="C11" t="s">
        <v>221</v>
      </c>
      <c r="D11">
        <v>1090000</v>
      </c>
      <c r="E11" t="s">
        <v>490</v>
      </c>
      <c r="F11" s="59" t="s">
        <v>89</v>
      </c>
      <c r="G11" s="14">
        <v>42541.231921296298</v>
      </c>
    </row>
    <row r="12" spans="1:7" x14ac:dyDescent="0.25">
      <c r="A12" s="14">
        <v>42541.207835648151</v>
      </c>
      <c r="B12" t="s">
        <v>117</v>
      </c>
      <c r="C12" t="s">
        <v>222</v>
      </c>
      <c r="D12">
        <v>1360000</v>
      </c>
      <c r="E12" t="s">
        <v>93</v>
      </c>
      <c r="F12" s="59" t="s">
        <v>117</v>
      </c>
      <c r="G12" s="14">
        <v>42541.207835648151</v>
      </c>
    </row>
    <row r="13" spans="1:7" x14ac:dyDescent="0.25">
      <c r="A13" s="14">
        <v>42541.212442129632</v>
      </c>
      <c r="B13" t="s">
        <v>117</v>
      </c>
      <c r="C13" t="s">
        <v>222</v>
      </c>
      <c r="D13">
        <v>1360000</v>
      </c>
      <c r="E13" t="s">
        <v>93</v>
      </c>
      <c r="F13" s="59" t="s">
        <v>117</v>
      </c>
      <c r="G13" s="14">
        <v>42541.212442129632</v>
      </c>
    </row>
    <row r="14" spans="1:7" x14ac:dyDescent="0.25">
      <c r="A14" s="14">
        <v>42541.220810185187</v>
      </c>
      <c r="B14" t="s">
        <v>117</v>
      </c>
      <c r="C14" t="s">
        <v>222</v>
      </c>
      <c r="D14">
        <v>1360000</v>
      </c>
      <c r="E14" t="s">
        <v>93</v>
      </c>
      <c r="F14" s="59" t="s">
        <v>117</v>
      </c>
      <c r="G14" s="14">
        <v>42541.220810185187</v>
      </c>
    </row>
    <row r="15" spans="1:7" x14ac:dyDescent="0.25">
      <c r="A15" s="14">
        <v>42541.245833333334</v>
      </c>
      <c r="B15" t="s">
        <v>109</v>
      </c>
      <c r="C15" t="s">
        <v>226</v>
      </c>
      <c r="D15">
        <v>1360000</v>
      </c>
      <c r="E15" t="s">
        <v>93</v>
      </c>
      <c r="F15" s="59" t="s">
        <v>109</v>
      </c>
      <c r="G15" s="14">
        <v>42541.245833333334</v>
      </c>
    </row>
    <row r="16" spans="1:7" x14ac:dyDescent="0.25">
      <c r="A16" s="14">
        <v>42541.211087962962</v>
      </c>
      <c r="B16" t="s">
        <v>137</v>
      </c>
      <c r="C16" t="s">
        <v>228</v>
      </c>
      <c r="D16">
        <v>1840000</v>
      </c>
      <c r="E16" t="s">
        <v>153</v>
      </c>
      <c r="F16" s="59" t="s">
        <v>137</v>
      </c>
      <c r="G16" s="14">
        <v>42541.211087962962</v>
      </c>
    </row>
    <row r="17" spans="1:7" x14ac:dyDescent="0.25">
      <c r="A17" s="14">
        <v>42541.252650462964</v>
      </c>
      <c r="B17" s="59" t="s">
        <v>140</v>
      </c>
      <c r="C17" t="s">
        <v>230</v>
      </c>
      <c r="D17">
        <v>1840000</v>
      </c>
      <c r="E17" t="s">
        <v>153</v>
      </c>
      <c r="F17" s="59" t="s">
        <v>140</v>
      </c>
      <c r="G17" s="14">
        <v>42541.252650462964</v>
      </c>
    </row>
    <row r="18" spans="1:7" x14ac:dyDescent="0.25">
      <c r="A18" s="14">
        <v>42541.227256944447</v>
      </c>
      <c r="B18" t="s">
        <v>483</v>
      </c>
      <c r="C18" t="s">
        <v>231</v>
      </c>
      <c r="D18">
        <v>1310000</v>
      </c>
      <c r="E18" t="s">
        <v>115</v>
      </c>
      <c r="F18" s="59" t="s">
        <v>483</v>
      </c>
      <c r="G18" s="14">
        <v>42541.227256944447</v>
      </c>
    </row>
    <row r="19" spans="1:7" x14ac:dyDescent="0.25">
      <c r="A19" s="14">
        <v>42541.229166666664</v>
      </c>
      <c r="B19" t="s">
        <v>139</v>
      </c>
      <c r="C19" t="s">
        <v>234</v>
      </c>
      <c r="D19">
        <v>1480000</v>
      </c>
      <c r="E19" t="s">
        <v>168</v>
      </c>
      <c r="F19" s="59" t="s">
        <v>139</v>
      </c>
      <c r="G19" s="14">
        <v>42541.229166666664</v>
      </c>
    </row>
    <row r="20" spans="1:7" x14ac:dyDescent="0.25">
      <c r="A20" s="14">
        <v>42541.273321759261</v>
      </c>
      <c r="B20" t="s">
        <v>138</v>
      </c>
      <c r="C20" t="s">
        <v>235</v>
      </c>
      <c r="D20">
        <v>2000000</v>
      </c>
      <c r="E20" t="s">
        <v>491</v>
      </c>
      <c r="F20" s="59" t="s">
        <v>138</v>
      </c>
      <c r="G20" s="14">
        <v>42541.273321759261</v>
      </c>
    </row>
    <row r="21" spans="1:7" x14ac:dyDescent="0.25">
      <c r="A21" s="14">
        <v>42541.249259259261</v>
      </c>
      <c r="B21" t="s">
        <v>110</v>
      </c>
      <c r="C21" t="s">
        <v>237</v>
      </c>
      <c r="D21">
        <v>900000</v>
      </c>
      <c r="E21" t="s">
        <v>113</v>
      </c>
      <c r="F21" s="59" t="s">
        <v>110</v>
      </c>
      <c r="G21" s="14">
        <v>42541.249259259261</v>
      </c>
    </row>
    <row r="22" spans="1:7" x14ac:dyDescent="0.25">
      <c r="A22" s="84">
        <v>42541.288414351853</v>
      </c>
      <c r="B22" t="s">
        <v>108</v>
      </c>
      <c r="C22" t="s">
        <v>238</v>
      </c>
      <c r="D22">
        <v>900000</v>
      </c>
      <c r="E22" t="s">
        <v>113</v>
      </c>
      <c r="F22" s="59" t="s">
        <v>108</v>
      </c>
      <c r="G22" s="84">
        <v>42541.288414351853</v>
      </c>
    </row>
    <row r="23" spans="1:7" x14ac:dyDescent="0.25">
      <c r="A23" s="14">
        <v>42541.254837962966</v>
      </c>
      <c r="B23" t="s">
        <v>128</v>
      </c>
      <c r="C23" t="s">
        <v>239</v>
      </c>
      <c r="D23">
        <v>1230000</v>
      </c>
      <c r="E23" t="s">
        <v>493</v>
      </c>
      <c r="F23" s="59" t="s">
        <v>128</v>
      </c>
      <c r="G23" s="14">
        <v>42541.254837962966</v>
      </c>
    </row>
    <row r="24" spans="1:7" x14ac:dyDescent="0.25">
      <c r="A24" s="14">
        <v>42541.287685185183</v>
      </c>
      <c r="B24" t="s">
        <v>129</v>
      </c>
      <c r="C24" t="s">
        <v>241</v>
      </c>
      <c r="D24">
        <v>1230000</v>
      </c>
      <c r="E24" t="s">
        <v>493</v>
      </c>
      <c r="F24" s="59" t="s">
        <v>129</v>
      </c>
      <c r="G24" s="14">
        <v>42541.287685185183</v>
      </c>
    </row>
    <row r="25" spans="1:7" x14ac:dyDescent="0.25">
      <c r="A25" s="14">
        <v>42541.267268518517</v>
      </c>
      <c r="B25" t="s">
        <v>111</v>
      </c>
      <c r="C25" t="s">
        <v>242</v>
      </c>
      <c r="D25">
        <v>1090000</v>
      </c>
      <c r="E25" t="s">
        <v>490</v>
      </c>
      <c r="F25" s="59" t="s">
        <v>111</v>
      </c>
      <c r="G25" s="14">
        <v>42541.267268518517</v>
      </c>
    </row>
    <row r="26" spans="1:7" x14ac:dyDescent="0.25">
      <c r="A26" s="14">
        <v>42541.306898148148</v>
      </c>
      <c r="B26" t="s">
        <v>89</v>
      </c>
      <c r="C26" t="s">
        <v>243</v>
      </c>
      <c r="D26">
        <v>1090000</v>
      </c>
      <c r="E26" t="s">
        <v>490</v>
      </c>
      <c r="F26" s="59" t="s">
        <v>89</v>
      </c>
      <c r="G26" s="14">
        <v>42541.306898148148</v>
      </c>
    </row>
    <row r="27" spans="1:7" x14ac:dyDescent="0.25">
      <c r="A27" s="14">
        <v>42541.278993055559</v>
      </c>
      <c r="B27" t="s">
        <v>117</v>
      </c>
      <c r="C27" t="s">
        <v>244</v>
      </c>
      <c r="D27">
        <v>1360000</v>
      </c>
      <c r="E27" t="s">
        <v>93</v>
      </c>
      <c r="F27" s="59" t="s">
        <v>117</v>
      </c>
      <c r="G27" s="14">
        <v>42541.278993055559</v>
      </c>
    </row>
    <row r="28" spans="1:7" x14ac:dyDescent="0.25">
      <c r="A28" s="14">
        <v>42541.280613425923</v>
      </c>
      <c r="B28" s="59" t="s">
        <v>117</v>
      </c>
      <c r="C28" t="s">
        <v>244</v>
      </c>
      <c r="D28">
        <v>1360000</v>
      </c>
      <c r="E28" t="s">
        <v>93</v>
      </c>
      <c r="F28" s="59" t="s">
        <v>117</v>
      </c>
      <c r="G28" s="14">
        <v>42541.280613425923</v>
      </c>
    </row>
    <row r="29" spans="1:7" x14ac:dyDescent="0.25">
      <c r="A29" s="14">
        <v>42541.315243055556</v>
      </c>
      <c r="B29" t="s">
        <v>109</v>
      </c>
      <c r="C29" t="s">
        <v>245</v>
      </c>
      <c r="D29">
        <v>1360000</v>
      </c>
      <c r="E29" t="s">
        <v>93</v>
      </c>
      <c r="F29" s="59" t="s">
        <v>109</v>
      </c>
      <c r="G29" s="14">
        <v>42541.315243055556</v>
      </c>
    </row>
    <row r="30" spans="1:7" x14ac:dyDescent="0.25">
      <c r="A30" s="14">
        <v>42541.289780092593</v>
      </c>
      <c r="B30" t="s">
        <v>137</v>
      </c>
      <c r="C30" t="s">
        <v>246</v>
      </c>
      <c r="D30">
        <v>1840000</v>
      </c>
      <c r="E30" t="s">
        <v>153</v>
      </c>
      <c r="F30" s="59" t="s">
        <v>137</v>
      </c>
      <c r="G30" s="14">
        <v>42541.289780092593</v>
      </c>
    </row>
    <row r="31" spans="1:7" x14ac:dyDescent="0.25">
      <c r="A31" s="14">
        <v>42541.325949074075</v>
      </c>
      <c r="B31" t="s">
        <v>140</v>
      </c>
      <c r="C31" t="s">
        <v>247</v>
      </c>
      <c r="D31">
        <v>1840000</v>
      </c>
      <c r="E31" t="s">
        <v>153</v>
      </c>
      <c r="F31" s="59" t="s">
        <v>140</v>
      </c>
      <c r="G31" s="14">
        <v>42541.325949074075</v>
      </c>
    </row>
    <row r="32" spans="1:7" x14ac:dyDescent="0.25">
      <c r="A32" s="14">
        <v>42541.300810185188</v>
      </c>
      <c r="B32" t="s">
        <v>483</v>
      </c>
      <c r="C32" t="s">
        <v>248</v>
      </c>
      <c r="D32">
        <v>1310000</v>
      </c>
      <c r="E32" t="s">
        <v>115</v>
      </c>
      <c r="F32" s="59" t="s">
        <v>483</v>
      </c>
      <c r="G32" s="14">
        <v>42541.300810185188</v>
      </c>
    </row>
    <row r="33" spans="1:7" x14ac:dyDescent="0.25">
      <c r="A33" s="14">
        <v>42541.340451388889</v>
      </c>
      <c r="B33" t="s">
        <v>494</v>
      </c>
      <c r="C33" t="s">
        <v>495</v>
      </c>
      <c r="D33">
        <v>1310000</v>
      </c>
      <c r="E33" t="s">
        <v>115</v>
      </c>
      <c r="F33" s="59" t="s">
        <v>494</v>
      </c>
      <c r="G33" s="14">
        <v>42541.340451388889</v>
      </c>
    </row>
    <row r="34" spans="1:7" x14ac:dyDescent="0.25">
      <c r="A34" s="14">
        <v>42541.309988425928</v>
      </c>
      <c r="B34" t="s">
        <v>139</v>
      </c>
      <c r="C34" t="s">
        <v>249</v>
      </c>
      <c r="D34">
        <v>2000000</v>
      </c>
      <c r="E34" t="s">
        <v>491</v>
      </c>
      <c r="F34" s="59" t="s">
        <v>139</v>
      </c>
      <c r="G34" s="14">
        <v>42541.309988425928</v>
      </c>
    </row>
    <row r="35" spans="1:7" x14ac:dyDescent="0.25">
      <c r="A35" s="14">
        <v>42541.343032407407</v>
      </c>
      <c r="B35" t="s">
        <v>138</v>
      </c>
      <c r="C35" t="s">
        <v>251</v>
      </c>
      <c r="D35">
        <v>2000000</v>
      </c>
      <c r="E35" t="s">
        <v>491</v>
      </c>
      <c r="F35" s="59" t="s">
        <v>138</v>
      </c>
      <c r="G35" s="14">
        <v>42541.343032407407</v>
      </c>
    </row>
    <row r="36" spans="1:7" x14ac:dyDescent="0.25">
      <c r="A36" s="14">
        <v>42541.319062499999</v>
      </c>
      <c r="B36" t="s">
        <v>110</v>
      </c>
      <c r="C36" t="s">
        <v>253</v>
      </c>
      <c r="D36">
        <v>900000</v>
      </c>
      <c r="E36" t="s">
        <v>113</v>
      </c>
      <c r="F36" s="59" t="s">
        <v>110</v>
      </c>
      <c r="G36" s="14">
        <v>42541.319062499999</v>
      </c>
    </row>
    <row r="37" spans="1:7" x14ac:dyDescent="0.25">
      <c r="A37" s="14">
        <v>42541.360474537039</v>
      </c>
      <c r="B37" t="s">
        <v>108</v>
      </c>
      <c r="C37" t="s">
        <v>254</v>
      </c>
      <c r="D37">
        <v>900000</v>
      </c>
      <c r="E37" t="s">
        <v>113</v>
      </c>
      <c r="F37" s="59" t="s">
        <v>108</v>
      </c>
      <c r="G37" s="14">
        <v>42541.360474537039</v>
      </c>
    </row>
    <row r="38" spans="1:7" x14ac:dyDescent="0.25">
      <c r="A38" s="14">
        <v>42541.33053240741</v>
      </c>
      <c r="B38" t="s">
        <v>128</v>
      </c>
      <c r="C38" t="s">
        <v>257</v>
      </c>
      <c r="D38">
        <v>1230000</v>
      </c>
      <c r="E38" t="s">
        <v>493</v>
      </c>
      <c r="F38" s="59" t="s">
        <v>128</v>
      </c>
      <c r="G38" s="14">
        <v>42541.33053240741</v>
      </c>
    </row>
    <row r="39" spans="1:7" x14ac:dyDescent="0.25">
      <c r="A39" s="14">
        <v>42541.368668981479</v>
      </c>
      <c r="B39" t="s">
        <v>129</v>
      </c>
      <c r="C39" t="s">
        <v>258</v>
      </c>
      <c r="D39">
        <v>330000</v>
      </c>
      <c r="E39" t="s">
        <v>492</v>
      </c>
      <c r="F39" s="59" t="s">
        <v>129</v>
      </c>
      <c r="G39" s="14">
        <v>42541.368668981479</v>
      </c>
    </row>
    <row r="40" spans="1:7" x14ac:dyDescent="0.25">
      <c r="A40" s="14">
        <v>42541.340081018519</v>
      </c>
      <c r="B40" s="83" t="s">
        <v>111</v>
      </c>
      <c r="C40" t="s">
        <v>260</v>
      </c>
      <c r="D40">
        <v>1090000</v>
      </c>
      <c r="E40" t="s">
        <v>490</v>
      </c>
      <c r="F40" s="83" t="s">
        <v>111</v>
      </c>
      <c r="G40" s="14">
        <v>42541.340081018519</v>
      </c>
    </row>
    <row r="41" spans="1:7" x14ac:dyDescent="0.25">
      <c r="A41" s="14">
        <v>42541.378020833334</v>
      </c>
      <c r="B41" t="s">
        <v>89</v>
      </c>
      <c r="C41" t="s">
        <v>262</v>
      </c>
      <c r="D41">
        <v>1090000</v>
      </c>
      <c r="E41" t="s">
        <v>490</v>
      </c>
      <c r="F41" s="59" t="s">
        <v>89</v>
      </c>
      <c r="G41" s="14">
        <v>42541.378020833334</v>
      </c>
    </row>
    <row r="42" spans="1:7" x14ac:dyDescent="0.25">
      <c r="A42" s="14">
        <v>42541.349502314813</v>
      </c>
      <c r="B42" t="s">
        <v>117</v>
      </c>
      <c r="C42" t="s">
        <v>263</v>
      </c>
      <c r="D42">
        <v>1360000</v>
      </c>
      <c r="E42" t="s">
        <v>93</v>
      </c>
      <c r="F42" s="59" t="s">
        <v>117</v>
      </c>
      <c r="G42" s="14">
        <v>42541.349502314813</v>
      </c>
    </row>
    <row r="43" spans="1:7" x14ac:dyDescent="0.25">
      <c r="A43" s="14">
        <v>42541.351921296293</v>
      </c>
      <c r="B43" s="59" t="s">
        <v>117</v>
      </c>
      <c r="C43" t="s">
        <v>263</v>
      </c>
      <c r="D43">
        <v>1360000</v>
      </c>
      <c r="E43" t="s">
        <v>93</v>
      </c>
      <c r="F43" s="59" t="s">
        <v>117</v>
      </c>
      <c r="G43" s="14">
        <v>42541.351921296293</v>
      </c>
    </row>
    <row r="44" spans="1:7" x14ac:dyDescent="0.25">
      <c r="A44" s="14">
        <v>42541.389606481483</v>
      </c>
      <c r="B44" t="s">
        <v>109</v>
      </c>
      <c r="C44" t="s">
        <v>265</v>
      </c>
      <c r="D44">
        <v>1360000</v>
      </c>
      <c r="E44" t="s">
        <v>93</v>
      </c>
      <c r="F44" s="59" t="s">
        <v>109</v>
      </c>
      <c r="G44" s="14">
        <v>42541.389606481483</v>
      </c>
    </row>
    <row r="45" spans="1:7" x14ac:dyDescent="0.25">
      <c r="A45" s="14">
        <v>42541.362905092596</v>
      </c>
      <c r="B45" t="s">
        <v>137</v>
      </c>
      <c r="C45" t="s">
        <v>266</v>
      </c>
      <c r="D45">
        <v>1840000</v>
      </c>
      <c r="E45" t="s">
        <v>153</v>
      </c>
      <c r="F45" s="59" t="s">
        <v>137</v>
      </c>
      <c r="G45" s="14">
        <v>42541.362905092596</v>
      </c>
    </row>
    <row r="46" spans="1:7" x14ac:dyDescent="0.25">
      <c r="A46" s="14">
        <v>42541.3984837963</v>
      </c>
      <c r="B46" t="s">
        <v>140</v>
      </c>
      <c r="C46" t="s">
        <v>268</v>
      </c>
      <c r="D46">
        <v>1840000</v>
      </c>
      <c r="E46" t="s">
        <v>153</v>
      </c>
      <c r="F46" s="59" t="s">
        <v>140</v>
      </c>
      <c r="G46" s="14">
        <v>42541.3984837963</v>
      </c>
    </row>
    <row r="47" spans="1:7" x14ac:dyDescent="0.25">
      <c r="A47" s="14">
        <v>42541.375347222223</v>
      </c>
      <c r="B47" s="59" t="s">
        <v>152</v>
      </c>
      <c r="C47" t="s">
        <v>269</v>
      </c>
      <c r="D47">
        <v>1310000</v>
      </c>
      <c r="E47" t="s">
        <v>115</v>
      </c>
      <c r="F47" s="59" t="s">
        <v>152</v>
      </c>
      <c r="G47" s="14">
        <v>42541.375347222223</v>
      </c>
    </row>
    <row r="48" spans="1:7" x14ac:dyDescent="0.25">
      <c r="A48" s="14">
        <v>42541.413946759261</v>
      </c>
      <c r="B48" t="s">
        <v>154</v>
      </c>
      <c r="C48" t="s">
        <v>271</v>
      </c>
      <c r="D48">
        <v>1310000</v>
      </c>
      <c r="E48" t="s">
        <v>115</v>
      </c>
      <c r="F48" s="59" t="s">
        <v>154</v>
      </c>
      <c r="G48" s="14">
        <v>42541.413946759261</v>
      </c>
    </row>
    <row r="49" spans="1:7" x14ac:dyDescent="0.25">
      <c r="A49" s="14">
        <v>42541.41302083333</v>
      </c>
      <c r="B49" t="s">
        <v>154</v>
      </c>
      <c r="C49" t="s">
        <v>271</v>
      </c>
      <c r="D49">
        <v>1310000</v>
      </c>
      <c r="E49" t="s">
        <v>115</v>
      </c>
      <c r="F49" s="59" t="s">
        <v>154</v>
      </c>
      <c r="G49" s="14">
        <v>42541.41302083333</v>
      </c>
    </row>
    <row r="50" spans="1:7" x14ac:dyDescent="0.25">
      <c r="A50" s="14">
        <v>42541.383009259262</v>
      </c>
      <c r="B50" t="s">
        <v>139</v>
      </c>
      <c r="C50" t="s">
        <v>272</v>
      </c>
      <c r="D50">
        <v>2000000</v>
      </c>
      <c r="E50" t="s">
        <v>491</v>
      </c>
      <c r="F50" s="59" t="s">
        <v>139</v>
      </c>
      <c r="G50" s="14">
        <v>42541.383009259262</v>
      </c>
    </row>
    <row r="51" spans="1:7" x14ac:dyDescent="0.25">
      <c r="A51" s="14">
        <v>42541.421851851854</v>
      </c>
      <c r="B51" t="s">
        <v>138</v>
      </c>
      <c r="C51" t="s">
        <v>273</v>
      </c>
      <c r="D51">
        <v>2000000</v>
      </c>
      <c r="E51" t="s">
        <v>491</v>
      </c>
      <c r="F51" s="59" t="s">
        <v>138</v>
      </c>
      <c r="G51" s="14">
        <v>42541.421851851854</v>
      </c>
    </row>
    <row r="52" spans="1:7" x14ac:dyDescent="0.25">
      <c r="A52" s="14">
        <v>42541.395428240743</v>
      </c>
      <c r="B52" t="s">
        <v>110</v>
      </c>
      <c r="C52" t="s">
        <v>274</v>
      </c>
      <c r="D52">
        <v>900000</v>
      </c>
      <c r="E52" t="s">
        <v>113</v>
      </c>
      <c r="F52" s="59" t="s">
        <v>110</v>
      </c>
      <c r="G52" s="14">
        <v>42541.395428240743</v>
      </c>
    </row>
    <row r="53" spans="1:7" x14ac:dyDescent="0.25">
      <c r="A53" s="14">
        <v>42541.434270833335</v>
      </c>
      <c r="B53" t="s">
        <v>108</v>
      </c>
      <c r="C53" t="s">
        <v>276</v>
      </c>
      <c r="D53">
        <v>900000</v>
      </c>
      <c r="E53" t="s">
        <v>113</v>
      </c>
      <c r="F53" s="59" t="s">
        <v>108</v>
      </c>
      <c r="G53" s="14">
        <v>42541.434270833335</v>
      </c>
    </row>
    <row r="54" spans="1:7" x14ac:dyDescent="0.25">
      <c r="A54" s="14">
        <v>42541.404351851852</v>
      </c>
      <c r="B54" t="s">
        <v>128</v>
      </c>
      <c r="C54" t="s">
        <v>277</v>
      </c>
      <c r="D54">
        <v>330000</v>
      </c>
      <c r="E54" t="s">
        <v>492</v>
      </c>
      <c r="F54" s="59" t="s">
        <v>128</v>
      </c>
      <c r="G54" s="14">
        <v>42541.404351851852</v>
      </c>
    </row>
    <row r="55" spans="1:7" x14ac:dyDescent="0.25">
      <c r="A55" s="14">
        <v>42541.443067129629</v>
      </c>
      <c r="B55" t="s">
        <v>129</v>
      </c>
      <c r="C55" t="s">
        <v>279</v>
      </c>
      <c r="D55">
        <v>1230000</v>
      </c>
      <c r="E55" t="s">
        <v>493</v>
      </c>
      <c r="F55" s="59" t="s">
        <v>129</v>
      </c>
      <c r="G55" s="14">
        <v>42541.443067129629</v>
      </c>
    </row>
    <row r="56" spans="1:7" x14ac:dyDescent="0.25">
      <c r="A56" s="14">
        <v>42541.414351851854</v>
      </c>
      <c r="B56" t="s">
        <v>111</v>
      </c>
      <c r="C56" t="s">
        <v>281</v>
      </c>
      <c r="D56">
        <v>1090000</v>
      </c>
      <c r="E56" t="s">
        <v>490</v>
      </c>
      <c r="F56" s="59" t="s">
        <v>111</v>
      </c>
      <c r="G56" s="14">
        <v>42541.414351851854</v>
      </c>
    </row>
    <row r="57" spans="1:7" x14ac:dyDescent="0.25">
      <c r="A57" s="14">
        <v>42541.452789351853</v>
      </c>
      <c r="B57" t="s">
        <v>89</v>
      </c>
      <c r="C57" t="s">
        <v>282</v>
      </c>
      <c r="D57">
        <v>1090000</v>
      </c>
      <c r="E57" t="s">
        <v>490</v>
      </c>
      <c r="F57" s="59" t="s">
        <v>89</v>
      </c>
      <c r="G57" s="14">
        <v>42541.452789351853</v>
      </c>
    </row>
    <row r="58" spans="1:7" x14ac:dyDescent="0.25">
      <c r="A58" s="14">
        <v>42541.426099537035</v>
      </c>
      <c r="B58" t="s">
        <v>117</v>
      </c>
      <c r="C58" t="s">
        <v>283</v>
      </c>
      <c r="D58">
        <v>1260000</v>
      </c>
      <c r="E58" t="s">
        <v>167</v>
      </c>
      <c r="F58" s="59" t="s">
        <v>117</v>
      </c>
      <c r="G58" s="14">
        <v>42541.426099537035</v>
      </c>
    </row>
    <row r="59" spans="1:7" x14ac:dyDescent="0.25">
      <c r="A59" s="14">
        <v>42541.424421296295</v>
      </c>
      <c r="B59" t="s">
        <v>117</v>
      </c>
      <c r="C59" t="s">
        <v>283</v>
      </c>
      <c r="D59">
        <v>1260000</v>
      </c>
      <c r="E59" t="s">
        <v>167</v>
      </c>
      <c r="F59" s="59" t="s">
        <v>117</v>
      </c>
      <c r="G59" s="14">
        <v>42541.424421296295</v>
      </c>
    </row>
    <row r="60" spans="1:7" x14ac:dyDescent="0.25">
      <c r="A60" s="14">
        <v>42541.461516203701</v>
      </c>
      <c r="B60" t="s">
        <v>109</v>
      </c>
      <c r="C60" t="s">
        <v>284</v>
      </c>
      <c r="D60">
        <v>1260000</v>
      </c>
      <c r="E60" t="s">
        <v>167</v>
      </c>
      <c r="F60" s="59" t="s">
        <v>109</v>
      </c>
      <c r="G60" s="14">
        <v>42541.461516203701</v>
      </c>
    </row>
    <row r="61" spans="1:7" x14ac:dyDescent="0.25">
      <c r="A61" s="14">
        <v>42541.460115740738</v>
      </c>
      <c r="B61" t="s">
        <v>109</v>
      </c>
      <c r="C61" t="s">
        <v>284</v>
      </c>
      <c r="D61">
        <v>1260000</v>
      </c>
      <c r="E61" t="s">
        <v>167</v>
      </c>
      <c r="F61" s="59" t="s">
        <v>109</v>
      </c>
      <c r="G61" s="14">
        <v>42541.460115740738</v>
      </c>
    </row>
    <row r="62" spans="1:7" x14ac:dyDescent="0.25">
      <c r="A62" s="14">
        <v>42541.435624999998</v>
      </c>
      <c r="B62" t="s">
        <v>137</v>
      </c>
      <c r="C62" t="s">
        <v>285</v>
      </c>
      <c r="D62">
        <v>1360000</v>
      </c>
      <c r="E62" t="s">
        <v>93</v>
      </c>
      <c r="F62" s="59" t="s">
        <v>137</v>
      </c>
      <c r="G62" s="14">
        <v>42541.435624999998</v>
      </c>
    </row>
    <row r="63" spans="1:7" x14ac:dyDescent="0.25">
      <c r="A63" s="14">
        <v>42541.471701388888</v>
      </c>
      <c r="B63" t="s">
        <v>140</v>
      </c>
      <c r="C63" t="s">
        <v>286</v>
      </c>
      <c r="D63">
        <v>1360000</v>
      </c>
      <c r="E63" t="s">
        <v>93</v>
      </c>
      <c r="F63" s="59" t="s">
        <v>140</v>
      </c>
      <c r="G63" s="14">
        <v>42541.471701388888</v>
      </c>
    </row>
    <row r="64" spans="1:7" x14ac:dyDescent="0.25">
      <c r="A64" s="84">
        <v>42541.447129629632</v>
      </c>
      <c r="B64" t="s">
        <v>152</v>
      </c>
      <c r="C64" t="s">
        <v>484</v>
      </c>
      <c r="D64">
        <v>1740000</v>
      </c>
      <c r="E64" t="s">
        <v>106</v>
      </c>
      <c r="F64" s="59" t="s">
        <v>152</v>
      </c>
      <c r="G64" s="84">
        <v>42541.447129629632</v>
      </c>
    </row>
    <row r="65" spans="1:7" x14ac:dyDescent="0.25">
      <c r="A65" s="14">
        <v>42541.485763888886</v>
      </c>
      <c r="B65" t="s">
        <v>154</v>
      </c>
      <c r="C65" t="s">
        <v>287</v>
      </c>
      <c r="D65">
        <v>1740000</v>
      </c>
      <c r="E65" t="s">
        <v>106</v>
      </c>
      <c r="F65" s="59" t="s">
        <v>154</v>
      </c>
      <c r="G65" s="14">
        <v>42541.485763888886</v>
      </c>
    </row>
    <row r="66" spans="1:7" x14ac:dyDescent="0.25">
      <c r="A66" s="14">
        <v>42541.482986111114</v>
      </c>
      <c r="B66" t="s">
        <v>154</v>
      </c>
      <c r="C66" t="s">
        <v>287</v>
      </c>
      <c r="D66">
        <v>1740000</v>
      </c>
      <c r="E66" t="s">
        <v>106</v>
      </c>
      <c r="F66" s="59" t="s">
        <v>154</v>
      </c>
      <c r="G66" s="14">
        <v>42541.482986111114</v>
      </c>
    </row>
    <row r="67" spans="1:7" x14ac:dyDescent="0.25">
      <c r="A67" s="14">
        <v>42541.456469907411</v>
      </c>
      <c r="B67" t="s">
        <v>139</v>
      </c>
      <c r="C67" t="s">
        <v>288</v>
      </c>
      <c r="D67">
        <v>1310000</v>
      </c>
      <c r="E67" t="s">
        <v>115</v>
      </c>
      <c r="F67" s="59" t="s">
        <v>139</v>
      </c>
      <c r="G67" s="14">
        <v>42541.456469907411</v>
      </c>
    </row>
    <row r="68" spans="1:7" x14ac:dyDescent="0.25">
      <c r="A68" s="14">
        <v>42541.495648148149</v>
      </c>
      <c r="B68" t="s">
        <v>138</v>
      </c>
      <c r="C68" t="s">
        <v>290</v>
      </c>
      <c r="D68">
        <v>1310000</v>
      </c>
      <c r="E68" t="s">
        <v>115</v>
      </c>
      <c r="F68" s="59" t="s">
        <v>138</v>
      </c>
      <c r="G68" s="14">
        <v>42541.495648148149</v>
      </c>
    </row>
    <row r="69" spans="1:7" x14ac:dyDescent="0.25">
      <c r="A69" s="14">
        <v>42541.466574074075</v>
      </c>
      <c r="B69" t="s">
        <v>110</v>
      </c>
      <c r="C69" t="s">
        <v>292</v>
      </c>
      <c r="D69">
        <v>1540000</v>
      </c>
      <c r="E69" t="s">
        <v>489</v>
      </c>
      <c r="F69" s="59" t="s">
        <v>110</v>
      </c>
      <c r="G69" s="14">
        <v>42541.466574074075</v>
      </c>
    </row>
    <row r="70" spans="1:7" x14ac:dyDescent="0.25">
      <c r="A70" s="14">
        <v>42541.475983796299</v>
      </c>
      <c r="B70" t="s">
        <v>128</v>
      </c>
      <c r="C70" t="s">
        <v>293</v>
      </c>
      <c r="D70">
        <v>2010000</v>
      </c>
      <c r="E70" t="s">
        <v>155</v>
      </c>
      <c r="F70" s="59" t="s">
        <v>128</v>
      </c>
      <c r="G70" s="14">
        <v>42541.475983796299</v>
      </c>
    </row>
    <row r="71" spans="1:7" x14ac:dyDescent="0.25">
      <c r="A71" s="14">
        <v>42541.51158564815</v>
      </c>
      <c r="B71" t="s">
        <v>129</v>
      </c>
      <c r="C71" t="s">
        <v>295</v>
      </c>
      <c r="D71">
        <v>2010000</v>
      </c>
      <c r="E71" t="s">
        <v>155</v>
      </c>
      <c r="F71" s="59" t="s">
        <v>129</v>
      </c>
      <c r="G71" s="14">
        <v>42541.51158564815</v>
      </c>
    </row>
    <row r="72" spans="1:7" x14ac:dyDescent="0.25">
      <c r="A72" s="14">
        <v>42541.486018518517</v>
      </c>
      <c r="B72" t="s">
        <v>111</v>
      </c>
      <c r="C72" t="s">
        <v>297</v>
      </c>
      <c r="D72">
        <v>1120000</v>
      </c>
      <c r="E72" t="s">
        <v>165</v>
      </c>
      <c r="F72" s="59" t="s">
        <v>111</v>
      </c>
      <c r="G72" s="14">
        <v>42541.486018518517</v>
      </c>
    </row>
    <row r="73" spans="1:7" x14ac:dyDescent="0.25">
      <c r="A73" s="14">
        <v>42541.525995370372</v>
      </c>
      <c r="B73" t="s">
        <v>89</v>
      </c>
      <c r="C73" t="s">
        <v>299</v>
      </c>
      <c r="D73">
        <v>1120000</v>
      </c>
      <c r="E73" t="s">
        <v>165</v>
      </c>
      <c r="F73" s="59" t="s">
        <v>89</v>
      </c>
      <c r="G73" s="14">
        <v>42541.525995370372</v>
      </c>
    </row>
    <row r="74" spans="1:7" x14ac:dyDescent="0.25">
      <c r="A74" s="14">
        <v>42541.496157407404</v>
      </c>
      <c r="B74" t="s">
        <v>117</v>
      </c>
      <c r="C74" t="s">
        <v>301</v>
      </c>
      <c r="D74">
        <v>1260000</v>
      </c>
      <c r="E74" t="s">
        <v>167</v>
      </c>
      <c r="F74" s="59" t="s">
        <v>117</v>
      </c>
      <c r="G74" s="14">
        <v>42541.496157407404</v>
      </c>
    </row>
    <row r="75" spans="1:7" x14ac:dyDescent="0.25">
      <c r="A75" s="14">
        <v>42541.534085648149</v>
      </c>
      <c r="B75" t="s">
        <v>109</v>
      </c>
      <c r="C75" t="s">
        <v>302</v>
      </c>
      <c r="D75">
        <v>1260000</v>
      </c>
      <c r="E75" t="s">
        <v>167</v>
      </c>
      <c r="F75" s="59" t="s">
        <v>109</v>
      </c>
      <c r="G75" s="14">
        <v>42541.534085648149</v>
      </c>
    </row>
    <row r="76" spans="1:7" x14ac:dyDescent="0.25">
      <c r="A76" s="14">
        <v>42541.511493055557</v>
      </c>
      <c r="B76" t="s">
        <v>137</v>
      </c>
      <c r="C76" t="s">
        <v>303</v>
      </c>
      <c r="D76">
        <v>890000</v>
      </c>
      <c r="E76" t="s">
        <v>102</v>
      </c>
      <c r="F76" s="59" t="s">
        <v>137</v>
      </c>
      <c r="G76" s="14">
        <v>42541.511493055557</v>
      </c>
    </row>
    <row r="77" spans="1:7" x14ac:dyDescent="0.25">
      <c r="A77" s="14">
        <v>42541.545428240737</v>
      </c>
      <c r="B77" t="s">
        <v>140</v>
      </c>
      <c r="C77" t="s">
        <v>305</v>
      </c>
      <c r="D77">
        <v>890000</v>
      </c>
      <c r="E77" t="s">
        <v>102</v>
      </c>
      <c r="F77" s="59" t="s">
        <v>140</v>
      </c>
      <c r="G77" s="14">
        <v>42541.545428240737</v>
      </c>
    </row>
    <row r="78" spans="1:7" x14ac:dyDescent="0.25">
      <c r="A78" s="14">
        <v>42541.519456018519</v>
      </c>
      <c r="B78" t="s">
        <v>152</v>
      </c>
      <c r="C78" t="s">
        <v>306</v>
      </c>
      <c r="D78">
        <v>1740000</v>
      </c>
      <c r="E78" t="s">
        <v>106</v>
      </c>
      <c r="F78" s="59" t="s">
        <v>152</v>
      </c>
      <c r="G78" s="14">
        <v>42541.519456018519</v>
      </c>
    </row>
    <row r="79" spans="1:7" x14ac:dyDescent="0.25">
      <c r="A79" s="14">
        <v>42541.520740740743</v>
      </c>
      <c r="B79" t="s">
        <v>152</v>
      </c>
      <c r="C79" t="s">
        <v>306</v>
      </c>
      <c r="D79">
        <v>1740000</v>
      </c>
      <c r="E79" t="s">
        <v>106</v>
      </c>
      <c r="F79" s="59" t="s">
        <v>152</v>
      </c>
      <c r="G79" s="14">
        <v>42541.520740740743</v>
      </c>
    </row>
    <row r="80" spans="1:7" x14ac:dyDescent="0.25">
      <c r="A80" s="14">
        <v>42541.555127314816</v>
      </c>
      <c r="B80" t="s">
        <v>154</v>
      </c>
      <c r="C80" t="s">
        <v>307</v>
      </c>
      <c r="D80">
        <v>1740000</v>
      </c>
      <c r="E80" t="s">
        <v>106</v>
      </c>
      <c r="F80" s="59" t="s">
        <v>154</v>
      </c>
      <c r="G80" s="14">
        <v>42541.555127314816</v>
      </c>
    </row>
    <row r="81" spans="1:7" x14ac:dyDescent="0.25">
      <c r="A81" s="14">
        <v>42541.556875000002</v>
      </c>
      <c r="B81" t="s">
        <v>154</v>
      </c>
      <c r="C81" t="s">
        <v>307</v>
      </c>
      <c r="D81">
        <v>1740000</v>
      </c>
      <c r="E81" t="s">
        <v>106</v>
      </c>
      <c r="F81" s="59" t="s">
        <v>154</v>
      </c>
      <c r="G81" s="14">
        <v>42541.556875000002</v>
      </c>
    </row>
    <row r="82" spans="1:7" x14ac:dyDescent="0.25">
      <c r="A82" s="14">
        <v>42541.532118055555</v>
      </c>
      <c r="B82" t="s">
        <v>139</v>
      </c>
      <c r="C82" t="s">
        <v>309</v>
      </c>
      <c r="D82">
        <v>2040000</v>
      </c>
      <c r="E82" t="s">
        <v>486</v>
      </c>
      <c r="F82" s="59" t="s">
        <v>139</v>
      </c>
      <c r="G82" s="14">
        <v>42541.532118055555</v>
      </c>
    </row>
    <row r="83" spans="1:7" x14ac:dyDescent="0.25">
      <c r="A83" s="14">
        <v>42541.566018518519</v>
      </c>
      <c r="B83" t="s">
        <v>138</v>
      </c>
      <c r="C83" t="s">
        <v>310</v>
      </c>
      <c r="D83">
        <v>2040000</v>
      </c>
      <c r="E83" t="s">
        <v>486</v>
      </c>
      <c r="F83" s="59" t="s">
        <v>138</v>
      </c>
      <c r="G83" s="14">
        <v>42541.566018518519</v>
      </c>
    </row>
    <row r="84" spans="1:7" x14ac:dyDescent="0.25">
      <c r="A84" s="14">
        <v>42541.541458333333</v>
      </c>
      <c r="B84" t="s">
        <v>110</v>
      </c>
      <c r="C84" t="s">
        <v>311</v>
      </c>
      <c r="D84">
        <v>1540000</v>
      </c>
      <c r="E84" t="s">
        <v>489</v>
      </c>
      <c r="F84" s="59" t="s">
        <v>110</v>
      </c>
      <c r="G84" s="14">
        <v>42541.541458333333</v>
      </c>
    </row>
    <row r="85" spans="1:7" x14ac:dyDescent="0.25">
      <c r="A85" s="14">
        <v>42541.576099537036</v>
      </c>
      <c r="B85" t="s">
        <v>108</v>
      </c>
      <c r="C85" t="s">
        <v>312</v>
      </c>
      <c r="D85">
        <v>1540000</v>
      </c>
      <c r="E85" t="s">
        <v>489</v>
      </c>
      <c r="F85" s="59" t="s">
        <v>108</v>
      </c>
      <c r="G85" s="14">
        <v>42541.576099537036</v>
      </c>
    </row>
    <row r="86" spans="1:7" x14ac:dyDescent="0.25">
      <c r="A86" s="14">
        <v>42541.548229166663</v>
      </c>
      <c r="B86" t="s">
        <v>128</v>
      </c>
      <c r="C86" t="s">
        <v>313</v>
      </c>
      <c r="D86">
        <v>2010000</v>
      </c>
      <c r="E86" t="s">
        <v>155</v>
      </c>
      <c r="F86" s="59" t="s">
        <v>128</v>
      </c>
      <c r="G86" s="14">
        <v>42541.548229166663</v>
      </c>
    </row>
    <row r="87" spans="1:7" x14ac:dyDescent="0.25">
      <c r="A87" s="14">
        <v>42541.587951388887</v>
      </c>
      <c r="B87" t="s">
        <v>129</v>
      </c>
      <c r="C87" t="s">
        <v>315</v>
      </c>
      <c r="D87">
        <v>2010000</v>
      </c>
      <c r="E87" t="s">
        <v>155</v>
      </c>
      <c r="F87" s="59" t="s">
        <v>129</v>
      </c>
      <c r="G87" s="14">
        <v>42541.587951388887</v>
      </c>
    </row>
    <row r="88" spans="1:7" x14ac:dyDescent="0.25">
      <c r="A88" s="14">
        <v>42541.560949074075</v>
      </c>
      <c r="B88" t="s">
        <v>111</v>
      </c>
      <c r="C88" t="s">
        <v>318</v>
      </c>
      <c r="D88">
        <v>1120000</v>
      </c>
      <c r="E88" t="s">
        <v>165</v>
      </c>
      <c r="F88" s="59" t="s">
        <v>111</v>
      </c>
      <c r="G88" s="14">
        <v>42541.560949074075</v>
      </c>
    </row>
    <row r="89" spans="1:7" x14ac:dyDescent="0.25">
      <c r="A89" s="14">
        <v>42541.599733796298</v>
      </c>
      <c r="B89" t="s">
        <v>89</v>
      </c>
      <c r="C89" t="s">
        <v>319</v>
      </c>
      <c r="D89">
        <v>1120000</v>
      </c>
      <c r="E89" t="s">
        <v>165</v>
      </c>
      <c r="F89" s="59" t="s">
        <v>89</v>
      </c>
      <c r="G89" s="14">
        <v>42541.599733796298</v>
      </c>
    </row>
    <row r="90" spans="1:7" x14ac:dyDescent="0.25">
      <c r="A90" s="14">
        <v>42541.569768518515</v>
      </c>
      <c r="B90" t="s">
        <v>117</v>
      </c>
      <c r="C90" t="s">
        <v>322</v>
      </c>
      <c r="D90">
        <v>1260000</v>
      </c>
      <c r="E90" t="s">
        <v>167</v>
      </c>
      <c r="F90" s="59" t="s">
        <v>117</v>
      </c>
      <c r="G90" s="14">
        <v>42541.569768518515</v>
      </c>
    </row>
    <row r="91" spans="1:7" x14ac:dyDescent="0.25">
      <c r="A91" s="14">
        <v>42541.606203703705</v>
      </c>
      <c r="B91" t="s">
        <v>109</v>
      </c>
      <c r="C91" t="s">
        <v>323</v>
      </c>
      <c r="D91">
        <v>1260000</v>
      </c>
      <c r="E91" t="s">
        <v>167</v>
      </c>
      <c r="F91" s="59" t="s">
        <v>109</v>
      </c>
      <c r="G91" s="14">
        <v>42541.606203703705</v>
      </c>
    </row>
    <row r="92" spans="1:7" x14ac:dyDescent="0.25">
      <c r="A92" s="14">
        <v>42541.582048611112</v>
      </c>
      <c r="B92" t="s">
        <v>137</v>
      </c>
      <c r="C92" t="s">
        <v>324</v>
      </c>
      <c r="D92">
        <v>890000</v>
      </c>
      <c r="E92" t="s">
        <v>102</v>
      </c>
      <c r="F92" s="59" t="s">
        <v>137</v>
      </c>
      <c r="G92" s="14">
        <v>42541.582048611112</v>
      </c>
    </row>
    <row r="93" spans="1:7" x14ac:dyDescent="0.25">
      <c r="A93" s="14">
        <v>42541.62023148148</v>
      </c>
      <c r="B93" t="s">
        <v>140</v>
      </c>
      <c r="C93" t="s">
        <v>326</v>
      </c>
      <c r="D93">
        <v>890000</v>
      </c>
      <c r="E93" t="s">
        <v>102</v>
      </c>
      <c r="F93" s="59" t="s">
        <v>140</v>
      </c>
      <c r="G93" s="14">
        <v>42541.62023148148</v>
      </c>
    </row>
    <row r="94" spans="1:7" x14ac:dyDescent="0.25">
      <c r="A94" s="14">
        <v>42541.59165509259</v>
      </c>
      <c r="B94" t="s">
        <v>107</v>
      </c>
      <c r="C94" t="s">
        <v>328</v>
      </c>
      <c r="D94">
        <v>1500000</v>
      </c>
      <c r="E94" t="s">
        <v>116</v>
      </c>
      <c r="F94" s="59" t="s">
        <v>107</v>
      </c>
      <c r="G94" s="14">
        <v>42541.59165509259</v>
      </c>
    </row>
    <row r="95" spans="1:7" x14ac:dyDescent="0.25">
      <c r="A95" s="14">
        <v>42541.632037037038</v>
      </c>
      <c r="B95" t="s">
        <v>100</v>
      </c>
      <c r="C95" t="s">
        <v>331</v>
      </c>
      <c r="D95">
        <v>1500000</v>
      </c>
      <c r="E95" t="s">
        <v>116</v>
      </c>
      <c r="F95" s="59" t="s">
        <v>100</v>
      </c>
      <c r="G95" s="14">
        <v>42541.632037037038</v>
      </c>
    </row>
    <row r="96" spans="1:7" x14ac:dyDescent="0.25">
      <c r="A96" s="14">
        <v>42541.601793981485</v>
      </c>
      <c r="B96" t="s">
        <v>139</v>
      </c>
      <c r="C96" t="s">
        <v>334</v>
      </c>
      <c r="D96">
        <v>2040000</v>
      </c>
      <c r="E96" t="s">
        <v>486</v>
      </c>
      <c r="F96" s="59" t="s">
        <v>139</v>
      </c>
      <c r="G96" s="14">
        <v>42541.601793981485</v>
      </c>
    </row>
    <row r="97" spans="1:7" x14ac:dyDescent="0.25">
      <c r="A97" s="14">
        <v>42541.641585648147</v>
      </c>
      <c r="B97" t="s">
        <v>138</v>
      </c>
      <c r="C97" t="s">
        <v>337</v>
      </c>
      <c r="D97">
        <v>2040000</v>
      </c>
      <c r="E97" t="s">
        <v>486</v>
      </c>
      <c r="F97" s="59" t="s">
        <v>138</v>
      </c>
      <c r="G97" s="14">
        <v>42541.641585648147</v>
      </c>
    </row>
    <row r="98" spans="1:7" x14ac:dyDescent="0.25">
      <c r="A98" s="14">
        <v>42541.612893518519</v>
      </c>
      <c r="B98" t="s">
        <v>110</v>
      </c>
      <c r="C98" t="s">
        <v>339</v>
      </c>
      <c r="D98">
        <v>1540000</v>
      </c>
      <c r="E98" t="s">
        <v>489</v>
      </c>
      <c r="F98" s="59" t="s">
        <v>110</v>
      </c>
      <c r="G98" s="14">
        <v>42541.612893518519</v>
      </c>
    </row>
    <row r="99" spans="1:7" x14ac:dyDescent="0.25">
      <c r="A99" s="14">
        <v>42541.648842592593</v>
      </c>
      <c r="B99" t="s">
        <v>108</v>
      </c>
      <c r="C99" t="s">
        <v>342</v>
      </c>
      <c r="D99">
        <v>1540000</v>
      </c>
      <c r="E99" t="s">
        <v>489</v>
      </c>
      <c r="F99" s="59" t="s">
        <v>108</v>
      </c>
      <c r="G99" s="14">
        <v>42541.648842592593</v>
      </c>
    </row>
    <row r="100" spans="1:7" x14ac:dyDescent="0.25">
      <c r="A100" s="14">
        <v>42541.622442129628</v>
      </c>
      <c r="B100" t="s">
        <v>128</v>
      </c>
      <c r="C100" t="s">
        <v>343</v>
      </c>
      <c r="D100">
        <v>2010000</v>
      </c>
      <c r="E100" t="s">
        <v>155</v>
      </c>
      <c r="F100" s="59" t="s">
        <v>128</v>
      </c>
      <c r="G100" s="14">
        <v>42541.622442129628</v>
      </c>
    </row>
    <row r="101" spans="1:7" x14ac:dyDescent="0.25">
      <c r="A101" s="14">
        <v>42541.65896990741</v>
      </c>
      <c r="B101" t="s">
        <v>129</v>
      </c>
      <c r="C101" t="s">
        <v>345</v>
      </c>
      <c r="D101">
        <v>2010000</v>
      </c>
      <c r="E101" t="s">
        <v>155</v>
      </c>
      <c r="F101" s="59" t="s">
        <v>129</v>
      </c>
      <c r="G101" s="14">
        <v>42541.65896990741</v>
      </c>
    </row>
    <row r="102" spans="1:7" x14ac:dyDescent="0.25">
      <c r="A102" s="14">
        <v>42541.633981481478</v>
      </c>
      <c r="B102" t="s">
        <v>98</v>
      </c>
      <c r="C102" t="s">
        <v>346</v>
      </c>
      <c r="D102">
        <v>1120000</v>
      </c>
      <c r="E102" t="s">
        <v>165</v>
      </c>
      <c r="F102" s="59" t="s">
        <v>98</v>
      </c>
      <c r="G102" s="14">
        <v>42541.633981481478</v>
      </c>
    </row>
    <row r="103" spans="1:7" x14ac:dyDescent="0.25">
      <c r="A103" s="14">
        <v>42541.672083333331</v>
      </c>
      <c r="B103" t="s">
        <v>99</v>
      </c>
      <c r="C103" t="s">
        <v>349</v>
      </c>
      <c r="D103">
        <v>1120000</v>
      </c>
      <c r="E103" t="s">
        <v>165</v>
      </c>
      <c r="F103" s="59" t="s">
        <v>99</v>
      </c>
      <c r="G103" s="14">
        <v>42541.672083333331</v>
      </c>
    </row>
    <row r="104" spans="1:7" x14ac:dyDescent="0.25">
      <c r="A104" s="14">
        <v>42541.64135416667</v>
      </c>
      <c r="B104" t="s">
        <v>117</v>
      </c>
      <c r="C104" t="s">
        <v>351</v>
      </c>
      <c r="D104">
        <v>1260000</v>
      </c>
      <c r="E104" t="s">
        <v>167</v>
      </c>
      <c r="F104" s="59" t="s">
        <v>117</v>
      </c>
      <c r="G104" s="14">
        <v>42541.64135416667</v>
      </c>
    </row>
    <row r="105" spans="1:7" x14ac:dyDescent="0.25">
      <c r="A105" s="14">
        <v>42541.68005787037</v>
      </c>
      <c r="B105" t="s">
        <v>109</v>
      </c>
      <c r="C105" t="s">
        <v>352</v>
      </c>
      <c r="D105">
        <v>1260000</v>
      </c>
      <c r="E105" t="s">
        <v>167</v>
      </c>
      <c r="F105" s="59" t="s">
        <v>109</v>
      </c>
      <c r="G105" s="14">
        <v>42541.68005787037</v>
      </c>
    </row>
    <row r="106" spans="1:7" x14ac:dyDescent="0.25">
      <c r="A106" s="14">
        <v>42541.653263888889</v>
      </c>
      <c r="B106" t="s">
        <v>137</v>
      </c>
      <c r="C106" t="s">
        <v>353</v>
      </c>
      <c r="D106">
        <v>890000</v>
      </c>
      <c r="E106" t="s">
        <v>102</v>
      </c>
      <c r="F106" s="59" t="s">
        <v>137</v>
      </c>
      <c r="G106" s="14">
        <v>42541.653263888889</v>
      </c>
    </row>
    <row r="107" spans="1:7" x14ac:dyDescent="0.25">
      <c r="A107" s="14">
        <v>42541.692442129628</v>
      </c>
      <c r="B107" t="s">
        <v>140</v>
      </c>
      <c r="C107" t="s">
        <v>355</v>
      </c>
      <c r="D107">
        <v>890000</v>
      </c>
      <c r="E107" t="s">
        <v>102</v>
      </c>
      <c r="F107" s="59" t="s">
        <v>140</v>
      </c>
      <c r="G107" s="14">
        <v>42541.692442129628</v>
      </c>
    </row>
    <row r="108" spans="1:7" x14ac:dyDescent="0.25">
      <c r="A108" s="14">
        <v>42541.662638888891</v>
      </c>
      <c r="B108" t="s">
        <v>107</v>
      </c>
      <c r="C108" t="s">
        <v>357</v>
      </c>
      <c r="D108">
        <v>1740000</v>
      </c>
      <c r="E108" t="s">
        <v>106</v>
      </c>
      <c r="F108" s="59" t="s">
        <v>107</v>
      </c>
      <c r="G108" s="14">
        <v>42541.662638888891</v>
      </c>
    </row>
    <row r="109" spans="1:7" x14ac:dyDescent="0.25">
      <c r="A109" s="14">
        <v>42541.700150462966</v>
      </c>
      <c r="B109" t="s">
        <v>100</v>
      </c>
      <c r="C109" t="s">
        <v>359</v>
      </c>
      <c r="D109">
        <v>1740000</v>
      </c>
      <c r="E109" t="s">
        <v>106</v>
      </c>
      <c r="F109" s="59" t="s">
        <v>100</v>
      </c>
      <c r="G109" s="14">
        <v>42541.700150462966</v>
      </c>
    </row>
    <row r="110" spans="1:7" x14ac:dyDescent="0.25">
      <c r="A110" s="14">
        <v>42541.677037037036</v>
      </c>
      <c r="B110" t="s">
        <v>139</v>
      </c>
      <c r="C110" t="s">
        <v>362</v>
      </c>
      <c r="D110">
        <v>2040000</v>
      </c>
      <c r="E110" t="s">
        <v>486</v>
      </c>
      <c r="F110" s="59" t="s">
        <v>139</v>
      </c>
      <c r="G110" s="14">
        <v>42541.677037037036</v>
      </c>
    </row>
    <row r="111" spans="1:7" x14ac:dyDescent="0.25">
      <c r="A111" s="14">
        <v>42541.712488425925</v>
      </c>
      <c r="B111" t="s">
        <v>138</v>
      </c>
      <c r="C111" t="s">
        <v>364</v>
      </c>
      <c r="D111">
        <v>2040000</v>
      </c>
      <c r="E111" t="s">
        <v>486</v>
      </c>
      <c r="F111" s="59" t="s">
        <v>138</v>
      </c>
      <c r="G111" s="14">
        <v>42541.712488425925</v>
      </c>
    </row>
    <row r="112" spans="1:7" x14ac:dyDescent="0.25">
      <c r="A112" s="14">
        <v>42541.684340277781</v>
      </c>
      <c r="B112" t="s">
        <v>110</v>
      </c>
      <c r="C112" t="s">
        <v>366</v>
      </c>
      <c r="D112">
        <v>1540000</v>
      </c>
      <c r="E112" t="s">
        <v>489</v>
      </c>
      <c r="F112" s="59" t="s">
        <v>110</v>
      </c>
      <c r="G112" s="14">
        <v>42541.684340277781</v>
      </c>
    </row>
    <row r="113" spans="1:7" x14ac:dyDescent="0.25">
      <c r="A113" s="14">
        <v>42541.721099537041</v>
      </c>
      <c r="B113" t="s">
        <v>108</v>
      </c>
      <c r="C113" t="s">
        <v>367</v>
      </c>
      <c r="D113">
        <v>1540000</v>
      </c>
      <c r="E113" t="s">
        <v>489</v>
      </c>
      <c r="F113" s="59" t="s">
        <v>108</v>
      </c>
      <c r="G113" s="14">
        <v>42541.721099537041</v>
      </c>
    </row>
    <row r="114" spans="1:7" x14ac:dyDescent="0.25">
      <c r="A114" s="14">
        <v>42541.694236111114</v>
      </c>
      <c r="B114" t="s">
        <v>128</v>
      </c>
      <c r="C114" t="s">
        <v>369</v>
      </c>
      <c r="D114">
        <v>2010000</v>
      </c>
      <c r="E114" t="s">
        <v>155</v>
      </c>
      <c r="F114" s="59" t="s">
        <v>128</v>
      </c>
      <c r="G114" s="14">
        <v>42541.694236111114</v>
      </c>
    </row>
    <row r="115" spans="1:7" x14ac:dyDescent="0.25">
      <c r="A115" s="14">
        <v>42541.732673611114</v>
      </c>
      <c r="B115" t="s">
        <v>129</v>
      </c>
      <c r="C115" t="s">
        <v>372</v>
      </c>
      <c r="D115">
        <v>2010000</v>
      </c>
      <c r="E115" t="s">
        <v>155</v>
      </c>
      <c r="F115" s="59" t="s">
        <v>129</v>
      </c>
      <c r="G115" s="14">
        <v>42541.732673611114</v>
      </c>
    </row>
    <row r="116" spans="1:7" x14ac:dyDescent="0.25">
      <c r="A116" s="14">
        <v>42541.703379629631</v>
      </c>
      <c r="B116" t="s">
        <v>98</v>
      </c>
      <c r="C116" t="s">
        <v>374</v>
      </c>
      <c r="D116">
        <v>1120000</v>
      </c>
      <c r="E116" t="s">
        <v>165</v>
      </c>
      <c r="F116" s="59" t="s">
        <v>98</v>
      </c>
      <c r="G116" s="14">
        <v>42541.703379629631</v>
      </c>
    </row>
    <row r="117" spans="1:7" x14ac:dyDescent="0.25">
      <c r="A117" s="14">
        <v>42541.743263888886</v>
      </c>
      <c r="B117" t="s">
        <v>99</v>
      </c>
      <c r="C117" t="s">
        <v>376</v>
      </c>
      <c r="D117">
        <v>1120000</v>
      </c>
      <c r="E117" t="s">
        <v>165</v>
      </c>
      <c r="F117" s="59" t="s">
        <v>99</v>
      </c>
      <c r="G117" s="14">
        <v>42541.743263888886</v>
      </c>
    </row>
    <row r="118" spans="1:7" x14ac:dyDescent="0.25">
      <c r="A118" s="14">
        <v>42541.717372685183</v>
      </c>
      <c r="B118" t="s">
        <v>117</v>
      </c>
      <c r="C118" t="s">
        <v>378</v>
      </c>
      <c r="D118">
        <v>1140000</v>
      </c>
      <c r="E118" t="s">
        <v>101</v>
      </c>
      <c r="F118" s="59" t="s">
        <v>117</v>
      </c>
      <c r="G118" s="14">
        <v>42541.717372685183</v>
      </c>
    </row>
    <row r="119" spans="1:7" x14ac:dyDescent="0.25">
      <c r="A119" s="14">
        <v>42541.750416666669</v>
      </c>
      <c r="B119" t="s">
        <v>109</v>
      </c>
      <c r="C119" t="s">
        <v>379</v>
      </c>
      <c r="D119">
        <v>1140000</v>
      </c>
      <c r="E119" t="s">
        <v>101</v>
      </c>
      <c r="F119" s="59" t="s">
        <v>109</v>
      </c>
      <c r="G119" s="14">
        <v>42541.750416666669</v>
      </c>
    </row>
    <row r="120" spans="1:7" x14ac:dyDescent="0.25">
      <c r="A120" s="14">
        <v>42541.751712962963</v>
      </c>
      <c r="B120" t="s">
        <v>109</v>
      </c>
      <c r="C120" t="s">
        <v>379</v>
      </c>
      <c r="D120">
        <v>1140000</v>
      </c>
      <c r="E120" t="s">
        <v>101</v>
      </c>
      <c r="F120" s="59" t="s">
        <v>109</v>
      </c>
      <c r="G120" s="14">
        <v>42541.751712962963</v>
      </c>
    </row>
    <row r="121" spans="1:7" x14ac:dyDescent="0.25">
      <c r="A121" s="14">
        <v>42541.727581018517</v>
      </c>
      <c r="B121" t="s">
        <v>137</v>
      </c>
      <c r="C121" t="s">
        <v>381</v>
      </c>
      <c r="D121">
        <v>890000</v>
      </c>
      <c r="E121" t="s">
        <v>102</v>
      </c>
      <c r="F121" s="59" t="s">
        <v>137</v>
      </c>
      <c r="G121" s="14">
        <v>42541.727581018517</v>
      </c>
    </row>
    <row r="122" spans="1:7" x14ac:dyDescent="0.25">
      <c r="A122" s="14">
        <v>42541.765069444446</v>
      </c>
      <c r="B122" s="83" t="s">
        <v>140</v>
      </c>
      <c r="C122" t="s">
        <v>383</v>
      </c>
      <c r="D122">
        <v>890000</v>
      </c>
      <c r="E122" t="s">
        <v>102</v>
      </c>
      <c r="F122" s="83" t="s">
        <v>140</v>
      </c>
      <c r="G122" s="14">
        <v>42541.765069444446</v>
      </c>
    </row>
    <row r="123" spans="1:7" x14ac:dyDescent="0.25">
      <c r="A123" s="14">
        <v>42541.737025462964</v>
      </c>
      <c r="B123" t="s">
        <v>107</v>
      </c>
      <c r="C123" t="s">
        <v>385</v>
      </c>
      <c r="D123">
        <v>1290000</v>
      </c>
      <c r="E123" t="s">
        <v>166</v>
      </c>
      <c r="F123" s="59" t="s">
        <v>107</v>
      </c>
      <c r="G123" s="14">
        <v>42541.737025462964</v>
      </c>
    </row>
    <row r="124" spans="1:7" x14ac:dyDescent="0.25">
      <c r="A124" s="14">
        <v>42541.775810185187</v>
      </c>
      <c r="B124" t="s">
        <v>100</v>
      </c>
      <c r="C124" t="s">
        <v>387</v>
      </c>
      <c r="D124">
        <v>1290000</v>
      </c>
      <c r="E124" t="s">
        <v>166</v>
      </c>
      <c r="F124" s="59" t="s">
        <v>100</v>
      </c>
      <c r="G124" s="14">
        <v>42541.775810185187</v>
      </c>
    </row>
    <row r="125" spans="1:7" x14ac:dyDescent="0.25">
      <c r="A125" s="14">
        <v>42541.748530092591</v>
      </c>
      <c r="B125" t="s">
        <v>139</v>
      </c>
      <c r="C125" t="s">
        <v>389</v>
      </c>
      <c r="D125">
        <v>2040000</v>
      </c>
      <c r="E125" t="s">
        <v>486</v>
      </c>
      <c r="F125" s="59" t="s">
        <v>139</v>
      </c>
      <c r="G125" s="14">
        <v>42541.748530092591</v>
      </c>
    </row>
    <row r="126" spans="1:7" x14ac:dyDescent="0.25">
      <c r="A126" s="14">
        <v>42541.788252314815</v>
      </c>
      <c r="B126" t="s">
        <v>138</v>
      </c>
      <c r="C126" t="s">
        <v>392</v>
      </c>
      <c r="D126">
        <v>2040000</v>
      </c>
      <c r="E126" t="s">
        <v>486</v>
      </c>
      <c r="F126" s="59" t="s">
        <v>138</v>
      </c>
      <c r="G126" s="14">
        <v>42541.788252314815</v>
      </c>
    </row>
    <row r="127" spans="1:7" x14ac:dyDescent="0.25">
      <c r="A127" s="14">
        <v>42541.764467592591</v>
      </c>
      <c r="B127" t="s">
        <v>110</v>
      </c>
      <c r="C127" t="s">
        <v>394</v>
      </c>
      <c r="D127">
        <v>1770000</v>
      </c>
      <c r="E127" t="s">
        <v>164</v>
      </c>
      <c r="F127" s="59" t="s">
        <v>110</v>
      </c>
      <c r="G127" s="14">
        <v>42541.764467592591</v>
      </c>
    </row>
    <row r="128" spans="1:7" x14ac:dyDescent="0.25">
      <c r="A128" s="14">
        <v>42541.759409722225</v>
      </c>
      <c r="B128" t="s">
        <v>110</v>
      </c>
      <c r="C128" t="s">
        <v>394</v>
      </c>
      <c r="D128">
        <v>1770000</v>
      </c>
      <c r="E128" t="s">
        <v>164</v>
      </c>
      <c r="F128" s="59" t="s">
        <v>110</v>
      </c>
      <c r="G128" s="14">
        <v>42541.759409722225</v>
      </c>
    </row>
    <row r="129" spans="1:7" x14ac:dyDescent="0.25">
      <c r="A129" s="14">
        <v>42541.796006944445</v>
      </c>
      <c r="B129" t="s">
        <v>108</v>
      </c>
      <c r="C129" t="s">
        <v>398</v>
      </c>
      <c r="D129">
        <v>1770000</v>
      </c>
      <c r="E129" t="s">
        <v>164</v>
      </c>
      <c r="F129" s="59" t="s">
        <v>108</v>
      </c>
      <c r="G129" s="14">
        <v>42541.796006944445</v>
      </c>
    </row>
    <row r="130" spans="1:7" x14ac:dyDescent="0.25">
      <c r="A130" s="14">
        <v>42541.770254629628</v>
      </c>
      <c r="B130" t="s">
        <v>128</v>
      </c>
      <c r="C130" t="s">
        <v>399</v>
      </c>
      <c r="D130">
        <v>1280000</v>
      </c>
      <c r="E130" t="s">
        <v>114</v>
      </c>
      <c r="F130" s="59" t="s">
        <v>128</v>
      </c>
      <c r="G130" s="14">
        <v>42541.770254629628</v>
      </c>
    </row>
    <row r="131" spans="1:7" x14ac:dyDescent="0.25">
      <c r="A131" s="14">
        <v>42541.808483796296</v>
      </c>
      <c r="B131" t="s">
        <v>129</v>
      </c>
      <c r="C131" t="s">
        <v>400</v>
      </c>
      <c r="D131">
        <v>1280000</v>
      </c>
      <c r="E131" t="s">
        <v>114</v>
      </c>
      <c r="F131" s="59" t="s">
        <v>129</v>
      </c>
      <c r="G131" s="14">
        <v>42541.808483796296</v>
      </c>
    </row>
    <row r="132" spans="1:7" x14ac:dyDescent="0.25">
      <c r="A132" s="14">
        <v>42541.791990740741</v>
      </c>
      <c r="B132" t="s">
        <v>117</v>
      </c>
      <c r="C132" t="s">
        <v>401</v>
      </c>
      <c r="D132">
        <v>1140000</v>
      </c>
      <c r="E132" t="s">
        <v>101</v>
      </c>
      <c r="F132" s="59" t="s">
        <v>117</v>
      </c>
      <c r="G132" s="14">
        <v>42541.791990740741</v>
      </c>
    </row>
    <row r="133" spans="1:7" x14ac:dyDescent="0.25">
      <c r="A133" s="14">
        <v>42541.82707175926</v>
      </c>
      <c r="B133" t="s">
        <v>109</v>
      </c>
      <c r="C133" t="s">
        <v>402</v>
      </c>
      <c r="D133">
        <v>1140000</v>
      </c>
      <c r="E133" t="s">
        <v>101</v>
      </c>
      <c r="F133" s="59" t="s">
        <v>109</v>
      </c>
      <c r="G133" s="14">
        <v>42541.82707175926</v>
      </c>
    </row>
    <row r="134" spans="1:7" x14ac:dyDescent="0.25">
      <c r="A134" s="14">
        <v>42541.808576388888</v>
      </c>
      <c r="B134" t="s">
        <v>107</v>
      </c>
      <c r="C134" t="s">
        <v>404</v>
      </c>
      <c r="D134">
        <v>1290000</v>
      </c>
      <c r="E134" t="s">
        <v>166</v>
      </c>
      <c r="F134" s="59" t="s">
        <v>107</v>
      </c>
      <c r="G134" s="14">
        <v>42541.808576388888</v>
      </c>
    </row>
    <row r="135" spans="1:7" x14ac:dyDescent="0.25">
      <c r="A135" s="14">
        <v>42541.848043981481</v>
      </c>
      <c r="B135" t="s">
        <v>100</v>
      </c>
      <c r="C135" t="s">
        <v>406</v>
      </c>
      <c r="D135">
        <v>1290000</v>
      </c>
      <c r="E135" t="s">
        <v>166</v>
      </c>
      <c r="F135" s="59" t="s">
        <v>100</v>
      </c>
      <c r="G135" s="14">
        <v>42541.848043981481</v>
      </c>
    </row>
    <row r="136" spans="1:7" x14ac:dyDescent="0.25">
      <c r="A136" s="14">
        <v>42541.835393518515</v>
      </c>
      <c r="B136" t="s">
        <v>110</v>
      </c>
      <c r="C136" t="s">
        <v>408</v>
      </c>
      <c r="D136">
        <v>1770000</v>
      </c>
      <c r="E136" t="s">
        <v>164</v>
      </c>
      <c r="F136" s="59" t="s">
        <v>110</v>
      </c>
      <c r="G136" s="14">
        <v>42541.835393518515</v>
      </c>
    </row>
    <row r="137" spans="1:7" x14ac:dyDescent="0.25">
      <c r="A137" s="14">
        <v>42541.868414351855</v>
      </c>
      <c r="B137" t="s">
        <v>108</v>
      </c>
      <c r="C137" t="s">
        <v>409</v>
      </c>
      <c r="D137">
        <v>1770000</v>
      </c>
      <c r="E137" t="s">
        <v>164</v>
      </c>
      <c r="F137" s="59" t="s">
        <v>108</v>
      </c>
      <c r="G137" s="14">
        <v>42541.868414351855</v>
      </c>
    </row>
    <row r="138" spans="1:7" x14ac:dyDescent="0.25">
      <c r="A138" s="14">
        <v>42541.859131944446</v>
      </c>
      <c r="B138" t="s">
        <v>128</v>
      </c>
      <c r="C138" t="s">
        <v>410</v>
      </c>
      <c r="D138">
        <v>1800000</v>
      </c>
      <c r="E138" t="s">
        <v>496</v>
      </c>
      <c r="F138" s="59" t="s">
        <v>128</v>
      </c>
      <c r="G138" s="14">
        <v>42541.859131944446</v>
      </c>
    </row>
    <row r="139" spans="1:7" x14ac:dyDescent="0.25">
      <c r="A139" s="14">
        <v>42541.893738425926</v>
      </c>
      <c r="B139" t="s">
        <v>129</v>
      </c>
      <c r="C139" t="s">
        <v>412</v>
      </c>
      <c r="D139">
        <v>1800000</v>
      </c>
      <c r="E139" t="s">
        <v>496</v>
      </c>
      <c r="F139" s="59" t="s">
        <v>129</v>
      </c>
      <c r="G139" s="14">
        <v>42541.893738425926</v>
      </c>
    </row>
    <row r="140" spans="1:7" x14ac:dyDescent="0.25">
      <c r="A140" s="14">
        <v>42541.868483796294</v>
      </c>
      <c r="B140" t="s">
        <v>117</v>
      </c>
      <c r="C140" t="s">
        <v>413</v>
      </c>
      <c r="D140">
        <v>1140000</v>
      </c>
      <c r="E140" t="s">
        <v>101</v>
      </c>
      <c r="F140" s="59" t="s">
        <v>117</v>
      </c>
      <c r="G140" s="14">
        <v>42541.868483796294</v>
      </c>
    </row>
    <row r="141" spans="1:7" x14ac:dyDescent="0.25">
      <c r="A141" s="14">
        <v>42541.910231481481</v>
      </c>
      <c r="B141" s="59" t="s">
        <v>109</v>
      </c>
      <c r="C141" t="s">
        <v>415</v>
      </c>
      <c r="D141">
        <v>1140000</v>
      </c>
      <c r="E141" t="s">
        <v>101</v>
      </c>
      <c r="F141" s="59" t="s">
        <v>109</v>
      </c>
      <c r="G141" s="14">
        <v>42541.910231481481</v>
      </c>
    </row>
    <row r="142" spans="1:7" x14ac:dyDescent="0.25">
      <c r="A142" s="14">
        <v>42541.893090277779</v>
      </c>
      <c r="B142" s="59" t="s">
        <v>111</v>
      </c>
      <c r="C142" t="s">
        <v>416</v>
      </c>
      <c r="D142">
        <v>1290000</v>
      </c>
      <c r="E142" t="s">
        <v>166</v>
      </c>
      <c r="F142" s="59" t="s">
        <v>111</v>
      </c>
      <c r="G142" s="14">
        <v>42541.893090277779</v>
      </c>
    </row>
    <row r="143" spans="1:7" x14ac:dyDescent="0.25">
      <c r="A143" s="14">
        <v>42541.932384259257</v>
      </c>
      <c r="B143" t="s">
        <v>89</v>
      </c>
      <c r="C143" t="s">
        <v>417</v>
      </c>
      <c r="D143">
        <v>1290000</v>
      </c>
      <c r="E143" t="s">
        <v>166</v>
      </c>
      <c r="F143" s="59" t="s">
        <v>89</v>
      </c>
      <c r="G143" s="14">
        <v>42541.932384259257</v>
      </c>
    </row>
    <row r="144" spans="1:7" x14ac:dyDescent="0.25">
      <c r="A144" s="14">
        <v>42541.919918981483</v>
      </c>
      <c r="B144" t="s">
        <v>110</v>
      </c>
      <c r="C144" t="s">
        <v>418</v>
      </c>
      <c r="D144">
        <v>1770000</v>
      </c>
      <c r="E144" t="s">
        <v>164</v>
      </c>
      <c r="F144" s="59" t="s">
        <v>110</v>
      </c>
      <c r="G144" s="14">
        <v>42541.919918981483</v>
      </c>
    </row>
    <row r="145" spans="1:7" x14ac:dyDescent="0.25">
      <c r="A145" s="14">
        <v>42541.911226851851</v>
      </c>
      <c r="B145" t="s">
        <v>110</v>
      </c>
      <c r="C145" t="s">
        <v>418</v>
      </c>
      <c r="D145">
        <v>1770000</v>
      </c>
      <c r="E145" t="s">
        <v>164</v>
      </c>
      <c r="F145" s="59" t="s">
        <v>110</v>
      </c>
      <c r="G145" s="14">
        <v>42541.911226851851</v>
      </c>
    </row>
    <row r="146" spans="1:7" x14ac:dyDescent="0.25">
      <c r="A146" s="14">
        <v>42541.918576388889</v>
      </c>
      <c r="B146" t="s">
        <v>110</v>
      </c>
      <c r="C146" t="s">
        <v>418</v>
      </c>
      <c r="D146">
        <v>1770000</v>
      </c>
      <c r="E146" t="s">
        <v>164</v>
      </c>
      <c r="F146" s="59" t="s">
        <v>110</v>
      </c>
      <c r="G146" s="14">
        <v>42541.918576388889</v>
      </c>
    </row>
    <row r="147" spans="1:7" x14ac:dyDescent="0.25">
      <c r="A147" s="14">
        <v>42541.921006944445</v>
      </c>
      <c r="B147" t="s">
        <v>110</v>
      </c>
      <c r="C147" t="s">
        <v>418</v>
      </c>
      <c r="D147">
        <v>1770000</v>
      </c>
      <c r="E147" t="s">
        <v>164</v>
      </c>
      <c r="F147" s="59" t="s">
        <v>110</v>
      </c>
      <c r="G147" s="14">
        <v>42541.921006944445</v>
      </c>
    </row>
    <row r="148" spans="1:7" x14ac:dyDescent="0.25">
      <c r="A148" s="14">
        <v>42541.95107638889</v>
      </c>
      <c r="B148" t="s">
        <v>108</v>
      </c>
      <c r="C148" t="s">
        <v>419</v>
      </c>
      <c r="D148">
        <v>1770000</v>
      </c>
      <c r="E148" t="s">
        <v>164</v>
      </c>
      <c r="F148" s="59" t="s">
        <v>108</v>
      </c>
      <c r="G148" s="14">
        <v>42541.95107638889</v>
      </c>
    </row>
    <row r="149" spans="1:7" x14ac:dyDescent="0.25">
      <c r="A149" s="14">
        <v>42541.93509259259</v>
      </c>
      <c r="B149" t="s">
        <v>128</v>
      </c>
      <c r="C149" t="s">
        <v>420</v>
      </c>
      <c r="D149">
        <v>1800000</v>
      </c>
      <c r="E149" t="s">
        <v>496</v>
      </c>
      <c r="F149" s="59" t="s">
        <v>128</v>
      </c>
      <c r="G149" s="14">
        <v>42541.93509259259</v>
      </c>
    </row>
    <row r="150" spans="1:7" x14ac:dyDescent="0.25">
      <c r="A150" s="14">
        <v>42541.972557870373</v>
      </c>
      <c r="B150" t="s">
        <v>129</v>
      </c>
      <c r="C150" t="s">
        <v>421</v>
      </c>
      <c r="D150">
        <v>1800000</v>
      </c>
      <c r="E150" t="s">
        <v>496</v>
      </c>
      <c r="F150" s="59" t="s">
        <v>129</v>
      </c>
      <c r="G150" s="14">
        <v>42541.972557870373</v>
      </c>
    </row>
    <row r="151" spans="1:7" x14ac:dyDescent="0.25">
      <c r="A151" s="14">
        <v>42541.950358796297</v>
      </c>
      <c r="B151" t="s">
        <v>117</v>
      </c>
      <c r="C151" t="s">
        <v>422</v>
      </c>
      <c r="D151">
        <v>1140000</v>
      </c>
      <c r="E151" t="s">
        <v>101</v>
      </c>
      <c r="F151" s="59" t="s">
        <v>117</v>
      </c>
      <c r="G151" s="14">
        <v>42541.950358796297</v>
      </c>
    </row>
    <row r="152" spans="1:7" x14ac:dyDescent="0.25">
      <c r="A152" s="14">
        <v>42541.991574074076</v>
      </c>
      <c r="B152" t="s">
        <v>109</v>
      </c>
      <c r="C152" t="s">
        <v>424</v>
      </c>
      <c r="D152">
        <v>1140000</v>
      </c>
      <c r="E152" t="s">
        <v>101</v>
      </c>
      <c r="F152" s="59" t="s">
        <v>109</v>
      </c>
      <c r="G152" s="14">
        <v>42541.991574074076</v>
      </c>
    </row>
    <row r="153" spans="1:7" x14ac:dyDescent="0.25">
      <c r="A153" s="14">
        <v>42541.976307870369</v>
      </c>
      <c r="B153" t="s">
        <v>111</v>
      </c>
      <c r="C153" t="s">
        <v>425</v>
      </c>
      <c r="D153">
        <v>1290000</v>
      </c>
      <c r="E153" t="s">
        <v>166</v>
      </c>
      <c r="F153" s="59" t="s">
        <v>111</v>
      </c>
      <c r="G153" s="14">
        <v>42541.976307870369</v>
      </c>
    </row>
    <row r="154" spans="1:7" x14ac:dyDescent="0.25">
      <c r="A154" s="14">
        <v>42542.014479166668</v>
      </c>
      <c r="B154" t="s">
        <v>89</v>
      </c>
      <c r="C154" t="s">
        <v>426</v>
      </c>
      <c r="D154">
        <v>1290000</v>
      </c>
      <c r="E154" t="s">
        <v>166</v>
      </c>
      <c r="F154" s="59" t="s">
        <v>89</v>
      </c>
      <c r="G154" s="14">
        <v>42542.014479166668</v>
      </c>
    </row>
    <row r="155" spans="1:7" x14ac:dyDescent="0.25">
      <c r="A155" s="14">
        <v>42541.996446759258</v>
      </c>
      <c r="B155" t="s">
        <v>110</v>
      </c>
      <c r="C155" t="s">
        <v>428</v>
      </c>
      <c r="D155">
        <v>1770000</v>
      </c>
      <c r="E155" t="s">
        <v>164</v>
      </c>
      <c r="F155" s="59" t="s">
        <v>110</v>
      </c>
      <c r="G155" s="14">
        <v>42541.996446759258</v>
      </c>
    </row>
    <row r="156" spans="1:7" x14ac:dyDescent="0.25">
      <c r="A156" s="14">
        <v>42542.033935185187</v>
      </c>
      <c r="B156" t="s">
        <v>108</v>
      </c>
      <c r="C156" t="s">
        <v>429</v>
      </c>
      <c r="D156">
        <v>1770000</v>
      </c>
      <c r="E156" t="s">
        <v>164</v>
      </c>
      <c r="F156" s="59" t="s">
        <v>108</v>
      </c>
      <c r="G156" s="14">
        <v>42542.033935185187</v>
      </c>
    </row>
    <row r="157" spans="1:7" x14ac:dyDescent="0.25">
      <c r="A157" s="14">
        <v>42542.01803240741</v>
      </c>
      <c r="B157" t="s">
        <v>128</v>
      </c>
      <c r="C157" t="s">
        <v>431</v>
      </c>
      <c r="D157">
        <v>1800000</v>
      </c>
      <c r="E157" t="s">
        <v>496</v>
      </c>
      <c r="F157" s="59" t="s">
        <v>128</v>
      </c>
      <c r="G157" s="14">
        <v>42542.01803240741</v>
      </c>
    </row>
    <row r="158" spans="1:7" x14ac:dyDescent="0.25">
      <c r="A158" s="14">
        <v>42542.057534722226</v>
      </c>
      <c r="B158" t="s">
        <v>129</v>
      </c>
      <c r="C158" t="s">
        <v>432</v>
      </c>
      <c r="D158">
        <v>1800000</v>
      </c>
      <c r="E158" t="s">
        <v>496</v>
      </c>
      <c r="F158" s="59" t="s">
        <v>129</v>
      </c>
      <c r="G158" s="14">
        <v>42542.057534722226</v>
      </c>
    </row>
    <row r="159" spans="1:7" x14ac:dyDescent="0.25">
      <c r="A159" s="14">
        <v>42541.21471064815</v>
      </c>
      <c r="B159" t="s">
        <v>75</v>
      </c>
      <c r="C159" t="s">
        <v>434</v>
      </c>
      <c r="D159">
        <v>1460000</v>
      </c>
      <c r="E159" t="s">
        <v>163</v>
      </c>
      <c r="F159" s="59" t="s">
        <v>75</v>
      </c>
      <c r="G159" s="14">
        <v>42541.21471064815</v>
      </c>
    </row>
    <row r="160" spans="1:7" x14ac:dyDescent="0.25">
      <c r="A160" s="14">
        <v>42541.234942129631</v>
      </c>
      <c r="B160" t="s">
        <v>112</v>
      </c>
      <c r="C160" t="s">
        <v>435</v>
      </c>
      <c r="D160">
        <v>1460000</v>
      </c>
      <c r="E160" t="s">
        <v>163</v>
      </c>
      <c r="F160" s="59" t="s">
        <v>112</v>
      </c>
      <c r="G160" s="14">
        <v>42541.234942129631</v>
      </c>
    </row>
    <row r="161" spans="1:7" x14ac:dyDescent="0.25">
      <c r="A161" s="14">
        <v>42541.255787037036</v>
      </c>
      <c r="B161" t="s">
        <v>75</v>
      </c>
      <c r="C161" t="s">
        <v>436</v>
      </c>
      <c r="D161">
        <v>1460000</v>
      </c>
      <c r="E161" t="s">
        <v>163</v>
      </c>
      <c r="F161" s="59" t="s">
        <v>75</v>
      </c>
      <c r="G161" s="14">
        <v>42541.255787037036</v>
      </c>
    </row>
    <row r="162" spans="1:7" x14ac:dyDescent="0.25">
      <c r="A162" s="14">
        <v>42541.253032407411</v>
      </c>
      <c r="B162" t="s">
        <v>96</v>
      </c>
      <c r="C162" t="s">
        <v>437</v>
      </c>
      <c r="D162">
        <v>1450000</v>
      </c>
      <c r="E162" t="s">
        <v>130</v>
      </c>
      <c r="F162" s="59" t="s">
        <v>96</v>
      </c>
      <c r="G162" s="14">
        <v>42541.253032407411</v>
      </c>
    </row>
    <row r="163" spans="1:7" x14ac:dyDescent="0.25">
      <c r="A163" s="14">
        <v>42541.278831018521</v>
      </c>
      <c r="B163" t="s">
        <v>95</v>
      </c>
      <c r="C163" t="s">
        <v>438</v>
      </c>
      <c r="D163">
        <v>1450000</v>
      </c>
      <c r="E163" t="s">
        <v>130</v>
      </c>
      <c r="F163" s="59" t="s">
        <v>95</v>
      </c>
      <c r="G163" s="14">
        <v>42541.278831018521</v>
      </c>
    </row>
    <row r="164" spans="1:7" x14ac:dyDescent="0.25">
      <c r="A164" s="14">
        <v>42541.27857638889</v>
      </c>
      <c r="B164" t="s">
        <v>112</v>
      </c>
      <c r="C164" t="s">
        <v>439</v>
      </c>
      <c r="D164">
        <v>1460000</v>
      </c>
      <c r="E164" t="s">
        <v>163</v>
      </c>
      <c r="F164" s="59" t="s">
        <v>112</v>
      </c>
      <c r="G164" s="14">
        <v>42541.27857638889</v>
      </c>
    </row>
    <row r="165" spans="1:7" x14ac:dyDescent="0.25">
      <c r="A165" s="14">
        <v>42541.296423611115</v>
      </c>
      <c r="B165" t="s">
        <v>75</v>
      </c>
      <c r="C165" t="s">
        <v>440</v>
      </c>
      <c r="D165">
        <v>1460000</v>
      </c>
      <c r="E165" t="s">
        <v>163</v>
      </c>
      <c r="F165" s="59" t="s">
        <v>75</v>
      </c>
      <c r="G165" s="14">
        <v>42541.296423611115</v>
      </c>
    </row>
    <row r="166" spans="1:7" x14ac:dyDescent="0.25">
      <c r="A166" s="14">
        <v>42541.29960648148</v>
      </c>
      <c r="B166" t="s">
        <v>96</v>
      </c>
      <c r="C166" t="s">
        <v>441</v>
      </c>
      <c r="D166">
        <v>1450000</v>
      </c>
      <c r="E166" t="s">
        <v>130</v>
      </c>
      <c r="F166" s="59" t="s">
        <v>96</v>
      </c>
      <c r="G166" s="14">
        <v>42541.29960648148</v>
      </c>
    </row>
    <row r="167" spans="1:7" x14ac:dyDescent="0.25">
      <c r="A167" s="14">
        <v>42541.321273148147</v>
      </c>
      <c r="B167" t="s">
        <v>95</v>
      </c>
      <c r="C167" t="s">
        <v>442</v>
      </c>
      <c r="D167">
        <v>1450000</v>
      </c>
      <c r="E167" t="s">
        <v>130</v>
      </c>
      <c r="F167" s="59" t="s">
        <v>95</v>
      </c>
      <c r="G167" s="14">
        <v>42541.321273148147</v>
      </c>
    </row>
    <row r="168" spans="1:7" x14ac:dyDescent="0.25">
      <c r="A168" s="14">
        <v>42541.315844907411</v>
      </c>
      <c r="B168" t="s">
        <v>112</v>
      </c>
      <c r="C168" t="s">
        <v>443</v>
      </c>
      <c r="D168">
        <v>1460000</v>
      </c>
      <c r="E168" t="s">
        <v>163</v>
      </c>
      <c r="F168" s="59" t="s">
        <v>112</v>
      </c>
      <c r="G168" s="14">
        <v>42541.315844907411</v>
      </c>
    </row>
    <row r="169" spans="1:7" x14ac:dyDescent="0.25">
      <c r="A169" s="14">
        <v>42541.338923611111</v>
      </c>
      <c r="B169" t="s">
        <v>75</v>
      </c>
      <c r="C169" t="s">
        <v>444</v>
      </c>
      <c r="D169">
        <v>1460000</v>
      </c>
      <c r="E169" t="s">
        <v>163</v>
      </c>
      <c r="F169" s="59" t="s">
        <v>75</v>
      </c>
      <c r="G169" s="14">
        <v>42541.338923611111</v>
      </c>
    </row>
    <row r="170" spans="1:7" x14ac:dyDescent="0.25">
      <c r="A170" s="14">
        <v>42541.344166666669</v>
      </c>
      <c r="B170" t="s">
        <v>96</v>
      </c>
      <c r="C170" t="s">
        <v>445</v>
      </c>
      <c r="D170">
        <v>1500000</v>
      </c>
      <c r="E170" t="s">
        <v>116</v>
      </c>
      <c r="F170" s="59" t="s">
        <v>96</v>
      </c>
      <c r="G170" s="14">
        <v>42541.344166666669</v>
      </c>
    </row>
    <row r="171" spans="1:7" x14ac:dyDescent="0.25">
      <c r="A171" s="14">
        <v>42541.359259259261</v>
      </c>
      <c r="B171" t="s">
        <v>95</v>
      </c>
      <c r="C171" t="s">
        <v>446</v>
      </c>
      <c r="D171">
        <v>1500000</v>
      </c>
      <c r="E171" t="s">
        <v>116</v>
      </c>
      <c r="F171" s="59" t="s">
        <v>95</v>
      </c>
      <c r="G171" s="14">
        <v>42541.359259259261</v>
      </c>
    </row>
    <row r="172" spans="1:7" x14ac:dyDescent="0.25">
      <c r="A172" s="14">
        <v>42541.384004629632</v>
      </c>
      <c r="B172" t="s">
        <v>96</v>
      </c>
      <c r="C172" t="s">
        <v>447</v>
      </c>
      <c r="D172">
        <v>1500000</v>
      </c>
      <c r="E172" t="s">
        <v>116</v>
      </c>
      <c r="F172" s="59" t="s">
        <v>96</v>
      </c>
      <c r="G172" s="14">
        <v>42541.384004629632</v>
      </c>
    </row>
    <row r="173" spans="1:7" x14ac:dyDescent="0.25">
      <c r="A173" s="14">
        <v>42541.399791666663</v>
      </c>
      <c r="B173" t="s">
        <v>95</v>
      </c>
      <c r="C173" t="s">
        <v>448</v>
      </c>
      <c r="D173">
        <v>1500000</v>
      </c>
      <c r="E173" t="s">
        <v>116</v>
      </c>
      <c r="F173" s="59" t="s">
        <v>95</v>
      </c>
      <c r="G173" s="14">
        <v>42541.399791666663</v>
      </c>
    </row>
    <row r="174" spans="1:7" x14ac:dyDescent="0.25">
      <c r="A174" s="14">
        <v>42541.4374537037</v>
      </c>
      <c r="B174" t="s">
        <v>96</v>
      </c>
      <c r="C174" t="s">
        <v>449</v>
      </c>
      <c r="D174">
        <v>1500000</v>
      </c>
      <c r="E174" t="s">
        <v>116</v>
      </c>
      <c r="F174" s="59" t="s">
        <v>96</v>
      </c>
      <c r="G174" s="14">
        <v>42541.4374537037</v>
      </c>
    </row>
    <row r="175" spans="1:7" x14ac:dyDescent="0.25">
      <c r="A175" s="14">
        <v>42541.428206018521</v>
      </c>
      <c r="B175" t="s">
        <v>96</v>
      </c>
      <c r="C175" t="s">
        <v>449</v>
      </c>
      <c r="D175">
        <v>1500000</v>
      </c>
      <c r="E175" t="s">
        <v>116</v>
      </c>
      <c r="F175" s="59" t="s">
        <v>96</v>
      </c>
      <c r="G175" s="14">
        <v>42541.428206018521</v>
      </c>
    </row>
    <row r="176" spans="1:7" x14ac:dyDescent="0.25">
      <c r="A176" s="14">
        <v>42541.446493055555</v>
      </c>
      <c r="B176" t="s">
        <v>95</v>
      </c>
      <c r="C176" t="s">
        <v>450</v>
      </c>
      <c r="D176">
        <v>1500000</v>
      </c>
      <c r="E176" t="s">
        <v>116</v>
      </c>
      <c r="F176" s="59" t="s">
        <v>95</v>
      </c>
      <c r="G176" s="14">
        <v>42541.446493055555</v>
      </c>
    </row>
    <row r="177" spans="1:7" x14ac:dyDescent="0.25">
      <c r="A177" s="14">
        <v>42541.470937500002</v>
      </c>
      <c r="B177" t="s">
        <v>96</v>
      </c>
      <c r="C177" t="s">
        <v>451</v>
      </c>
      <c r="D177">
        <v>1500000</v>
      </c>
      <c r="E177" t="s">
        <v>116</v>
      </c>
      <c r="F177" s="59" t="s">
        <v>96</v>
      </c>
      <c r="G177" s="14">
        <v>42541.470937500002</v>
      </c>
    </row>
    <row r="178" spans="1:7" x14ac:dyDescent="0.25">
      <c r="A178" s="14">
        <v>42541.485682870371</v>
      </c>
      <c r="B178" t="s">
        <v>95</v>
      </c>
      <c r="C178" t="s">
        <v>452</v>
      </c>
      <c r="D178">
        <v>1500000</v>
      </c>
      <c r="E178" t="s">
        <v>116</v>
      </c>
      <c r="F178" s="59" t="s">
        <v>95</v>
      </c>
      <c r="G178" s="14">
        <v>42541.485682870371</v>
      </c>
    </row>
    <row r="179" spans="1:7" x14ac:dyDescent="0.25">
      <c r="A179" s="14">
        <v>42541.512106481481</v>
      </c>
      <c r="B179" t="s">
        <v>96</v>
      </c>
      <c r="C179" t="s">
        <v>453</v>
      </c>
      <c r="D179">
        <v>1500000</v>
      </c>
      <c r="E179" t="s">
        <v>116</v>
      </c>
      <c r="F179" s="59" t="s">
        <v>96</v>
      </c>
      <c r="G179" s="14">
        <v>42541.512106481481</v>
      </c>
    </row>
    <row r="180" spans="1:7" x14ac:dyDescent="0.25">
      <c r="A180" s="14">
        <v>42541.525069444448</v>
      </c>
      <c r="B180" t="s">
        <v>95</v>
      </c>
      <c r="C180" t="s">
        <v>454</v>
      </c>
      <c r="D180">
        <v>1500000</v>
      </c>
      <c r="E180" t="s">
        <v>116</v>
      </c>
      <c r="F180" s="59" t="s">
        <v>95</v>
      </c>
      <c r="G180" s="14">
        <v>42541.525069444448</v>
      </c>
    </row>
    <row r="181" spans="1:7" x14ac:dyDescent="0.25">
      <c r="A181" s="14">
        <v>42541.55636574074</v>
      </c>
      <c r="B181" t="s">
        <v>96</v>
      </c>
      <c r="C181" t="s">
        <v>455</v>
      </c>
      <c r="D181">
        <v>1500000</v>
      </c>
      <c r="E181" t="s">
        <v>116</v>
      </c>
      <c r="F181" s="59" t="s">
        <v>96</v>
      </c>
      <c r="G181" s="14">
        <v>42541.55636574074</v>
      </c>
    </row>
    <row r="182" spans="1:7" x14ac:dyDescent="0.25">
      <c r="A182" s="14">
        <v>42541.560694444444</v>
      </c>
      <c r="B182" t="s">
        <v>96</v>
      </c>
      <c r="C182" t="s">
        <v>455</v>
      </c>
      <c r="D182">
        <v>1500000</v>
      </c>
      <c r="E182" t="s">
        <v>116</v>
      </c>
      <c r="F182" s="59" t="s">
        <v>96</v>
      </c>
      <c r="G182" s="14">
        <v>42541.560694444444</v>
      </c>
    </row>
    <row r="183" spans="1:7" x14ac:dyDescent="0.25">
      <c r="A183" s="14">
        <v>42541.570856481485</v>
      </c>
      <c r="B183" t="s">
        <v>95</v>
      </c>
      <c r="C183" t="s">
        <v>456</v>
      </c>
      <c r="D183">
        <v>1500000</v>
      </c>
      <c r="E183" t="s">
        <v>116</v>
      </c>
      <c r="F183" s="59" t="s">
        <v>95</v>
      </c>
      <c r="G183" s="14">
        <v>42541.570856481485</v>
      </c>
    </row>
    <row r="184" spans="1:7" x14ac:dyDescent="0.25">
      <c r="A184" s="14">
        <v>42541.569409722222</v>
      </c>
      <c r="B184" t="s">
        <v>95</v>
      </c>
      <c r="C184" t="s">
        <v>456</v>
      </c>
      <c r="D184">
        <v>1500000</v>
      </c>
      <c r="E184" t="s">
        <v>116</v>
      </c>
      <c r="F184" s="59" t="s">
        <v>95</v>
      </c>
      <c r="G184" s="14">
        <v>42541.569409722222</v>
      </c>
    </row>
    <row r="185" spans="1:7" x14ac:dyDescent="0.25">
      <c r="A185" s="14">
        <v>42541.586655092593</v>
      </c>
      <c r="B185" t="s">
        <v>96</v>
      </c>
      <c r="C185" t="s">
        <v>457</v>
      </c>
      <c r="D185">
        <v>1750000</v>
      </c>
      <c r="E185" t="s">
        <v>487</v>
      </c>
      <c r="F185" s="59" t="s">
        <v>96</v>
      </c>
      <c r="G185" s="14">
        <v>42541.586655092593</v>
      </c>
    </row>
    <row r="186" spans="1:7" x14ac:dyDescent="0.25">
      <c r="A186" s="14">
        <v>42541.610659722224</v>
      </c>
      <c r="B186" t="s">
        <v>95</v>
      </c>
      <c r="C186" t="s">
        <v>458</v>
      </c>
      <c r="D186">
        <v>1750000</v>
      </c>
      <c r="E186" t="s">
        <v>487</v>
      </c>
      <c r="F186" s="59" t="s">
        <v>95</v>
      </c>
      <c r="G186" s="14">
        <v>42541.610659722224</v>
      </c>
    </row>
    <row r="187" spans="1:7" x14ac:dyDescent="0.25">
      <c r="A187" s="14">
        <v>42541.628298611111</v>
      </c>
      <c r="B187" t="s">
        <v>96</v>
      </c>
      <c r="C187" t="s">
        <v>459</v>
      </c>
      <c r="D187">
        <v>1750000</v>
      </c>
      <c r="E187" t="s">
        <v>487</v>
      </c>
      <c r="F187" s="59" t="s">
        <v>96</v>
      </c>
      <c r="G187" s="14">
        <v>42541.628298611111</v>
      </c>
    </row>
    <row r="188" spans="1:7" x14ac:dyDescent="0.25">
      <c r="A188" s="14">
        <v>42541.652013888888</v>
      </c>
      <c r="B188" t="s">
        <v>95</v>
      </c>
      <c r="C188" t="s">
        <v>460</v>
      </c>
      <c r="D188">
        <v>1750000</v>
      </c>
      <c r="E188" t="s">
        <v>487</v>
      </c>
      <c r="F188" s="59" t="s">
        <v>95</v>
      </c>
      <c r="G188" s="14">
        <v>42541.652013888888</v>
      </c>
    </row>
    <row r="189" spans="1:7" x14ac:dyDescent="0.25">
      <c r="A189" s="14">
        <v>42541.660231481481</v>
      </c>
      <c r="B189" t="s">
        <v>112</v>
      </c>
      <c r="C189" t="s">
        <v>461</v>
      </c>
      <c r="D189">
        <v>1780000</v>
      </c>
      <c r="E189" t="s">
        <v>488</v>
      </c>
      <c r="F189" s="59" t="s">
        <v>112</v>
      </c>
      <c r="G189" s="14">
        <v>42541.660231481481</v>
      </c>
    </row>
    <row r="190" spans="1:7" x14ac:dyDescent="0.25">
      <c r="A190" s="14">
        <v>42541.673796296294</v>
      </c>
      <c r="B190" t="s">
        <v>75</v>
      </c>
      <c r="C190" t="s">
        <v>462</v>
      </c>
      <c r="D190">
        <v>1780000</v>
      </c>
      <c r="E190" t="s">
        <v>488</v>
      </c>
      <c r="F190" s="59" t="s">
        <v>75</v>
      </c>
      <c r="G190" s="14">
        <v>42541.673796296294</v>
      </c>
    </row>
    <row r="191" spans="1:7" x14ac:dyDescent="0.25">
      <c r="A191" s="14">
        <v>42541.676724537036</v>
      </c>
      <c r="B191" t="s">
        <v>96</v>
      </c>
      <c r="C191" t="s">
        <v>463</v>
      </c>
      <c r="D191">
        <v>1750000</v>
      </c>
      <c r="E191" t="s">
        <v>487</v>
      </c>
      <c r="F191" s="59" t="s">
        <v>96</v>
      </c>
      <c r="G191" s="14">
        <v>42541.676724537036</v>
      </c>
    </row>
    <row r="192" spans="1:7" x14ac:dyDescent="0.25">
      <c r="A192" s="14">
        <v>42541.692523148151</v>
      </c>
      <c r="B192" t="s">
        <v>95</v>
      </c>
      <c r="C192" t="s">
        <v>464</v>
      </c>
      <c r="D192">
        <v>1750000</v>
      </c>
      <c r="E192" t="s">
        <v>487</v>
      </c>
      <c r="F192" s="59" t="s">
        <v>95</v>
      </c>
      <c r="G192" s="14">
        <v>42541.692523148151</v>
      </c>
    </row>
    <row r="193" spans="1:7" x14ac:dyDescent="0.25">
      <c r="A193" s="14">
        <v>42541.698912037034</v>
      </c>
      <c r="B193" t="s">
        <v>112</v>
      </c>
      <c r="C193" t="s">
        <v>465</v>
      </c>
      <c r="D193">
        <v>1780000</v>
      </c>
      <c r="E193" t="s">
        <v>488</v>
      </c>
      <c r="F193" s="59" t="s">
        <v>112</v>
      </c>
      <c r="G193" s="14">
        <v>42541.698912037034</v>
      </c>
    </row>
    <row r="194" spans="1:7" x14ac:dyDescent="0.25">
      <c r="A194" s="14">
        <v>42541.687893518516</v>
      </c>
      <c r="B194" t="s">
        <v>112</v>
      </c>
      <c r="C194" t="s">
        <v>465</v>
      </c>
      <c r="D194">
        <v>1780000</v>
      </c>
      <c r="E194" t="s">
        <v>488</v>
      </c>
      <c r="F194" s="59" t="s">
        <v>112</v>
      </c>
      <c r="G194" s="14">
        <v>42541.687893518516</v>
      </c>
    </row>
    <row r="195" spans="1:7" x14ac:dyDescent="0.25">
      <c r="A195" s="14">
        <v>42541.715127314812</v>
      </c>
      <c r="B195" t="s">
        <v>75</v>
      </c>
      <c r="C195" t="s">
        <v>466</v>
      </c>
      <c r="D195">
        <v>1780000</v>
      </c>
      <c r="E195" t="s">
        <v>488</v>
      </c>
      <c r="F195" s="59" t="s">
        <v>75</v>
      </c>
      <c r="G195" s="14">
        <v>42541.715127314812</v>
      </c>
    </row>
    <row r="196" spans="1:7" x14ac:dyDescent="0.25">
      <c r="A196" s="14">
        <v>42541.720925925925</v>
      </c>
      <c r="B196" t="s">
        <v>96</v>
      </c>
      <c r="C196" t="s">
        <v>467</v>
      </c>
      <c r="D196">
        <v>1750000</v>
      </c>
      <c r="E196" t="s">
        <v>487</v>
      </c>
      <c r="F196" s="59" t="s">
        <v>96</v>
      </c>
      <c r="G196" s="14">
        <v>42541.720925925925</v>
      </c>
    </row>
    <row r="197" spans="1:7" x14ac:dyDescent="0.25">
      <c r="A197" s="14">
        <v>42541.735520833332</v>
      </c>
      <c r="B197" t="s">
        <v>95</v>
      </c>
      <c r="C197" t="s">
        <v>468</v>
      </c>
      <c r="D197">
        <v>1750000</v>
      </c>
      <c r="E197" t="s">
        <v>487</v>
      </c>
      <c r="F197" s="59" t="s">
        <v>95</v>
      </c>
      <c r="G197" s="14">
        <v>42541.735520833332</v>
      </c>
    </row>
    <row r="198" spans="1:7" x14ac:dyDescent="0.25">
      <c r="A198" s="14">
        <v>42541.741712962961</v>
      </c>
      <c r="B198" t="s">
        <v>112</v>
      </c>
      <c r="C198" t="s">
        <v>469</v>
      </c>
      <c r="D198">
        <v>1780000</v>
      </c>
      <c r="E198" t="s">
        <v>488</v>
      </c>
      <c r="F198" s="59" t="s">
        <v>112</v>
      </c>
      <c r="G198" s="14">
        <v>42541.741712962961</v>
      </c>
    </row>
    <row r="199" spans="1:7" x14ac:dyDescent="0.25">
      <c r="A199" s="14">
        <v>42541.756585648145</v>
      </c>
      <c r="B199" t="s">
        <v>75</v>
      </c>
      <c r="C199" t="s">
        <v>470</v>
      </c>
      <c r="D199">
        <v>1780000</v>
      </c>
      <c r="E199" t="s">
        <v>488</v>
      </c>
      <c r="F199" s="59" t="s">
        <v>75</v>
      </c>
      <c r="G199" s="14">
        <v>42541.756585648145</v>
      </c>
    </row>
    <row r="200" spans="1:7" x14ac:dyDescent="0.25">
      <c r="A200" s="14">
        <v>42541.758472222224</v>
      </c>
      <c r="B200" t="s">
        <v>96</v>
      </c>
      <c r="C200" t="s">
        <v>471</v>
      </c>
      <c r="D200">
        <v>1750000</v>
      </c>
      <c r="E200" t="s">
        <v>487</v>
      </c>
      <c r="F200" s="59" t="s">
        <v>96</v>
      </c>
      <c r="G200" s="14">
        <v>42541.758472222224</v>
      </c>
    </row>
    <row r="201" spans="1:7" x14ac:dyDescent="0.25">
      <c r="A201" s="14">
        <v>42541.776990740742</v>
      </c>
      <c r="B201" t="s">
        <v>95</v>
      </c>
      <c r="C201" t="s">
        <v>472</v>
      </c>
      <c r="D201">
        <v>1750000</v>
      </c>
      <c r="E201" t="s">
        <v>487</v>
      </c>
      <c r="F201" s="59" t="s">
        <v>95</v>
      </c>
      <c r="G201" s="14">
        <v>42541.776990740742</v>
      </c>
    </row>
    <row r="202" spans="1:7" x14ac:dyDescent="0.25">
      <c r="A202" s="84">
        <v>42541.782037037039</v>
      </c>
      <c r="B202" t="s">
        <v>112</v>
      </c>
      <c r="C202" t="s">
        <v>473</v>
      </c>
      <c r="D202">
        <v>1780000</v>
      </c>
      <c r="E202" t="s">
        <v>488</v>
      </c>
      <c r="F202" s="59" t="s">
        <v>112</v>
      </c>
      <c r="G202" s="84">
        <v>42541.782037037039</v>
      </c>
    </row>
    <row r="203" spans="1:7" x14ac:dyDescent="0.25">
      <c r="A203" s="14">
        <v>42541.817037037035</v>
      </c>
      <c r="B203" t="s">
        <v>95</v>
      </c>
      <c r="C203" t="s">
        <v>474</v>
      </c>
      <c r="D203">
        <v>1750000</v>
      </c>
      <c r="E203" t="s">
        <v>487</v>
      </c>
      <c r="F203" s="59" t="s">
        <v>95</v>
      </c>
      <c r="G203" s="14">
        <v>42541.817037037035</v>
      </c>
    </row>
    <row r="204" spans="1:7" x14ac:dyDescent="0.25">
      <c r="A204" s="14">
        <v>42541.801435185182</v>
      </c>
      <c r="B204" t="s">
        <v>96</v>
      </c>
      <c r="C204" t="s">
        <v>475</v>
      </c>
      <c r="D204">
        <v>1750000</v>
      </c>
      <c r="E204" t="s">
        <v>487</v>
      </c>
      <c r="F204" s="59" t="s">
        <v>96</v>
      </c>
      <c r="G204" s="14">
        <v>42541.801435185182</v>
      </c>
    </row>
    <row r="205" spans="1:7" x14ac:dyDescent="0.25">
      <c r="A205" s="14">
        <v>42541.858842592592</v>
      </c>
      <c r="B205" t="s">
        <v>95</v>
      </c>
      <c r="C205" t="s">
        <v>476</v>
      </c>
      <c r="D205">
        <v>1750000</v>
      </c>
      <c r="E205" t="s">
        <v>487</v>
      </c>
      <c r="F205" s="59" t="s">
        <v>95</v>
      </c>
      <c r="G205" s="14">
        <v>42541.858842592592</v>
      </c>
    </row>
    <row r="206" spans="1:7" x14ac:dyDescent="0.25">
      <c r="A206" s="14">
        <v>42541.842997685184</v>
      </c>
      <c r="B206" t="s">
        <v>96</v>
      </c>
      <c r="C206" t="s">
        <v>477</v>
      </c>
      <c r="D206">
        <v>1750000</v>
      </c>
      <c r="E206" t="s">
        <v>487</v>
      </c>
      <c r="F206" s="59" t="s">
        <v>96</v>
      </c>
      <c r="G206" s="14">
        <v>42541.842997685184</v>
      </c>
    </row>
    <row r="207" spans="1:7" x14ac:dyDescent="0.25">
      <c r="A207" s="14">
        <v>42541.900787037041</v>
      </c>
      <c r="B207" t="s">
        <v>95</v>
      </c>
      <c r="C207" t="s">
        <v>478</v>
      </c>
      <c r="D207">
        <v>1750000</v>
      </c>
      <c r="E207" t="s">
        <v>487</v>
      </c>
      <c r="F207" s="59" t="s">
        <v>95</v>
      </c>
      <c r="G207" s="14">
        <v>42541.900787037041</v>
      </c>
    </row>
    <row r="208" spans="1:7" x14ac:dyDescent="0.25">
      <c r="A208" s="14">
        <v>42541.889803240738</v>
      </c>
      <c r="B208" t="s">
        <v>96</v>
      </c>
      <c r="C208" t="s">
        <v>479</v>
      </c>
      <c r="D208">
        <v>1750000</v>
      </c>
      <c r="E208" t="s">
        <v>487</v>
      </c>
      <c r="F208" s="59" t="s">
        <v>96</v>
      </c>
      <c r="G208" s="14">
        <v>42541.889803240738</v>
      </c>
    </row>
    <row r="209" spans="1:7" x14ac:dyDescent="0.25">
      <c r="A209" s="14">
        <v>42541.925011574072</v>
      </c>
      <c r="B209" t="s">
        <v>96</v>
      </c>
      <c r="C209" t="s">
        <v>480</v>
      </c>
      <c r="D209">
        <v>1750000</v>
      </c>
      <c r="E209" t="s">
        <v>487</v>
      </c>
      <c r="F209" s="59" t="s">
        <v>96</v>
      </c>
      <c r="G209" s="14">
        <v>42541.925011574072</v>
      </c>
    </row>
    <row r="210" spans="1:7" x14ac:dyDescent="0.25">
      <c r="A210" s="14">
        <v>42541.798043981478</v>
      </c>
      <c r="B210" t="s">
        <v>75</v>
      </c>
      <c r="C210" t="s">
        <v>481</v>
      </c>
      <c r="D210">
        <v>1780000</v>
      </c>
      <c r="E210" t="s">
        <v>488</v>
      </c>
      <c r="F210" s="59" t="s">
        <v>75</v>
      </c>
      <c r="G210" s="14">
        <v>42541.798043981478</v>
      </c>
    </row>
    <row r="211" spans="1:7" x14ac:dyDescent="0.25">
      <c r="A211" s="14">
        <v>42541.942465277774</v>
      </c>
      <c r="B211" t="s">
        <v>95</v>
      </c>
      <c r="C211" t="s">
        <v>482</v>
      </c>
      <c r="D211">
        <v>1750000</v>
      </c>
      <c r="E211" t="s">
        <v>487</v>
      </c>
      <c r="F211" s="59" t="s">
        <v>95</v>
      </c>
      <c r="G211" s="14">
        <v>42541.942465277774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3"/>
  <sheetViews>
    <sheetView workbookViewId="0">
      <selection activeCell="J2" sqref="J2:J1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8" t="s">
        <v>25</v>
      </c>
      <c r="C1" s="36" t="s">
        <v>48</v>
      </c>
      <c r="J1" s="93" t="s">
        <v>504</v>
      </c>
      <c r="K1" s="93" t="s">
        <v>505</v>
      </c>
      <c r="L1" s="93" t="s">
        <v>506</v>
      </c>
      <c r="M1" s="59"/>
    </row>
    <row r="2" spans="1:13" ht="15.75" thickBot="1" x14ac:dyDescent="0.3">
      <c r="A2" s="29">
        <v>42541</v>
      </c>
      <c r="B2" s="10"/>
      <c r="C2" s="37">
        <v>50</v>
      </c>
      <c r="F2" t="s">
        <v>67</v>
      </c>
      <c r="J2" s="94" t="s">
        <v>507</v>
      </c>
      <c r="K2" s="95">
        <v>2.7052</v>
      </c>
      <c r="L2" s="95">
        <v>2.7349999999999999</v>
      </c>
      <c r="M2" s="59">
        <f t="shared" ref="M2:M13" si="0">AVERAGE(K2:L2)</f>
        <v>2.7201</v>
      </c>
    </row>
    <row r="3" spans="1:13" x14ac:dyDescent="0.25">
      <c r="F3" t="s">
        <v>68</v>
      </c>
      <c r="J3" s="94" t="s">
        <v>508</v>
      </c>
      <c r="K3" s="95">
        <v>3.0830000000000002</v>
      </c>
      <c r="L3" s="95">
        <v>3.097</v>
      </c>
      <c r="M3" s="59">
        <f t="shared" si="0"/>
        <v>3.09</v>
      </c>
    </row>
    <row r="4" spans="1:13" x14ac:dyDescent="0.25">
      <c r="F4" t="s">
        <v>69</v>
      </c>
      <c r="J4" s="94" t="s">
        <v>509</v>
      </c>
      <c r="K4" s="95">
        <v>3.3136000000000001</v>
      </c>
      <c r="L4" s="95">
        <v>3.3256999999999999</v>
      </c>
      <c r="M4" s="59">
        <f t="shared" si="0"/>
        <v>3.3196500000000002</v>
      </c>
    </row>
    <row r="5" spans="1:13" x14ac:dyDescent="0.25">
      <c r="J5" s="94" t="s">
        <v>510</v>
      </c>
      <c r="K5" s="95">
        <v>4.2778999999999998</v>
      </c>
      <c r="L5" s="95">
        <v>4.2961</v>
      </c>
      <c r="M5" s="59">
        <f t="shared" si="0"/>
        <v>4.2869999999999999</v>
      </c>
    </row>
    <row r="6" spans="1:13" x14ac:dyDescent="0.25">
      <c r="J6" s="94" t="s">
        <v>511</v>
      </c>
      <c r="K6" s="95">
        <v>4.7865000000000002</v>
      </c>
      <c r="L6" s="95">
        <v>4.8048000000000002</v>
      </c>
      <c r="M6" s="59">
        <f t="shared" si="0"/>
        <v>4.7956500000000002</v>
      </c>
    </row>
    <row r="7" spans="1:13" x14ac:dyDescent="0.25">
      <c r="J7" s="94" t="s">
        <v>512</v>
      </c>
      <c r="K7" s="95">
        <v>5.3155000000000001</v>
      </c>
      <c r="L7" s="95">
        <v>5.3277000000000001</v>
      </c>
      <c r="M7" s="59">
        <f t="shared" si="0"/>
        <v>5.3216000000000001</v>
      </c>
    </row>
    <row r="8" spans="1:13" x14ac:dyDescent="0.25">
      <c r="J8" s="94" t="s">
        <v>513</v>
      </c>
      <c r="K8" s="95">
        <v>5.8117000000000001</v>
      </c>
      <c r="L8" s="95">
        <v>5.8300999999999998</v>
      </c>
      <c r="M8" s="59">
        <f t="shared" si="0"/>
        <v>5.8209</v>
      </c>
    </row>
    <row r="9" spans="1:13" x14ac:dyDescent="0.25">
      <c r="J9" s="94" t="s">
        <v>514</v>
      </c>
      <c r="K9" s="95">
        <v>5.8783000000000003</v>
      </c>
      <c r="L9" s="95">
        <v>5.8903999999999996</v>
      </c>
      <c r="M9" s="59">
        <f t="shared" si="0"/>
        <v>5.8843499999999995</v>
      </c>
    </row>
    <row r="10" spans="1:13" x14ac:dyDescent="0.25">
      <c r="J10" s="94" t="s">
        <v>515</v>
      </c>
      <c r="K10" s="95">
        <v>6.3068</v>
      </c>
      <c r="L10" s="95">
        <v>6.3308999999999997</v>
      </c>
      <c r="M10" s="59">
        <f t="shared" si="0"/>
        <v>6.3188499999999994</v>
      </c>
    </row>
    <row r="11" spans="1:13" x14ac:dyDescent="0.25">
      <c r="J11" s="94" t="s">
        <v>516</v>
      </c>
      <c r="K11" s="95">
        <v>7.8349000000000002</v>
      </c>
      <c r="L11" s="95">
        <v>7.8468999999999998</v>
      </c>
      <c r="M11" s="59">
        <f t="shared" si="0"/>
        <v>7.8408999999999995</v>
      </c>
    </row>
    <row r="12" spans="1:13" x14ac:dyDescent="0.25">
      <c r="J12" s="94" t="s">
        <v>517</v>
      </c>
      <c r="K12" s="95">
        <v>10.373799999999999</v>
      </c>
      <c r="L12" s="95">
        <v>10.38</v>
      </c>
      <c r="M12" s="59">
        <f t="shared" si="0"/>
        <v>10.376899999999999</v>
      </c>
    </row>
    <row r="13" spans="1:13" x14ac:dyDescent="0.25">
      <c r="J13" s="94" t="s">
        <v>518</v>
      </c>
      <c r="K13" s="95">
        <v>10.8954</v>
      </c>
      <c r="L13" s="95">
        <v>10.913500000000001</v>
      </c>
      <c r="M13" s="59">
        <f t="shared" si="0"/>
        <v>10.904450000000001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2016-06-22T18:15:28Z</dcterms:modified>
</cp:coreProperties>
</file>