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-reporting\EC\"/>
    </mc:Choice>
  </mc:AlternateContent>
  <bookViews>
    <workbookView xWindow="0" yWindow="0" windowWidth="28800" windowHeight="148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Enforcements!$A$2:$N$72</definedName>
    <definedName name="_xlnm._FilterDatabase" localSheetId="2" hidden="1">'Missing Trips'!$A$2:$G$2</definedName>
    <definedName name="_xlnm._FilterDatabase" localSheetId="0" hidden="1">'Train Runs'!$A$2:$AC$145</definedName>
    <definedName name="_xlnm._FilterDatabase" localSheetId="3" hidden="1">'Trips&amp;Operators'!$A$1:$E$211</definedName>
    <definedName name="Denver_Train_Runs_04122016" localSheetId="0">'Train Runs'!$A$2:$J$151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6" i="3" l="1"/>
  <c r="M77" i="3" s="1"/>
  <c r="AB4" i="1" l="1"/>
  <c r="AC4" i="1"/>
  <c r="AB5" i="1"/>
  <c r="AC5" i="1"/>
  <c r="AB6" i="1"/>
  <c r="AC6" i="1"/>
  <c r="AB7" i="1"/>
  <c r="AC7" i="1"/>
  <c r="AB8" i="1"/>
  <c r="AC8" i="1"/>
  <c r="AB9" i="1"/>
  <c r="AC9" i="1"/>
  <c r="AB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7" i="1"/>
  <c r="AC37" i="1"/>
  <c r="AB38" i="1"/>
  <c r="AC38" i="1"/>
  <c r="AB39" i="1"/>
  <c r="AC39" i="1"/>
  <c r="AB40" i="1"/>
  <c r="AC40" i="1"/>
  <c r="AB41" i="1"/>
  <c r="AC41" i="1"/>
  <c r="AB42" i="1"/>
  <c r="AC42" i="1"/>
  <c r="AB43" i="1"/>
  <c r="AC43" i="1"/>
  <c r="AB44" i="1"/>
  <c r="AC44" i="1"/>
  <c r="AB45" i="1"/>
  <c r="AC45" i="1"/>
  <c r="AB46" i="1"/>
  <c r="AC46" i="1"/>
  <c r="AB47" i="1"/>
  <c r="AC47" i="1"/>
  <c r="AB48" i="1"/>
  <c r="AC48" i="1"/>
  <c r="AB49" i="1"/>
  <c r="AC49" i="1"/>
  <c r="AB50" i="1"/>
  <c r="AC50" i="1"/>
  <c r="AB51" i="1"/>
  <c r="AC51" i="1"/>
  <c r="AB52" i="1"/>
  <c r="AC52" i="1"/>
  <c r="AB53" i="1"/>
  <c r="AC53" i="1"/>
  <c r="AB54" i="1"/>
  <c r="AC54" i="1"/>
  <c r="AB55" i="1"/>
  <c r="AC55" i="1"/>
  <c r="AB56" i="1"/>
  <c r="AC56" i="1"/>
  <c r="AB57" i="1"/>
  <c r="AC57" i="1"/>
  <c r="AB58" i="1"/>
  <c r="AC58" i="1"/>
  <c r="AB59" i="1"/>
  <c r="AC59" i="1"/>
  <c r="AB60" i="1"/>
  <c r="AC60" i="1"/>
  <c r="AB61" i="1"/>
  <c r="AC61" i="1"/>
  <c r="AB62" i="1"/>
  <c r="AC62" i="1"/>
  <c r="AB63" i="1"/>
  <c r="AC63" i="1"/>
  <c r="AB64" i="1"/>
  <c r="AC64" i="1"/>
  <c r="AB65" i="1"/>
  <c r="AC65" i="1"/>
  <c r="AB66" i="1"/>
  <c r="AC66" i="1"/>
  <c r="AB67" i="1"/>
  <c r="AC67" i="1"/>
  <c r="AB68" i="1"/>
  <c r="AC68" i="1"/>
  <c r="AB69" i="1"/>
  <c r="AC69" i="1"/>
  <c r="AB70" i="1"/>
  <c r="AC70" i="1"/>
  <c r="AB71" i="1"/>
  <c r="AC71" i="1"/>
  <c r="AB72" i="1"/>
  <c r="AC72" i="1"/>
  <c r="AB73" i="1"/>
  <c r="AC73" i="1"/>
  <c r="AB74" i="1"/>
  <c r="AC74" i="1"/>
  <c r="AB75" i="1"/>
  <c r="AC75" i="1"/>
  <c r="AB76" i="1"/>
  <c r="AC76" i="1"/>
  <c r="AB77" i="1"/>
  <c r="AC77" i="1"/>
  <c r="AB78" i="1"/>
  <c r="AC78" i="1"/>
  <c r="AB79" i="1"/>
  <c r="AC79" i="1"/>
  <c r="AB80" i="1"/>
  <c r="AC80" i="1"/>
  <c r="AB81" i="1"/>
  <c r="AC81" i="1"/>
  <c r="AB82" i="1"/>
  <c r="AC82" i="1"/>
  <c r="AB83" i="1"/>
  <c r="AC83" i="1"/>
  <c r="AB84" i="1"/>
  <c r="AC84" i="1"/>
  <c r="AB85" i="1"/>
  <c r="AC85" i="1"/>
  <c r="AB86" i="1"/>
  <c r="AC86" i="1"/>
  <c r="AB87" i="1"/>
  <c r="AC87" i="1"/>
  <c r="AB88" i="1"/>
  <c r="AC88" i="1"/>
  <c r="AB89" i="1"/>
  <c r="AC89" i="1"/>
  <c r="AB90" i="1"/>
  <c r="AC90" i="1"/>
  <c r="AB91" i="1"/>
  <c r="AC91" i="1"/>
  <c r="AB92" i="1"/>
  <c r="AC92" i="1"/>
  <c r="AB93" i="1"/>
  <c r="AC93" i="1"/>
  <c r="AB94" i="1"/>
  <c r="AC94" i="1"/>
  <c r="AB95" i="1"/>
  <c r="AC95" i="1"/>
  <c r="AB96" i="1"/>
  <c r="AC96" i="1"/>
  <c r="AB97" i="1"/>
  <c r="AC97" i="1"/>
  <c r="AB98" i="1"/>
  <c r="AC98" i="1"/>
  <c r="AB99" i="1"/>
  <c r="AC99" i="1"/>
  <c r="AB100" i="1"/>
  <c r="AC100" i="1"/>
  <c r="AB101" i="1"/>
  <c r="AC101" i="1"/>
  <c r="AB102" i="1"/>
  <c r="AC102" i="1"/>
  <c r="AB103" i="1"/>
  <c r="AC103" i="1"/>
  <c r="AB104" i="1"/>
  <c r="AC104" i="1"/>
  <c r="AB105" i="1"/>
  <c r="AC105" i="1"/>
  <c r="AB106" i="1"/>
  <c r="AC106" i="1"/>
  <c r="AB107" i="1"/>
  <c r="AC107" i="1"/>
  <c r="AB108" i="1"/>
  <c r="AC108" i="1"/>
  <c r="AB109" i="1"/>
  <c r="AC109" i="1"/>
  <c r="AB110" i="1"/>
  <c r="AC110" i="1"/>
  <c r="AB111" i="1"/>
  <c r="AC111" i="1"/>
  <c r="AB112" i="1"/>
  <c r="AC112" i="1"/>
  <c r="AB113" i="1"/>
  <c r="AC113" i="1"/>
  <c r="AB114" i="1"/>
  <c r="AC114" i="1"/>
  <c r="AB115" i="1"/>
  <c r="AC115" i="1"/>
  <c r="AB116" i="1"/>
  <c r="AC116" i="1"/>
  <c r="AB117" i="1"/>
  <c r="AC117" i="1"/>
  <c r="AB118" i="1"/>
  <c r="AC118" i="1"/>
  <c r="AB119" i="1"/>
  <c r="AC119" i="1"/>
  <c r="AB120" i="1"/>
  <c r="AC120" i="1"/>
  <c r="AB121" i="1"/>
  <c r="AC121" i="1"/>
  <c r="AB122" i="1"/>
  <c r="AC122" i="1"/>
  <c r="AB123" i="1"/>
  <c r="AC123" i="1"/>
  <c r="AB124" i="1"/>
  <c r="AC124" i="1"/>
  <c r="AB125" i="1"/>
  <c r="AC125" i="1"/>
  <c r="AB126" i="1"/>
  <c r="AC126" i="1"/>
  <c r="AB127" i="1"/>
  <c r="AC127" i="1"/>
  <c r="AB128" i="1"/>
  <c r="AC128" i="1"/>
  <c r="AB129" i="1"/>
  <c r="AC129" i="1"/>
  <c r="AB130" i="1"/>
  <c r="AC130" i="1"/>
  <c r="AB131" i="1"/>
  <c r="AC131" i="1"/>
  <c r="AB132" i="1"/>
  <c r="AC132" i="1"/>
  <c r="AB133" i="1"/>
  <c r="AC133" i="1"/>
  <c r="AB134" i="1"/>
  <c r="AC134" i="1"/>
  <c r="AB135" i="1"/>
  <c r="AC135" i="1"/>
  <c r="AB136" i="1"/>
  <c r="AC136" i="1"/>
  <c r="AB137" i="1"/>
  <c r="AC137" i="1"/>
  <c r="AB138" i="1"/>
  <c r="AC138" i="1"/>
  <c r="AB139" i="1"/>
  <c r="AC139" i="1"/>
  <c r="AB140" i="1"/>
  <c r="AC140" i="1"/>
  <c r="AB141" i="1"/>
  <c r="AC141" i="1"/>
  <c r="AB142" i="1"/>
  <c r="AC142" i="1"/>
  <c r="AB143" i="1"/>
  <c r="AC143" i="1"/>
  <c r="AB144" i="1"/>
  <c r="AC144" i="1"/>
  <c r="AB145" i="1"/>
  <c r="AC145" i="1"/>
  <c r="AC3" i="1"/>
  <c r="AB3" i="1"/>
  <c r="M14" i="5" l="1"/>
  <c r="M13" i="5"/>
  <c r="M12" i="5"/>
  <c r="M11" i="5"/>
  <c r="M10" i="5"/>
  <c r="M9" i="5"/>
  <c r="M8" i="5"/>
  <c r="M7" i="5"/>
  <c r="M6" i="5"/>
  <c r="M5" i="5"/>
  <c r="M4" i="5"/>
  <c r="M3" i="5"/>
  <c r="V50" i="1" l="1"/>
  <c r="X50" i="1"/>
  <c r="Y50" i="1"/>
  <c r="Z50" i="1"/>
  <c r="AA50" i="1" s="1"/>
  <c r="W50" i="1" s="1"/>
  <c r="V51" i="1"/>
  <c r="X51" i="1"/>
  <c r="U51" i="1"/>
  <c r="S51" i="1" s="1"/>
  <c r="AA51" i="1"/>
  <c r="W51" i="1" s="1"/>
  <c r="V90" i="1"/>
  <c r="X90" i="1"/>
  <c r="Y90" i="1"/>
  <c r="Z90" i="1"/>
  <c r="V91" i="1"/>
  <c r="X91" i="1"/>
  <c r="AA91" i="1"/>
  <c r="W91" i="1" s="1"/>
  <c r="V92" i="1"/>
  <c r="X92" i="1"/>
  <c r="Y92" i="1"/>
  <c r="Z92" i="1"/>
  <c r="V133" i="1"/>
  <c r="X133" i="1"/>
  <c r="AA133" i="1"/>
  <c r="W133" i="1" s="1"/>
  <c r="V134" i="1"/>
  <c r="X134" i="1"/>
  <c r="Y134" i="1"/>
  <c r="Z134" i="1"/>
  <c r="K91" i="1"/>
  <c r="L91" i="1"/>
  <c r="M91" i="1"/>
  <c r="P91" i="1" s="1"/>
  <c r="K133" i="1"/>
  <c r="L133" i="1"/>
  <c r="M133" i="1"/>
  <c r="P133" i="1" s="1"/>
  <c r="K51" i="1"/>
  <c r="L51" i="1"/>
  <c r="M51" i="1"/>
  <c r="P51" i="1" s="1"/>
  <c r="U133" i="1"/>
  <c r="S133" i="1" s="1"/>
  <c r="U91" i="1"/>
  <c r="S91" i="1" s="1"/>
  <c r="T91" i="1"/>
  <c r="T133" i="1"/>
  <c r="T51" i="1"/>
  <c r="X105" i="1"/>
  <c r="X106" i="1"/>
  <c r="X107" i="1"/>
  <c r="X108" i="1"/>
  <c r="X74" i="1"/>
  <c r="X75" i="1"/>
  <c r="X64" i="1"/>
  <c r="X65" i="1"/>
  <c r="X66" i="1"/>
  <c r="X67" i="1"/>
  <c r="X68" i="1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L34" i="3"/>
  <c r="L37" i="3"/>
  <c r="L14" i="3"/>
  <c r="L15" i="3"/>
  <c r="L72" i="3"/>
  <c r="L3" i="3"/>
  <c r="L29" i="3"/>
  <c r="L16" i="3"/>
  <c r="L38" i="3"/>
  <c r="L17" i="3"/>
  <c r="L40" i="3"/>
  <c r="L42" i="3"/>
  <c r="L43" i="3"/>
  <c r="L18" i="3"/>
  <c r="L39" i="3"/>
  <c r="L41" i="3"/>
  <c r="L19" i="3"/>
  <c r="L47" i="3"/>
  <c r="L44" i="3"/>
  <c r="L48" i="3"/>
  <c r="L45" i="3"/>
  <c r="L30" i="3"/>
  <c r="L20" i="3"/>
  <c r="L46" i="3"/>
  <c r="L49" i="3"/>
  <c r="L50" i="3"/>
  <c r="L21" i="3"/>
  <c r="L51" i="3"/>
  <c r="L53" i="3"/>
  <c r="L52" i="3"/>
  <c r="L56" i="3"/>
  <c r="L54" i="3"/>
  <c r="L55" i="3"/>
  <c r="L58" i="3"/>
  <c r="L57" i="3"/>
  <c r="L31" i="3"/>
  <c r="L4" i="3"/>
  <c r="L59" i="3"/>
  <c r="L35" i="3"/>
  <c r="L22" i="3"/>
  <c r="L36" i="3"/>
  <c r="L5" i="3"/>
  <c r="L6" i="3"/>
  <c r="L7" i="3"/>
  <c r="L23" i="3"/>
  <c r="L60" i="3"/>
  <c r="L61" i="3"/>
  <c r="L24" i="3"/>
  <c r="L62" i="3"/>
  <c r="L8" i="3"/>
  <c r="L63" i="3"/>
  <c r="L9" i="3"/>
  <c r="L64" i="3"/>
  <c r="L10" i="3"/>
  <c r="L65" i="3"/>
  <c r="L11" i="3"/>
  <c r="L66" i="3"/>
  <c r="L67" i="3"/>
  <c r="L25" i="3"/>
  <c r="L26" i="3"/>
  <c r="L68" i="3"/>
  <c r="L12" i="3"/>
  <c r="L32" i="3"/>
  <c r="L69" i="3"/>
  <c r="L70" i="3"/>
  <c r="L71" i="3"/>
  <c r="L13" i="3"/>
  <c r="L27" i="3"/>
  <c r="L28" i="3"/>
  <c r="E6" i="6"/>
  <c r="F6" i="6"/>
  <c r="G6" i="6"/>
  <c r="E3" i="6"/>
  <c r="F3" i="6"/>
  <c r="G3" i="6"/>
  <c r="E4" i="6"/>
  <c r="F4" i="6"/>
  <c r="G4" i="6"/>
  <c r="E5" i="6"/>
  <c r="F5" i="6"/>
  <c r="G5" i="6"/>
  <c r="E7" i="6"/>
  <c r="F7" i="6"/>
  <c r="G7" i="6"/>
  <c r="E8" i="6"/>
  <c r="F8" i="6"/>
  <c r="G8" i="6"/>
  <c r="E9" i="6"/>
  <c r="F9" i="6"/>
  <c r="G9" i="6"/>
  <c r="E10" i="6"/>
  <c r="F10" i="6"/>
  <c r="G10" i="6"/>
  <c r="Z145" i="1"/>
  <c r="Y145" i="1"/>
  <c r="X145" i="1"/>
  <c r="V145" i="1"/>
  <c r="T145" i="1"/>
  <c r="M145" i="1"/>
  <c r="N145" i="1" s="1"/>
  <c r="L145" i="1"/>
  <c r="K145" i="1"/>
  <c r="Z144" i="1"/>
  <c r="Y144" i="1"/>
  <c r="X144" i="1"/>
  <c r="V144" i="1"/>
  <c r="T144" i="1"/>
  <c r="M144" i="1"/>
  <c r="N144" i="1" s="1"/>
  <c r="L144" i="1"/>
  <c r="K144" i="1"/>
  <c r="Z143" i="1"/>
  <c r="Y143" i="1"/>
  <c r="X143" i="1"/>
  <c r="V143" i="1"/>
  <c r="T143" i="1"/>
  <c r="M143" i="1"/>
  <c r="N143" i="1" s="1"/>
  <c r="L143" i="1"/>
  <c r="K143" i="1"/>
  <c r="Z142" i="1"/>
  <c r="Y142" i="1"/>
  <c r="X142" i="1"/>
  <c r="V142" i="1"/>
  <c r="T142" i="1"/>
  <c r="M142" i="1"/>
  <c r="N142" i="1" s="1"/>
  <c r="L142" i="1"/>
  <c r="K142" i="1"/>
  <c r="Z141" i="1"/>
  <c r="Y141" i="1"/>
  <c r="X141" i="1"/>
  <c r="V141" i="1"/>
  <c r="T141" i="1"/>
  <c r="M141" i="1"/>
  <c r="N141" i="1" s="1"/>
  <c r="L141" i="1"/>
  <c r="K141" i="1"/>
  <c r="Z140" i="1"/>
  <c r="Y140" i="1"/>
  <c r="X140" i="1"/>
  <c r="V140" i="1"/>
  <c r="T140" i="1"/>
  <c r="M140" i="1"/>
  <c r="N140" i="1" s="1"/>
  <c r="L140" i="1"/>
  <c r="K140" i="1"/>
  <c r="Z139" i="1"/>
  <c r="Y139" i="1"/>
  <c r="X139" i="1"/>
  <c r="V139" i="1"/>
  <c r="T139" i="1"/>
  <c r="M139" i="1"/>
  <c r="N139" i="1" s="1"/>
  <c r="L139" i="1"/>
  <c r="K139" i="1"/>
  <c r="Z138" i="1"/>
  <c r="Y138" i="1"/>
  <c r="X138" i="1"/>
  <c r="V138" i="1"/>
  <c r="T138" i="1"/>
  <c r="M138" i="1"/>
  <c r="N138" i="1" s="1"/>
  <c r="L138" i="1"/>
  <c r="K138" i="1"/>
  <c r="Z137" i="1"/>
  <c r="Y137" i="1"/>
  <c r="X137" i="1"/>
  <c r="V137" i="1"/>
  <c r="T137" i="1"/>
  <c r="M137" i="1"/>
  <c r="N137" i="1" s="1"/>
  <c r="L137" i="1"/>
  <c r="K137" i="1"/>
  <c r="Z136" i="1"/>
  <c r="Y136" i="1"/>
  <c r="U136" i="1" s="1"/>
  <c r="S136" i="1" s="1"/>
  <c r="X136" i="1"/>
  <c r="V136" i="1"/>
  <c r="T136" i="1"/>
  <c r="M136" i="1"/>
  <c r="N136" i="1" s="1"/>
  <c r="L136" i="1"/>
  <c r="K136" i="1"/>
  <c r="Z135" i="1"/>
  <c r="Y135" i="1"/>
  <c r="U135" i="1" s="1"/>
  <c r="S135" i="1" s="1"/>
  <c r="X135" i="1"/>
  <c r="V135" i="1"/>
  <c r="T135" i="1"/>
  <c r="M135" i="1"/>
  <c r="N135" i="1" s="1"/>
  <c r="L135" i="1"/>
  <c r="K135" i="1"/>
  <c r="T134" i="1"/>
  <c r="M134" i="1"/>
  <c r="N134" i="1" s="1"/>
  <c r="L134" i="1"/>
  <c r="K134" i="1"/>
  <c r="Z132" i="1"/>
  <c r="Y132" i="1"/>
  <c r="X132" i="1"/>
  <c r="V132" i="1"/>
  <c r="T132" i="1"/>
  <c r="M132" i="1"/>
  <c r="N132" i="1" s="1"/>
  <c r="L132" i="1"/>
  <c r="K132" i="1"/>
  <c r="Z131" i="1"/>
  <c r="Y131" i="1"/>
  <c r="X131" i="1"/>
  <c r="V131" i="1"/>
  <c r="T131" i="1"/>
  <c r="M131" i="1"/>
  <c r="N131" i="1" s="1"/>
  <c r="L131" i="1"/>
  <c r="K131" i="1"/>
  <c r="T5" i="1"/>
  <c r="AA134" i="1" l="1"/>
  <c r="W134" i="1" s="1"/>
  <c r="AA92" i="1"/>
  <c r="W92" i="1" s="1"/>
  <c r="U142" i="1"/>
  <c r="S142" i="1" s="1"/>
  <c r="AA90" i="1"/>
  <c r="W90" i="1" s="1"/>
  <c r="AA132" i="1"/>
  <c r="W132" i="1" s="1"/>
  <c r="P70" i="3"/>
  <c r="P69" i="3"/>
  <c r="U140" i="1"/>
  <c r="S140" i="1" s="1"/>
  <c r="U131" i="1"/>
  <c r="S131" i="1" s="1"/>
  <c r="U144" i="1"/>
  <c r="S144" i="1" s="1"/>
  <c r="U139" i="1"/>
  <c r="S139" i="1" s="1"/>
  <c r="U138" i="1"/>
  <c r="S138" i="1" s="1"/>
  <c r="U143" i="1"/>
  <c r="S143" i="1" s="1"/>
  <c r="U137" i="1"/>
  <c r="S137" i="1" s="1"/>
  <c r="U132" i="1"/>
  <c r="S132" i="1" s="1"/>
  <c r="AA141" i="1"/>
  <c r="W141" i="1" s="1"/>
  <c r="U141" i="1"/>
  <c r="S141" i="1" s="1"/>
  <c r="AA145" i="1"/>
  <c r="W145" i="1" s="1"/>
  <c r="AA143" i="1"/>
  <c r="W143" i="1" s="1"/>
  <c r="U145" i="1"/>
  <c r="S145" i="1" s="1"/>
  <c r="U134" i="1"/>
  <c r="S134" i="1" s="1"/>
  <c r="AA135" i="1"/>
  <c r="W135" i="1" s="1"/>
  <c r="AA138" i="1"/>
  <c r="W138" i="1" s="1"/>
  <c r="AA136" i="1"/>
  <c r="W136" i="1" s="1"/>
  <c r="AA142" i="1"/>
  <c r="W142" i="1" s="1"/>
  <c r="AA139" i="1"/>
  <c r="W139" i="1" s="1"/>
  <c r="AA131" i="1"/>
  <c r="W131" i="1" s="1"/>
  <c r="AA140" i="1"/>
  <c r="W140" i="1" s="1"/>
  <c r="AA137" i="1"/>
  <c r="W137" i="1" s="1"/>
  <c r="AA144" i="1"/>
  <c r="W144" i="1" s="1"/>
  <c r="Q3" i="3"/>
  <c r="Q4" i="3"/>
  <c r="Q5" i="3"/>
  <c r="Q6" i="3"/>
  <c r="Q7" i="3"/>
  <c r="Q8" i="3"/>
  <c r="Q71" i="3"/>
  <c r="Q72" i="3"/>
  <c r="T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6" i="1"/>
  <c r="T25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8" i="1"/>
  <c r="T77" i="1"/>
  <c r="T79" i="1"/>
  <c r="T80" i="1"/>
  <c r="T81" i="1"/>
  <c r="T83" i="1"/>
  <c r="T82" i="1"/>
  <c r="T84" i="1"/>
  <c r="T85" i="1"/>
  <c r="T86" i="1"/>
  <c r="T87" i="1"/>
  <c r="T88" i="1"/>
  <c r="T90" i="1"/>
  <c r="T89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7" i="1"/>
  <c r="T106" i="1"/>
  <c r="T108" i="1"/>
  <c r="T109" i="1"/>
  <c r="T110" i="1"/>
  <c r="T111" i="1"/>
  <c r="T112" i="1"/>
  <c r="T113" i="1"/>
  <c r="T114" i="1"/>
  <c r="T115" i="1"/>
  <c r="T116" i="1"/>
  <c r="T117" i="1"/>
  <c r="T119" i="1"/>
  <c r="T118" i="1"/>
  <c r="T120" i="1"/>
  <c r="T121" i="1"/>
  <c r="T122" i="1"/>
  <c r="T123" i="1"/>
  <c r="T124" i="1"/>
  <c r="T125" i="1"/>
  <c r="T126" i="1"/>
  <c r="T127" i="1"/>
  <c r="T128" i="1"/>
  <c r="T129" i="1"/>
  <c r="T130" i="1"/>
  <c r="T3" i="1"/>
  <c r="X117" i="1" l="1"/>
  <c r="X119" i="1"/>
  <c r="X118" i="1"/>
  <c r="X116" i="1"/>
  <c r="M32" i="1"/>
  <c r="N32" i="1" s="1"/>
  <c r="M60" i="1"/>
  <c r="N60" i="1" s="1"/>
  <c r="L32" i="1"/>
  <c r="L60" i="1"/>
  <c r="K60" i="1"/>
  <c r="K32" i="1"/>
  <c r="L33" i="3"/>
  <c r="K123" i="1"/>
  <c r="L123" i="1"/>
  <c r="M123" i="1"/>
  <c r="N123" i="1" s="1"/>
  <c r="V121" i="1"/>
  <c r="X121" i="1"/>
  <c r="Y121" i="1"/>
  <c r="Z121" i="1"/>
  <c r="K124" i="1"/>
  <c r="L124" i="1"/>
  <c r="M124" i="1"/>
  <c r="N124" i="1" s="1"/>
  <c r="V122" i="1"/>
  <c r="X122" i="1"/>
  <c r="Y122" i="1"/>
  <c r="Z122" i="1"/>
  <c r="K125" i="1"/>
  <c r="L125" i="1"/>
  <c r="M125" i="1"/>
  <c r="N125" i="1" s="1"/>
  <c r="V123" i="1"/>
  <c r="X123" i="1"/>
  <c r="Y123" i="1"/>
  <c r="Z123" i="1"/>
  <c r="K126" i="1"/>
  <c r="L126" i="1"/>
  <c r="M126" i="1"/>
  <c r="N126" i="1" s="1"/>
  <c r="V124" i="1"/>
  <c r="X124" i="1"/>
  <c r="Y124" i="1"/>
  <c r="Z124" i="1"/>
  <c r="K127" i="1"/>
  <c r="L127" i="1"/>
  <c r="M127" i="1"/>
  <c r="V125" i="1"/>
  <c r="X125" i="1"/>
  <c r="Y125" i="1"/>
  <c r="Z125" i="1"/>
  <c r="K128" i="1"/>
  <c r="L128" i="1"/>
  <c r="M128" i="1"/>
  <c r="N128" i="1" s="1"/>
  <c r="V126" i="1"/>
  <c r="X126" i="1"/>
  <c r="Y126" i="1"/>
  <c r="Z126" i="1"/>
  <c r="K129" i="1"/>
  <c r="L129" i="1"/>
  <c r="M129" i="1"/>
  <c r="N129" i="1" s="1"/>
  <c r="V127" i="1"/>
  <c r="X127" i="1"/>
  <c r="Y127" i="1"/>
  <c r="Z127" i="1"/>
  <c r="K130" i="1"/>
  <c r="L130" i="1"/>
  <c r="M130" i="1"/>
  <c r="N130" i="1" s="1"/>
  <c r="V128" i="1"/>
  <c r="X128" i="1"/>
  <c r="Y128" i="1"/>
  <c r="Z128" i="1"/>
  <c r="V129" i="1"/>
  <c r="X129" i="1"/>
  <c r="Y129" i="1"/>
  <c r="Z129" i="1"/>
  <c r="V130" i="1"/>
  <c r="X130" i="1"/>
  <c r="Y130" i="1"/>
  <c r="Z130" i="1"/>
  <c r="I148" i="1"/>
  <c r="J152" i="1"/>
  <c r="P68" i="3" l="1"/>
  <c r="U127" i="1"/>
  <c r="S127" i="1" s="1"/>
  <c r="U128" i="1"/>
  <c r="S128" i="1" s="1"/>
  <c r="U123" i="1"/>
  <c r="S123" i="1" s="1"/>
  <c r="U126" i="1"/>
  <c r="S126" i="1" s="1"/>
  <c r="U130" i="1"/>
  <c r="S130" i="1" s="1"/>
  <c r="U122" i="1"/>
  <c r="S122" i="1" s="1"/>
  <c r="U124" i="1"/>
  <c r="S124" i="1" s="1"/>
  <c r="U129" i="1"/>
  <c r="S129" i="1" s="1"/>
  <c r="U121" i="1"/>
  <c r="S121" i="1" s="1"/>
  <c r="U125" i="1"/>
  <c r="S125" i="1" s="1"/>
  <c r="AA124" i="1"/>
  <c r="W124" i="1" s="1"/>
  <c r="AA125" i="1"/>
  <c r="W125" i="1" s="1"/>
  <c r="AA121" i="1"/>
  <c r="W121" i="1" s="1"/>
  <c r="AA127" i="1"/>
  <c r="W127" i="1" s="1"/>
  <c r="AA126" i="1"/>
  <c r="W126" i="1" s="1"/>
  <c r="AA122" i="1"/>
  <c r="W122" i="1" s="1"/>
  <c r="AA128" i="1"/>
  <c r="W128" i="1" s="1"/>
  <c r="AA130" i="1"/>
  <c r="W130" i="1" s="1"/>
  <c r="AA123" i="1"/>
  <c r="W123" i="1" s="1"/>
  <c r="AA129" i="1"/>
  <c r="W129" i="1" s="1"/>
  <c r="X53" i="1" l="1"/>
  <c r="X54" i="1"/>
  <c r="X55" i="1"/>
  <c r="X56" i="1"/>
  <c r="X57" i="1"/>
  <c r="X58" i="1"/>
  <c r="V5" i="1"/>
  <c r="X5" i="1"/>
  <c r="Y5" i="1"/>
  <c r="Z5" i="1"/>
  <c r="V4" i="1"/>
  <c r="X4" i="1"/>
  <c r="Y4" i="1"/>
  <c r="Z4" i="1"/>
  <c r="V6" i="1"/>
  <c r="X6" i="1"/>
  <c r="Y6" i="1"/>
  <c r="Z6" i="1"/>
  <c r="V7" i="1"/>
  <c r="X7" i="1"/>
  <c r="Y7" i="1"/>
  <c r="Z7" i="1"/>
  <c r="V8" i="1"/>
  <c r="X8" i="1"/>
  <c r="Y8" i="1"/>
  <c r="Z8" i="1"/>
  <c r="V9" i="1"/>
  <c r="X9" i="1"/>
  <c r="Y9" i="1"/>
  <c r="Z9" i="1"/>
  <c r="V10" i="1"/>
  <c r="X10" i="1"/>
  <c r="Y10" i="1"/>
  <c r="Z10" i="1"/>
  <c r="V11" i="1"/>
  <c r="X11" i="1"/>
  <c r="Y11" i="1"/>
  <c r="Z11" i="1"/>
  <c r="V12" i="1"/>
  <c r="X12" i="1"/>
  <c r="Y12" i="1"/>
  <c r="Z12" i="1"/>
  <c r="V13" i="1"/>
  <c r="X13" i="1"/>
  <c r="Y13" i="1"/>
  <c r="Z13" i="1"/>
  <c r="V14" i="1"/>
  <c r="X14" i="1"/>
  <c r="Y14" i="1"/>
  <c r="Z14" i="1"/>
  <c r="V15" i="1"/>
  <c r="X15" i="1"/>
  <c r="Y15" i="1"/>
  <c r="Z15" i="1"/>
  <c r="V16" i="1"/>
  <c r="X16" i="1"/>
  <c r="Y16" i="1"/>
  <c r="Z16" i="1"/>
  <c r="V17" i="1"/>
  <c r="X17" i="1"/>
  <c r="Y17" i="1"/>
  <c r="Z17" i="1"/>
  <c r="V18" i="1"/>
  <c r="X18" i="1"/>
  <c r="Y18" i="1"/>
  <c r="Z18" i="1"/>
  <c r="V19" i="1"/>
  <c r="X19" i="1"/>
  <c r="Y19" i="1"/>
  <c r="Z19" i="1"/>
  <c r="V20" i="1"/>
  <c r="X20" i="1"/>
  <c r="Y20" i="1"/>
  <c r="Z20" i="1"/>
  <c r="V21" i="1"/>
  <c r="X21" i="1"/>
  <c r="Y21" i="1"/>
  <c r="Z21" i="1"/>
  <c r="V22" i="1"/>
  <c r="X22" i="1"/>
  <c r="Y22" i="1"/>
  <c r="Z22" i="1"/>
  <c r="V23" i="1"/>
  <c r="X23" i="1"/>
  <c r="Y23" i="1"/>
  <c r="Z23" i="1"/>
  <c r="V24" i="1"/>
  <c r="X24" i="1"/>
  <c r="Y24" i="1"/>
  <c r="Z24" i="1"/>
  <c r="V26" i="1"/>
  <c r="X26" i="1"/>
  <c r="Y26" i="1"/>
  <c r="Z26" i="1"/>
  <c r="V25" i="1"/>
  <c r="X25" i="1"/>
  <c r="Y25" i="1"/>
  <c r="U25" i="1" s="1"/>
  <c r="S25" i="1" s="1"/>
  <c r="Z25" i="1"/>
  <c r="V27" i="1"/>
  <c r="X27" i="1"/>
  <c r="Y27" i="1"/>
  <c r="Z27" i="1"/>
  <c r="V28" i="1"/>
  <c r="X28" i="1"/>
  <c r="Y28" i="1"/>
  <c r="Z28" i="1"/>
  <c r="V29" i="1"/>
  <c r="X29" i="1"/>
  <c r="Y29" i="1"/>
  <c r="Z29" i="1"/>
  <c r="V30" i="1"/>
  <c r="X30" i="1"/>
  <c r="Y30" i="1"/>
  <c r="Z30" i="1"/>
  <c r="V31" i="1"/>
  <c r="X31" i="1"/>
  <c r="Y31" i="1"/>
  <c r="Z31" i="1"/>
  <c r="V32" i="1"/>
  <c r="X32" i="1"/>
  <c r="Y32" i="1"/>
  <c r="U32" i="1" s="1"/>
  <c r="S32" i="1" s="1"/>
  <c r="Z32" i="1"/>
  <c r="V33" i="1"/>
  <c r="X33" i="1"/>
  <c r="Y33" i="1"/>
  <c r="Z33" i="1"/>
  <c r="V34" i="1"/>
  <c r="X34" i="1"/>
  <c r="Y34" i="1"/>
  <c r="Z34" i="1"/>
  <c r="V35" i="1"/>
  <c r="X35" i="1"/>
  <c r="Y35" i="1"/>
  <c r="Z35" i="1"/>
  <c r="V36" i="1"/>
  <c r="X36" i="1"/>
  <c r="Y36" i="1"/>
  <c r="Z36" i="1"/>
  <c r="V37" i="1"/>
  <c r="P22" i="3" s="1"/>
  <c r="X37" i="1"/>
  <c r="Y37" i="1"/>
  <c r="Z37" i="1"/>
  <c r="V38" i="1"/>
  <c r="X38" i="1"/>
  <c r="Y38" i="1"/>
  <c r="U38" i="1" s="1"/>
  <c r="S38" i="1" s="1"/>
  <c r="V39" i="1"/>
  <c r="X39" i="1"/>
  <c r="Y39" i="1"/>
  <c r="Z39" i="1"/>
  <c r="V40" i="1"/>
  <c r="X40" i="1"/>
  <c r="Y40" i="1"/>
  <c r="Z40" i="1"/>
  <c r="V41" i="1"/>
  <c r="X41" i="1"/>
  <c r="Y41" i="1"/>
  <c r="Z41" i="1"/>
  <c r="V42" i="1"/>
  <c r="X42" i="1"/>
  <c r="Y42" i="1"/>
  <c r="Z42" i="1"/>
  <c r="V43" i="1"/>
  <c r="X43" i="1"/>
  <c r="Y43" i="1"/>
  <c r="Z43" i="1"/>
  <c r="V44" i="1"/>
  <c r="X44" i="1"/>
  <c r="Y44" i="1"/>
  <c r="U44" i="1" s="1"/>
  <c r="S44" i="1" s="1"/>
  <c r="Z44" i="1"/>
  <c r="V45" i="1"/>
  <c r="X45" i="1"/>
  <c r="Y45" i="1"/>
  <c r="Z45" i="1"/>
  <c r="V46" i="1"/>
  <c r="P27" i="3" s="1"/>
  <c r="X46" i="1"/>
  <c r="Y46" i="1"/>
  <c r="Z46" i="1"/>
  <c r="V47" i="1"/>
  <c r="X47" i="1"/>
  <c r="Y47" i="1"/>
  <c r="Z47" i="1"/>
  <c r="V48" i="1"/>
  <c r="X48" i="1"/>
  <c r="Y48" i="1"/>
  <c r="Z48" i="1"/>
  <c r="V49" i="1"/>
  <c r="X49" i="1"/>
  <c r="Y49" i="1"/>
  <c r="Z49" i="1"/>
  <c r="U50" i="1"/>
  <c r="S50" i="1" s="1"/>
  <c r="V52" i="1"/>
  <c r="X52" i="1"/>
  <c r="Y52" i="1"/>
  <c r="Z52" i="1"/>
  <c r="V53" i="1"/>
  <c r="Y53" i="1"/>
  <c r="Z53" i="1"/>
  <c r="V54" i="1"/>
  <c r="Y54" i="1"/>
  <c r="Z54" i="1"/>
  <c r="V55" i="1"/>
  <c r="Y55" i="1"/>
  <c r="Z55" i="1"/>
  <c r="V56" i="1"/>
  <c r="Y56" i="1"/>
  <c r="Z56" i="1"/>
  <c r="V57" i="1"/>
  <c r="Y57" i="1"/>
  <c r="Z57" i="1"/>
  <c r="V58" i="1"/>
  <c r="Y58" i="1"/>
  <c r="Z58" i="1"/>
  <c r="V59" i="1"/>
  <c r="P35" i="3" s="1"/>
  <c r="X59" i="1"/>
  <c r="Y59" i="1"/>
  <c r="Z59" i="1"/>
  <c r="V60" i="1"/>
  <c r="X60" i="1"/>
  <c r="Y60" i="1"/>
  <c r="U60" i="1" s="1"/>
  <c r="S60" i="1" s="1"/>
  <c r="Z60" i="1"/>
  <c r="V61" i="1"/>
  <c r="X61" i="1"/>
  <c r="Y61" i="1"/>
  <c r="Z61" i="1"/>
  <c r="V62" i="1"/>
  <c r="X62" i="1"/>
  <c r="Y62" i="1"/>
  <c r="Z62" i="1"/>
  <c r="V63" i="1"/>
  <c r="X63" i="1"/>
  <c r="Y63" i="1"/>
  <c r="Z63" i="1"/>
  <c r="V64" i="1"/>
  <c r="Y64" i="1"/>
  <c r="Z64" i="1"/>
  <c r="V65" i="1"/>
  <c r="Y65" i="1"/>
  <c r="Z65" i="1"/>
  <c r="V66" i="1"/>
  <c r="V67" i="1"/>
  <c r="Y67" i="1"/>
  <c r="Z67" i="1"/>
  <c r="V68" i="1"/>
  <c r="Y68" i="1"/>
  <c r="Z68" i="1"/>
  <c r="V69" i="1"/>
  <c r="X69" i="1"/>
  <c r="Y69" i="1"/>
  <c r="Z69" i="1"/>
  <c r="V70" i="1"/>
  <c r="X70" i="1"/>
  <c r="Y70" i="1"/>
  <c r="Z70" i="1"/>
  <c r="V71" i="1"/>
  <c r="X71" i="1"/>
  <c r="Y71" i="1"/>
  <c r="Z71" i="1"/>
  <c r="V72" i="1"/>
  <c r="X72" i="1"/>
  <c r="Y72" i="1"/>
  <c r="Z72" i="1"/>
  <c r="V73" i="1"/>
  <c r="X73" i="1"/>
  <c r="Y73" i="1"/>
  <c r="Z73" i="1"/>
  <c r="V74" i="1"/>
  <c r="Y74" i="1"/>
  <c r="Z74" i="1"/>
  <c r="V75" i="1"/>
  <c r="Y75" i="1"/>
  <c r="Z75" i="1"/>
  <c r="V76" i="1"/>
  <c r="X76" i="1"/>
  <c r="Y76" i="1"/>
  <c r="Z76" i="1"/>
  <c r="V78" i="1"/>
  <c r="X78" i="1"/>
  <c r="Y78" i="1"/>
  <c r="Z78" i="1"/>
  <c r="V77" i="1"/>
  <c r="X77" i="1"/>
  <c r="Y77" i="1"/>
  <c r="Z77" i="1"/>
  <c r="V79" i="1"/>
  <c r="X79" i="1"/>
  <c r="Y79" i="1"/>
  <c r="Z79" i="1"/>
  <c r="V80" i="1"/>
  <c r="X80" i="1"/>
  <c r="Y80" i="1"/>
  <c r="Z80" i="1"/>
  <c r="V81" i="1"/>
  <c r="X81" i="1"/>
  <c r="Y81" i="1"/>
  <c r="Z81" i="1"/>
  <c r="V83" i="1"/>
  <c r="X83" i="1"/>
  <c r="Y83" i="1"/>
  <c r="Z83" i="1"/>
  <c r="V82" i="1"/>
  <c r="X82" i="1"/>
  <c r="Y82" i="1"/>
  <c r="Z82" i="1"/>
  <c r="V84" i="1"/>
  <c r="X84" i="1"/>
  <c r="Y84" i="1"/>
  <c r="Z84" i="1"/>
  <c r="V85" i="1"/>
  <c r="X85" i="1"/>
  <c r="Y85" i="1"/>
  <c r="Z85" i="1"/>
  <c r="V86" i="1"/>
  <c r="X86" i="1"/>
  <c r="Y86" i="1"/>
  <c r="Z86" i="1"/>
  <c r="V87" i="1"/>
  <c r="X87" i="1"/>
  <c r="Y87" i="1"/>
  <c r="Z87" i="1"/>
  <c r="V88" i="1"/>
  <c r="X88" i="1"/>
  <c r="Y88" i="1"/>
  <c r="Z88" i="1"/>
  <c r="V89" i="1"/>
  <c r="X89" i="1"/>
  <c r="Y89" i="1"/>
  <c r="Z89" i="1"/>
  <c r="V93" i="1"/>
  <c r="P53" i="3" s="1"/>
  <c r="X93" i="1"/>
  <c r="Y93" i="1"/>
  <c r="Z93" i="1"/>
  <c r="V94" i="1"/>
  <c r="X94" i="1"/>
  <c r="Y94" i="1"/>
  <c r="Z94" i="1"/>
  <c r="V95" i="1"/>
  <c r="X95" i="1"/>
  <c r="Y95" i="1"/>
  <c r="Z95" i="1"/>
  <c r="V96" i="1"/>
  <c r="X96" i="1"/>
  <c r="Y96" i="1"/>
  <c r="Z96" i="1"/>
  <c r="V97" i="1"/>
  <c r="X97" i="1"/>
  <c r="Y97" i="1"/>
  <c r="Z97" i="1"/>
  <c r="V98" i="1"/>
  <c r="X98" i="1"/>
  <c r="Y98" i="1"/>
  <c r="Z98" i="1"/>
  <c r="V99" i="1"/>
  <c r="X99" i="1"/>
  <c r="Y99" i="1"/>
  <c r="Z99" i="1"/>
  <c r="V100" i="1"/>
  <c r="X100" i="1"/>
  <c r="Y100" i="1"/>
  <c r="Z100" i="1"/>
  <c r="V101" i="1"/>
  <c r="X101" i="1"/>
  <c r="Y101" i="1"/>
  <c r="Z101" i="1"/>
  <c r="V102" i="1"/>
  <c r="X102" i="1"/>
  <c r="Y102" i="1"/>
  <c r="Z102" i="1"/>
  <c r="V103" i="1"/>
  <c r="X103" i="1"/>
  <c r="Y103" i="1"/>
  <c r="Z103" i="1"/>
  <c r="V104" i="1"/>
  <c r="X104" i="1"/>
  <c r="Y104" i="1"/>
  <c r="Z104" i="1"/>
  <c r="V105" i="1"/>
  <c r="Y105" i="1"/>
  <c r="Z105" i="1"/>
  <c r="V107" i="1"/>
  <c r="Y107" i="1"/>
  <c r="Z107" i="1"/>
  <c r="V106" i="1"/>
  <c r="Y106" i="1"/>
  <c r="Z106" i="1"/>
  <c r="V108" i="1"/>
  <c r="Y108" i="1"/>
  <c r="Z108" i="1"/>
  <c r="V109" i="1"/>
  <c r="X109" i="1"/>
  <c r="Y109" i="1"/>
  <c r="Z109" i="1"/>
  <c r="V110" i="1"/>
  <c r="X110" i="1"/>
  <c r="Y110" i="1"/>
  <c r="Z110" i="1"/>
  <c r="V111" i="1"/>
  <c r="X111" i="1"/>
  <c r="Y111" i="1"/>
  <c r="Z111" i="1"/>
  <c r="V112" i="1"/>
  <c r="X112" i="1"/>
  <c r="Y112" i="1"/>
  <c r="Z112" i="1"/>
  <c r="V113" i="1"/>
  <c r="X113" i="1"/>
  <c r="Y113" i="1"/>
  <c r="Z113" i="1"/>
  <c r="V114" i="1"/>
  <c r="X114" i="1"/>
  <c r="Y114" i="1"/>
  <c r="Z114" i="1"/>
  <c r="V115" i="1"/>
  <c r="X115" i="1"/>
  <c r="Y115" i="1"/>
  <c r="Z115" i="1"/>
  <c r="V116" i="1"/>
  <c r="P59" i="3" s="1"/>
  <c r="Y116" i="1"/>
  <c r="Z116" i="1"/>
  <c r="V117" i="1"/>
  <c r="Y117" i="1"/>
  <c r="Z117" i="1"/>
  <c r="V119" i="1"/>
  <c r="Y119" i="1"/>
  <c r="Z119" i="1"/>
  <c r="V118" i="1"/>
  <c r="Y118" i="1"/>
  <c r="Z118" i="1"/>
  <c r="V120" i="1"/>
  <c r="X120" i="1"/>
  <c r="Y120" i="1"/>
  <c r="Z120" i="1"/>
  <c r="K55" i="1"/>
  <c r="L55" i="1"/>
  <c r="M55" i="1"/>
  <c r="N55" i="1" s="1"/>
  <c r="K110" i="1"/>
  <c r="L110" i="1"/>
  <c r="M110" i="1"/>
  <c r="N110" i="1" s="1"/>
  <c r="P31" i="3" l="1"/>
  <c r="P11" i="3"/>
  <c r="P26" i="3"/>
  <c r="P56" i="3"/>
  <c r="P58" i="3"/>
  <c r="U20" i="1"/>
  <c r="S20" i="1" s="1"/>
  <c r="U71" i="1"/>
  <c r="S71" i="1" s="1"/>
  <c r="U118" i="1"/>
  <c r="S118" i="1" s="1"/>
  <c r="U83" i="1"/>
  <c r="U95" i="1"/>
  <c r="S95" i="1" s="1"/>
  <c r="U101" i="1"/>
  <c r="S101" i="1" s="1"/>
  <c r="P48" i="3"/>
  <c r="P54" i="3"/>
  <c r="U112" i="1"/>
  <c r="S112" i="1" s="1"/>
  <c r="U88" i="1"/>
  <c r="S88" i="1" s="1"/>
  <c r="U76" i="1"/>
  <c r="S76" i="1" s="1"/>
  <c r="U117" i="1"/>
  <c r="S117" i="1" s="1"/>
  <c r="P14" i="3"/>
  <c r="P15" i="3"/>
  <c r="P66" i="3"/>
  <c r="P65" i="3"/>
  <c r="P42" i="3"/>
  <c r="P34" i="3"/>
  <c r="P32" i="3"/>
  <c r="P18" i="3"/>
  <c r="P62" i="3"/>
  <c r="P49" i="3"/>
  <c r="P7" i="3"/>
  <c r="P39" i="3"/>
  <c r="P63" i="3"/>
  <c r="P67" i="3"/>
  <c r="P25" i="3"/>
  <c r="P55" i="3"/>
  <c r="P24" i="3"/>
  <c r="P43" i="3"/>
  <c r="P38" i="3"/>
  <c r="P57" i="3"/>
  <c r="P64" i="3"/>
  <c r="P19" i="3"/>
  <c r="P47" i="3"/>
  <c r="P37" i="3"/>
  <c r="P60" i="3"/>
  <c r="P61" i="3"/>
  <c r="P16" i="3"/>
  <c r="P17" i="3"/>
  <c r="P6" i="3"/>
  <c r="P51" i="3"/>
  <c r="P52" i="3"/>
  <c r="P50" i="3"/>
  <c r="P23" i="3"/>
  <c r="P29" i="3"/>
  <c r="P30" i="3"/>
  <c r="P28" i="3"/>
  <c r="P21" i="3"/>
  <c r="P20" i="3"/>
  <c r="P46" i="3"/>
  <c r="P45" i="3"/>
  <c r="P44" i="3"/>
  <c r="P13" i="3"/>
  <c r="P12" i="3"/>
  <c r="P9" i="3"/>
  <c r="P10" i="3"/>
  <c r="P41" i="3"/>
  <c r="P40" i="3"/>
  <c r="U52" i="1"/>
  <c r="S52" i="1" s="1"/>
  <c r="U45" i="1"/>
  <c r="S45" i="1" s="1"/>
  <c r="U39" i="1"/>
  <c r="S39" i="1" s="1"/>
  <c r="U33" i="1"/>
  <c r="S33" i="1" s="1"/>
  <c r="U27" i="1"/>
  <c r="S27" i="1" s="1"/>
  <c r="U21" i="1"/>
  <c r="S21" i="1" s="1"/>
  <c r="U15" i="1"/>
  <c r="S15" i="1" s="1"/>
  <c r="U14" i="1"/>
  <c r="S14" i="1" s="1"/>
  <c r="P71" i="3"/>
  <c r="P4" i="3"/>
  <c r="U9" i="1"/>
  <c r="S9" i="1" s="1"/>
  <c r="P72" i="3"/>
  <c r="U8" i="1"/>
  <c r="S8" i="1" s="1"/>
  <c r="U110" i="1"/>
  <c r="S110" i="1" s="1"/>
  <c r="U80" i="1"/>
  <c r="S80" i="1" s="1"/>
  <c r="U116" i="1"/>
  <c r="S116" i="1" s="1"/>
  <c r="U26" i="1"/>
  <c r="U36" i="1"/>
  <c r="S36" i="1" s="1"/>
  <c r="U47" i="1"/>
  <c r="S47" i="1" s="1"/>
  <c r="U41" i="1"/>
  <c r="S41" i="1" s="1"/>
  <c r="U35" i="1"/>
  <c r="S35" i="1" s="1"/>
  <c r="U29" i="1"/>
  <c r="S29" i="1" s="1"/>
  <c r="U23" i="1"/>
  <c r="S23" i="1" s="1"/>
  <c r="U17" i="1"/>
  <c r="S17" i="1" s="1"/>
  <c r="U11" i="1"/>
  <c r="S11" i="1" s="1"/>
  <c r="U4" i="1"/>
  <c r="S4" i="1" s="1"/>
  <c r="U93" i="1"/>
  <c r="S93" i="1" s="1"/>
  <c r="U69" i="1"/>
  <c r="S69" i="1" s="1"/>
  <c r="U37" i="1"/>
  <c r="S37" i="1" s="1"/>
  <c r="U106" i="1"/>
  <c r="S106" i="1" s="1"/>
  <c r="U82" i="1"/>
  <c r="S82" i="1" s="1"/>
  <c r="U72" i="1"/>
  <c r="S72" i="1" s="1"/>
  <c r="U54" i="1"/>
  <c r="S54" i="1" s="1"/>
  <c r="U34" i="1"/>
  <c r="S34" i="1" s="1"/>
  <c r="U10" i="1"/>
  <c r="S10" i="1" s="1"/>
  <c r="U115" i="1"/>
  <c r="S115" i="1" s="1"/>
  <c r="U73" i="1"/>
  <c r="S73" i="1" s="1"/>
  <c r="U46" i="1"/>
  <c r="S46" i="1" s="1"/>
  <c r="U40" i="1"/>
  <c r="S40" i="1" s="1"/>
  <c r="U28" i="1"/>
  <c r="S28" i="1" s="1"/>
  <c r="U22" i="1"/>
  <c r="S22" i="1" s="1"/>
  <c r="U16" i="1"/>
  <c r="S16" i="1" s="1"/>
  <c r="U53" i="1"/>
  <c r="S53" i="1" s="1"/>
  <c r="U58" i="1"/>
  <c r="S58" i="1" s="1"/>
  <c r="U96" i="1"/>
  <c r="S96" i="1" s="1"/>
  <c r="U55" i="1"/>
  <c r="S55" i="1" s="1"/>
  <c r="U113" i="1"/>
  <c r="S113" i="1" s="1"/>
  <c r="U19" i="1"/>
  <c r="S19" i="1" s="1"/>
  <c r="U48" i="1"/>
  <c r="S48" i="1" s="1"/>
  <c r="U30" i="1"/>
  <c r="S30" i="1" s="1"/>
  <c r="U6" i="1"/>
  <c r="S6" i="1" s="1"/>
  <c r="U119" i="1"/>
  <c r="U99" i="1"/>
  <c r="S99" i="1" s="1"/>
  <c r="U74" i="1"/>
  <c r="S74" i="1" s="1"/>
  <c r="U49" i="1"/>
  <c r="S49" i="1" s="1"/>
  <c r="U31" i="1"/>
  <c r="S31" i="1" s="1"/>
  <c r="U57" i="1"/>
  <c r="S57" i="1" s="1"/>
  <c r="U104" i="1"/>
  <c r="S104" i="1" s="1"/>
  <c r="U79" i="1"/>
  <c r="S79" i="1" s="1"/>
  <c r="U114" i="1"/>
  <c r="S114" i="1" s="1"/>
  <c r="U103" i="1"/>
  <c r="S103" i="1" s="1"/>
  <c r="U89" i="1"/>
  <c r="S89" i="1" s="1"/>
  <c r="U84" i="1"/>
  <c r="S84" i="1" s="1"/>
  <c r="U67" i="1"/>
  <c r="S67" i="1" s="1"/>
  <c r="U120" i="1"/>
  <c r="S120" i="1" s="1"/>
  <c r="U90" i="1"/>
  <c r="U78" i="1"/>
  <c r="U66" i="1"/>
  <c r="S66" i="1" s="1"/>
  <c r="U61" i="1"/>
  <c r="S61" i="1" s="1"/>
  <c r="U105" i="1"/>
  <c r="S105" i="1" s="1"/>
  <c r="U86" i="1"/>
  <c r="S86" i="1" s="1"/>
  <c r="U64" i="1"/>
  <c r="S64" i="1" s="1"/>
  <c r="U7" i="1"/>
  <c r="S7" i="1" s="1"/>
  <c r="U109" i="1"/>
  <c r="S109" i="1" s="1"/>
  <c r="U92" i="1"/>
  <c r="S92" i="1" s="1"/>
  <c r="U68" i="1"/>
  <c r="S68" i="1" s="1"/>
  <c r="U42" i="1"/>
  <c r="S42" i="1" s="1"/>
  <c r="U24" i="1"/>
  <c r="S24" i="1" s="1"/>
  <c r="U12" i="1"/>
  <c r="S12" i="1" s="1"/>
  <c r="U108" i="1"/>
  <c r="S108" i="1" s="1"/>
  <c r="U97" i="1"/>
  <c r="S97" i="1" s="1"/>
  <c r="U77" i="1"/>
  <c r="S77" i="1" s="1"/>
  <c r="U62" i="1"/>
  <c r="S62" i="1" s="1"/>
  <c r="U102" i="1"/>
  <c r="S102" i="1" s="1"/>
  <c r="U111" i="1"/>
  <c r="S111" i="1" s="1"/>
  <c r="U107" i="1"/>
  <c r="U100" i="1"/>
  <c r="S100" i="1" s="1"/>
  <c r="U94" i="1"/>
  <c r="S94" i="1" s="1"/>
  <c r="U87" i="1"/>
  <c r="S87" i="1" s="1"/>
  <c r="U81" i="1"/>
  <c r="S81" i="1" s="1"/>
  <c r="U75" i="1"/>
  <c r="S75" i="1" s="1"/>
  <c r="U70" i="1"/>
  <c r="S70" i="1" s="1"/>
  <c r="U65" i="1"/>
  <c r="S65" i="1" s="1"/>
  <c r="U59" i="1"/>
  <c r="S59" i="1" s="1"/>
  <c r="U43" i="1"/>
  <c r="S43" i="1" s="1"/>
  <c r="U13" i="1"/>
  <c r="S13" i="1" s="1"/>
  <c r="U98" i="1"/>
  <c r="S98" i="1" s="1"/>
  <c r="U85" i="1"/>
  <c r="S85" i="1" s="1"/>
  <c r="U63" i="1"/>
  <c r="S63" i="1" s="1"/>
  <c r="U56" i="1"/>
  <c r="S56" i="1" s="1"/>
  <c r="U18" i="1"/>
  <c r="S18" i="1" s="1"/>
  <c r="U5" i="1"/>
  <c r="S5" i="1" s="1"/>
  <c r="P5" i="3"/>
  <c r="P3" i="3"/>
  <c r="P8" i="3"/>
  <c r="AA19" i="1"/>
  <c r="W19" i="1" s="1"/>
  <c r="AA4" i="1"/>
  <c r="W4" i="1" s="1"/>
  <c r="AA45" i="1"/>
  <c r="W45" i="1" s="1"/>
  <c r="AA31" i="1"/>
  <c r="W31" i="1" s="1"/>
  <c r="AA10" i="1"/>
  <c r="W10" i="1" s="1"/>
  <c r="AA6" i="1"/>
  <c r="W6" i="1" s="1"/>
  <c r="AA16" i="1"/>
  <c r="W16" i="1" s="1"/>
  <c r="AA20" i="1"/>
  <c r="W20" i="1" s="1"/>
  <c r="AA33" i="1"/>
  <c r="W33" i="1" s="1"/>
  <c r="AA101" i="1"/>
  <c r="W101" i="1" s="1"/>
  <c r="AA47" i="1"/>
  <c r="W47" i="1" s="1"/>
  <c r="AA105" i="1"/>
  <c r="W105" i="1" s="1"/>
  <c r="AA80" i="1"/>
  <c r="W80" i="1" s="1"/>
  <c r="AA27" i="1"/>
  <c r="W27" i="1" s="1"/>
  <c r="AA57" i="1"/>
  <c r="W57" i="1" s="1"/>
  <c r="AA96" i="1"/>
  <c r="W96" i="1" s="1"/>
  <c r="AA72" i="1"/>
  <c r="W72" i="1" s="1"/>
  <c r="AA28" i="1"/>
  <c r="W28" i="1" s="1"/>
  <c r="AA70" i="1"/>
  <c r="W70" i="1" s="1"/>
  <c r="AA15" i="1"/>
  <c r="W15" i="1" s="1"/>
  <c r="AA85" i="1"/>
  <c r="W85" i="1" s="1"/>
  <c r="AA5" i="1"/>
  <c r="W5" i="1" s="1"/>
  <c r="AA13" i="1"/>
  <c r="W13" i="1" s="1"/>
  <c r="AA104" i="1"/>
  <c r="W104" i="1" s="1"/>
  <c r="AA82" i="1"/>
  <c r="W82" i="1" s="1"/>
  <c r="AA67" i="1"/>
  <c r="W67" i="1" s="1"/>
  <c r="AA22" i="1"/>
  <c r="W22" i="1" s="1"/>
  <c r="AA37" i="1"/>
  <c r="W37" i="1" s="1"/>
  <c r="AA58" i="1"/>
  <c r="W58" i="1" s="1"/>
  <c r="AA100" i="1"/>
  <c r="W100" i="1" s="1"/>
  <c r="AA52" i="1"/>
  <c r="W52" i="1" s="1"/>
  <c r="AA113" i="1"/>
  <c r="W113" i="1" s="1"/>
  <c r="AA66" i="1"/>
  <c r="W66" i="1" s="1"/>
  <c r="AA36" i="1"/>
  <c r="W36" i="1" s="1"/>
  <c r="AA112" i="1"/>
  <c r="W112" i="1" s="1"/>
  <c r="AA49" i="1"/>
  <c r="W49" i="1" s="1"/>
  <c r="AA95" i="1"/>
  <c r="W95" i="1" s="1"/>
  <c r="AA120" i="1"/>
  <c r="W120" i="1" s="1"/>
  <c r="AA83" i="1"/>
  <c r="W83" i="1" s="1"/>
  <c r="AA86" i="1"/>
  <c r="W86" i="1" s="1"/>
  <c r="AA18" i="1"/>
  <c r="W18" i="1" s="1"/>
  <c r="AA40" i="1"/>
  <c r="W40" i="1" s="1"/>
  <c r="AA119" i="1"/>
  <c r="W119" i="1" s="1"/>
  <c r="AA116" i="1"/>
  <c r="W116" i="1" s="1"/>
  <c r="AA79" i="1"/>
  <c r="W79" i="1" s="1"/>
  <c r="AA23" i="1"/>
  <c r="W23" i="1" s="1"/>
  <c r="AA9" i="1"/>
  <c r="W9" i="1" s="1"/>
  <c r="AA77" i="1"/>
  <c r="W77" i="1" s="1"/>
  <c r="AA61" i="1"/>
  <c r="W61" i="1" s="1"/>
  <c r="AA93" i="1"/>
  <c r="W93" i="1" s="1"/>
  <c r="AA74" i="1"/>
  <c r="W74" i="1" s="1"/>
  <c r="AA97" i="1"/>
  <c r="W97" i="1" s="1"/>
  <c r="AA78" i="1"/>
  <c r="W78" i="1" s="1"/>
  <c r="AA55" i="1"/>
  <c r="W55" i="1" s="1"/>
  <c r="AA44" i="1"/>
  <c r="W44" i="1" s="1"/>
  <c r="AA107" i="1"/>
  <c r="W107" i="1" s="1"/>
  <c r="AA54" i="1"/>
  <c r="W54" i="1" s="1"/>
  <c r="AA48" i="1"/>
  <c r="W48" i="1" s="1"/>
  <c r="AA118" i="1"/>
  <c r="W118" i="1" s="1"/>
  <c r="AA106" i="1"/>
  <c r="W106" i="1" s="1"/>
  <c r="AA94" i="1"/>
  <c r="W94" i="1" s="1"/>
  <c r="AA88" i="1"/>
  <c r="W88" i="1" s="1"/>
  <c r="AA87" i="1"/>
  <c r="W87" i="1" s="1"/>
  <c r="AA73" i="1"/>
  <c r="W73" i="1" s="1"/>
  <c r="AA102" i="1"/>
  <c r="W102" i="1" s="1"/>
  <c r="AA84" i="1"/>
  <c r="W84" i="1" s="1"/>
  <c r="AA110" i="1"/>
  <c r="W110" i="1" s="1"/>
  <c r="AA60" i="1"/>
  <c r="W60" i="1" s="1"/>
  <c r="AA75" i="1"/>
  <c r="W75" i="1" s="1"/>
  <c r="AA81" i="1"/>
  <c r="W81" i="1" s="1"/>
  <c r="AA109" i="1"/>
  <c r="W109" i="1" s="1"/>
  <c r="AA89" i="1"/>
  <c r="W89" i="1" s="1"/>
  <c r="AA41" i="1"/>
  <c r="W41" i="1" s="1"/>
  <c r="AA115" i="1"/>
  <c r="W115" i="1" s="1"/>
  <c r="AA8" i="1"/>
  <c r="W8" i="1" s="1"/>
  <c r="AA76" i="1"/>
  <c r="W76" i="1" s="1"/>
  <c r="AA17" i="1"/>
  <c r="W17" i="1" s="1"/>
  <c r="AA12" i="1"/>
  <c r="W12" i="1" s="1"/>
  <c r="AA64" i="1"/>
  <c r="W64" i="1" s="1"/>
  <c r="AA21" i="1"/>
  <c r="W21" i="1" s="1"/>
  <c r="AA99" i="1"/>
  <c r="W99" i="1" s="1"/>
  <c r="AA103" i="1"/>
  <c r="W103" i="1" s="1"/>
  <c r="AA43" i="1"/>
  <c r="W43" i="1" s="1"/>
  <c r="AA34" i="1"/>
  <c r="W34" i="1" s="1"/>
  <c r="AA42" i="1"/>
  <c r="W42" i="1" s="1"/>
  <c r="AA68" i="1"/>
  <c r="W68" i="1" s="1"/>
  <c r="AA62" i="1"/>
  <c r="W62" i="1" s="1"/>
  <c r="AA46" i="1"/>
  <c r="W46" i="1" s="1"/>
  <c r="AA111" i="1"/>
  <c r="W111" i="1" s="1"/>
  <c r="AA25" i="1"/>
  <c r="W25" i="1" s="1"/>
  <c r="AA108" i="1"/>
  <c r="W108" i="1" s="1"/>
  <c r="AA69" i="1"/>
  <c r="W69" i="1" s="1"/>
  <c r="AA35" i="1"/>
  <c r="W35" i="1" s="1"/>
  <c r="AA30" i="1"/>
  <c r="W30" i="1" s="1"/>
  <c r="AA98" i="1"/>
  <c r="W98" i="1" s="1"/>
  <c r="AA71" i="1"/>
  <c r="W71" i="1" s="1"/>
  <c r="AA63" i="1"/>
  <c r="W63" i="1" s="1"/>
  <c r="AA29" i="1"/>
  <c r="W29" i="1" s="1"/>
  <c r="AA114" i="1"/>
  <c r="W114" i="1" s="1"/>
  <c r="AA24" i="1"/>
  <c r="W24" i="1" s="1"/>
  <c r="AA32" i="1"/>
  <c r="W32" i="1" s="1"/>
  <c r="AA11" i="1"/>
  <c r="W11" i="1" s="1"/>
  <c r="AA14" i="1"/>
  <c r="W14" i="1" s="1"/>
  <c r="AA117" i="1"/>
  <c r="W117" i="1" s="1"/>
  <c r="AA53" i="1"/>
  <c r="W53" i="1" s="1"/>
  <c r="AA39" i="1"/>
  <c r="W39" i="1" s="1"/>
  <c r="AA65" i="1"/>
  <c r="W65" i="1" s="1"/>
  <c r="AA59" i="1"/>
  <c r="W59" i="1" s="1"/>
  <c r="AA56" i="1"/>
  <c r="W56" i="1" s="1"/>
  <c r="AA38" i="1"/>
  <c r="W38" i="1" s="1"/>
  <c r="AA26" i="1"/>
  <c r="W26" i="1" s="1"/>
  <c r="AA7" i="1"/>
  <c r="W7" i="1" s="1"/>
  <c r="K3" i="1"/>
  <c r="L3" i="1"/>
  <c r="M3" i="1"/>
  <c r="P3" i="1" s="1"/>
  <c r="K5" i="1"/>
  <c r="L5" i="1"/>
  <c r="M5" i="1"/>
  <c r="P5" i="1" s="1"/>
  <c r="K4" i="1"/>
  <c r="L4" i="1"/>
  <c r="M4" i="1"/>
  <c r="K6" i="1"/>
  <c r="L6" i="1"/>
  <c r="M6" i="1"/>
  <c r="P6" i="1" s="1"/>
  <c r="K7" i="1"/>
  <c r="L7" i="1"/>
  <c r="M7" i="1"/>
  <c r="P7" i="1" s="1"/>
  <c r="K8" i="1"/>
  <c r="L8" i="1"/>
  <c r="M8" i="1"/>
  <c r="P8" i="1" s="1"/>
  <c r="K9" i="1"/>
  <c r="L9" i="1"/>
  <c r="M9" i="1"/>
  <c r="P9" i="1" s="1"/>
  <c r="K10" i="1"/>
  <c r="L10" i="1"/>
  <c r="M10" i="1"/>
  <c r="P10" i="1" s="1"/>
  <c r="K11" i="1"/>
  <c r="L11" i="1"/>
  <c r="M11" i="1"/>
  <c r="P11" i="1" s="1"/>
  <c r="K12" i="1"/>
  <c r="L12" i="1"/>
  <c r="M12" i="1"/>
  <c r="P12" i="1" s="1"/>
  <c r="K13" i="1"/>
  <c r="L13" i="1"/>
  <c r="M13" i="1"/>
  <c r="N13" i="1" s="1"/>
  <c r="K14" i="1"/>
  <c r="L14" i="1"/>
  <c r="M14" i="1"/>
  <c r="N14" i="1" s="1"/>
  <c r="K15" i="1"/>
  <c r="L15" i="1"/>
  <c r="M15" i="1"/>
  <c r="N15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N21" i="1" s="1"/>
  <c r="K22" i="1"/>
  <c r="L22" i="1"/>
  <c r="M22" i="1"/>
  <c r="N22" i="1" s="1"/>
  <c r="K23" i="1"/>
  <c r="L23" i="1"/>
  <c r="M23" i="1"/>
  <c r="N23" i="1" s="1"/>
  <c r="K24" i="1"/>
  <c r="L24" i="1"/>
  <c r="M24" i="1"/>
  <c r="P24" i="1" s="1"/>
  <c r="K26" i="1"/>
  <c r="L26" i="1"/>
  <c r="M26" i="1"/>
  <c r="K25" i="1"/>
  <c r="L25" i="1"/>
  <c r="M25" i="1"/>
  <c r="K27" i="1"/>
  <c r="L27" i="1"/>
  <c r="M27" i="1"/>
  <c r="N27" i="1" s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3" i="1"/>
  <c r="L33" i="1"/>
  <c r="M33" i="1"/>
  <c r="N33" i="1" s="1"/>
  <c r="K34" i="1"/>
  <c r="L34" i="1"/>
  <c r="M34" i="1"/>
  <c r="P34" i="1" s="1"/>
  <c r="K35" i="1"/>
  <c r="L35" i="1"/>
  <c r="M35" i="1"/>
  <c r="N35" i="1" s="1"/>
  <c r="K36" i="1"/>
  <c r="L36" i="1"/>
  <c r="M36" i="1"/>
  <c r="N36" i="1" s="1"/>
  <c r="K37" i="1"/>
  <c r="L37" i="1"/>
  <c r="M37" i="1"/>
  <c r="N37" i="1" s="1"/>
  <c r="K38" i="1"/>
  <c r="L38" i="1"/>
  <c r="M38" i="1"/>
  <c r="N38" i="1" s="1"/>
  <c r="K39" i="1"/>
  <c r="L39" i="1"/>
  <c r="M39" i="1"/>
  <c r="N39" i="1" s="1"/>
  <c r="K40" i="1"/>
  <c r="L40" i="1"/>
  <c r="M40" i="1"/>
  <c r="N40" i="1" s="1"/>
  <c r="K41" i="1"/>
  <c r="L41" i="1"/>
  <c r="M41" i="1"/>
  <c r="N41" i="1" s="1"/>
  <c r="K42" i="1"/>
  <c r="L42" i="1"/>
  <c r="M42" i="1"/>
  <c r="N42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6" i="1"/>
  <c r="L46" i="1"/>
  <c r="M46" i="1"/>
  <c r="N46" i="1" s="1"/>
  <c r="K47" i="1"/>
  <c r="L47" i="1"/>
  <c r="M47" i="1"/>
  <c r="N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2" i="1"/>
  <c r="L52" i="1"/>
  <c r="M52" i="1"/>
  <c r="N52" i="1" s="1"/>
  <c r="K53" i="1"/>
  <c r="L53" i="1"/>
  <c r="M53" i="1"/>
  <c r="N53" i="1" s="1"/>
  <c r="K54" i="1"/>
  <c r="L54" i="1"/>
  <c r="M54" i="1"/>
  <c r="P54" i="1" s="1"/>
  <c r="K56" i="1"/>
  <c r="L56" i="1"/>
  <c r="M56" i="1"/>
  <c r="N56" i="1" s="1"/>
  <c r="K57" i="1"/>
  <c r="L57" i="1"/>
  <c r="M57" i="1"/>
  <c r="N57" i="1" s="1"/>
  <c r="K58" i="1"/>
  <c r="L58" i="1"/>
  <c r="M58" i="1"/>
  <c r="N58" i="1" s="1"/>
  <c r="K59" i="1"/>
  <c r="L59" i="1"/>
  <c r="M59" i="1"/>
  <c r="N59" i="1" s="1"/>
  <c r="K61" i="1"/>
  <c r="L61" i="1"/>
  <c r="M61" i="1"/>
  <c r="N61" i="1" s="1"/>
  <c r="K62" i="1"/>
  <c r="L62" i="1"/>
  <c r="M62" i="1"/>
  <c r="N62" i="1" s="1"/>
  <c r="K63" i="1"/>
  <c r="L63" i="1"/>
  <c r="M63" i="1"/>
  <c r="N63" i="1" s="1"/>
  <c r="K64" i="1"/>
  <c r="L64" i="1"/>
  <c r="M64" i="1"/>
  <c r="N64" i="1" s="1"/>
  <c r="K65" i="1"/>
  <c r="L65" i="1"/>
  <c r="M65" i="1"/>
  <c r="N65" i="1" s="1"/>
  <c r="K66" i="1"/>
  <c r="L66" i="1"/>
  <c r="M66" i="1"/>
  <c r="P66" i="1" s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0" i="1"/>
  <c r="L70" i="1"/>
  <c r="M70" i="1"/>
  <c r="P70" i="1" s="1"/>
  <c r="K71" i="1"/>
  <c r="L71" i="1"/>
  <c r="M71" i="1"/>
  <c r="N71" i="1" s="1"/>
  <c r="K72" i="1"/>
  <c r="L72" i="1"/>
  <c r="M72" i="1"/>
  <c r="P72" i="1" s="1"/>
  <c r="K73" i="1"/>
  <c r="L73" i="1"/>
  <c r="M73" i="1"/>
  <c r="P73" i="1" s="1"/>
  <c r="K74" i="1"/>
  <c r="L74" i="1"/>
  <c r="M74" i="1"/>
  <c r="P74" i="1" s="1"/>
  <c r="K75" i="1"/>
  <c r="L75" i="1"/>
  <c r="M75" i="1"/>
  <c r="N75" i="1" s="1"/>
  <c r="K76" i="1"/>
  <c r="L76" i="1"/>
  <c r="M76" i="1"/>
  <c r="N76" i="1" s="1"/>
  <c r="K78" i="1"/>
  <c r="L78" i="1"/>
  <c r="M78" i="1"/>
  <c r="K77" i="1"/>
  <c r="L77" i="1"/>
  <c r="M77" i="1"/>
  <c r="K79" i="1"/>
  <c r="L79" i="1"/>
  <c r="M79" i="1"/>
  <c r="N79" i="1" s="1"/>
  <c r="K80" i="1"/>
  <c r="L80" i="1"/>
  <c r="M80" i="1"/>
  <c r="N80" i="1" s="1"/>
  <c r="K81" i="1"/>
  <c r="L81" i="1"/>
  <c r="M81" i="1"/>
  <c r="N81" i="1" s="1"/>
  <c r="K83" i="1"/>
  <c r="L83" i="1"/>
  <c r="M83" i="1"/>
  <c r="K82" i="1"/>
  <c r="L82" i="1"/>
  <c r="M82" i="1"/>
  <c r="K84" i="1"/>
  <c r="L84" i="1"/>
  <c r="M84" i="1"/>
  <c r="N84" i="1" s="1"/>
  <c r="K86" i="1"/>
  <c r="L86" i="1"/>
  <c r="M86" i="1"/>
  <c r="N86" i="1" s="1"/>
  <c r="K85" i="1"/>
  <c r="L85" i="1"/>
  <c r="M85" i="1"/>
  <c r="N85" i="1" s="1"/>
  <c r="K88" i="1"/>
  <c r="L88" i="1"/>
  <c r="M88" i="1"/>
  <c r="N88" i="1" s="1"/>
  <c r="K87" i="1"/>
  <c r="L87" i="1"/>
  <c r="M87" i="1"/>
  <c r="N87" i="1" s="1"/>
  <c r="K90" i="1"/>
  <c r="L90" i="1"/>
  <c r="M90" i="1"/>
  <c r="K89" i="1"/>
  <c r="L89" i="1"/>
  <c r="M89" i="1"/>
  <c r="P89" i="1" s="1"/>
  <c r="K92" i="1"/>
  <c r="L92" i="1"/>
  <c r="M92" i="1"/>
  <c r="N92" i="1" s="1"/>
  <c r="K95" i="1"/>
  <c r="L95" i="1"/>
  <c r="M95" i="1"/>
  <c r="N95" i="1" s="1"/>
  <c r="K94" i="1"/>
  <c r="L94" i="1"/>
  <c r="M94" i="1"/>
  <c r="N94" i="1" s="1"/>
  <c r="K93" i="1"/>
  <c r="L93" i="1"/>
  <c r="M93" i="1"/>
  <c r="N93" i="1" s="1"/>
  <c r="K96" i="1"/>
  <c r="L96" i="1"/>
  <c r="M96" i="1"/>
  <c r="N96" i="1" s="1"/>
  <c r="K97" i="1"/>
  <c r="L97" i="1"/>
  <c r="M97" i="1"/>
  <c r="N97" i="1" s="1"/>
  <c r="K98" i="1"/>
  <c r="L98" i="1"/>
  <c r="M98" i="1"/>
  <c r="N98" i="1" s="1"/>
  <c r="K99" i="1"/>
  <c r="L99" i="1"/>
  <c r="M99" i="1"/>
  <c r="N99" i="1" s="1"/>
  <c r="K101" i="1"/>
  <c r="L101" i="1"/>
  <c r="M101" i="1"/>
  <c r="N101" i="1" s="1"/>
  <c r="K100" i="1"/>
  <c r="L100" i="1"/>
  <c r="M100" i="1"/>
  <c r="N100" i="1" s="1"/>
  <c r="K102" i="1"/>
  <c r="L102" i="1"/>
  <c r="M102" i="1"/>
  <c r="N102" i="1" s="1"/>
  <c r="K103" i="1"/>
  <c r="L103" i="1"/>
  <c r="M103" i="1"/>
  <c r="N103" i="1" s="1"/>
  <c r="K104" i="1"/>
  <c r="L104" i="1"/>
  <c r="M104" i="1"/>
  <c r="N104" i="1" s="1"/>
  <c r="K105" i="1"/>
  <c r="L105" i="1"/>
  <c r="M105" i="1"/>
  <c r="N105" i="1" s="1"/>
  <c r="K107" i="1"/>
  <c r="L107" i="1"/>
  <c r="M107" i="1"/>
  <c r="K106" i="1"/>
  <c r="L106" i="1"/>
  <c r="M106" i="1"/>
  <c r="P106" i="1" s="1"/>
  <c r="K108" i="1"/>
  <c r="L108" i="1"/>
  <c r="M108" i="1"/>
  <c r="N108" i="1" s="1"/>
  <c r="K109" i="1"/>
  <c r="L109" i="1"/>
  <c r="M109" i="1"/>
  <c r="N109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K116" i="1"/>
  <c r="L116" i="1"/>
  <c r="M116" i="1"/>
  <c r="N116" i="1" s="1"/>
  <c r="K119" i="1"/>
  <c r="L119" i="1"/>
  <c r="M119" i="1"/>
  <c r="K117" i="1"/>
  <c r="L117" i="1"/>
  <c r="M117" i="1"/>
  <c r="P117" i="1" s="1"/>
  <c r="K118" i="1"/>
  <c r="L118" i="1"/>
  <c r="M118" i="1"/>
  <c r="K120" i="1"/>
  <c r="L120" i="1"/>
  <c r="M120" i="1"/>
  <c r="N120" i="1" s="1"/>
  <c r="K121" i="1"/>
  <c r="L121" i="1"/>
  <c r="M121" i="1"/>
  <c r="N121" i="1" s="1"/>
  <c r="K122" i="1"/>
  <c r="L122" i="1"/>
  <c r="M122" i="1"/>
  <c r="N122" i="1" s="1"/>
  <c r="P118" i="1" l="1"/>
  <c r="P4" i="1"/>
  <c r="P77" i="1"/>
  <c r="P25" i="1"/>
  <c r="P82" i="1"/>
  <c r="J153" i="1"/>
  <c r="J150" i="1"/>
  <c r="J154" i="1"/>
  <c r="J151" i="1"/>
  <c r="X3" i="1"/>
  <c r="J155" i="1" l="1"/>
  <c r="V3" i="1"/>
  <c r="P33" i="3" s="1"/>
  <c r="Y3" i="1"/>
  <c r="Z3" i="1"/>
  <c r="P36" i="3" l="1"/>
  <c r="U3" i="1"/>
  <c r="S3" i="1" s="1"/>
  <c r="AA3" i="1"/>
  <c r="W3" i="1" s="1"/>
  <c r="A1" i="1" l="1"/>
  <c r="N154" i="1" l="1"/>
  <c r="A1" i="6" l="1"/>
  <c r="A1" i="3"/>
  <c r="O152" i="1"/>
  <c r="N152" i="1"/>
  <c r="M152" i="1"/>
  <c r="O154" i="1" l="1"/>
  <c r="O151" i="1"/>
  <c r="M154" i="1"/>
  <c r="N151" i="1"/>
  <c r="M151" i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<sst xmlns="http://schemas.openxmlformats.org/spreadsheetml/2006/main" count="2095" uniqueCount="513">
  <si>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</si>
  <si>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</si>
  <si>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</si>
  <si>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</si>
  <si>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</si>
  <si>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</si>
  <si>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</si>
  <si>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</si>
  <si>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</si>
  <si>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</si>
  <si>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</si>
  <si>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</si>
  <si>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</si>
  <si>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</si>
  <si>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</si>
  <si>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</si>
  <si>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</si>
  <si>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</si>
  <si>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</si>
  <si>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</si>
  <si>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</si>
  <si>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</si>
  <si>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</si>
  <si>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</si>
  <si>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</si>
  <si>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</si>
  <si>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</si>
  <si>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</si>
  <si>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</si>
  <si>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</si>
  <si>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</si>
  <si>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</si>
  <si>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</si>
  <si>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</si>
  <si>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</si>
  <si>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</si>
  <si>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</si>
  <si>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</si>
  <si>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</si>
  <si>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</si>
  <si>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</si>
  <si>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</si>
  <si>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</si>
  <si>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</si>
  <si>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</si>
  <si>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</si>
  <si>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</si>
  <si>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</si>
  <si>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</si>
  <si>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</si>
  <si>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</si>
  <si>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</si>
  <si>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</si>
  <si>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</si>
  <si>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</si>
  <si>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</si>
  <si>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</si>
  <si>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</si>
  <si>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</si>
  <si>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</si>
  <si>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</si>
  <si>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</si>
  <si>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</si>
  <si>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</si>
  <si>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</si>
  <si>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</si>
  <si>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</si>
  <si>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204:147</t>
  </si>
  <si>
    <t>204:232996</t>
  </si>
  <si>
    <t>204:160</t>
  </si>
  <si>
    <t>204:460</t>
  </si>
  <si>
    <t>rtdc.l.rtdc.4032:itc</t>
  </si>
  <si>
    <t>204:232977</t>
  </si>
  <si>
    <t>204:462</t>
  </si>
  <si>
    <t>Kibana URL</t>
  </si>
  <si>
    <t>204:457</t>
  </si>
  <si>
    <t>204:232991</t>
  </si>
  <si>
    <t>204:141</t>
  </si>
  <si>
    <t>204:156</t>
  </si>
  <si>
    <t>204:149</t>
  </si>
  <si>
    <t>GRADE CROSSING</t>
  </si>
  <si>
    <t>Bulletin (2)</t>
  </si>
  <si>
    <t>204:453</t>
  </si>
  <si>
    <t>rtdc.l.rtdc.4043:itc</t>
  </si>
  <si>
    <t>204:232978</t>
  </si>
  <si>
    <t>204:154</t>
  </si>
  <si>
    <t>204:233304</t>
  </si>
  <si>
    <t>rtdc.l.rtdc.4019:itc</t>
  </si>
  <si>
    <t>rtdc.l.rtdc.4020:itc</t>
  </si>
  <si>
    <t>204:458</t>
  </si>
  <si>
    <t>rtdc.l.rtdc.4018:itc</t>
  </si>
  <si>
    <t>rtdc.l.rtdc.4017:itc</t>
  </si>
  <si>
    <t>rtdc.l.rtdc.4023:itc</t>
  </si>
  <si>
    <t>YOUNG</t>
  </si>
  <si>
    <t>204:233315</t>
  </si>
  <si>
    <t>204:232975</t>
  </si>
  <si>
    <t>204:464</t>
  </si>
  <si>
    <t>STORY</t>
  </si>
  <si>
    <t>rtdc.l.rtdc.4024:itc</t>
  </si>
  <si>
    <t>rtdc.l.rtdc.4008:itc</t>
  </si>
  <si>
    <t>rtdc.l.rtdc.4030:itc</t>
  </si>
  <si>
    <t>rtdc.l.rtdc.4007:itc</t>
  </si>
  <si>
    <t>rtdc.l.rtdc.4044:itc</t>
  </si>
  <si>
    <t>rtdc.l.rtdc.4031:itc</t>
  </si>
  <si>
    <t>ROCHA</t>
  </si>
  <si>
    <t>GOODNIGHT</t>
  </si>
  <si>
    <t>rtdc.l.rtdc.4029:itc</t>
  </si>
  <si>
    <t>204:161</t>
  </si>
  <si>
    <t>Possible Explanation</t>
  </si>
  <si>
    <t>Recorded Operator</t>
  </si>
  <si>
    <t>Trip ID</t>
  </si>
  <si>
    <t># Of Times Offered</t>
  </si>
  <si>
    <t>Loco</t>
  </si>
  <si>
    <t>204:233295</t>
  </si>
  <si>
    <t>204:447</t>
  </si>
  <si>
    <t>204:233289</t>
  </si>
  <si>
    <t>rtdc.l.rtdc.4025:itc</t>
  </si>
  <si>
    <t>rtdc.l.rtdc.4026:itc</t>
  </si>
  <si>
    <t>204:449</t>
  </si>
  <si>
    <t>204:233293</t>
  </si>
  <si>
    <t>204:158</t>
  </si>
  <si>
    <t>204:233309</t>
  </si>
  <si>
    <t>204:233297</t>
  </si>
  <si>
    <t>rtdc.l.rtdc.4011:itc</t>
  </si>
  <si>
    <t>rtdc.l.rtdc.4041:itc</t>
  </si>
  <si>
    <t>rtdc.l.rtdc.4042:itc</t>
  </si>
  <si>
    <t>rtdc.l.rtdc.4012:itc</t>
  </si>
  <si>
    <t>204:232973</t>
  </si>
  <si>
    <t>204:232998</t>
  </si>
  <si>
    <t>204:170</t>
  </si>
  <si>
    <t>204:163</t>
  </si>
  <si>
    <t>204:469</t>
  </si>
  <si>
    <t>204:233291</t>
  </si>
  <si>
    <t>204:139</t>
  </si>
  <si>
    <t>MAELZER</t>
  </si>
  <si>
    <t>204:455</t>
  </si>
  <si>
    <t>204:467</t>
  </si>
  <si>
    <t>204:233303</t>
  </si>
  <si>
    <t>204:232969</t>
  </si>
  <si>
    <t>Recorded Loco</t>
  </si>
  <si>
    <t>Recorded time</t>
  </si>
  <si>
    <t>LOCKLEAR</t>
  </si>
  <si>
    <t>COOLAHAN</t>
  </si>
  <si>
    <t>ACKERMAN</t>
  </si>
  <si>
    <t>STURGEON</t>
  </si>
  <si>
    <t>204:233314</t>
  </si>
  <si>
    <t>204:233312</t>
  </si>
  <si>
    <t>204:233310</t>
  </si>
  <si>
    <t>204:233307</t>
  </si>
  <si>
    <t>204:129</t>
  </si>
  <si>
    <t>204:444</t>
  </si>
  <si>
    <t>204:233336</t>
  </si>
  <si>
    <t>204:233002</t>
  </si>
  <si>
    <t>204:176</t>
  </si>
  <si>
    <t>204:150</t>
  </si>
  <si>
    <t>204:232986</t>
  </si>
  <si>
    <t>204:232983</t>
  </si>
  <si>
    <t>204:431</t>
  </si>
  <si>
    <t>204:480</t>
  </si>
  <si>
    <t>204:167</t>
  </si>
  <si>
    <t>204:233301</t>
  </si>
  <si>
    <t>Xing Completion Percentage</t>
  </si>
  <si>
    <t>204:233007</t>
  </si>
  <si>
    <t>204:233278</t>
  </si>
  <si>
    <t>204:232955</t>
  </si>
  <si>
    <t>204:232981</t>
  </si>
  <si>
    <t>204:233327</t>
  </si>
  <si>
    <t>204:451</t>
  </si>
  <si>
    <t>204:488</t>
  </si>
  <si>
    <t>204:233013</t>
  </si>
  <si>
    <t>204:233030</t>
  </si>
  <si>
    <t>204:233284</t>
  </si>
  <si>
    <t>204:233332</t>
  </si>
  <si>
    <t>204:233017</t>
  </si>
  <si>
    <t>204:477</t>
  </si>
  <si>
    <t>204:189</t>
  </si>
  <si>
    <t>204:233344</t>
  </si>
  <si>
    <t>204:233027</t>
  </si>
  <si>
    <t>204:233023</t>
  </si>
  <si>
    <t>204:132</t>
  </si>
  <si>
    <t>204:233287</t>
  </si>
  <si>
    <t>204:233311</t>
  </si>
  <si>
    <t>204:19133</t>
  </si>
  <si>
    <t>204:232984</t>
  </si>
  <si>
    <t>MOSES</t>
  </si>
  <si>
    <t>REBOLETTI</t>
  </si>
  <si>
    <t>DE LA ROSA</t>
  </si>
  <si>
    <t>HELVIE</t>
  </si>
  <si>
    <t>SPECTOR</t>
  </si>
  <si>
    <t>STAMBAUGH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</si>
  <si>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</si>
  <si>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</si>
  <si>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</si>
  <si>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</si>
  <si>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</si>
  <si>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</si>
  <si>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</si>
  <si>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</si>
  <si>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</si>
  <si>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</si>
  <si>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</si>
  <si>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</si>
  <si>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</si>
  <si>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</si>
  <si>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</si>
  <si>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</si>
  <si>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</si>
  <si>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202-21</t>
  </si>
  <si>
    <t>204-21</t>
  </si>
  <si>
    <t>204:232982</t>
  </si>
  <si>
    <t>206-21</t>
  </si>
  <si>
    <t>204:232989</t>
  </si>
  <si>
    <t>207-21</t>
  </si>
  <si>
    <t>204:19137</t>
  </si>
  <si>
    <t>204:233274</t>
  </si>
  <si>
    <t>204:1222</t>
  </si>
  <si>
    <t>208-21</t>
  </si>
  <si>
    <t>204:232967</t>
  </si>
  <si>
    <t>209-21</t>
  </si>
  <si>
    <t>210-21</t>
  </si>
  <si>
    <t>211-21</t>
  </si>
  <si>
    <t>204:484</t>
  </si>
  <si>
    <t>204:233342</t>
  </si>
  <si>
    <t>212-21</t>
  </si>
  <si>
    <t>213-21</t>
  </si>
  <si>
    <t>214-21</t>
  </si>
  <si>
    <t>215-21</t>
  </si>
  <si>
    <t>204:446</t>
  </si>
  <si>
    <t>204:233331</t>
  </si>
  <si>
    <t>216-21</t>
  </si>
  <si>
    <t>217-21</t>
  </si>
  <si>
    <t>204:19145</t>
  </si>
  <si>
    <t>204:232558</t>
  </si>
  <si>
    <t>218-21</t>
  </si>
  <si>
    <t>204:153983</t>
  </si>
  <si>
    <t>204:232666</t>
  </si>
  <si>
    <t>204:232466</t>
  </si>
  <si>
    <t>219-21</t>
  </si>
  <si>
    <t>220-21</t>
  </si>
  <si>
    <t>204:232971</t>
  </si>
  <si>
    <t>221-21</t>
  </si>
  <si>
    <t>204:233270</t>
  </si>
  <si>
    <t>222-21</t>
  </si>
  <si>
    <t>204:232966</t>
  </si>
  <si>
    <t>223-21</t>
  </si>
  <si>
    <t>224-21</t>
  </si>
  <si>
    <t>204:233000</t>
  </si>
  <si>
    <t>225-21</t>
  </si>
  <si>
    <t>226-21</t>
  </si>
  <si>
    <t>204:232800</t>
  </si>
  <si>
    <t>227-21</t>
  </si>
  <si>
    <t>228-21</t>
  </si>
  <si>
    <t>204:169</t>
  </si>
  <si>
    <t>229-21</t>
  </si>
  <si>
    <t>230-21</t>
  </si>
  <si>
    <t>231-21</t>
  </si>
  <si>
    <t>233-21</t>
  </si>
  <si>
    <t>204:1160</t>
  </si>
  <si>
    <t>204:233288</t>
  </si>
  <si>
    <t>234-21</t>
  </si>
  <si>
    <t>235-21</t>
  </si>
  <si>
    <t>236-21</t>
  </si>
  <si>
    <t>237-21</t>
  </si>
  <si>
    <t>204:508</t>
  </si>
  <si>
    <t>204:233268</t>
  </si>
  <si>
    <t>238-21</t>
  </si>
  <si>
    <t>204:232953</t>
  </si>
  <si>
    <t>239-21</t>
  </si>
  <si>
    <t>204:442</t>
  </si>
  <si>
    <t>240-21</t>
  </si>
  <si>
    <t>241-21</t>
  </si>
  <si>
    <t>204:233322</t>
  </si>
  <si>
    <t>242-21</t>
  </si>
  <si>
    <t>204:232990</t>
  </si>
  <si>
    <t>243-21</t>
  </si>
  <si>
    <t>244-21</t>
  </si>
  <si>
    <t>830-21</t>
  </si>
  <si>
    <t>833-21</t>
  </si>
  <si>
    <t>834-21</t>
  </si>
  <si>
    <t>837-21</t>
  </si>
  <si>
    <t>838-21</t>
  </si>
  <si>
    <t>101-21</t>
  </si>
  <si>
    <t>204:755</t>
  </si>
  <si>
    <t>204:215197</t>
  </si>
  <si>
    <t>102-21</t>
  </si>
  <si>
    <t>204:153939</t>
  </si>
  <si>
    <t>204:232648</t>
  </si>
  <si>
    <t>204:230524</t>
  </si>
  <si>
    <t>103-21</t>
  </si>
  <si>
    <t>204:808</t>
  </si>
  <si>
    <t>204:222698</t>
  </si>
  <si>
    <t>104-21</t>
  </si>
  <si>
    <t>204:153925</t>
  </si>
  <si>
    <t>105-21</t>
  </si>
  <si>
    <t>204:777</t>
  </si>
  <si>
    <t>204:222221</t>
  </si>
  <si>
    <t>106-21</t>
  </si>
  <si>
    <t>204:127785</t>
  </si>
  <si>
    <t>204:134</t>
  </si>
  <si>
    <t>107-21</t>
  </si>
  <si>
    <t>204:222380</t>
  </si>
  <si>
    <t>108-21</t>
  </si>
  <si>
    <t>204:154002</t>
  </si>
  <si>
    <t>204:151313</t>
  </si>
  <si>
    <t>109-21</t>
  </si>
  <si>
    <t>204:154302</t>
  </si>
  <si>
    <t>110-21</t>
  </si>
  <si>
    <t>112-21</t>
  </si>
  <si>
    <t>113-21</t>
  </si>
  <si>
    <t>204:438</t>
  </si>
  <si>
    <t>114-21</t>
  </si>
  <si>
    <t>115-21</t>
  </si>
  <si>
    <t>204:783</t>
  </si>
  <si>
    <t>204:233323</t>
  </si>
  <si>
    <t>116-21</t>
  </si>
  <si>
    <t>117-21</t>
  </si>
  <si>
    <t>118-21</t>
  </si>
  <si>
    <t>119-21</t>
  </si>
  <si>
    <t>204:744</t>
  </si>
  <si>
    <t>120-21</t>
  </si>
  <si>
    <t>121-21</t>
  </si>
  <si>
    <t>204:437</t>
  </si>
  <si>
    <t>204:233316</t>
  </si>
  <si>
    <t>122-21</t>
  </si>
  <si>
    <t>204:229020</t>
  </si>
  <si>
    <t>123-21</t>
  </si>
  <si>
    <t>204:233085</t>
  </si>
  <si>
    <t>204:779</t>
  </si>
  <si>
    <t>124-21</t>
  </si>
  <si>
    <t>204:232932</t>
  </si>
  <si>
    <t>125-21</t>
  </si>
  <si>
    <t>204:440</t>
  </si>
  <si>
    <t>126-21</t>
  </si>
  <si>
    <t>204:138</t>
  </si>
  <si>
    <t>127-21</t>
  </si>
  <si>
    <t>128-21</t>
  </si>
  <si>
    <t>129-21</t>
  </si>
  <si>
    <t>130-21</t>
  </si>
  <si>
    <t>131-21</t>
  </si>
  <si>
    <t>204:424</t>
  </si>
  <si>
    <t>204:233249</t>
  </si>
  <si>
    <t>132-21</t>
  </si>
  <si>
    <t>204:233076</t>
  </si>
  <si>
    <t>133-21</t>
  </si>
  <si>
    <t>204:544</t>
  </si>
  <si>
    <t>204:233300</t>
  </si>
  <si>
    <t>134-21</t>
  </si>
  <si>
    <t>135-21</t>
  </si>
  <si>
    <t>136-21</t>
  </si>
  <si>
    <t>137-21</t>
  </si>
  <si>
    <t>204:473</t>
  </si>
  <si>
    <t>204:233021</t>
  </si>
  <si>
    <t>138-21</t>
  </si>
  <si>
    <t>204:232860</t>
  </si>
  <si>
    <t>139-21</t>
  </si>
  <si>
    <t>140-21</t>
  </si>
  <si>
    <t>204:174</t>
  </si>
  <si>
    <t>141-21</t>
  </si>
  <si>
    <t>204:500</t>
  </si>
  <si>
    <t>142-21</t>
  </si>
  <si>
    <t>204:232972</t>
  </si>
  <si>
    <t>143-21</t>
  </si>
  <si>
    <t>144-21</t>
  </si>
  <si>
    <t>204:232988</t>
  </si>
  <si>
    <t>145-21</t>
  </si>
  <si>
    <t>204:418</t>
  </si>
  <si>
    <t>146-21</t>
  </si>
  <si>
    <t>204:232940</t>
  </si>
  <si>
    <t>147-21</t>
  </si>
  <si>
    <t>149-21</t>
  </si>
  <si>
    <t>150-21</t>
  </si>
  <si>
    <t>151-21</t>
  </si>
  <si>
    <t>204:19138</t>
  </si>
  <si>
    <t>152-21</t>
  </si>
  <si>
    <t>204:232919</t>
  </si>
  <si>
    <t>204:340</t>
  </si>
  <si>
    <t>153-21</t>
  </si>
  <si>
    <t>154-21</t>
  </si>
  <si>
    <t>156-21</t>
  </si>
  <si>
    <t>157-21</t>
  </si>
  <si>
    <t>204:231725</t>
  </si>
  <si>
    <t>158-21</t>
  </si>
  <si>
    <t>159-21</t>
  </si>
  <si>
    <t>204:233306</t>
  </si>
  <si>
    <t>160-21</t>
  </si>
  <si>
    <t>161-21</t>
  </si>
  <si>
    <t>204:1481</t>
  </si>
  <si>
    <t>162-21</t>
  </si>
  <si>
    <t>163-21</t>
  </si>
  <si>
    <t>164-21</t>
  </si>
  <si>
    <t>204:225615</t>
  </si>
  <si>
    <t>204:232415</t>
  </si>
  <si>
    <t>165-21</t>
  </si>
  <si>
    <t>204:639</t>
  </si>
  <si>
    <t>204:233097</t>
  </si>
  <si>
    <t>166-21</t>
  </si>
  <si>
    <t>204:232950</t>
  </si>
  <si>
    <t>167-21</t>
  </si>
  <si>
    <t>168-21</t>
  </si>
  <si>
    <t>204:38970</t>
  </si>
  <si>
    <t>169-21</t>
  </si>
  <si>
    <t>170-21</t>
  </si>
  <si>
    <t>204:58268</t>
  </si>
  <si>
    <t>171-21</t>
  </si>
  <si>
    <t>204:502</t>
  </si>
  <si>
    <t>172-21</t>
  </si>
  <si>
    <t>204:233008</t>
  </si>
  <si>
    <t>204:40730</t>
  </si>
  <si>
    <t>173-21</t>
  </si>
  <si>
    <t>174-21</t>
  </si>
  <si>
    <t>175-21</t>
  </si>
  <si>
    <t>204:19142</t>
  </si>
  <si>
    <t>204:10193</t>
  </si>
  <si>
    <t>176-21</t>
  </si>
  <si>
    <t>177-21</t>
  </si>
  <si>
    <t>204:233329</t>
  </si>
  <si>
    <t>180-21</t>
  </si>
  <si>
    <t>181-21</t>
  </si>
  <si>
    <t>204:19119</t>
  </si>
  <si>
    <t>204:489</t>
  </si>
  <si>
    <t>204:10001</t>
  </si>
  <si>
    <t>182-21</t>
  </si>
  <si>
    <t>183-21</t>
  </si>
  <si>
    <t>204:429</t>
  </si>
  <si>
    <t>185-21</t>
  </si>
  <si>
    <t>204:233325</t>
  </si>
  <si>
    <t>186-21</t>
  </si>
  <si>
    <t>188-21</t>
  </si>
  <si>
    <t>189-21</t>
  </si>
  <si>
    <t>204:19130</t>
  </si>
  <si>
    <t>204:18415</t>
  </si>
  <si>
    <t>191-21</t>
  </si>
  <si>
    <t>204:232049</t>
  </si>
  <si>
    <t>192-21</t>
  </si>
  <si>
    <t>193-21</t>
  </si>
  <si>
    <t>194-21</t>
  </si>
  <si>
    <t>195-21</t>
  </si>
  <si>
    <t>196-21</t>
  </si>
  <si>
    <t>197-21</t>
  </si>
  <si>
    <t>198-21</t>
  </si>
  <si>
    <t>204:232993</t>
  </si>
  <si>
    <t>199-21</t>
  </si>
  <si>
    <t>201-21</t>
  </si>
  <si>
    <t>203-21</t>
  </si>
  <si>
    <t>204:482</t>
  </si>
  <si>
    <t>800-21</t>
  </si>
  <si>
    <t>801-21</t>
  </si>
  <si>
    <t>802-21</t>
  </si>
  <si>
    <t>803-21</t>
  </si>
  <si>
    <t>804-21</t>
  </si>
  <si>
    <t>805-21</t>
  </si>
  <si>
    <t>806-21</t>
  </si>
  <si>
    <t>807-21</t>
  </si>
  <si>
    <t>808-21</t>
  </si>
  <si>
    <t>809-21</t>
  </si>
  <si>
    <t>810-21</t>
  </si>
  <si>
    <t>811-21</t>
  </si>
  <si>
    <t>812-21</t>
  </si>
  <si>
    <t>813-21</t>
  </si>
  <si>
    <t>814-21</t>
  </si>
  <si>
    <t>815-21</t>
  </si>
  <si>
    <t>816-21</t>
  </si>
  <si>
    <t>819-21</t>
  </si>
  <si>
    <t>820-21</t>
  </si>
  <si>
    <t>821-21</t>
  </si>
  <si>
    <t>822-21</t>
  </si>
  <si>
    <t>823-21</t>
  </si>
  <si>
    <t>824-21</t>
  </si>
  <si>
    <t>825-21</t>
  </si>
  <si>
    <t>826-21</t>
  </si>
  <si>
    <t>829-21</t>
  </si>
  <si>
    <t>111-21</t>
  </si>
  <si>
    <t>148-21</t>
  </si>
  <si>
    <t>155-21</t>
  </si>
  <si>
    <t>178-21</t>
  </si>
  <si>
    <t>179-21</t>
  </si>
  <si>
    <t>184-21</t>
  </si>
  <si>
    <t>187-21</t>
  </si>
  <si>
    <t>190-21</t>
  </si>
  <si>
    <t>200-21</t>
  </si>
  <si>
    <t>205-21</t>
  </si>
  <si>
    <t>232-21</t>
  </si>
  <si>
    <t>rtdc.l.rtdc.4028:itc</t>
  </si>
  <si>
    <t>RIVERA</t>
  </si>
  <si>
    <t>DAVIS</t>
  </si>
  <si>
    <t>KILLION</t>
  </si>
  <si>
    <t>STARKS</t>
  </si>
  <si>
    <t>NEWELL</t>
  </si>
  <si>
    <t>ADANE</t>
  </si>
  <si>
    <t>LEVERE</t>
  </si>
  <si>
    <t>NATION</t>
  </si>
  <si>
    <t>rtdc.l.rtdc.4027:itc</t>
  </si>
  <si>
    <t>BONDS</t>
  </si>
  <si>
    <t>GEBRETEKLE</t>
  </si>
  <si>
    <t>ALONZO</t>
  </si>
  <si>
    <t>SWITCH UNKNOWN</t>
  </si>
  <si>
    <t>Track device (7)</t>
  </si>
  <si>
    <t>UNHEALTHY CROSSING</t>
  </si>
  <si>
    <t>Other (9)</t>
  </si>
  <si>
    <t>Y</t>
  </si>
  <si>
    <t>N</t>
  </si>
  <si>
    <t>Comms</t>
  </si>
  <si>
    <t>Onboard In-route Failure</t>
  </si>
  <si>
    <t>DIA Wayside Failure</t>
  </si>
  <si>
    <t>Left Cutin</t>
  </si>
  <si>
    <t>Dispatcher Error</t>
  </si>
  <si>
    <t>Form C</t>
  </si>
  <si>
    <t>Early Arival</t>
  </si>
  <si>
    <t>Started Mid subdiv Restricted speeds enforced</t>
  </si>
  <si>
    <t>Routing CP Bright Wayside Power loss</t>
  </si>
  <si>
    <t>Poor GPS at DUS</t>
  </si>
  <si>
    <t>Possible System Enforcement</t>
  </si>
  <si>
    <t>Training enforcement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</si>
</sst>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104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0" fontId="0" fillId="0" borderId="5" xfId="0" applyBorder="1"/>
    <xf numFmtId="0" fontId="10" fillId="4" borderId="10" xfId="1" applyFont="1" applyFill="1" applyBorder="1" applyAlignment="1">
      <alignment horizontal="center"/>
    </xf>
    <xf numFmtId="0" fontId="10" fillId="0" borderId="11" xfId="1" applyFont="1" applyFill="1" applyBorder="1" applyAlignment="1">
      <alignment wrapText="1"/>
    </xf>
    <xf numFmtId="0" fontId="10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0" fontId="0" fillId="0" borderId="0" xfId="0" applyFill="1" applyBorder="1" applyAlignment="1">
      <alignment horizontal="center"/>
    </xf>
    <xf numFmtId="168" fontId="0" fillId="0" borderId="0" xfId="0" applyNumberFormat="1" applyFill="1" applyBorder="1" applyAlignment="1">
      <alignment horizontal="left"/>
    </xf>
    <xf numFmtId="0" fontId="0" fillId="2" borderId="12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/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2">
    <cellStyle name="Normal" xfId="0" builtinId="0"/>
    <cellStyle name="Normal_XINGS" xfId="1"/>
  </cellStyles>
  <dxfs count="12"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63"/>
  <sheetViews>
    <sheetView showGridLines="0" tabSelected="1" zoomScale="85" zoomScaleNormal="85" workbookViewId="0">
      <selection activeCell="A15" sqref="A15:XFD15"/>
    </sheetView>
  </sheetViews>
  <sheetFormatPr defaultRowHeight="15" x14ac:dyDescent="0.25"/>
  <cols>
    <col min="1" max="1" width="10.5703125" style="2" customWidth="1"/>
    <col min="2" max="2" width="10.7109375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36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4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52.28515625" bestFit="1" customWidth="1"/>
    <col min="19" max="19" width="11.85546875" style="49" customWidth="1"/>
    <col min="20" max="20" width="12.42578125" bestFit="1" customWidth="1"/>
    <col min="21" max="21" width="4.28515625" style="49" customWidth="1"/>
    <col min="22" max="22" width="19.28515625" style="44" customWidth="1"/>
    <col min="23" max="23" width="10.140625" style="44" customWidth="1"/>
    <col min="24" max="24" width="14.140625" style="44" customWidth="1"/>
    <col min="25" max="27" width="9.140625" style="44"/>
    <col min="28" max="28" width="10.7109375" style="45" bestFit="1" customWidth="1"/>
    <col min="29" max="29" width="17.42578125" style="45" customWidth="1"/>
  </cols>
  <sheetData>
    <row r="1" spans="1:91" ht="57.75" customHeight="1" thickBot="1" x14ac:dyDescent="0.3">
      <c r="A1" s="101" t="str">
        <f>"Eagle P3 System Performance - "&amp;TEXT(Variables!A2,"yyyy-mm-dd")</f>
        <v>Eagle P3 System Performance - 2016-06-21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</row>
    <row r="2" spans="1:91" s="11" customFormat="1" ht="69" customHeight="1" thickBot="1" x14ac:dyDescent="0.3">
      <c r="A2" s="37" t="s">
        <v>0</v>
      </c>
      <c r="B2" s="38" t="s">
        <v>44</v>
      </c>
      <c r="C2" s="38" t="s">
        <v>26</v>
      </c>
      <c r="D2" s="38" t="s">
        <v>1</v>
      </c>
      <c r="E2" s="39" t="s">
        <v>2</v>
      </c>
      <c r="F2" s="39" t="s">
        <v>3</v>
      </c>
      <c r="G2" s="40" t="s">
        <v>4</v>
      </c>
      <c r="H2" s="39" t="s">
        <v>5</v>
      </c>
      <c r="I2" s="39" t="s">
        <v>6</v>
      </c>
      <c r="J2" s="38" t="s">
        <v>7</v>
      </c>
      <c r="K2" s="38" t="s">
        <v>66</v>
      </c>
      <c r="L2" s="38" t="s">
        <v>48</v>
      </c>
      <c r="M2" s="41" t="s">
        <v>8</v>
      </c>
      <c r="N2" s="38" t="s">
        <v>41</v>
      </c>
      <c r="O2" s="42" t="s">
        <v>42</v>
      </c>
      <c r="P2" s="42" t="s">
        <v>18</v>
      </c>
      <c r="Q2" s="43" t="s">
        <v>47</v>
      </c>
      <c r="R2" s="43" t="s">
        <v>24</v>
      </c>
      <c r="S2" s="43" t="s">
        <v>161</v>
      </c>
      <c r="T2" s="10" t="s">
        <v>190</v>
      </c>
      <c r="U2" s="10" t="s">
        <v>191</v>
      </c>
      <c r="V2" s="61" t="s">
        <v>45</v>
      </c>
      <c r="W2" s="61" t="s">
        <v>23</v>
      </c>
      <c r="X2" s="61" t="s">
        <v>49</v>
      </c>
      <c r="Y2" s="61" t="s">
        <v>20</v>
      </c>
      <c r="Z2" s="61" t="s">
        <v>21</v>
      </c>
      <c r="AA2" s="61" t="s">
        <v>22</v>
      </c>
      <c r="AB2" s="62" t="s">
        <v>39</v>
      </c>
      <c r="AC2" s="62" t="s">
        <v>40</v>
      </c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</row>
    <row r="3" spans="1:91" s="2" customFormat="1" x14ac:dyDescent="0.25">
      <c r="A3" s="50" t="s">
        <v>281</v>
      </c>
      <c r="B3" s="50">
        <v>4027</v>
      </c>
      <c r="C3" s="50" t="s">
        <v>60</v>
      </c>
      <c r="D3" s="50" t="s">
        <v>282</v>
      </c>
      <c r="E3" s="26">
        <v>42542.127349537041</v>
      </c>
      <c r="F3" s="26">
        <v>42542.129293981481</v>
      </c>
      <c r="G3" s="34">
        <v>2</v>
      </c>
      <c r="H3" s="26" t="s">
        <v>283</v>
      </c>
      <c r="I3" s="26">
        <v>42542.161481481482</v>
      </c>
      <c r="J3" s="50">
        <v>1</v>
      </c>
      <c r="K3" s="50" t="str">
        <f t="shared" ref="K3:K34" si="0">IF(ISEVEN(B3),(B3-1)&amp;"/"&amp;B3,B3&amp;"/"&amp;(B3+1))</f>
        <v>4027/4028</v>
      </c>
      <c r="L3" s="50" t="str">
        <f>VLOOKUP(A3,'Trips&amp;Operators'!$C$1:$E$10000,3,FALSE)</f>
        <v>STURGEON</v>
      </c>
      <c r="M3" s="12">
        <f t="shared" ref="M3:M34" si="1">I3-F3</f>
        <v>3.2187500000873115E-2</v>
      </c>
      <c r="N3" s="13"/>
      <c r="O3" s="13"/>
      <c r="P3" s="13">
        <f>24*60*SUM($M3:$M3)</f>
        <v>46.350000001257285</v>
      </c>
      <c r="Q3" s="51"/>
      <c r="R3" s="51" t="s">
        <v>503</v>
      </c>
      <c r="S3" s="85">
        <f t="shared" ref="S3:S25" si="2">SUM(U3:U3)/12</f>
        <v>1</v>
      </c>
      <c r="T3" s="2" t="str">
        <f t="shared" ref="T3:T34" si="3">IF(ISEVEN(LEFT(A3,3)),"Southbound","NorthBound")</f>
        <v>NorthBound</v>
      </c>
      <c r="U3" s="2">
        <f>COUNTIFS(Variables!$M$2:$M$19, "&gt;=" &amp; Y3, Variables!$M$2:$M$19, "&lt;=" &amp; Z3)</f>
        <v>12</v>
      </c>
      <c r="V3" s="63" t="str">
        <f t="shared" ref="V3:V34" si="4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https://search-rtdc-monitor-bjffxe2xuh6vdkpspy63sjmuny.us-east-1.es.amazonaws.com/_plugin/kibana/#/discover/Steve-Slow-Train-Analysis-(2080s-and-2083s)?_g=(refreshInterval:(display:Off,section:0,value:0),time:(from:'2016-06-21 03:02:23-0600',mode:absolute,to:'2016-06-21 03:53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3" s="63" t="str">
        <f t="shared" ref="W3:W34" si="5">IF(AA3&lt;23,"Y","N")</f>
        <v>Y</v>
      </c>
      <c r="X3" s="63" t="e">
        <f t="shared" ref="X3:X34" si="6">VALUE(LEFT(A3,3))-VALUE(LEFT(A2,3))</f>
        <v>#VALUE!</v>
      </c>
      <c r="Y3" s="63">
        <f t="shared" ref="Y3:Y50" si="7">RIGHT(D3,LEN(D3)-4)/10000</f>
        <v>7.5499999999999998E-2</v>
      </c>
      <c r="Z3" s="63">
        <f t="shared" ref="Z3:Z37" si="8">RIGHT(H3,LEN(H3)-4)/10000</f>
        <v>21.5197</v>
      </c>
      <c r="AA3" s="63">
        <f t="shared" ref="AA3:AA34" si="9">ABS(Z3-Y3)</f>
        <v>21.444199999999999</v>
      </c>
      <c r="AB3" s="64">
        <f>VLOOKUP(A3,Enforcements!$C$3:$J$72,8,0)</f>
        <v>107939</v>
      </c>
      <c r="AC3" s="64" t="str">
        <f>VLOOKUP(A3,Enforcements!$C$3:$E$72,3,0)</f>
        <v>SWITCH UNKNOWN</v>
      </c>
    </row>
    <row r="4" spans="1:91" s="2" customFormat="1" x14ac:dyDescent="0.25">
      <c r="A4" s="50" t="s">
        <v>284</v>
      </c>
      <c r="B4" s="50">
        <v>4017</v>
      </c>
      <c r="C4" s="50" t="s">
        <v>60</v>
      </c>
      <c r="D4" s="50" t="s">
        <v>286</v>
      </c>
      <c r="E4" s="26">
        <v>42542.171435185184</v>
      </c>
      <c r="F4" s="26">
        <v>42542.172465277778</v>
      </c>
      <c r="G4" s="34">
        <v>1</v>
      </c>
      <c r="H4" s="26" t="s">
        <v>287</v>
      </c>
      <c r="I4" s="26">
        <v>42542.175717592596</v>
      </c>
      <c r="J4" s="50">
        <v>0</v>
      </c>
      <c r="K4" s="50" t="str">
        <f t="shared" si="0"/>
        <v>4017/4018</v>
      </c>
      <c r="L4" s="50" t="str">
        <f>VLOOKUP(A4,'Trips&amp;Operators'!$C$1:$E$10000,3,FALSE)</f>
        <v>STURGEON</v>
      </c>
      <c r="M4" s="12">
        <f t="shared" si="1"/>
        <v>3.2523148183827288E-3</v>
      </c>
      <c r="N4" s="13"/>
      <c r="O4" s="13"/>
      <c r="P4" s="13">
        <f>24*60*SUM($M4:$M5)</f>
        <v>35.833333338377997</v>
      </c>
      <c r="Q4" s="51"/>
      <c r="R4" s="51" t="s">
        <v>503</v>
      </c>
      <c r="S4" s="85">
        <f t="shared" si="2"/>
        <v>0</v>
      </c>
      <c r="T4" s="2" t="str">
        <f t="shared" si="3"/>
        <v>Southbound</v>
      </c>
      <c r="U4" s="2">
        <f>COUNTIFS(Variables!$M$2:$M$19, "&lt;=" &amp; Y4, Variables!$M$2:$M$19, "&gt;=" &amp; Z4)</f>
        <v>0</v>
      </c>
      <c r="V4" s="63" t="str">
        <f t="shared" si="4"/>
        <v>https://search-rtdc-monitor-bjffxe2xuh6vdkpspy63sjmuny.us-east-1.es.amazonaws.com/_plugin/kibana/#/discover/Steve-Slow-Train-Analysis-(2080s-and-2083s)?_g=(refreshInterval:(display:Off,section:0,value:0),time:(from:'2016-06-21 04:05:52-0600',mode:absolute,to:'2016-06-21 04:14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4" s="63" t="str">
        <f t="shared" si="5"/>
        <v>Y</v>
      </c>
      <c r="X4" s="63">
        <f t="shared" si="6"/>
        <v>1</v>
      </c>
      <c r="Y4" s="63">
        <f t="shared" si="7"/>
        <v>23.264800000000001</v>
      </c>
      <c r="Z4" s="63">
        <f t="shared" si="8"/>
        <v>23.052399999999999</v>
      </c>
      <c r="AA4" s="63">
        <f t="shared" si="9"/>
        <v>0.21240000000000236</v>
      </c>
      <c r="AB4" s="64">
        <f>VLOOKUP(A4,Enforcements!$C$3:$J$72,8,0)</f>
        <v>1</v>
      </c>
      <c r="AC4" s="64" t="str">
        <f>VLOOKUP(A4,Enforcements!$C$3:$E$72,3,0)</f>
        <v>TRACK WARRANT AUTHORITY</v>
      </c>
    </row>
    <row r="5" spans="1:91" s="2" customFormat="1" x14ac:dyDescent="0.25">
      <c r="A5" s="50" t="s">
        <v>284</v>
      </c>
      <c r="B5" s="50">
        <v>4017</v>
      </c>
      <c r="C5" s="50" t="s">
        <v>60</v>
      </c>
      <c r="D5" s="50" t="s">
        <v>285</v>
      </c>
      <c r="E5" s="26">
        <v>42542.183159722219</v>
      </c>
      <c r="F5" s="26">
        <v>42542.183692129627</v>
      </c>
      <c r="G5" s="34">
        <v>0</v>
      </c>
      <c r="H5" s="26" t="s">
        <v>159</v>
      </c>
      <c r="I5" s="26">
        <v>42542.205324074072</v>
      </c>
      <c r="J5" s="50">
        <v>1</v>
      </c>
      <c r="K5" s="50" t="str">
        <f t="shared" si="0"/>
        <v>4017/4018</v>
      </c>
      <c r="L5" s="50" t="str">
        <f>VLOOKUP(A5,'Trips&amp;Operators'!$C$1:$E$10000,3,FALSE)</f>
        <v>STURGEON</v>
      </c>
      <c r="M5" s="12">
        <f t="shared" si="1"/>
        <v>2.1631944444379769E-2</v>
      </c>
      <c r="N5" s="13"/>
      <c r="O5" s="13"/>
      <c r="P5" s="13">
        <f t="shared" ref="P5:P12" si="10">24*60*SUM($M5:$M5)</f>
        <v>31.149999999906868</v>
      </c>
      <c r="Q5" s="51"/>
      <c r="R5" s="51" t="s">
        <v>503</v>
      </c>
      <c r="S5" s="85">
        <f t="shared" si="2"/>
        <v>1</v>
      </c>
      <c r="T5" s="2" t="str">
        <f t="shared" si="3"/>
        <v>Southbound</v>
      </c>
      <c r="U5" s="2">
        <f>COUNTIFS(Variables!$M$2:$M$19, "&lt;=" &amp; Y5, Variables!$M$2:$M$19, "&gt;=" &amp; Z5)</f>
        <v>12</v>
      </c>
      <c r="V5" s="63" t="str">
        <f t="shared" si="4"/>
        <v>https://search-rtdc-monitor-bjffxe2xuh6vdkpspy63sjmuny.us-east-1.es.amazonaws.com/_plugin/kibana/#/discover/Steve-Slow-Train-Analysis-(2080s-and-2083s)?_g=(refreshInterval:(display:Off,section:0,value:0),time:(from:'2016-06-21 04:22:45-0600',mode:absolute,to:'2016-06-21 04:56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5" s="63" t="str">
        <f t="shared" si="5"/>
        <v>Y</v>
      </c>
      <c r="X5" s="63">
        <f t="shared" si="6"/>
        <v>0</v>
      </c>
      <c r="Y5" s="63">
        <f t="shared" si="7"/>
        <v>15.3939</v>
      </c>
      <c r="Z5" s="63">
        <f t="shared" si="8"/>
        <v>1.67E-2</v>
      </c>
      <c r="AA5" s="63">
        <f t="shared" si="9"/>
        <v>15.3772</v>
      </c>
      <c r="AB5" s="64">
        <f>VLOOKUP(A5,Enforcements!$C$3:$J$72,8,0)</f>
        <v>1</v>
      </c>
      <c r="AC5" s="64" t="str">
        <f>VLOOKUP(A5,Enforcements!$C$3:$E$72,3,0)</f>
        <v>TRACK WARRANT AUTHORITY</v>
      </c>
    </row>
    <row r="6" spans="1:91" s="2" customFormat="1" x14ac:dyDescent="0.25">
      <c r="A6" s="50" t="s">
        <v>288</v>
      </c>
      <c r="B6" s="50">
        <v>4031</v>
      </c>
      <c r="C6" s="50" t="s">
        <v>60</v>
      </c>
      <c r="D6" s="50" t="s">
        <v>289</v>
      </c>
      <c r="E6" s="26">
        <v>42542.148622685185</v>
      </c>
      <c r="F6" s="26">
        <v>42542.149687500001</v>
      </c>
      <c r="G6" s="34">
        <v>1</v>
      </c>
      <c r="H6" s="26" t="s">
        <v>290</v>
      </c>
      <c r="I6" s="26">
        <v>42542.181250000001</v>
      </c>
      <c r="J6" s="50">
        <v>0</v>
      </c>
      <c r="K6" s="50" t="str">
        <f t="shared" si="0"/>
        <v>4031/4032</v>
      </c>
      <c r="L6" s="50" t="str">
        <f>VLOOKUP(A6,'Trips&amp;Operators'!$C$1:$E$10000,3,FALSE)</f>
        <v>STARKS</v>
      </c>
      <c r="M6" s="12">
        <f t="shared" si="1"/>
        <v>3.1562500000291038E-2</v>
      </c>
      <c r="N6" s="13"/>
      <c r="O6" s="13"/>
      <c r="P6" s="13">
        <f t="shared" si="10"/>
        <v>45.450000000419095</v>
      </c>
      <c r="Q6" s="51"/>
      <c r="R6" s="51" t="s">
        <v>503</v>
      </c>
      <c r="S6" s="85">
        <f t="shared" si="2"/>
        <v>1</v>
      </c>
      <c r="T6" s="2" t="str">
        <f t="shared" si="3"/>
        <v>NorthBound</v>
      </c>
      <c r="U6" s="2">
        <f>COUNTIFS(Variables!$M$2:$M$19, "&gt;=" &amp; Y6, Variables!$M$2:$M$19, "&lt;=" &amp; Z6)</f>
        <v>12</v>
      </c>
      <c r="V6" s="63" t="str">
        <f t="shared" si="4"/>
        <v>https://search-rtdc-monitor-bjffxe2xuh6vdkpspy63sjmuny.us-east-1.es.amazonaws.com/_plugin/kibana/#/discover/Steve-Slow-Train-Analysis-(2080s-and-2083s)?_g=(refreshInterval:(display:Off,section:0,value:0),time:(from:'2016-06-21 03:33:01-0600',mode:absolute,to:'2016-06-21 04:22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6" s="63" t="str">
        <f t="shared" si="5"/>
        <v>Y</v>
      </c>
      <c r="X6" s="63">
        <f t="shared" si="6"/>
        <v>1</v>
      </c>
      <c r="Y6" s="63">
        <f t="shared" si="7"/>
        <v>8.0799999999999997E-2</v>
      </c>
      <c r="Z6" s="63">
        <f t="shared" si="8"/>
        <v>22.2698</v>
      </c>
      <c r="AA6" s="63">
        <f t="shared" si="9"/>
        <v>22.189</v>
      </c>
      <c r="AB6" s="64" t="e">
        <f>VLOOKUP(A6,Enforcements!$C$3:$J$72,8,0)</f>
        <v>#N/A</v>
      </c>
      <c r="AC6" s="64" t="e">
        <f>VLOOKUP(A6,Enforcements!$C$3:$E$72,3,0)</f>
        <v>#N/A</v>
      </c>
    </row>
    <row r="7" spans="1:91" s="2" customFormat="1" x14ac:dyDescent="0.25">
      <c r="A7" s="50" t="s">
        <v>291</v>
      </c>
      <c r="B7" s="50">
        <v>4041</v>
      </c>
      <c r="C7" s="50" t="s">
        <v>60</v>
      </c>
      <c r="D7" s="50" t="s">
        <v>292</v>
      </c>
      <c r="E7" s="26">
        <v>42542.202928240738</v>
      </c>
      <c r="F7" s="26">
        <v>42542.20385416667</v>
      </c>
      <c r="G7" s="34">
        <v>1</v>
      </c>
      <c r="H7" s="26" t="s">
        <v>67</v>
      </c>
      <c r="I7" s="26">
        <v>42542.226076388892</v>
      </c>
      <c r="J7" s="50">
        <v>3</v>
      </c>
      <c r="K7" s="50" t="str">
        <f t="shared" si="0"/>
        <v>4041/4042</v>
      </c>
      <c r="L7" s="50" t="str">
        <f>VLOOKUP(A7,'Trips&amp;Operators'!$C$1:$E$10000,3,FALSE)</f>
        <v>STARKS</v>
      </c>
      <c r="M7" s="12">
        <f t="shared" si="1"/>
        <v>2.2222222221898846E-2</v>
      </c>
      <c r="N7" s="13"/>
      <c r="O7" s="13"/>
      <c r="P7" s="13">
        <f t="shared" si="10"/>
        <v>31.999999999534339</v>
      </c>
      <c r="Q7" s="51"/>
      <c r="R7" s="51" t="s">
        <v>503</v>
      </c>
      <c r="S7" s="85">
        <f t="shared" si="2"/>
        <v>1</v>
      </c>
      <c r="T7" s="2" t="str">
        <f t="shared" si="3"/>
        <v>Southbound</v>
      </c>
      <c r="U7" s="2">
        <f>COUNTIFS(Variables!$M$2:$M$19, "&lt;=" &amp; Y7, Variables!$M$2:$M$19, "&gt;=" &amp; Z7)</f>
        <v>12</v>
      </c>
      <c r="V7" s="63" t="str">
        <f t="shared" si="4"/>
        <v>https://search-rtdc-monitor-bjffxe2xuh6vdkpspy63sjmuny.us-east-1.es.amazonaws.com/_plugin/kibana/#/discover/Steve-Slow-Train-Analysis-(2080s-and-2083s)?_g=(refreshInterval:(display:Off,section:0,value:0),time:(from:'2016-06-21 04:51:13-0600',mode:absolute,to:'2016-06-21 05:26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7" s="63" t="str">
        <f t="shared" si="5"/>
        <v>Y</v>
      </c>
      <c r="X7" s="63">
        <f t="shared" si="6"/>
        <v>1</v>
      </c>
      <c r="Y7" s="63">
        <f t="shared" si="7"/>
        <v>15.3925</v>
      </c>
      <c r="Z7" s="63">
        <f t="shared" si="8"/>
        <v>1.47E-2</v>
      </c>
      <c r="AA7" s="63">
        <f t="shared" si="9"/>
        <v>15.377800000000001</v>
      </c>
      <c r="AB7" s="64">
        <f>VLOOKUP(A7,Enforcements!$C$3:$J$72,8,0)</f>
        <v>30562</v>
      </c>
      <c r="AC7" s="64" t="str">
        <f>VLOOKUP(A7,Enforcements!$C$3:$E$72,3,0)</f>
        <v>PERMANENT SPEED RESTRICTION</v>
      </c>
    </row>
    <row r="8" spans="1:91" s="2" customFormat="1" x14ac:dyDescent="0.25">
      <c r="A8" s="50" t="s">
        <v>293</v>
      </c>
      <c r="B8" s="50">
        <v>4024</v>
      </c>
      <c r="C8" s="50" t="s">
        <v>60</v>
      </c>
      <c r="D8" s="50" t="s">
        <v>294</v>
      </c>
      <c r="E8" s="26">
        <v>42542.170474537037</v>
      </c>
      <c r="F8" s="26">
        <v>42542.171215277776</v>
      </c>
      <c r="G8" s="34">
        <v>1</v>
      </c>
      <c r="H8" s="26" t="s">
        <v>295</v>
      </c>
      <c r="I8" s="26">
        <v>42542.200381944444</v>
      </c>
      <c r="J8" s="50">
        <v>0</v>
      </c>
      <c r="K8" s="50" t="str">
        <f t="shared" si="0"/>
        <v>4023/4024</v>
      </c>
      <c r="L8" s="50" t="str">
        <f>VLOOKUP(A8,'Trips&amp;Operators'!$C$1:$E$10000,3,FALSE)</f>
        <v>ROCHA</v>
      </c>
      <c r="M8" s="12">
        <f t="shared" si="1"/>
        <v>2.9166666667151731E-2</v>
      </c>
      <c r="N8" s="13"/>
      <c r="O8" s="13"/>
      <c r="P8" s="13">
        <f t="shared" si="10"/>
        <v>42.000000000698492</v>
      </c>
      <c r="Q8" s="51"/>
      <c r="R8" s="51" t="s">
        <v>503</v>
      </c>
      <c r="S8" s="85">
        <f t="shared" si="2"/>
        <v>1</v>
      </c>
      <c r="T8" s="2" t="str">
        <f t="shared" si="3"/>
        <v>NorthBound</v>
      </c>
      <c r="U8" s="2">
        <f>COUNTIFS(Variables!$M$2:$M$19, "&gt;=" &amp; Y8, Variables!$M$2:$M$19, "&lt;=" &amp; Z8)</f>
        <v>12</v>
      </c>
      <c r="V8" s="63" t="str">
        <f t="shared" si="4"/>
        <v>https://search-rtdc-monitor-bjffxe2xuh6vdkpspy63sjmuny.us-east-1.es.amazonaws.com/_plugin/kibana/#/discover/Steve-Slow-Train-Analysis-(2080s-and-2083s)?_g=(refreshInterval:(display:Off,section:0,value:0),time:(from:'2016-06-21 04:04:29-0600',mode:absolute,to:'2016-06-21 04:49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8" s="63" t="str">
        <f t="shared" si="5"/>
        <v>Y</v>
      </c>
      <c r="X8" s="63">
        <f t="shared" si="6"/>
        <v>1</v>
      </c>
      <c r="Y8" s="63">
        <f t="shared" si="7"/>
        <v>7.7700000000000005E-2</v>
      </c>
      <c r="Z8" s="63">
        <f t="shared" si="8"/>
        <v>22.222100000000001</v>
      </c>
      <c r="AA8" s="63">
        <f t="shared" si="9"/>
        <v>22.144400000000001</v>
      </c>
      <c r="AB8" s="64" t="e">
        <f>VLOOKUP(A8,Enforcements!$C$3:$J$72,8,0)</f>
        <v>#N/A</v>
      </c>
      <c r="AC8" s="64" t="e">
        <f>VLOOKUP(A8,Enforcements!$C$3:$E$72,3,0)</f>
        <v>#N/A</v>
      </c>
    </row>
    <row r="9" spans="1:91" s="2" customFormat="1" x14ac:dyDescent="0.25">
      <c r="A9" s="50" t="s">
        <v>296</v>
      </c>
      <c r="B9" s="50">
        <v>4012</v>
      </c>
      <c r="C9" s="50" t="s">
        <v>60</v>
      </c>
      <c r="D9" s="50" t="s">
        <v>297</v>
      </c>
      <c r="E9" s="26">
        <v>42542.228530092594</v>
      </c>
      <c r="F9" s="26">
        <v>42542.22934027778</v>
      </c>
      <c r="G9" s="34">
        <v>1</v>
      </c>
      <c r="H9" s="26" t="s">
        <v>298</v>
      </c>
      <c r="I9" s="26">
        <v>42542.245023148149</v>
      </c>
      <c r="J9" s="50">
        <v>0</v>
      </c>
      <c r="K9" s="50" t="str">
        <f t="shared" si="0"/>
        <v>4011/4012</v>
      </c>
      <c r="L9" s="50" t="str">
        <f>VLOOKUP(A9,'Trips&amp;Operators'!$C$1:$E$10000,3,FALSE)</f>
        <v>ROCHA</v>
      </c>
      <c r="M9" s="12">
        <f t="shared" si="1"/>
        <v>1.5682870369346347E-2</v>
      </c>
      <c r="N9" s="13"/>
      <c r="O9" s="13"/>
      <c r="P9" s="13">
        <f t="shared" si="10"/>
        <v>22.583333331858739</v>
      </c>
      <c r="Q9" s="51"/>
      <c r="R9" s="51" t="s">
        <v>503</v>
      </c>
      <c r="S9" s="85">
        <f t="shared" si="2"/>
        <v>1</v>
      </c>
      <c r="T9" s="2" t="str">
        <f t="shared" si="3"/>
        <v>Southbound</v>
      </c>
      <c r="U9" s="2">
        <f>COUNTIFS(Variables!$M$2:$M$19, "&lt;=" &amp; Y9, Variables!$M$2:$M$19, "&gt;=" &amp; Z9)</f>
        <v>12</v>
      </c>
      <c r="V9" s="63" t="str">
        <f t="shared" si="4"/>
        <v>https://search-rtdc-monitor-bjffxe2xuh6vdkpspy63sjmuny.us-east-1.es.amazonaws.com/_plugin/kibana/#/discover/Steve-Slow-Train-Analysis-(2080s-and-2083s)?_g=(refreshInterval:(display:Off,section:0,value:0),time:(from:'2016-06-21 05:28:05-0600',mode:absolute,to:'2016-06-21 05:53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9" s="63" t="str">
        <f t="shared" si="5"/>
        <v>Y</v>
      </c>
      <c r="X9" s="63">
        <f t="shared" si="6"/>
        <v>1</v>
      </c>
      <c r="Y9" s="63">
        <f t="shared" si="7"/>
        <v>12.778499999999999</v>
      </c>
      <c r="Z9" s="63">
        <f t="shared" si="8"/>
        <v>1.34E-2</v>
      </c>
      <c r="AA9" s="63">
        <f t="shared" si="9"/>
        <v>12.765099999999999</v>
      </c>
      <c r="AB9" s="64" t="e">
        <f>VLOOKUP(A9,Enforcements!$C$3:$J$72,8,0)</f>
        <v>#N/A</v>
      </c>
      <c r="AC9" s="64" t="e">
        <f>VLOOKUP(A9,Enforcements!$C$3:$E$72,3,0)</f>
        <v>#N/A</v>
      </c>
    </row>
    <row r="10" spans="1:91" s="2" customFormat="1" x14ac:dyDescent="0.25">
      <c r="A10" s="50" t="s">
        <v>299</v>
      </c>
      <c r="B10" s="50">
        <v>4020</v>
      </c>
      <c r="C10" s="50" t="s">
        <v>60</v>
      </c>
      <c r="D10" s="50" t="s">
        <v>70</v>
      </c>
      <c r="E10" s="26">
        <v>42542.177118055559</v>
      </c>
      <c r="F10" s="26">
        <v>42542.179016203707</v>
      </c>
      <c r="G10" s="34">
        <v>2</v>
      </c>
      <c r="H10" s="26" t="s">
        <v>300</v>
      </c>
      <c r="I10" s="26">
        <v>42542.212534722225</v>
      </c>
      <c r="J10" s="50">
        <v>0</v>
      </c>
      <c r="K10" s="50" t="str">
        <f t="shared" si="0"/>
        <v>4019/4020</v>
      </c>
      <c r="L10" s="50" t="str">
        <f>VLOOKUP(A10,'Trips&amp;Operators'!$C$1:$E$10000,3,FALSE)</f>
        <v>KILLION</v>
      </c>
      <c r="M10" s="12">
        <f t="shared" si="1"/>
        <v>3.3518518517666962E-2</v>
      </c>
      <c r="N10" s="13"/>
      <c r="O10" s="13"/>
      <c r="P10" s="13">
        <f t="shared" si="10"/>
        <v>48.266666665440425</v>
      </c>
      <c r="Q10" s="51"/>
      <c r="R10" s="51" t="s">
        <v>503</v>
      </c>
      <c r="S10" s="85">
        <f t="shared" si="2"/>
        <v>1</v>
      </c>
      <c r="T10" s="2" t="str">
        <f t="shared" si="3"/>
        <v>NorthBound</v>
      </c>
      <c r="U10" s="2">
        <f>COUNTIFS(Variables!$M$2:$M$19, "&gt;=" &amp; Y10, Variables!$M$2:$M$19, "&lt;=" &amp; Z10)</f>
        <v>12</v>
      </c>
      <c r="V10" s="63" t="str">
        <f t="shared" si="4"/>
        <v>https://search-rtdc-monitor-bjffxe2xuh6vdkpspy63sjmuny.us-east-1.es.amazonaws.com/_plugin/kibana/#/discover/Steve-Slow-Train-Analysis-(2080s-and-2083s)?_g=(refreshInterval:(display:Off,section:0,value:0),time:(from:'2016-06-21 04:14:03-0600',mode:absolute,to:'2016-06-21 05:07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0" s="63" t="str">
        <f t="shared" si="5"/>
        <v>Y</v>
      </c>
      <c r="X10" s="63">
        <f t="shared" si="6"/>
        <v>1</v>
      </c>
      <c r="Y10" s="63">
        <f t="shared" si="7"/>
        <v>4.5999999999999999E-2</v>
      </c>
      <c r="Z10" s="63">
        <f t="shared" si="8"/>
        <v>22.238</v>
      </c>
      <c r="AA10" s="63">
        <f t="shared" si="9"/>
        <v>22.192</v>
      </c>
      <c r="AB10" s="64" t="e">
        <f>VLOOKUP(A10,Enforcements!$C$3:$J$72,8,0)</f>
        <v>#N/A</v>
      </c>
      <c r="AC10" s="64" t="e">
        <f>VLOOKUP(A10,Enforcements!$C$3:$E$72,3,0)</f>
        <v>#N/A</v>
      </c>
    </row>
    <row r="11" spans="1:91" s="2" customFormat="1" x14ac:dyDescent="0.25">
      <c r="A11" s="50" t="s">
        <v>301</v>
      </c>
      <c r="B11" s="50">
        <v>4019</v>
      </c>
      <c r="C11" s="50" t="s">
        <v>60</v>
      </c>
      <c r="D11" s="50" t="s">
        <v>302</v>
      </c>
      <c r="E11" s="26">
        <v>42542.233275462961</v>
      </c>
      <c r="F11" s="26">
        <v>42542.234409722223</v>
      </c>
      <c r="G11" s="34">
        <v>1</v>
      </c>
      <c r="H11" s="26" t="s">
        <v>303</v>
      </c>
      <c r="I11" s="26">
        <v>42542.235659722224</v>
      </c>
      <c r="J11" s="50">
        <v>0</v>
      </c>
      <c r="K11" s="50" t="str">
        <f t="shared" si="0"/>
        <v>4019/4020</v>
      </c>
      <c r="L11" s="50" t="str">
        <f>VLOOKUP(A11,'Trips&amp;Operators'!$C$1:$E$10000,3,FALSE)</f>
        <v>KILLION</v>
      </c>
      <c r="M11" s="12">
        <f t="shared" si="1"/>
        <v>1.2500000011641532E-3</v>
      </c>
      <c r="N11" s="13"/>
      <c r="O11" s="13"/>
      <c r="P11" s="13">
        <f t="shared" si="10"/>
        <v>1.8000000016763806</v>
      </c>
      <c r="Q11" s="51"/>
      <c r="R11" s="51" t="s">
        <v>503</v>
      </c>
      <c r="S11" s="85">
        <f t="shared" si="2"/>
        <v>0</v>
      </c>
      <c r="T11" s="2" t="str">
        <f t="shared" si="3"/>
        <v>Southbound</v>
      </c>
      <c r="U11" s="2">
        <f>COUNTIFS(Variables!$M$2:$M$19, "&lt;=" &amp; Y11, Variables!$M$2:$M$19, "&gt;=" &amp; Z11)</f>
        <v>0</v>
      </c>
      <c r="V11" s="63" t="str">
        <f t="shared" si="4"/>
        <v>https://search-rtdc-monitor-bjffxe2xuh6vdkpspy63sjmuny.us-east-1.es.amazonaws.com/_plugin/kibana/#/discover/Steve-Slow-Train-Analysis-(2080s-and-2083s)?_g=(refreshInterval:(display:Off,section:0,value:0),time:(from:'2016-06-21 05:34:55-0600',mode:absolute,to:'2016-06-21 05:40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1" s="63" t="str">
        <f t="shared" si="5"/>
        <v>Y</v>
      </c>
      <c r="X11" s="63">
        <f t="shared" si="6"/>
        <v>1</v>
      </c>
      <c r="Y11" s="63">
        <f t="shared" si="7"/>
        <v>15.4002</v>
      </c>
      <c r="Z11" s="63">
        <f t="shared" si="8"/>
        <v>15.1313</v>
      </c>
      <c r="AA11" s="63">
        <f t="shared" si="9"/>
        <v>0.26890000000000036</v>
      </c>
      <c r="AB11" s="64" t="e">
        <f>VLOOKUP(A11,Enforcements!$C$3:$J$72,8,0)</f>
        <v>#N/A</v>
      </c>
      <c r="AC11" s="64" t="e">
        <f>VLOOKUP(A11,Enforcements!$C$3:$E$72,3,0)</f>
        <v>#N/A</v>
      </c>
    </row>
    <row r="12" spans="1:91" s="2" customFormat="1" x14ac:dyDescent="0.25">
      <c r="A12" s="50" t="s">
        <v>304</v>
      </c>
      <c r="B12" s="50">
        <v>4029</v>
      </c>
      <c r="C12" s="50" t="s">
        <v>60</v>
      </c>
      <c r="D12" s="50" t="s">
        <v>89</v>
      </c>
      <c r="E12" s="26">
        <v>42542.193993055553</v>
      </c>
      <c r="F12" s="26">
        <v>42542.194988425923</v>
      </c>
      <c r="G12" s="34">
        <v>1</v>
      </c>
      <c r="H12" s="26" t="s">
        <v>305</v>
      </c>
      <c r="I12" s="26">
        <v>42542.216886574075</v>
      </c>
      <c r="J12" s="50">
        <v>0</v>
      </c>
      <c r="K12" s="50" t="str">
        <f t="shared" si="0"/>
        <v>4029/4030</v>
      </c>
      <c r="L12" s="50" t="str">
        <f>VLOOKUP(A12,'Trips&amp;Operators'!$C$1:$E$10000,3,FALSE)</f>
        <v>ACKERMAN</v>
      </c>
      <c r="M12" s="12">
        <f t="shared" si="1"/>
        <v>2.1898148152104113E-2</v>
      </c>
      <c r="N12" s="13"/>
      <c r="O12" s="13"/>
      <c r="P12" s="13">
        <f t="shared" si="10"/>
        <v>31.533333339029923</v>
      </c>
      <c r="Q12" s="51"/>
      <c r="R12" s="51" t="s">
        <v>503</v>
      </c>
      <c r="S12" s="85">
        <f t="shared" si="2"/>
        <v>1</v>
      </c>
      <c r="T12" s="2" t="str">
        <f t="shared" si="3"/>
        <v>NorthBound</v>
      </c>
      <c r="U12" s="2">
        <f>COUNTIFS(Variables!$M$2:$M$19, "&gt;=" &amp; Y12, Variables!$M$2:$M$19, "&lt;=" &amp; Z12)</f>
        <v>12</v>
      </c>
      <c r="V12" s="63" t="str">
        <f t="shared" si="4"/>
        <v>https://search-rtdc-monitor-bjffxe2xuh6vdkpspy63sjmuny.us-east-1.es.amazonaws.com/_plugin/kibana/#/discover/Steve-Slow-Train-Analysis-(2080s-and-2083s)?_g=(refreshInterval:(display:Off,section:0,value:0),time:(from:'2016-06-21 04:38:21-0600',mode:absolute,to:'2016-06-21 05:13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2" s="63" t="str">
        <f t="shared" si="5"/>
        <v>Y</v>
      </c>
      <c r="X12" s="63">
        <f t="shared" si="6"/>
        <v>1</v>
      </c>
      <c r="Y12" s="63">
        <f t="shared" si="7"/>
        <v>4.58E-2</v>
      </c>
      <c r="Z12" s="63">
        <f t="shared" si="8"/>
        <v>15.430199999999999</v>
      </c>
      <c r="AA12" s="63">
        <f t="shared" si="9"/>
        <v>15.384399999999999</v>
      </c>
      <c r="AB12" s="64" t="e">
        <f>VLOOKUP(A12,Enforcements!$C$3:$J$72,8,0)</f>
        <v>#N/A</v>
      </c>
      <c r="AC12" s="64" t="e">
        <f>VLOOKUP(A12,Enforcements!$C$3:$E$72,3,0)</f>
        <v>#N/A</v>
      </c>
    </row>
    <row r="13" spans="1:91" s="2" customFormat="1" x14ac:dyDescent="0.25">
      <c r="A13" s="50" t="s">
        <v>306</v>
      </c>
      <c r="B13" s="50">
        <v>4030</v>
      </c>
      <c r="C13" s="50" t="s">
        <v>60</v>
      </c>
      <c r="D13" s="50" t="s">
        <v>239</v>
      </c>
      <c r="E13" s="26">
        <v>42542.232268518521</v>
      </c>
      <c r="F13" s="26">
        <v>42542.23400462963</v>
      </c>
      <c r="G13" s="34">
        <v>2</v>
      </c>
      <c r="H13" s="26" t="s">
        <v>298</v>
      </c>
      <c r="I13" s="26">
        <v>42542.265833333331</v>
      </c>
      <c r="J13" s="50">
        <v>0</v>
      </c>
      <c r="K13" s="50" t="str">
        <f t="shared" si="0"/>
        <v>4029/4030</v>
      </c>
      <c r="L13" s="50" t="str">
        <f>VLOOKUP(A13,'Trips&amp;Operators'!$C$1:$E$10000,3,FALSE)</f>
        <v>ACKERMAN</v>
      </c>
      <c r="M13" s="12">
        <f t="shared" si="1"/>
        <v>3.1828703700739425E-2</v>
      </c>
      <c r="N13" s="13">
        <f t="shared" ref="N13:N23" si="11">24*60*SUM($M13:$M13)</f>
        <v>45.833333329064772</v>
      </c>
      <c r="O13" s="13"/>
      <c r="P13" s="13"/>
      <c r="Q13" s="51"/>
      <c r="R13" s="51"/>
      <c r="S13" s="85">
        <f t="shared" si="2"/>
        <v>1</v>
      </c>
      <c r="T13" s="2" t="str">
        <f t="shared" si="3"/>
        <v>Southbound</v>
      </c>
      <c r="U13" s="2">
        <f>COUNTIFS(Variables!$M$2:$M$19, "&lt;=" &amp; Y13, Variables!$M$2:$M$19, "&gt;=" &amp; Z13)</f>
        <v>12</v>
      </c>
      <c r="V13" s="63" t="str">
        <f t="shared" si="4"/>
        <v>https://search-rtdc-monitor-bjffxe2xuh6vdkpspy63sjmuny.us-east-1.es.amazonaws.com/_plugin/kibana/#/discover/Steve-Slow-Train-Analysis-(2080s-and-2083s)?_g=(refreshInterval:(display:Off,section:0,value:0),time:(from:'2016-06-21 05:33:28-0600',mode:absolute,to:'2016-06-21 06:23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3" s="63" t="str">
        <f t="shared" si="5"/>
        <v>N</v>
      </c>
      <c r="X13" s="63">
        <f t="shared" si="6"/>
        <v>1</v>
      </c>
      <c r="Y13" s="63">
        <f t="shared" si="7"/>
        <v>23.2971</v>
      </c>
      <c r="Z13" s="63">
        <f t="shared" si="8"/>
        <v>1.34E-2</v>
      </c>
      <c r="AA13" s="63">
        <f t="shared" si="9"/>
        <v>23.2837</v>
      </c>
      <c r="AB13" s="64" t="e">
        <f>VLOOKUP(A13,Enforcements!$C$3:$J$72,8,0)</f>
        <v>#N/A</v>
      </c>
      <c r="AC13" s="64" t="e">
        <f>VLOOKUP(A13,Enforcements!$C$3:$E$72,3,0)</f>
        <v>#N/A</v>
      </c>
    </row>
    <row r="14" spans="1:91" s="2" customFormat="1" x14ac:dyDescent="0.25">
      <c r="A14" s="50" t="s">
        <v>307</v>
      </c>
      <c r="B14" s="50">
        <v>4028</v>
      </c>
      <c r="C14" s="50" t="s">
        <v>60</v>
      </c>
      <c r="D14" s="50" t="s">
        <v>239</v>
      </c>
      <c r="E14" s="26">
        <v>42542.247453703705</v>
      </c>
      <c r="F14" s="26">
        <v>42542.24827546296</v>
      </c>
      <c r="G14" s="34">
        <v>1</v>
      </c>
      <c r="H14" s="26" t="s">
        <v>77</v>
      </c>
      <c r="I14" s="26">
        <v>42542.275787037041</v>
      </c>
      <c r="J14" s="50">
        <v>0</v>
      </c>
      <c r="K14" s="50" t="str">
        <f t="shared" si="0"/>
        <v>4027/4028</v>
      </c>
      <c r="L14" s="50" t="str">
        <f>VLOOKUP(A14,'Trips&amp;Operators'!$C$1:$E$10000,3,FALSE)</f>
        <v>GEBRETEKLE</v>
      </c>
      <c r="M14" s="12">
        <f t="shared" si="1"/>
        <v>2.751157408056315E-2</v>
      </c>
      <c r="N14" s="13">
        <f t="shared" si="11"/>
        <v>39.616666676010936</v>
      </c>
      <c r="O14" s="13"/>
      <c r="P14" s="13"/>
      <c r="Q14" s="51"/>
      <c r="R14" s="51"/>
      <c r="S14" s="85">
        <f t="shared" si="2"/>
        <v>1</v>
      </c>
      <c r="T14" s="2" t="str">
        <f t="shared" si="3"/>
        <v>Southbound</v>
      </c>
      <c r="U14" s="2">
        <f>COUNTIFS(Variables!$M$2:$M$19, "&lt;=" &amp; Y14, Variables!$M$2:$M$19, "&gt;=" &amp; Z14)</f>
        <v>12</v>
      </c>
      <c r="V14" s="63" t="str">
        <f t="shared" si="4"/>
        <v>https://search-rtdc-monitor-bjffxe2xuh6vdkpspy63sjmuny.us-east-1.es.amazonaws.com/_plugin/kibana/#/discover/Steve-Slow-Train-Analysis-(2080s-and-2083s)?_g=(refreshInterval:(display:Off,section:0,value:0),time:(from:'2016-06-21 05:55:20-0600',mode:absolute,to:'2016-06-21 06:38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4" s="63" t="str">
        <f t="shared" si="5"/>
        <v>N</v>
      </c>
      <c r="X14" s="63">
        <f t="shared" si="6"/>
        <v>2</v>
      </c>
      <c r="Y14" s="63">
        <f t="shared" si="7"/>
        <v>23.2971</v>
      </c>
      <c r="Z14" s="63">
        <f t="shared" si="8"/>
        <v>1.41E-2</v>
      </c>
      <c r="AA14" s="63">
        <f t="shared" si="9"/>
        <v>23.283000000000001</v>
      </c>
      <c r="AB14" s="64" t="e">
        <f>VLOOKUP(A14,Enforcements!$C$3:$J$72,8,0)</f>
        <v>#N/A</v>
      </c>
      <c r="AC14" s="64" t="e">
        <f>VLOOKUP(A14,Enforcements!$C$3:$E$72,3,0)</f>
        <v>#N/A</v>
      </c>
    </row>
    <row r="15" spans="1:91" s="2" customFormat="1" x14ac:dyDescent="0.25">
      <c r="A15" s="50" t="s">
        <v>308</v>
      </c>
      <c r="B15" s="50">
        <v>4018</v>
      </c>
      <c r="C15" s="50" t="s">
        <v>60</v>
      </c>
      <c r="D15" s="50" t="s">
        <v>309</v>
      </c>
      <c r="E15" s="26">
        <v>42542.209664351853</v>
      </c>
      <c r="F15" s="26">
        <v>42542.219583333332</v>
      </c>
      <c r="G15" s="34">
        <v>1</v>
      </c>
      <c r="H15" s="26" t="s">
        <v>148</v>
      </c>
      <c r="I15" s="26">
        <v>42542.253645833334</v>
      </c>
      <c r="J15" s="50">
        <v>0</v>
      </c>
      <c r="K15" s="50" t="str">
        <f t="shared" si="0"/>
        <v>4017/4018</v>
      </c>
      <c r="L15" s="50" t="str">
        <f>VLOOKUP(A15,'Trips&amp;Operators'!$C$1:$E$10000,3,FALSE)</f>
        <v>STAMBAUGH</v>
      </c>
      <c r="M15" s="12">
        <f t="shared" si="1"/>
        <v>3.4062500002619345E-2</v>
      </c>
      <c r="N15" s="13">
        <f t="shared" si="11"/>
        <v>49.050000003771856</v>
      </c>
      <c r="O15" s="13"/>
      <c r="P15" s="13"/>
      <c r="Q15" s="51"/>
      <c r="R15" s="51"/>
      <c r="S15" s="85">
        <f t="shared" si="2"/>
        <v>1</v>
      </c>
      <c r="T15" s="2" t="str">
        <f t="shared" si="3"/>
        <v>NorthBound</v>
      </c>
      <c r="U15" s="2">
        <f>COUNTIFS(Variables!$M$2:$M$19, "&gt;=" &amp; Y15, Variables!$M$2:$M$19, "&lt;=" &amp; Z15)</f>
        <v>12</v>
      </c>
      <c r="V15" s="63" t="str">
        <f t="shared" si="4"/>
        <v>https://search-rtdc-monitor-bjffxe2xuh6vdkpspy63sjmuny.us-east-1.es.amazonaws.com/_plugin/kibana/#/discover/Steve-Slow-Train-Analysis-(2080s-and-2083s)?_g=(refreshInterval:(display:Off,section:0,value:0),time:(from:'2016-06-21 05:00:55-0600',mode:absolute,to:'2016-06-21 06:06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5" s="63" t="str">
        <f t="shared" si="5"/>
        <v>N</v>
      </c>
      <c r="X15" s="63">
        <f t="shared" si="6"/>
        <v>1</v>
      </c>
      <c r="Y15" s="63">
        <f t="shared" si="7"/>
        <v>4.3799999999999999E-2</v>
      </c>
      <c r="Z15" s="63">
        <f t="shared" si="8"/>
        <v>23.3307</v>
      </c>
      <c r="AA15" s="63">
        <f t="shared" si="9"/>
        <v>23.286899999999999</v>
      </c>
      <c r="AB15" s="64" t="e">
        <f>VLOOKUP(A15,Enforcements!$C$3:$J$72,8,0)</f>
        <v>#N/A</v>
      </c>
      <c r="AC15" s="64" t="e">
        <f>VLOOKUP(A15,Enforcements!$C$3:$E$72,3,0)</f>
        <v>#N/A</v>
      </c>
    </row>
    <row r="16" spans="1:91" s="2" customFormat="1" x14ac:dyDescent="0.25">
      <c r="A16" s="50" t="s">
        <v>310</v>
      </c>
      <c r="B16" s="50">
        <v>4017</v>
      </c>
      <c r="C16" s="50" t="s">
        <v>60</v>
      </c>
      <c r="D16" s="50" t="s">
        <v>138</v>
      </c>
      <c r="E16" s="26">
        <v>42542.25513888889</v>
      </c>
      <c r="F16" s="26">
        <v>42542.25675925926</v>
      </c>
      <c r="G16" s="34">
        <v>2</v>
      </c>
      <c r="H16" s="26" t="s">
        <v>79</v>
      </c>
      <c r="I16" s="26">
        <v>42542.286990740744</v>
      </c>
      <c r="J16" s="50">
        <v>0</v>
      </c>
      <c r="K16" s="50" t="str">
        <f t="shared" si="0"/>
        <v>4017/4018</v>
      </c>
      <c r="L16" s="50" t="str">
        <f>VLOOKUP(A16,'Trips&amp;Operators'!$C$1:$E$10000,3,FALSE)</f>
        <v>STAMBAUGH</v>
      </c>
      <c r="M16" s="12">
        <f t="shared" si="1"/>
        <v>3.0231481483497191E-2</v>
      </c>
      <c r="N16" s="13">
        <f t="shared" si="11"/>
        <v>43.533333336235955</v>
      </c>
      <c r="O16" s="13"/>
      <c r="P16" s="13"/>
      <c r="Q16" s="51"/>
      <c r="R16" s="51"/>
      <c r="S16" s="85">
        <f t="shared" si="2"/>
        <v>1</v>
      </c>
      <c r="T16" s="2" t="str">
        <f t="shared" si="3"/>
        <v>Southbound</v>
      </c>
      <c r="U16" s="2">
        <f>COUNTIFS(Variables!$M$2:$M$19, "&lt;=" &amp; Y16, Variables!$M$2:$M$19, "&gt;=" &amp; Z16)</f>
        <v>12</v>
      </c>
      <c r="V16" s="63" t="str">
        <f t="shared" si="4"/>
        <v>https://search-rtdc-monitor-bjffxe2xuh6vdkpspy63sjmuny.us-east-1.es.amazonaws.com/_plugin/kibana/#/discover/Steve-Slow-Train-Analysis-(2080s-and-2083s)?_g=(refreshInterval:(display:Off,section:0,value:0),time:(from:'2016-06-21 06:06:24-0600',mode:absolute,to:'2016-06-21 06:54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6" s="63" t="str">
        <f t="shared" si="5"/>
        <v>N</v>
      </c>
      <c r="X16" s="63">
        <f t="shared" si="6"/>
        <v>1</v>
      </c>
      <c r="Y16" s="63">
        <f t="shared" si="7"/>
        <v>23.296900000000001</v>
      </c>
      <c r="Z16" s="63">
        <f t="shared" si="8"/>
        <v>1.49E-2</v>
      </c>
      <c r="AA16" s="63">
        <f t="shared" si="9"/>
        <v>23.282</v>
      </c>
      <c r="AB16" s="64" t="e">
        <f>VLOOKUP(A16,Enforcements!$C$3:$J$72,8,0)</f>
        <v>#N/A</v>
      </c>
      <c r="AC16" s="64" t="e">
        <f>VLOOKUP(A16,Enforcements!$C$3:$E$72,3,0)</f>
        <v>#N/A</v>
      </c>
    </row>
    <row r="17" spans="1:29" s="2" customFormat="1" x14ac:dyDescent="0.25">
      <c r="A17" s="50" t="s">
        <v>311</v>
      </c>
      <c r="B17" s="50">
        <v>4031</v>
      </c>
      <c r="C17" s="50" t="s">
        <v>60</v>
      </c>
      <c r="D17" s="50" t="s">
        <v>312</v>
      </c>
      <c r="E17" s="26">
        <v>42542.230254629627</v>
      </c>
      <c r="F17" s="26">
        <v>42542.231412037036</v>
      </c>
      <c r="G17" s="34">
        <v>1</v>
      </c>
      <c r="H17" s="26" t="s">
        <v>313</v>
      </c>
      <c r="I17" s="26">
        <v>42542.264606481483</v>
      </c>
      <c r="J17" s="50">
        <v>2</v>
      </c>
      <c r="K17" s="50" t="str">
        <f t="shared" si="0"/>
        <v>4031/4032</v>
      </c>
      <c r="L17" s="50" t="str">
        <f>VLOOKUP(A17,'Trips&amp;Operators'!$C$1:$E$10000,3,FALSE)</f>
        <v>SPECTOR</v>
      </c>
      <c r="M17" s="12">
        <f t="shared" si="1"/>
        <v>3.3194444447872229E-2</v>
      </c>
      <c r="N17" s="13">
        <f t="shared" si="11"/>
        <v>47.80000000493601</v>
      </c>
      <c r="O17" s="13"/>
      <c r="P17" s="13"/>
      <c r="Q17" s="51"/>
      <c r="R17" s="51"/>
      <c r="S17" s="85">
        <f t="shared" si="2"/>
        <v>1</v>
      </c>
      <c r="T17" s="2" t="str">
        <f t="shared" si="3"/>
        <v>NorthBound</v>
      </c>
      <c r="U17" s="2">
        <f>COUNTIFS(Variables!$M$2:$M$19, "&gt;=" &amp; Y17, Variables!$M$2:$M$19, "&lt;=" &amp; Z17)</f>
        <v>12</v>
      </c>
      <c r="V17" s="63" t="str">
        <f t="shared" si="4"/>
        <v>https://search-rtdc-monitor-bjffxe2xuh6vdkpspy63sjmuny.us-east-1.es.amazonaws.com/_plugin/kibana/#/discover/Steve-Slow-Train-Analysis-(2080s-and-2083s)?_g=(refreshInterval:(display:Off,section:0,value:0),time:(from:'2016-06-21 05:30:34-0600',mode:absolute,to:'2016-06-21 06:22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7" s="63" t="str">
        <f t="shared" si="5"/>
        <v>N</v>
      </c>
      <c r="X17" s="63">
        <f t="shared" si="6"/>
        <v>1</v>
      </c>
      <c r="Y17" s="63">
        <f t="shared" si="7"/>
        <v>7.8299999999999995E-2</v>
      </c>
      <c r="Z17" s="63">
        <f t="shared" si="8"/>
        <v>23.3323</v>
      </c>
      <c r="AA17" s="63">
        <f t="shared" si="9"/>
        <v>23.254000000000001</v>
      </c>
      <c r="AB17" s="64">
        <f>VLOOKUP(A17,Enforcements!$C$3:$J$72,8,0)</f>
        <v>210929</v>
      </c>
      <c r="AC17" s="64" t="str">
        <f>VLOOKUP(A17,Enforcements!$C$3:$E$72,3,0)</f>
        <v>SIGNAL</v>
      </c>
    </row>
    <row r="18" spans="1:29" s="2" customFormat="1" x14ac:dyDescent="0.25">
      <c r="A18" s="50" t="s">
        <v>314</v>
      </c>
      <c r="B18" s="50">
        <v>4032</v>
      </c>
      <c r="C18" s="50" t="s">
        <v>60</v>
      </c>
      <c r="D18" s="50" t="s">
        <v>152</v>
      </c>
      <c r="E18" s="26">
        <v>42542.266122685185</v>
      </c>
      <c r="F18" s="26">
        <v>42542.267233796294</v>
      </c>
      <c r="G18" s="34">
        <v>1</v>
      </c>
      <c r="H18" s="26" t="s">
        <v>133</v>
      </c>
      <c r="I18" s="26">
        <v>42542.295763888891</v>
      </c>
      <c r="J18" s="50">
        <v>0</v>
      </c>
      <c r="K18" s="50" t="str">
        <f t="shared" si="0"/>
        <v>4031/4032</v>
      </c>
      <c r="L18" s="50" t="str">
        <f>VLOOKUP(A18,'Trips&amp;Operators'!$C$1:$E$10000,3,FALSE)</f>
        <v>SPECTOR</v>
      </c>
      <c r="M18" s="12">
        <f t="shared" si="1"/>
        <v>2.8530092597065959E-2</v>
      </c>
      <c r="N18" s="13">
        <f t="shared" si="11"/>
        <v>41.083333339774981</v>
      </c>
      <c r="O18" s="13"/>
      <c r="P18" s="13"/>
      <c r="Q18" s="51"/>
      <c r="R18" s="51"/>
      <c r="S18" s="85">
        <f t="shared" si="2"/>
        <v>1</v>
      </c>
      <c r="T18" s="2" t="str">
        <f t="shared" si="3"/>
        <v>Southbound</v>
      </c>
      <c r="U18" s="2">
        <f>COUNTIFS(Variables!$M$2:$M$19, "&lt;=" &amp; Y18, Variables!$M$2:$M$19, "&gt;=" &amp; Z18)</f>
        <v>12</v>
      </c>
      <c r="V18" s="63" t="str">
        <f t="shared" si="4"/>
        <v>https://search-rtdc-monitor-bjffxe2xuh6vdkpspy63sjmuny.us-east-1.es.amazonaws.com/_plugin/kibana/#/discover/Steve-Slow-Train-Analysis-(2080s-and-2083s)?_g=(refreshInterval:(display:Off,section:0,value:0),time:(from:'2016-06-21 06:22:13-0600',mode:absolute,to:'2016-06-21 07:06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8" s="63" t="str">
        <f t="shared" si="5"/>
        <v>N</v>
      </c>
      <c r="X18" s="63">
        <f t="shared" si="6"/>
        <v>1</v>
      </c>
      <c r="Y18" s="63">
        <f t="shared" si="7"/>
        <v>23.3002</v>
      </c>
      <c r="Z18" s="63">
        <f t="shared" si="8"/>
        <v>1.3899999999999999E-2</v>
      </c>
      <c r="AA18" s="63">
        <f t="shared" si="9"/>
        <v>23.286300000000001</v>
      </c>
      <c r="AB18" s="64" t="e">
        <f>VLOOKUP(A18,Enforcements!$C$3:$J$72,8,0)</f>
        <v>#N/A</v>
      </c>
      <c r="AC18" s="64" t="e">
        <f>VLOOKUP(A18,Enforcements!$C$3:$E$72,3,0)</f>
        <v>#N/A</v>
      </c>
    </row>
    <row r="19" spans="1:29" s="2" customFormat="1" x14ac:dyDescent="0.25">
      <c r="A19" s="50" t="s">
        <v>315</v>
      </c>
      <c r="B19" s="50">
        <v>4042</v>
      </c>
      <c r="C19" s="50" t="s">
        <v>60</v>
      </c>
      <c r="D19" s="50" t="s">
        <v>167</v>
      </c>
      <c r="E19" s="26">
        <v>42542.237118055556</v>
      </c>
      <c r="F19" s="26">
        <v>42542.238113425927</v>
      </c>
      <c r="G19" s="34">
        <v>1</v>
      </c>
      <c r="H19" s="26" t="s">
        <v>115</v>
      </c>
      <c r="I19" s="26">
        <v>42542.267337962963</v>
      </c>
      <c r="J19" s="50">
        <v>3</v>
      </c>
      <c r="K19" s="50" t="str">
        <f t="shared" si="0"/>
        <v>4041/4042</v>
      </c>
      <c r="L19" s="50" t="str">
        <f>VLOOKUP(A19,'Trips&amp;Operators'!$C$1:$E$10000,3,FALSE)</f>
        <v>STARKS</v>
      </c>
      <c r="M19" s="12">
        <f t="shared" si="1"/>
        <v>2.9224537036498077E-2</v>
      </c>
      <c r="N19" s="13">
        <f t="shared" si="11"/>
        <v>42.083333332557231</v>
      </c>
      <c r="O19" s="13"/>
      <c r="P19" s="13"/>
      <c r="Q19" s="51"/>
      <c r="R19" s="51"/>
      <c r="S19" s="85">
        <f t="shared" si="2"/>
        <v>1</v>
      </c>
      <c r="T19" s="2" t="str">
        <f t="shared" si="3"/>
        <v>NorthBound</v>
      </c>
      <c r="U19" s="2">
        <f>COUNTIFS(Variables!$M$2:$M$19, "&gt;=" &amp; Y19, Variables!$M$2:$M$19, "&lt;=" &amp; Z19)</f>
        <v>12</v>
      </c>
      <c r="V19" s="63" t="str">
        <f t="shared" si="4"/>
        <v>https://search-rtdc-monitor-bjffxe2xuh6vdkpspy63sjmuny.us-east-1.es.amazonaws.com/_plugin/kibana/#/discover/Steve-Slow-Train-Analysis-(2080s-and-2083s)?_g=(refreshInterval:(display:Off,section:0,value:0),time:(from:'2016-06-21 05:40:27-0600',mode:absolute,to:'2016-06-21 06:25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9" s="63" t="str">
        <f t="shared" si="5"/>
        <v>N</v>
      </c>
      <c r="X19" s="63">
        <f t="shared" si="6"/>
        <v>1</v>
      </c>
      <c r="Y19" s="63">
        <f t="shared" si="7"/>
        <v>4.5100000000000001E-2</v>
      </c>
      <c r="Z19" s="63">
        <f t="shared" si="8"/>
        <v>23.328900000000001</v>
      </c>
      <c r="AA19" s="63">
        <f t="shared" si="9"/>
        <v>23.283799999999999</v>
      </c>
      <c r="AB19" s="64">
        <f>VLOOKUP(A19,Enforcements!$C$3:$J$72,8,0)</f>
        <v>63068</v>
      </c>
      <c r="AC19" s="64" t="str">
        <f>VLOOKUP(A19,Enforcements!$C$3:$E$72,3,0)</f>
        <v>GRADE CROSSING</v>
      </c>
    </row>
    <row r="20" spans="1:29" s="2" customFormat="1" x14ac:dyDescent="0.25">
      <c r="A20" s="50" t="s">
        <v>316</v>
      </c>
      <c r="B20" s="50">
        <v>4041</v>
      </c>
      <c r="C20" s="50" t="s">
        <v>60</v>
      </c>
      <c r="D20" s="50" t="s">
        <v>84</v>
      </c>
      <c r="E20" s="26">
        <v>42542.277013888888</v>
      </c>
      <c r="F20" s="26">
        <v>42542.277928240743</v>
      </c>
      <c r="G20" s="34">
        <v>1</v>
      </c>
      <c r="H20" s="26" t="s">
        <v>179</v>
      </c>
      <c r="I20" s="26">
        <v>42542.31040509259</v>
      </c>
      <c r="J20" s="50">
        <v>1</v>
      </c>
      <c r="K20" s="50" t="str">
        <f t="shared" si="0"/>
        <v>4041/4042</v>
      </c>
      <c r="L20" s="50" t="str">
        <f>VLOOKUP(A20,'Trips&amp;Operators'!$C$1:$E$10000,3,FALSE)</f>
        <v>STARKS</v>
      </c>
      <c r="M20" s="12">
        <f t="shared" si="1"/>
        <v>3.2476851847604848E-2</v>
      </c>
      <c r="N20" s="13">
        <f t="shared" si="11"/>
        <v>46.766666660550982</v>
      </c>
      <c r="O20" s="13"/>
      <c r="P20" s="13"/>
      <c r="Q20" s="51"/>
      <c r="R20" s="51"/>
      <c r="S20" s="85">
        <f t="shared" si="2"/>
        <v>1</v>
      </c>
      <c r="T20" s="2" t="str">
        <f t="shared" si="3"/>
        <v>Southbound</v>
      </c>
      <c r="U20" s="2">
        <f>COUNTIFS(Variables!$M$2:$M$19, "&lt;=" &amp; Y20, Variables!$M$2:$M$19, "&gt;=" &amp; Z20)</f>
        <v>12</v>
      </c>
      <c r="V20" s="63" t="str">
        <f t="shared" si="4"/>
        <v>https://search-rtdc-monitor-bjffxe2xuh6vdkpspy63sjmuny.us-east-1.es.amazonaws.com/_plugin/kibana/#/discover/Steve-Slow-Train-Analysis-(2080s-and-2083s)?_g=(refreshInterval:(display:Off,section:0,value:0),time:(from:'2016-06-21 06:37:54-0600',mode:absolute,to:'2016-06-21 07:27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20" s="63" t="str">
        <f t="shared" si="5"/>
        <v>N</v>
      </c>
      <c r="X20" s="63">
        <f t="shared" si="6"/>
        <v>1</v>
      </c>
      <c r="Y20" s="63">
        <f t="shared" si="7"/>
        <v>23.297799999999999</v>
      </c>
      <c r="Z20" s="63">
        <f t="shared" si="8"/>
        <v>1.32E-2</v>
      </c>
      <c r="AA20" s="63">
        <f t="shared" si="9"/>
        <v>23.284599999999998</v>
      </c>
      <c r="AB20" s="64">
        <f>VLOOKUP(A20,Enforcements!$C$3:$J$72,8,0)</f>
        <v>1</v>
      </c>
      <c r="AC20" s="64" t="str">
        <f>VLOOKUP(A20,Enforcements!$C$3:$E$72,3,0)</f>
        <v>TRACK WARRANT AUTHORITY</v>
      </c>
    </row>
    <row r="21" spans="1:29" s="2" customFormat="1" x14ac:dyDescent="0.25">
      <c r="A21" s="50" t="s">
        <v>317</v>
      </c>
      <c r="B21" s="50">
        <v>4024</v>
      </c>
      <c r="C21" s="50" t="s">
        <v>60</v>
      </c>
      <c r="D21" s="50" t="s">
        <v>318</v>
      </c>
      <c r="E21" s="26">
        <v>42542.249618055554</v>
      </c>
      <c r="F21" s="26">
        <v>42542.250324074077</v>
      </c>
      <c r="G21" s="34">
        <v>1</v>
      </c>
      <c r="H21" s="26" t="s">
        <v>147</v>
      </c>
      <c r="I21" s="26">
        <v>42542.276388888888</v>
      </c>
      <c r="J21" s="50">
        <v>1</v>
      </c>
      <c r="K21" s="50" t="str">
        <f t="shared" si="0"/>
        <v>4023/4024</v>
      </c>
      <c r="L21" s="50" t="str">
        <f>VLOOKUP(A21,'Trips&amp;Operators'!$C$1:$E$10000,3,FALSE)</f>
        <v>ROCHA</v>
      </c>
      <c r="M21" s="12">
        <f t="shared" si="1"/>
        <v>2.6064814810524695E-2</v>
      </c>
      <c r="N21" s="13">
        <f t="shared" si="11"/>
        <v>37.53333332715556</v>
      </c>
      <c r="O21" s="13"/>
      <c r="P21" s="13"/>
      <c r="Q21" s="51"/>
      <c r="R21" s="51"/>
      <c r="S21" s="85">
        <f t="shared" si="2"/>
        <v>1</v>
      </c>
      <c r="T21" s="2" t="str">
        <f t="shared" si="3"/>
        <v>NorthBound</v>
      </c>
      <c r="U21" s="2">
        <f>COUNTIFS(Variables!$M$2:$M$19, "&gt;=" &amp; Y21, Variables!$M$2:$M$19, "&lt;=" &amp; Z21)</f>
        <v>12</v>
      </c>
      <c r="V21" s="63" t="str">
        <f t="shared" si="4"/>
        <v>https://search-rtdc-monitor-bjffxe2xuh6vdkpspy63sjmuny.us-east-1.es.amazonaws.com/_plugin/kibana/#/discover/Steve-Slow-Train-Analysis-(2080s-and-2083s)?_g=(refreshInterval:(display:Off,section:0,value:0),time:(from:'2016-06-21 05:58:27-0600',mode:absolute,to:'2016-06-21 06:39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21" s="63" t="str">
        <f t="shared" si="5"/>
        <v>N</v>
      </c>
      <c r="X21" s="63">
        <f t="shared" si="6"/>
        <v>1</v>
      </c>
      <c r="Y21" s="63">
        <f t="shared" si="7"/>
        <v>7.4399999999999994E-2</v>
      </c>
      <c r="Z21" s="63">
        <f t="shared" si="8"/>
        <v>23.331</v>
      </c>
      <c r="AA21" s="63">
        <f t="shared" si="9"/>
        <v>23.256599999999999</v>
      </c>
      <c r="AB21" s="64">
        <f>VLOOKUP(A21,Enforcements!$C$3:$J$72,8,0)</f>
        <v>232107</v>
      </c>
      <c r="AC21" s="64" t="str">
        <f>VLOOKUP(A21,Enforcements!$C$3:$E$72,3,0)</f>
        <v>PERMANENT SPEED RESTRICTION</v>
      </c>
    </row>
    <row r="22" spans="1:29" s="2" customFormat="1" x14ac:dyDescent="0.25">
      <c r="A22" s="50" t="s">
        <v>319</v>
      </c>
      <c r="B22" s="50">
        <v>4023</v>
      </c>
      <c r="C22" s="50" t="s">
        <v>60</v>
      </c>
      <c r="D22" s="50" t="s">
        <v>76</v>
      </c>
      <c r="E22" s="26">
        <v>42542.286770833336</v>
      </c>
      <c r="F22" s="26">
        <v>42542.288043981483</v>
      </c>
      <c r="G22" s="34">
        <v>1</v>
      </c>
      <c r="H22" s="26" t="s">
        <v>153</v>
      </c>
      <c r="I22" s="26">
        <v>42542.315115740741</v>
      </c>
      <c r="J22" s="50">
        <v>1</v>
      </c>
      <c r="K22" s="50" t="str">
        <f t="shared" si="0"/>
        <v>4023/4024</v>
      </c>
      <c r="L22" s="50" t="str">
        <f>VLOOKUP(A22,'Trips&amp;Operators'!$C$1:$E$10000,3,FALSE)</f>
        <v>ROCHA</v>
      </c>
      <c r="M22" s="12">
        <f t="shared" si="1"/>
        <v>2.7071759257523809E-2</v>
      </c>
      <c r="N22" s="13">
        <f t="shared" si="11"/>
        <v>38.983333330834284</v>
      </c>
      <c r="O22" s="13"/>
      <c r="P22" s="13"/>
      <c r="Q22" s="51"/>
      <c r="R22" s="51"/>
      <c r="S22" s="85">
        <f t="shared" si="2"/>
        <v>1</v>
      </c>
      <c r="T22" s="2" t="str">
        <f t="shared" si="3"/>
        <v>Southbound</v>
      </c>
      <c r="U22" s="2">
        <f>COUNTIFS(Variables!$M$2:$M$19, "&lt;=" &amp; Y22, Variables!$M$2:$M$19, "&gt;=" &amp; Z22)</f>
        <v>12</v>
      </c>
      <c r="V22" s="63" t="str">
        <f t="shared" si="4"/>
        <v>https://search-rtdc-monitor-bjffxe2xuh6vdkpspy63sjmuny.us-east-1.es.amazonaws.com/_plugin/kibana/#/discover/Steve-Slow-Train-Analysis-(2080s-and-2083s)?_g=(refreshInterval:(display:Off,section:0,value:0),time:(from:'2016-06-21 06:51:57-0600',mode:absolute,to:'2016-06-21 07:34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22" s="63" t="str">
        <f t="shared" si="5"/>
        <v>N</v>
      </c>
      <c r="X22" s="63">
        <f t="shared" si="6"/>
        <v>1</v>
      </c>
      <c r="Y22" s="63">
        <f t="shared" si="7"/>
        <v>23.299099999999999</v>
      </c>
      <c r="Z22" s="63">
        <f t="shared" si="8"/>
        <v>1.7600000000000001E-2</v>
      </c>
      <c r="AA22" s="63">
        <f t="shared" si="9"/>
        <v>23.281499999999998</v>
      </c>
      <c r="AB22" s="64">
        <f>VLOOKUP(A22,Enforcements!$C$3:$J$72,8,0)</f>
        <v>1</v>
      </c>
      <c r="AC22" s="64" t="str">
        <f>VLOOKUP(A22,Enforcements!$C$3:$E$72,3,0)</f>
        <v>TRACK WARRANT AUTHORITY</v>
      </c>
    </row>
    <row r="23" spans="1:29" s="2" customFormat="1" x14ac:dyDescent="0.25">
      <c r="A23" s="50" t="s">
        <v>320</v>
      </c>
      <c r="B23" s="50">
        <v>4011</v>
      </c>
      <c r="C23" s="50" t="s">
        <v>60</v>
      </c>
      <c r="D23" s="50" t="s">
        <v>321</v>
      </c>
      <c r="E23" s="26">
        <v>42542.258171296293</v>
      </c>
      <c r="F23" s="26">
        <v>42542.259050925924</v>
      </c>
      <c r="G23" s="34">
        <v>1</v>
      </c>
      <c r="H23" s="26" t="s">
        <v>322</v>
      </c>
      <c r="I23" s="26">
        <v>42542.287291666667</v>
      </c>
      <c r="J23" s="50">
        <v>0</v>
      </c>
      <c r="K23" s="50" t="str">
        <f t="shared" si="0"/>
        <v>4011/4012</v>
      </c>
      <c r="L23" s="50" t="str">
        <f>VLOOKUP(A23,'Trips&amp;Operators'!$C$1:$E$10000,3,FALSE)</f>
        <v>KILLION</v>
      </c>
      <c r="M23" s="12">
        <f t="shared" si="1"/>
        <v>2.8240740743058268E-2</v>
      </c>
      <c r="N23" s="13">
        <f t="shared" si="11"/>
        <v>40.666666670003906</v>
      </c>
      <c r="O23" s="13"/>
      <c r="P23" s="13"/>
      <c r="Q23" s="51"/>
      <c r="R23" s="51"/>
      <c r="S23" s="85">
        <f t="shared" si="2"/>
        <v>1</v>
      </c>
      <c r="T23" s="2" t="str">
        <f t="shared" si="3"/>
        <v>NorthBound</v>
      </c>
      <c r="U23" s="2">
        <f>COUNTIFS(Variables!$M$2:$M$19, "&gt;=" &amp; Y23, Variables!$M$2:$M$19, "&lt;=" &amp; Z23)</f>
        <v>12</v>
      </c>
      <c r="V23" s="63" t="str">
        <f t="shared" si="4"/>
        <v>https://search-rtdc-monitor-bjffxe2xuh6vdkpspy63sjmuny.us-east-1.es.amazonaws.com/_plugin/kibana/#/discover/Steve-Slow-Train-Analysis-(2080s-and-2083s)?_g=(refreshInterval:(display:Off,section:0,value:0),time:(from:'2016-06-21 06:10:46-0600',mode:absolute,to:'2016-06-21 06:54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23" s="63" t="str">
        <f t="shared" si="5"/>
        <v>N</v>
      </c>
      <c r="X23" s="63">
        <f t="shared" si="6"/>
        <v>1</v>
      </c>
      <c r="Y23" s="63">
        <f t="shared" si="7"/>
        <v>4.3700000000000003E-2</v>
      </c>
      <c r="Z23" s="63">
        <f t="shared" si="8"/>
        <v>23.331600000000002</v>
      </c>
      <c r="AA23" s="63">
        <f t="shared" si="9"/>
        <v>23.2879</v>
      </c>
      <c r="AB23" s="64" t="e">
        <f>VLOOKUP(A23,Enforcements!$C$3:$J$72,8,0)</f>
        <v>#N/A</v>
      </c>
      <c r="AC23" s="64" t="e">
        <f>VLOOKUP(A23,Enforcements!$C$3:$E$72,3,0)</f>
        <v>#N/A</v>
      </c>
    </row>
    <row r="24" spans="1:29" s="2" customFormat="1" x14ac:dyDescent="0.25">
      <c r="A24" s="50" t="s">
        <v>323</v>
      </c>
      <c r="B24" s="50">
        <v>4012</v>
      </c>
      <c r="C24" s="50" t="s">
        <v>60</v>
      </c>
      <c r="D24" s="50" t="s">
        <v>246</v>
      </c>
      <c r="E24" s="26">
        <v>42542.295659722222</v>
      </c>
      <c r="F24" s="26">
        <v>42542.297442129631</v>
      </c>
      <c r="G24" s="34">
        <v>2</v>
      </c>
      <c r="H24" s="26" t="s">
        <v>324</v>
      </c>
      <c r="I24" s="26">
        <v>42542.300300925926</v>
      </c>
      <c r="J24" s="50">
        <v>0</v>
      </c>
      <c r="K24" s="50" t="str">
        <f t="shared" si="0"/>
        <v>4011/4012</v>
      </c>
      <c r="L24" s="50" t="str">
        <f>VLOOKUP(A24,'Trips&amp;Operators'!$C$1:$E$10000,3,FALSE)</f>
        <v>KILLION</v>
      </c>
      <c r="M24" s="12">
        <f t="shared" si="1"/>
        <v>2.8587962951860391E-3</v>
      </c>
      <c r="N24" s="13"/>
      <c r="O24" s="13"/>
      <c r="P24" s="13">
        <f>24*60*SUM($M24:$M24)</f>
        <v>4.1166666650678962</v>
      </c>
      <c r="Q24" s="51"/>
      <c r="R24" s="51" t="s">
        <v>502</v>
      </c>
      <c r="S24" s="85">
        <f t="shared" si="2"/>
        <v>0</v>
      </c>
      <c r="T24" s="2" t="str">
        <f t="shared" si="3"/>
        <v>Southbound</v>
      </c>
      <c r="U24" s="2">
        <f>COUNTIFS(Variables!$M$2:$M$19, "&lt;=" &amp; Y24, Variables!$M$2:$M$19, "&gt;=" &amp; Z24)</f>
        <v>0</v>
      </c>
      <c r="V24" s="63" t="str">
        <f t="shared" si="4"/>
        <v>https://search-rtdc-monitor-bjffxe2xuh6vdkpspy63sjmuny.us-east-1.es.amazonaws.com/_plugin/kibana/#/discover/Steve-Slow-Train-Analysis-(2080s-and-2083s)?_g=(refreshInterval:(display:Off,section:0,value:0),time:(from:'2016-06-21 07:04:45-0600',mode:absolute,to:'2016-06-21 07:13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24" s="63" t="str">
        <f t="shared" si="5"/>
        <v>Y</v>
      </c>
      <c r="X24" s="63">
        <f t="shared" si="6"/>
        <v>1</v>
      </c>
      <c r="Y24" s="63">
        <f t="shared" si="7"/>
        <v>23.3</v>
      </c>
      <c r="Z24" s="63">
        <f t="shared" si="8"/>
        <v>22.902000000000001</v>
      </c>
      <c r="AA24" s="63">
        <f t="shared" si="9"/>
        <v>0.39799999999999969</v>
      </c>
      <c r="AB24" s="64" t="e">
        <f>VLOOKUP(A24,Enforcements!$C$3:$J$72,8,0)</f>
        <v>#N/A</v>
      </c>
      <c r="AC24" s="64" t="e">
        <f>VLOOKUP(A24,Enforcements!$C$3:$E$72,3,0)</f>
        <v>#N/A</v>
      </c>
    </row>
    <row r="25" spans="1:29" s="2" customFormat="1" x14ac:dyDescent="0.25">
      <c r="A25" s="50" t="s">
        <v>325</v>
      </c>
      <c r="B25" s="50">
        <v>4029</v>
      </c>
      <c r="C25" s="50" t="s">
        <v>60</v>
      </c>
      <c r="D25" s="50" t="s">
        <v>157</v>
      </c>
      <c r="E25" s="26">
        <v>42542.268680555557</v>
      </c>
      <c r="F25" s="26">
        <v>42542.269849537035</v>
      </c>
      <c r="G25" s="34">
        <v>1</v>
      </c>
      <c r="H25" s="26" t="s">
        <v>327</v>
      </c>
      <c r="I25" s="26">
        <v>42542.272268518522</v>
      </c>
      <c r="J25" s="50">
        <v>0</v>
      </c>
      <c r="K25" s="50" t="str">
        <f t="shared" si="0"/>
        <v>4029/4030</v>
      </c>
      <c r="L25" s="50" t="str">
        <f>VLOOKUP(A25,'Trips&amp;Operators'!$C$1:$E$10000,3,FALSE)</f>
        <v>ACKERMAN</v>
      </c>
      <c r="M25" s="12">
        <f t="shared" si="1"/>
        <v>2.4189814866986126E-3</v>
      </c>
      <c r="N25" s="13"/>
      <c r="O25" s="13"/>
      <c r="P25" s="13">
        <f>24*60*SUM($M25:$M26)</f>
        <v>38.833333337679505</v>
      </c>
      <c r="Q25" s="51"/>
      <c r="R25" s="51" t="s">
        <v>510</v>
      </c>
      <c r="S25" s="85">
        <f t="shared" si="2"/>
        <v>0</v>
      </c>
      <c r="T25" s="2" t="str">
        <f t="shared" si="3"/>
        <v>NorthBound</v>
      </c>
      <c r="U25" s="2">
        <f>COUNTIFS(Variables!$M$2:$M$19, "&gt;=" &amp; Y25, Variables!$M$2:$M$19, "&lt;=" &amp; Z25)</f>
        <v>0</v>
      </c>
      <c r="V25" s="63" t="str">
        <f t="shared" si="4"/>
        <v>https://search-rtdc-monitor-bjffxe2xuh6vdkpspy63sjmuny.us-east-1.es.amazonaws.com/_plugin/kibana/#/discover/Steve-Slow-Train-Analysis-(2080s-and-2083s)?_g=(refreshInterval:(display:Off,section:0,value:0),time:(from:'2016-06-21 06:25:54-0600',mode:absolute,to:'2016-06-21 06:33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25" s="63" t="str">
        <f t="shared" si="5"/>
        <v>Y</v>
      </c>
      <c r="X25" s="63">
        <f t="shared" si="6"/>
        <v>1</v>
      </c>
      <c r="Y25" s="63">
        <f t="shared" si="7"/>
        <v>4.3099999999999999E-2</v>
      </c>
      <c r="Z25" s="63">
        <f t="shared" si="8"/>
        <v>7.7899999999999997E-2</v>
      </c>
      <c r="AA25" s="63">
        <f t="shared" si="9"/>
        <v>3.4799999999999998E-2</v>
      </c>
      <c r="AB25" s="64">
        <f>VLOOKUP(A25,Enforcements!$C$3:$J$72,8,0)</f>
        <v>233491</v>
      </c>
      <c r="AC25" s="64" t="str">
        <f>VLOOKUP(A25,Enforcements!$C$3:$E$72,3,0)</f>
        <v>TRACK WARRANT AUTHORITY</v>
      </c>
    </row>
    <row r="26" spans="1:29" s="2" customFormat="1" x14ac:dyDescent="0.25">
      <c r="A26" s="50" t="s">
        <v>325</v>
      </c>
      <c r="B26" s="50">
        <v>4029</v>
      </c>
      <c r="C26" s="50" t="s">
        <v>60</v>
      </c>
      <c r="D26" s="50" t="s">
        <v>182</v>
      </c>
      <c r="E26" s="26">
        <v>42542.27752314815</v>
      </c>
      <c r="F26" s="26">
        <v>42542.27820601852</v>
      </c>
      <c r="G26" s="34">
        <v>0</v>
      </c>
      <c r="H26" s="26" t="s">
        <v>326</v>
      </c>
      <c r="I26" s="26">
        <v>42542.302754629629</v>
      </c>
      <c r="J26" s="50">
        <v>2</v>
      </c>
      <c r="K26" s="50" t="str">
        <f t="shared" si="0"/>
        <v>4029/4030</v>
      </c>
      <c r="L26" s="50" t="str">
        <f>VLOOKUP(A26,'Trips&amp;Operators'!$C$1:$E$10000,3,FALSE)</f>
        <v>ACKERMAN</v>
      </c>
      <c r="M26" s="12">
        <f t="shared" si="1"/>
        <v>2.4548611108912155E-2</v>
      </c>
      <c r="N26" s="13"/>
      <c r="O26" s="13"/>
      <c r="P26" s="13"/>
      <c r="Q26" s="51"/>
      <c r="R26" s="51"/>
      <c r="S26" s="85"/>
      <c r="T26" s="2" t="str">
        <f t="shared" si="3"/>
        <v>NorthBound</v>
      </c>
      <c r="U26" s="2">
        <f>COUNTIFS(Variables!$M$2:$M$19, "&gt;=" &amp; Y26, Variables!$M$2:$M$19, "&lt;=" &amp; Z26)</f>
        <v>12</v>
      </c>
      <c r="V26" s="63" t="str">
        <f t="shared" si="4"/>
        <v>https://search-rtdc-monitor-bjffxe2xuh6vdkpspy63sjmuny.us-east-1.es.amazonaws.com/_plugin/kibana/#/discover/Steve-Slow-Train-Analysis-(2080s-and-2083s)?_g=(refreshInterval:(display:Off,section:0,value:0),time:(from:'2016-06-21 06:38:38-0600',mode:absolute,to:'2016-06-21 07:16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26" s="63" t="str">
        <f t="shared" si="5"/>
        <v>Y</v>
      </c>
      <c r="X26" s="63">
        <f t="shared" si="6"/>
        <v>0</v>
      </c>
      <c r="Y26" s="63">
        <f t="shared" si="7"/>
        <v>1.9133</v>
      </c>
      <c r="Z26" s="63">
        <f t="shared" si="8"/>
        <v>23.308499999999999</v>
      </c>
      <c r="AA26" s="63">
        <f t="shared" si="9"/>
        <v>21.395199999999999</v>
      </c>
      <c r="AB26" s="64">
        <f>VLOOKUP(A26,Enforcements!$C$3:$J$72,8,0)</f>
        <v>233491</v>
      </c>
      <c r="AC26" s="64" t="str">
        <f>VLOOKUP(A26,Enforcements!$C$3:$E$72,3,0)</f>
        <v>TRACK WARRANT AUTHORITY</v>
      </c>
    </row>
    <row r="27" spans="1:29" s="2" customFormat="1" x14ac:dyDescent="0.25">
      <c r="A27" s="50" t="s">
        <v>328</v>
      </c>
      <c r="B27" s="50">
        <v>4030</v>
      </c>
      <c r="C27" s="50" t="s">
        <v>60</v>
      </c>
      <c r="D27" s="50" t="s">
        <v>329</v>
      </c>
      <c r="E27" s="26">
        <v>42542.307199074072</v>
      </c>
      <c r="F27" s="26">
        <v>42542.30809027778</v>
      </c>
      <c r="G27" s="34">
        <v>1</v>
      </c>
      <c r="H27" s="26" t="s">
        <v>67</v>
      </c>
      <c r="I27" s="26">
        <v>42542.338831018518</v>
      </c>
      <c r="J27" s="50">
        <v>0</v>
      </c>
      <c r="K27" s="50" t="str">
        <f t="shared" si="0"/>
        <v>4029/4030</v>
      </c>
      <c r="L27" s="50" t="str">
        <f>VLOOKUP(A27,'Trips&amp;Operators'!$C$1:$E$10000,3,FALSE)</f>
        <v>ACKERMAN</v>
      </c>
      <c r="M27" s="12">
        <f t="shared" si="1"/>
        <v>3.0740740738110617E-2</v>
      </c>
      <c r="N27" s="13">
        <f t="shared" ref="N27:N33" si="12">24*60*SUM($M27:$M27)</f>
        <v>44.266666662879288</v>
      </c>
      <c r="O27" s="13"/>
      <c r="P27" s="13"/>
      <c r="Q27" s="51"/>
      <c r="R27" s="51"/>
      <c r="S27" s="85">
        <f t="shared" ref="S27:S58" si="13">SUM(U27:U27)/12</f>
        <v>1</v>
      </c>
      <c r="T27" s="2" t="str">
        <f t="shared" si="3"/>
        <v>Southbound</v>
      </c>
      <c r="U27" s="2">
        <f>COUNTIFS(Variables!$M$2:$M$19, "&lt;=" &amp; Y27, Variables!$M$2:$M$19, "&gt;=" &amp; Z27)</f>
        <v>12</v>
      </c>
      <c r="V27" s="63" t="str">
        <f t="shared" si="4"/>
        <v>https://search-rtdc-monitor-bjffxe2xuh6vdkpspy63sjmuny.us-east-1.es.amazonaws.com/_plugin/kibana/#/discover/Steve-Slow-Train-Analysis-(2080s-and-2083s)?_g=(refreshInterval:(display:Off,section:0,value:0),time:(from:'2016-06-21 07:21:22-0600',mode:absolute,to:'2016-06-21 08:08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27" s="63" t="str">
        <f t="shared" si="5"/>
        <v>N</v>
      </c>
      <c r="X27" s="63">
        <f t="shared" si="6"/>
        <v>1</v>
      </c>
      <c r="Y27" s="63">
        <f t="shared" si="7"/>
        <v>23.293199999999999</v>
      </c>
      <c r="Z27" s="63">
        <f t="shared" si="8"/>
        <v>1.47E-2</v>
      </c>
      <c r="AA27" s="63">
        <f t="shared" si="9"/>
        <v>23.278499999999998</v>
      </c>
      <c r="AB27" s="64" t="e">
        <f>VLOOKUP(A27,Enforcements!$C$3:$J$72,8,0)</f>
        <v>#N/A</v>
      </c>
      <c r="AC27" s="64" t="e">
        <f>VLOOKUP(A27,Enforcements!$C$3:$E$72,3,0)</f>
        <v>#N/A</v>
      </c>
    </row>
    <row r="28" spans="1:29" s="2" customFormat="1" x14ac:dyDescent="0.25">
      <c r="A28" s="50" t="s">
        <v>330</v>
      </c>
      <c r="B28" s="50">
        <v>4027</v>
      </c>
      <c r="C28" s="50" t="s">
        <v>60</v>
      </c>
      <c r="D28" s="50" t="s">
        <v>331</v>
      </c>
      <c r="E28" s="26">
        <v>42542.277037037034</v>
      </c>
      <c r="F28" s="26">
        <v>42542.278622685182</v>
      </c>
      <c r="G28" s="34">
        <v>2</v>
      </c>
      <c r="H28" s="26" t="s">
        <v>119</v>
      </c>
      <c r="I28" s="26">
        <v>42542.309895833336</v>
      </c>
      <c r="J28" s="50">
        <v>1</v>
      </c>
      <c r="K28" s="50" t="str">
        <f t="shared" si="0"/>
        <v>4027/4028</v>
      </c>
      <c r="L28" s="50" t="str">
        <f>VLOOKUP(A28,'Trips&amp;Operators'!$C$1:$E$10000,3,FALSE)</f>
        <v>GEBRETEKLE</v>
      </c>
      <c r="M28" s="12">
        <f t="shared" si="1"/>
        <v>3.1273148153559305E-2</v>
      </c>
      <c r="N28" s="13">
        <f t="shared" si="12"/>
        <v>45.033333341125399</v>
      </c>
      <c r="O28" s="13"/>
      <c r="P28" s="13"/>
      <c r="Q28" s="51"/>
      <c r="R28" s="51"/>
      <c r="S28" s="85">
        <f t="shared" si="13"/>
        <v>1</v>
      </c>
      <c r="T28" s="2" t="str">
        <f t="shared" si="3"/>
        <v>NorthBound</v>
      </c>
      <c r="U28" s="2">
        <f>COUNTIFS(Variables!$M$2:$M$19, "&gt;=" &amp; Y28, Variables!$M$2:$M$19, "&lt;=" &amp; Z28)</f>
        <v>12</v>
      </c>
      <c r="V28" s="63" t="str">
        <f t="shared" si="4"/>
        <v>https://search-rtdc-monitor-bjffxe2xuh6vdkpspy63sjmuny.us-east-1.es.amazonaws.com/_plugin/kibana/#/discover/Steve-Slow-Train-Analysis-(2080s-and-2083s)?_g=(refreshInterval:(display:Off,section:0,value:0),time:(from:'2016-06-21 06:37:56-0600',mode:absolute,to:'2016-06-21 07:27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28" s="63" t="str">
        <f t="shared" si="5"/>
        <v>N</v>
      </c>
      <c r="X28" s="63">
        <f t="shared" si="6"/>
        <v>1</v>
      </c>
      <c r="Y28" s="63">
        <f t="shared" si="7"/>
        <v>4.3999999999999997E-2</v>
      </c>
      <c r="Z28" s="63">
        <f t="shared" si="8"/>
        <v>23.3293</v>
      </c>
      <c r="AA28" s="63">
        <f t="shared" si="9"/>
        <v>23.285299999999999</v>
      </c>
      <c r="AB28" s="64">
        <f>VLOOKUP(A28,Enforcements!$C$3:$J$72,8,0)</f>
        <v>228668</v>
      </c>
      <c r="AC28" s="64" t="str">
        <f>VLOOKUP(A28,Enforcements!$C$3:$E$72,3,0)</f>
        <v>PERMANENT SPEED RESTRICTION</v>
      </c>
    </row>
    <row r="29" spans="1:29" s="2" customFormat="1" x14ac:dyDescent="0.25">
      <c r="A29" s="50" t="s">
        <v>332</v>
      </c>
      <c r="B29" s="50">
        <v>4028</v>
      </c>
      <c r="C29" s="50" t="s">
        <v>60</v>
      </c>
      <c r="D29" s="50" t="s">
        <v>127</v>
      </c>
      <c r="E29" s="26">
        <v>42542.315439814818</v>
      </c>
      <c r="F29" s="26">
        <v>42542.316331018519</v>
      </c>
      <c r="G29" s="34">
        <v>1</v>
      </c>
      <c r="H29" s="26" t="s">
        <v>333</v>
      </c>
      <c r="I29" s="26">
        <v>42542.348506944443</v>
      </c>
      <c r="J29" s="50">
        <v>0</v>
      </c>
      <c r="K29" s="50" t="str">
        <f t="shared" si="0"/>
        <v>4027/4028</v>
      </c>
      <c r="L29" s="50" t="str">
        <f>VLOOKUP(A29,'Trips&amp;Operators'!$C$1:$E$10000,3,FALSE)</f>
        <v>GEBRETEKLE</v>
      </c>
      <c r="M29" s="12">
        <f t="shared" si="1"/>
        <v>3.2175925924093463E-2</v>
      </c>
      <c r="N29" s="13">
        <f t="shared" si="12"/>
        <v>46.333333330694586</v>
      </c>
      <c r="O29" s="13"/>
      <c r="P29" s="13"/>
      <c r="Q29" s="51"/>
      <c r="R29" s="51"/>
      <c r="S29" s="85">
        <f t="shared" si="13"/>
        <v>1</v>
      </c>
      <c r="T29" s="2" t="str">
        <f t="shared" si="3"/>
        <v>Southbound</v>
      </c>
      <c r="U29" s="2">
        <f>COUNTIFS(Variables!$M$2:$M$19, "&lt;=" &amp; Y29, Variables!$M$2:$M$19, "&gt;=" &amp; Z29)</f>
        <v>12</v>
      </c>
      <c r="V29" s="63" t="str">
        <f t="shared" si="4"/>
        <v>https://search-rtdc-monitor-bjffxe2xuh6vdkpspy63sjmuny.us-east-1.es.amazonaws.com/_plugin/kibana/#/discover/Steve-Slow-Train-Analysis-(2080s-and-2083s)?_g=(refreshInterval:(display:Off,section:0,value:0),time:(from:'2016-06-21 07:33:14-0600',mode:absolute,to:'2016-06-21 08:22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29" s="63" t="str">
        <f t="shared" si="5"/>
        <v>N</v>
      </c>
      <c r="X29" s="63">
        <f t="shared" si="6"/>
        <v>1</v>
      </c>
      <c r="Y29" s="63">
        <f t="shared" si="7"/>
        <v>23.2973</v>
      </c>
      <c r="Z29" s="63">
        <f t="shared" si="8"/>
        <v>1.38E-2</v>
      </c>
      <c r="AA29" s="63">
        <f t="shared" si="9"/>
        <v>23.2835</v>
      </c>
      <c r="AB29" s="64" t="e">
        <f>VLOOKUP(A29,Enforcements!$C$3:$J$72,8,0)</f>
        <v>#N/A</v>
      </c>
      <c r="AC29" s="64" t="e">
        <f>VLOOKUP(A29,Enforcements!$C$3:$E$72,3,0)</f>
        <v>#N/A</v>
      </c>
    </row>
    <row r="30" spans="1:29" s="2" customFormat="1" x14ac:dyDescent="0.25">
      <c r="A30" s="50" t="s">
        <v>334</v>
      </c>
      <c r="B30" s="50">
        <v>4018</v>
      </c>
      <c r="C30" s="50" t="s">
        <v>60</v>
      </c>
      <c r="D30" s="50" t="s">
        <v>82</v>
      </c>
      <c r="E30" s="26">
        <v>42542.288657407407</v>
      </c>
      <c r="F30" s="26">
        <v>42542.289733796293</v>
      </c>
      <c r="G30" s="34">
        <v>1</v>
      </c>
      <c r="H30" s="26" t="s">
        <v>122</v>
      </c>
      <c r="I30" s="26">
        <v>42542.319768518515</v>
      </c>
      <c r="J30" s="50">
        <v>0</v>
      </c>
      <c r="K30" s="50" t="str">
        <f t="shared" si="0"/>
        <v>4017/4018</v>
      </c>
      <c r="L30" s="50" t="str">
        <f>VLOOKUP(A30,'Trips&amp;Operators'!$C$1:$E$10000,3,FALSE)</f>
        <v>STAMBAUGH</v>
      </c>
      <c r="M30" s="12">
        <f t="shared" si="1"/>
        <v>3.0034722221898846E-2</v>
      </c>
      <c r="N30" s="13">
        <f t="shared" si="12"/>
        <v>43.249999999534339</v>
      </c>
      <c r="O30" s="13"/>
      <c r="P30" s="13"/>
      <c r="Q30" s="51"/>
      <c r="R30" s="51"/>
      <c r="S30" s="85">
        <f t="shared" si="13"/>
        <v>1</v>
      </c>
      <c r="T30" s="2" t="str">
        <f t="shared" si="3"/>
        <v>NorthBound</v>
      </c>
      <c r="U30" s="2">
        <f>COUNTIFS(Variables!$M$2:$M$19, "&gt;=" &amp; Y30, Variables!$M$2:$M$19, "&lt;=" &amp; Z30)</f>
        <v>12</v>
      </c>
      <c r="V30" s="63" t="str">
        <f t="shared" si="4"/>
        <v>https://search-rtdc-monitor-bjffxe2xuh6vdkpspy63sjmuny.us-east-1.es.amazonaws.com/_plugin/kibana/#/discover/Steve-Slow-Train-Analysis-(2080s-and-2083s)?_g=(refreshInterval:(display:Off,section:0,value:0),time:(from:'2016-06-21 06:54:40-0600',mode:absolute,to:'2016-06-21 07:41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30" s="63" t="str">
        <f t="shared" si="5"/>
        <v>N</v>
      </c>
      <c r="X30" s="63">
        <f t="shared" si="6"/>
        <v>1</v>
      </c>
      <c r="Y30" s="63">
        <f t="shared" si="7"/>
        <v>4.53E-2</v>
      </c>
      <c r="Z30" s="63">
        <f t="shared" si="8"/>
        <v>23.329699999999999</v>
      </c>
      <c r="AA30" s="63">
        <f t="shared" si="9"/>
        <v>23.284399999999998</v>
      </c>
      <c r="AB30" s="64" t="e">
        <f>VLOOKUP(A30,Enforcements!$C$3:$J$72,8,0)</f>
        <v>#N/A</v>
      </c>
      <c r="AC30" s="64" t="e">
        <f>VLOOKUP(A30,Enforcements!$C$3:$E$72,3,0)</f>
        <v>#N/A</v>
      </c>
    </row>
    <row r="31" spans="1:29" s="2" customFormat="1" x14ac:dyDescent="0.25">
      <c r="A31" s="50" t="s">
        <v>335</v>
      </c>
      <c r="B31" s="50">
        <v>4017</v>
      </c>
      <c r="C31" s="50" t="s">
        <v>60</v>
      </c>
      <c r="D31" s="50" t="s">
        <v>76</v>
      </c>
      <c r="E31" s="26">
        <v>42542.326574074075</v>
      </c>
      <c r="F31" s="26">
        <v>42542.327766203707</v>
      </c>
      <c r="G31" s="34">
        <v>1</v>
      </c>
      <c r="H31" s="26" t="s">
        <v>153</v>
      </c>
      <c r="I31" s="26">
        <v>42542.363032407404</v>
      </c>
      <c r="J31" s="50">
        <v>0</v>
      </c>
      <c r="K31" s="50" t="str">
        <f t="shared" si="0"/>
        <v>4017/4018</v>
      </c>
      <c r="L31" s="50" t="str">
        <f>VLOOKUP(A31,'Trips&amp;Operators'!$C$1:$E$10000,3,FALSE)</f>
        <v>STAMBAUGH</v>
      </c>
      <c r="M31" s="12">
        <f t="shared" si="1"/>
        <v>3.5266203696664888E-2</v>
      </c>
      <c r="N31" s="13">
        <f t="shared" si="12"/>
        <v>50.783333323197439</v>
      </c>
      <c r="O31" s="13"/>
      <c r="P31" s="13"/>
      <c r="Q31" s="51"/>
      <c r="R31" s="51"/>
      <c r="S31" s="85">
        <f t="shared" si="13"/>
        <v>1</v>
      </c>
      <c r="T31" s="2" t="str">
        <f t="shared" si="3"/>
        <v>Southbound</v>
      </c>
      <c r="U31" s="2">
        <f>COUNTIFS(Variables!$M$2:$M$19, "&lt;=" &amp; Y31, Variables!$M$2:$M$19, "&gt;=" &amp; Z31)</f>
        <v>12</v>
      </c>
      <c r="V31" s="63" t="str">
        <f t="shared" si="4"/>
        <v>https://search-rtdc-monitor-bjffxe2xuh6vdkpspy63sjmuny.us-east-1.es.amazonaws.com/_plugin/kibana/#/discover/Steve-Slow-Train-Analysis-(2080s-and-2083s)?_g=(refreshInterval:(display:Off,section:0,value:0),time:(from:'2016-06-21 07:49:16-0600',mode:absolute,to:'2016-06-21 08:43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31" s="63" t="str">
        <f t="shared" si="5"/>
        <v>N</v>
      </c>
      <c r="X31" s="63">
        <f t="shared" si="6"/>
        <v>1</v>
      </c>
      <c r="Y31" s="63">
        <f t="shared" si="7"/>
        <v>23.299099999999999</v>
      </c>
      <c r="Z31" s="63">
        <f t="shared" si="8"/>
        <v>1.7600000000000001E-2</v>
      </c>
      <c r="AA31" s="63">
        <f t="shared" si="9"/>
        <v>23.281499999999998</v>
      </c>
      <c r="AB31" s="64" t="e">
        <f>VLOOKUP(A31,Enforcements!$C$3:$J$72,8,0)</f>
        <v>#N/A</v>
      </c>
      <c r="AC31" s="64" t="e">
        <f>VLOOKUP(A31,Enforcements!$C$3:$E$72,3,0)</f>
        <v>#N/A</v>
      </c>
    </row>
    <row r="32" spans="1:29" s="2" customFormat="1" x14ac:dyDescent="0.25">
      <c r="A32" s="81" t="s">
        <v>336</v>
      </c>
      <c r="B32" s="50">
        <v>4031</v>
      </c>
      <c r="C32" s="50" t="s">
        <v>60</v>
      </c>
      <c r="D32" s="50" t="s">
        <v>150</v>
      </c>
      <c r="E32" s="26">
        <v>42542.298171296294</v>
      </c>
      <c r="F32" s="26">
        <v>42542.29896990741</v>
      </c>
      <c r="G32" s="34">
        <v>1</v>
      </c>
      <c r="H32" s="26" t="s">
        <v>121</v>
      </c>
      <c r="I32" s="26">
        <v>42542.328634259262</v>
      </c>
      <c r="J32" s="50">
        <v>0</v>
      </c>
      <c r="K32" s="50" t="str">
        <f t="shared" si="0"/>
        <v>4031/4032</v>
      </c>
      <c r="L32" s="50" t="str">
        <f>VLOOKUP(A32,'Trips&amp;Operators'!$C$1:$E$10000,3,FALSE)</f>
        <v>SPECTOR</v>
      </c>
      <c r="M32" s="12">
        <f t="shared" si="1"/>
        <v>2.9664351852261461E-2</v>
      </c>
      <c r="N32" s="13">
        <f t="shared" si="12"/>
        <v>42.716666667256504</v>
      </c>
      <c r="O32" s="13"/>
      <c r="P32" s="13"/>
      <c r="Q32" s="51"/>
      <c r="R32" s="51"/>
      <c r="S32" s="85">
        <f t="shared" si="13"/>
        <v>1</v>
      </c>
      <c r="T32" s="2" t="str">
        <f t="shared" si="3"/>
        <v>NorthBound</v>
      </c>
      <c r="U32" s="2">
        <f>COUNTIFS(Variables!$M$2:$M$19, "&gt;=" &amp; Y32, Variables!$M$2:$M$19, "&lt;=" &amp; Z32)</f>
        <v>12</v>
      </c>
      <c r="V32" s="63" t="str">
        <f t="shared" si="4"/>
        <v>https://search-rtdc-monitor-bjffxe2xuh6vdkpspy63sjmuny.us-east-1.es.amazonaws.com/_plugin/kibana/#/discover/Steve-Slow-Train-Analysis-(2080s-and-2083s)?_g=(refreshInterval:(display:Off,section:0,value:0),time:(from:'2016-06-21 07:08:22-0600',mode:absolute,to:'2016-06-21 07:54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32" s="63" t="str">
        <f t="shared" si="5"/>
        <v>N</v>
      </c>
      <c r="X32" s="63">
        <f t="shared" si="6"/>
        <v>1</v>
      </c>
      <c r="Y32" s="63">
        <f t="shared" si="7"/>
        <v>4.4400000000000002E-2</v>
      </c>
      <c r="Z32" s="63">
        <f t="shared" si="8"/>
        <v>23.3309</v>
      </c>
      <c r="AA32" s="63">
        <f t="shared" si="9"/>
        <v>23.2865</v>
      </c>
      <c r="AB32" s="64" t="e">
        <f>VLOOKUP(A32,Enforcements!$C$3:$J$72,8,0)</f>
        <v>#N/A</v>
      </c>
      <c r="AC32" s="64" t="e">
        <f>VLOOKUP(A32,Enforcements!$C$3:$E$72,3,0)</f>
        <v>#N/A</v>
      </c>
    </row>
    <row r="33" spans="1:29" s="2" customFormat="1" x14ac:dyDescent="0.25">
      <c r="A33" s="50" t="s">
        <v>337</v>
      </c>
      <c r="B33" s="50">
        <v>4032</v>
      </c>
      <c r="C33" s="50" t="s">
        <v>60</v>
      </c>
      <c r="D33" s="50" t="s">
        <v>128</v>
      </c>
      <c r="E33" s="26">
        <v>42542.335520833331</v>
      </c>
      <c r="F33" s="26">
        <v>42542.336377314816</v>
      </c>
      <c r="G33" s="34">
        <v>1</v>
      </c>
      <c r="H33" s="26" t="s">
        <v>298</v>
      </c>
      <c r="I33" s="26">
        <v>42542.373368055552</v>
      </c>
      <c r="J33" s="50">
        <v>1</v>
      </c>
      <c r="K33" s="50" t="str">
        <f t="shared" si="0"/>
        <v>4031/4032</v>
      </c>
      <c r="L33" s="50" t="str">
        <f>VLOOKUP(A33,'Trips&amp;Operators'!$C$1:$E$10000,3,FALSE)</f>
        <v>SPECTOR</v>
      </c>
      <c r="M33" s="12">
        <f t="shared" si="1"/>
        <v>3.6990740736655425E-2</v>
      </c>
      <c r="N33" s="13">
        <f t="shared" si="12"/>
        <v>53.266666660783812</v>
      </c>
      <c r="O33" s="13"/>
      <c r="P33" s="13"/>
      <c r="Q33" s="51"/>
      <c r="R33" s="51"/>
      <c r="S33" s="85">
        <f t="shared" si="13"/>
        <v>1</v>
      </c>
      <c r="T33" s="2" t="str">
        <f t="shared" si="3"/>
        <v>Southbound</v>
      </c>
      <c r="U33" s="2">
        <f>COUNTIFS(Variables!$M$2:$M$19, "&lt;=" &amp; Y33, Variables!$M$2:$M$19, "&gt;=" &amp; Z33)</f>
        <v>12</v>
      </c>
      <c r="V33" s="63" t="str">
        <f t="shared" si="4"/>
        <v>https://search-rtdc-monitor-bjffxe2xuh6vdkpspy63sjmuny.us-east-1.es.amazonaws.com/_plugin/kibana/#/discover/Steve-Slow-Train-Analysis-(2080s-and-2083s)?_g=(refreshInterval:(display:Off,section:0,value:0),time:(from:'2016-06-21 08:02:09-0600',mode:absolute,to:'2016-06-21 08:58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33" s="63" t="str">
        <f t="shared" si="5"/>
        <v>N</v>
      </c>
      <c r="X33" s="63">
        <f t="shared" si="6"/>
        <v>1</v>
      </c>
      <c r="Y33" s="63">
        <f t="shared" si="7"/>
        <v>23.299800000000001</v>
      </c>
      <c r="Z33" s="63">
        <f t="shared" si="8"/>
        <v>1.34E-2</v>
      </c>
      <c r="AA33" s="63">
        <f t="shared" si="9"/>
        <v>23.2864</v>
      </c>
      <c r="AB33" s="64">
        <f>VLOOKUP(A33,Enforcements!$C$3:$J$72,8,0)</f>
        <v>1</v>
      </c>
      <c r="AC33" s="64" t="str">
        <f>VLOOKUP(A33,Enforcements!$C$3:$E$72,3,0)</f>
        <v>TRACK WARRANT AUTHORITY</v>
      </c>
    </row>
    <row r="34" spans="1:29" s="2" customFormat="1" x14ac:dyDescent="0.25">
      <c r="A34" s="50" t="s">
        <v>338</v>
      </c>
      <c r="B34" s="50">
        <v>4042</v>
      </c>
      <c r="C34" s="50" t="s">
        <v>60</v>
      </c>
      <c r="D34" s="50" t="s">
        <v>339</v>
      </c>
      <c r="E34" s="26">
        <v>42542.311666666668</v>
      </c>
      <c r="F34" s="26">
        <v>42542.312476851854</v>
      </c>
      <c r="G34" s="34">
        <v>1</v>
      </c>
      <c r="H34" s="26" t="s">
        <v>340</v>
      </c>
      <c r="I34" s="26">
        <v>42542.325115740743</v>
      </c>
      <c r="J34" s="50">
        <v>3</v>
      </c>
      <c r="K34" s="50" t="str">
        <f t="shared" si="0"/>
        <v>4041/4042</v>
      </c>
      <c r="L34" s="50" t="str">
        <f>VLOOKUP(A34,'Trips&amp;Operators'!$C$1:$E$10000,3,FALSE)</f>
        <v>STARKS</v>
      </c>
      <c r="M34" s="12">
        <f t="shared" si="1"/>
        <v>1.2638888889341615E-2</v>
      </c>
      <c r="N34" s="13"/>
      <c r="O34" s="13"/>
      <c r="P34" s="13">
        <f>24*60*SUM($M34:$M34)</f>
        <v>18.200000000651926</v>
      </c>
      <c r="Q34" s="51"/>
      <c r="R34" s="51" t="s">
        <v>502</v>
      </c>
      <c r="S34" s="85">
        <f t="shared" si="13"/>
        <v>1</v>
      </c>
      <c r="T34" s="2" t="str">
        <f t="shared" si="3"/>
        <v>NorthBound</v>
      </c>
      <c r="U34" s="2">
        <f>COUNTIFS(Variables!$M$2:$M$19, "&gt;=" &amp; Y34, Variables!$M$2:$M$19, "&lt;=" &amp; Z34)</f>
        <v>12</v>
      </c>
      <c r="V34" s="63" t="str">
        <f t="shared" si="4"/>
        <v>https://search-rtdc-monitor-bjffxe2xuh6vdkpspy63sjmuny.us-east-1.es.amazonaws.com/_plugin/kibana/#/discover/Steve-Slow-Train-Analysis-(2080s-and-2083s)?_g=(refreshInterval:(display:Off,section:0,value:0),time:(from:'2016-06-21 07:27:48-0600',mode:absolute,to:'2016-06-21 07:49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34" s="63" t="str">
        <f t="shared" si="5"/>
        <v>N</v>
      </c>
      <c r="X34" s="63">
        <f t="shared" si="6"/>
        <v>1</v>
      </c>
      <c r="Y34" s="63">
        <f t="shared" si="7"/>
        <v>4.24E-2</v>
      </c>
      <c r="Z34" s="63">
        <f t="shared" si="8"/>
        <v>23.3249</v>
      </c>
      <c r="AA34" s="63">
        <f t="shared" si="9"/>
        <v>23.282499999999999</v>
      </c>
      <c r="AB34" s="64" t="e">
        <f>VLOOKUP(A34,Enforcements!$C$3:$J$72,8,0)</f>
        <v>#N/A</v>
      </c>
      <c r="AC34" s="64" t="e">
        <f>VLOOKUP(A34,Enforcements!$C$3:$E$72,3,0)</f>
        <v>#N/A</v>
      </c>
    </row>
    <row r="35" spans="1:29" s="2" customFormat="1" x14ac:dyDescent="0.25">
      <c r="A35" s="50" t="s">
        <v>341</v>
      </c>
      <c r="B35" s="50">
        <v>4041</v>
      </c>
      <c r="C35" s="50" t="s">
        <v>60</v>
      </c>
      <c r="D35" s="50" t="s">
        <v>342</v>
      </c>
      <c r="E35" s="26">
        <v>42542.349143518521</v>
      </c>
      <c r="F35" s="26">
        <v>42542.350069444445</v>
      </c>
      <c r="G35" s="34">
        <v>1</v>
      </c>
      <c r="H35" s="26" t="s">
        <v>149</v>
      </c>
      <c r="I35" s="26">
        <v>42542.383055555554</v>
      </c>
      <c r="J35" s="50">
        <v>2</v>
      </c>
      <c r="K35" s="50" t="str">
        <f t="shared" ref="K35:K66" si="14">IF(ISEVEN(B35),(B35-1)&amp;"/"&amp;B35,B35&amp;"/"&amp;(B35+1))</f>
        <v>4041/4042</v>
      </c>
      <c r="L35" s="50" t="str">
        <f>VLOOKUP(A35,'Trips&amp;Operators'!$C$1:$E$10000,3,FALSE)</f>
        <v>STARKS</v>
      </c>
      <c r="M35" s="12">
        <f t="shared" ref="M35:M66" si="15">I35-F35</f>
        <v>3.2986111109494232E-2</v>
      </c>
      <c r="N35" s="13">
        <f t="shared" ref="N35:N50" si="16">24*60*SUM($M35:$M35)</f>
        <v>47.499999997671694</v>
      </c>
      <c r="O35" s="13"/>
      <c r="P35" s="13"/>
      <c r="Q35" s="51"/>
      <c r="R35" s="51"/>
      <c r="S35" s="85">
        <f t="shared" si="13"/>
        <v>1</v>
      </c>
      <c r="T35" s="2" t="str">
        <f t="shared" ref="T35:T66" si="17">IF(ISEVEN(LEFT(A35,3)),"Southbound","NorthBound")</f>
        <v>Southbound</v>
      </c>
      <c r="U35" s="2">
        <f>COUNTIFS(Variables!$M$2:$M$19, "&lt;=" &amp; Y35, Variables!$M$2:$M$19, "&gt;=" &amp; Z35)</f>
        <v>12</v>
      </c>
      <c r="V35" s="63" t="str">
        <f t="shared" ref="V35:V66" si="18">"https://search-rtdc-monitor-bjffxe2xuh6vdkpspy63sjmuny.us-east-1.es.amazonaws.com/_plugin/kibana/#/discover/Steve-Slow-Train-Analysis-(2080s-and-2083s)?_g=(refreshInterval:(display:Off,section:0,value:0),time:(from:'"&amp;TEXT(E35-1/24/60,"yyyy-MM-DD hh:mm:ss")&amp;"-0600',mode:absolute,to:'"&amp;TEXT(I35+1/24/60,"yyyy-MM-DD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35&amp;"%22')),sort:!(Time,asc))"</f>
        <v>https://search-rtdc-monitor-bjffxe2xuh6vdkpspy63sjmuny.us-east-1.es.amazonaws.com/_plugin/kibana/#/discover/Steve-Slow-Train-Analysis-(2080s-and-2083s)?_g=(refreshInterval:(display:Off,section:0,value:0),time:(from:'2016-06-21 08:21:46-0600',mode:absolute,to:'2016-06-21 09:12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35" s="63" t="str">
        <f t="shared" ref="W35:W66" si="19">IF(AA35&lt;23,"Y","N")</f>
        <v>N</v>
      </c>
      <c r="X35" s="63">
        <f t="shared" ref="X35:X66" si="20">VALUE(LEFT(A35,3))-VALUE(LEFT(A34,3))</f>
        <v>1</v>
      </c>
      <c r="Y35" s="63">
        <f t="shared" si="7"/>
        <v>23.307600000000001</v>
      </c>
      <c r="Z35" s="63">
        <f t="shared" si="8"/>
        <v>1.29E-2</v>
      </c>
      <c r="AA35" s="63">
        <f t="shared" ref="AA35:AA66" si="21">ABS(Z35-Y35)</f>
        <v>23.294700000000002</v>
      </c>
      <c r="AB35" s="64">
        <f>VLOOKUP(A35,Enforcements!$C$3:$J$72,8,0)</f>
        <v>119716</v>
      </c>
      <c r="AC35" s="64" t="str">
        <f>VLOOKUP(A35,Enforcements!$C$3:$E$72,3,0)</f>
        <v>PERMANENT SPEED RESTRICTION</v>
      </c>
    </row>
    <row r="36" spans="1:29" s="2" customFormat="1" x14ac:dyDescent="0.25">
      <c r="A36" s="50" t="s">
        <v>343</v>
      </c>
      <c r="B36" s="50">
        <v>4024</v>
      </c>
      <c r="C36" s="50" t="s">
        <v>60</v>
      </c>
      <c r="D36" s="50" t="s">
        <v>344</v>
      </c>
      <c r="E36" s="26">
        <v>42542.317141203705</v>
      </c>
      <c r="F36" s="26">
        <v>42542.318622685183</v>
      </c>
      <c r="G36" s="34">
        <v>2</v>
      </c>
      <c r="H36" s="26" t="s">
        <v>345</v>
      </c>
      <c r="I36" s="26">
        <v>42542.349965277775</v>
      </c>
      <c r="J36" s="50">
        <v>0</v>
      </c>
      <c r="K36" s="50" t="str">
        <f t="shared" si="14"/>
        <v>4023/4024</v>
      </c>
      <c r="L36" s="50" t="str">
        <f>VLOOKUP(A36,'Trips&amp;Operators'!$C$1:$E$10000,3,FALSE)</f>
        <v>ROCHA</v>
      </c>
      <c r="M36" s="12">
        <f t="shared" si="15"/>
        <v>3.1342592592409346E-2</v>
      </c>
      <c r="N36" s="13">
        <f t="shared" si="16"/>
        <v>45.133333333069459</v>
      </c>
      <c r="O36" s="13"/>
      <c r="P36" s="13"/>
      <c r="Q36" s="51"/>
      <c r="R36" s="51"/>
      <c r="S36" s="85">
        <f t="shared" si="13"/>
        <v>1</v>
      </c>
      <c r="T36" s="2" t="str">
        <f t="shared" si="17"/>
        <v>NorthBound</v>
      </c>
      <c r="U36" s="2">
        <f>COUNTIFS(Variables!$M$2:$M$19, "&gt;=" &amp; Y36, Variables!$M$2:$M$19, "&lt;=" &amp; Z36)</f>
        <v>12</v>
      </c>
      <c r="V36" s="63" t="str">
        <f t="shared" si="18"/>
        <v>https://search-rtdc-monitor-bjffxe2xuh6vdkpspy63sjmuny.us-east-1.es.amazonaws.com/_plugin/kibana/#/discover/Steve-Slow-Train-Analysis-(2080s-and-2083s)?_g=(refreshInterval:(display:Off,section:0,value:0),time:(from:'2016-06-21 07:35:41-0600',mode:absolute,to:'2016-06-21 08:24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36" s="63" t="str">
        <f t="shared" si="19"/>
        <v>N</v>
      </c>
      <c r="X36" s="63">
        <f t="shared" si="20"/>
        <v>1</v>
      </c>
      <c r="Y36" s="63">
        <f t="shared" si="7"/>
        <v>5.4399999999999997E-2</v>
      </c>
      <c r="Z36" s="63">
        <f t="shared" si="8"/>
        <v>23.33</v>
      </c>
      <c r="AA36" s="63">
        <f t="shared" si="21"/>
        <v>23.275599999999997</v>
      </c>
      <c r="AB36" s="64" t="e">
        <f>VLOOKUP(A36,Enforcements!$C$3:$J$72,8,0)</f>
        <v>#N/A</v>
      </c>
      <c r="AC36" s="64" t="e">
        <f>VLOOKUP(A36,Enforcements!$C$3:$E$72,3,0)</f>
        <v>#N/A</v>
      </c>
    </row>
    <row r="37" spans="1:29" s="2" customFormat="1" x14ac:dyDescent="0.25">
      <c r="A37" s="50" t="s">
        <v>346</v>
      </c>
      <c r="B37" s="50">
        <v>4023</v>
      </c>
      <c r="C37" s="50" t="s">
        <v>60</v>
      </c>
      <c r="D37" s="50" t="s">
        <v>156</v>
      </c>
      <c r="E37" s="26">
        <v>42542.360821759263</v>
      </c>
      <c r="F37" s="26">
        <v>42542.361712962964</v>
      </c>
      <c r="G37" s="34">
        <v>1</v>
      </c>
      <c r="H37" s="26" t="s">
        <v>62</v>
      </c>
      <c r="I37" s="26">
        <v>42542.392164351855</v>
      </c>
      <c r="J37" s="50">
        <v>1</v>
      </c>
      <c r="K37" s="50" t="str">
        <f t="shared" si="14"/>
        <v>4023/4024</v>
      </c>
      <c r="L37" s="50" t="str">
        <f>VLOOKUP(A37,'Trips&amp;Operators'!$C$1:$E$10000,3,FALSE)</f>
        <v>ROCHA</v>
      </c>
      <c r="M37" s="12">
        <f t="shared" si="15"/>
        <v>3.0451388891378883E-2</v>
      </c>
      <c r="N37" s="13">
        <f t="shared" si="16"/>
        <v>43.850000003585592</v>
      </c>
      <c r="O37" s="13"/>
      <c r="P37" s="13"/>
      <c r="Q37" s="51"/>
      <c r="R37" s="51"/>
      <c r="S37" s="85">
        <f t="shared" si="13"/>
        <v>1</v>
      </c>
      <c r="T37" s="2" t="str">
        <f t="shared" si="17"/>
        <v>Southbound</v>
      </c>
      <c r="U37" s="2">
        <f>COUNTIFS(Variables!$M$2:$M$19, "&lt;=" &amp; Y37, Variables!$M$2:$M$19, "&gt;=" &amp; Z37)</f>
        <v>12</v>
      </c>
      <c r="V37" s="63" t="str">
        <f t="shared" si="18"/>
        <v>https://search-rtdc-monitor-bjffxe2xuh6vdkpspy63sjmuny.us-east-1.es.amazonaws.com/_plugin/kibana/#/discover/Steve-Slow-Train-Analysis-(2080s-and-2083s)?_g=(refreshInterval:(display:Off,section:0,value:0),time:(from:'2016-06-21 08:38:35-0600',mode:absolute,to:'2016-06-21 09:25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37" s="63" t="str">
        <f t="shared" si="19"/>
        <v>N</v>
      </c>
      <c r="X37" s="63">
        <f t="shared" si="20"/>
        <v>1</v>
      </c>
      <c r="Y37" s="63">
        <f t="shared" si="7"/>
        <v>23.298300000000001</v>
      </c>
      <c r="Z37" s="63">
        <f t="shared" si="8"/>
        <v>1.52E-2</v>
      </c>
      <c r="AA37" s="63">
        <f t="shared" si="21"/>
        <v>23.283100000000001</v>
      </c>
      <c r="AB37" s="64">
        <f>VLOOKUP(A37,Enforcements!$C$3:$J$72,8,0)</f>
        <v>1</v>
      </c>
      <c r="AC37" s="64" t="str">
        <f>VLOOKUP(A37,Enforcements!$C$3:$E$72,3,0)</f>
        <v>TRACK WARRANT AUTHORITY</v>
      </c>
    </row>
    <row r="38" spans="1:29" s="2" customFormat="1" x14ac:dyDescent="0.25">
      <c r="A38" s="50" t="s">
        <v>347</v>
      </c>
      <c r="B38" s="50">
        <v>4020</v>
      </c>
      <c r="C38" s="50" t="s">
        <v>60</v>
      </c>
      <c r="D38" s="50" t="s">
        <v>221</v>
      </c>
      <c r="E38" s="26">
        <v>42542.330138888887</v>
      </c>
      <c r="F38" s="26">
        <v>42542.33153935185</v>
      </c>
      <c r="G38" s="34">
        <v>2</v>
      </c>
      <c r="H38" s="26" t="s">
        <v>135</v>
      </c>
      <c r="I38" s="26">
        <v>42542.365763888891</v>
      </c>
      <c r="J38" s="50">
        <v>5</v>
      </c>
      <c r="K38" s="50" t="str">
        <f t="shared" si="14"/>
        <v>4019/4020</v>
      </c>
      <c r="L38" s="50" t="str">
        <f>VLOOKUP(A38,'Trips&amp;Operators'!$C$1:$E$10000,3,FALSE)</f>
        <v>KILLION</v>
      </c>
      <c r="M38" s="12">
        <f t="shared" si="15"/>
        <v>3.422453704115469E-2</v>
      </c>
      <c r="N38" s="13">
        <f t="shared" si="16"/>
        <v>49.283333339262754</v>
      </c>
      <c r="O38" s="13"/>
      <c r="P38" s="13"/>
      <c r="Q38" s="51"/>
      <c r="R38" s="51" t="s">
        <v>504</v>
      </c>
      <c r="S38" s="85">
        <f t="shared" si="13"/>
        <v>1</v>
      </c>
      <c r="T38" s="2" t="str">
        <f t="shared" si="17"/>
        <v>NorthBound</v>
      </c>
      <c r="U38" s="2">
        <f>COUNTIFS(Variables!$M$2:$M$19, "&gt;=" &amp; Y38, Variables!$M$2:$M$19, "&lt;=" &amp; Z38)</f>
        <v>12</v>
      </c>
      <c r="V38" s="63" t="str">
        <f t="shared" si="18"/>
        <v>https://search-rtdc-monitor-bjffxe2xuh6vdkpspy63sjmuny.us-east-1.es.amazonaws.com/_plugin/kibana/#/discover/Steve-Slow-Train-Analysis-(2080s-and-2083s)?_g=(refreshInterval:(display:Off,section:0,value:0),time:(from:'2016-06-21 07:54:24-0600',mode:absolute,to:'2016-06-21 08:47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38" s="63" t="str">
        <f t="shared" si="19"/>
        <v>N</v>
      </c>
      <c r="X38" s="63">
        <f t="shared" si="20"/>
        <v>1</v>
      </c>
      <c r="Y38" s="63">
        <f t="shared" si="7"/>
        <v>4.8399999999999999E-2</v>
      </c>
      <c r="Z38" s="63">
        <v>23.3291</v>
      </c>
      <c r="AA38" s="63">
        <f t="shared" si="21"/>
        <v>23.2807</v>
      </c>
      <c r="AB38" s="64">
        <f>VLOOKUP(A38,Enforcements!$C$3:$J$72,8,0)</f>
        <v>233491</v>
      </c>
      <c r="AC38" s="64" t="str">
        <f>VLOOKUP(A38,Enforcements!$C$3:$E$72,3,0)</f>
        <v>TRACK WARRANT AUTHORITY</v>
      </c>
    </row>
    <row r="39" spans="1:29" s="2" customFormat="1" x14ac:dyDescent="0.25">
      <c r="A39" s="50" t="s">
        <v>348</v>
      </c>
      <c r="B39" s="50">
        <v>4019</v>
      </c>
      <c r="C39" s="50" t="s">
        <v>60</v>
      </c>
      <c r="D39" s="50" t="s">
        <v>239</v>
      </c>
      <c r="E39" s="26">
        <v>42542.371377314812</v>
      </c>
      <c r="F39" s="26">
        <v>42542.372337962966</v>
      </c>
      <c r="G39" s="34">
        <v>1</v>
      </c>
      <c r="H39" s="26" t="s">
        <v>130</v>
      </c>
      <c r="I39" s="26">
        <v>42542.399918981479</v>
      </c>
      <c r="J39" s="50">
        <v>1</v>
      </c>
      <c r="K39" s="50" t="str">
        <f t="shared" si="14"/>
        <v>4019/4020</v>
      </c>
      <c r="L39" s="50" t="str">
        <f>VLOOKUP(A39,'Trips&amp;Operators'!$C$1:$E$10000,3,FALSE)</f>
        <v>KILLION</v>
      </c>
      <c r="M39" s="12">
        <f t="shared" si="15"/>
        <v>2.7581018512137234E-2</v>
      </c>
      <c r="N39" s="13">
        <f t="shared" si="16"/>
        <v>39.716666657477617</v>
      </c>
      <c r="O39" s="13"/>
      <c r="P39" s="13"/>
      <c r="Q39" s="51"/>
      <c r="R39" s="51"/>
      <c r="S39" s="85">
        <f t="shared" si="13"/>
        <v>1</v>
      </c>
      <c r="T39" s="2" t="str">
        <f t="shared" si="17"/>
        <v>Southbound</v>
      </c>
      <c r="U39" s="2">
        <f>COUNTIFS(Variables!$M$2:$M$19, "&lt;=" &amp; Y39, Variables!$M$2:$M$19, "&gt;=" &amp; Z39)</f>
        <v>12</v>
      </c>
      <c r="V39" s="63" t="str">
        <f t="shared" si="18"/>
        <v>https://search-rtdc-monitor-bjffxe2xuh6vdkpspy63sjmuny.us-east-1.es.amazonaws.com/_plugin/kibana/#/discover/Steve-Slow-Train-Analysis-(2080s-and-2083s)?_g=(refreshInterval:(display:Off,section:0,value:0),time:(from:'2016-06-21 08:53:47-0600',mode:absolute,to:'2016-06-21 09:36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39" s="63" t="str">
        <f t="shared" si="19"/>
        <v>N</v>
      </c>
      <c r="X39" s="63">
        <f t="shared" si="20"/>
        <v>1</v>
      </c>
      <c r="Y39" s="63">
        <f t="shared" si="7"/>
        <v>23.2971</v>
      </c>
      <c r="Z39" s="63">
        <f t="shared" ref="Z39:Z50" si="22">RIGHT(H39,LEN(H39)-4)/10000</f>
        <v>1.6299999999999999E-2</v>
      </c>
      <c r="AA39" s="63">
        <f t="shared" si="21"/>
        <v>23.280799999999999</v>
      </c>
      <c r="AB39" s="64">
        <f>VLOOKUP(A39,Enforcements!$C$3:$J$72,8,0)</f>
        <v>118741</v>
      </c>
      <c r="AC39" s="64" t="str">
        <f>VLOOKUP(A39,Enforcements!$C$3:$E$72,3,0)</f>
        <v>SIGNAL</v>
      </c>
    </row>
    <row r="40" spans="1:29" s="2" customFormat="1" x14ac:dyDescent="0.25">
      <c r="A40" s="50" t="s">
        <v>349</v>
      </c>
      <c r="B40" s="50">
        <v>4029</v>
      </c>
      <c r="C40" s="50" t="s">
        <v>60</v>
      </c>
      <c r="D40" s="50" t="s">
        <v>350</v>
      </c>
      <c r="E40" s="26">
        <v>42542.34302083333</v>
      </c>
      <c r="F40" s="26">
        <v>42542.344027777777</v>
      </c>
      <c r="G40" s="34">
        <v>1</v>
      </c>
      <c r="H40" s="26" t="s">
        <v>351</v>
      </c>
      <c r="I40" s="26">
        <v>42542.379120370373</v>
      </c>
      <c r="J40" s="50">
        <v>1</v>
      </c>
      <c r="K40" s="50" t="str">
        <f t="shared" si="14"/>
        <v>4029/4030</v>
      </c>
      <c r="L40" s="50" t="str">
        <f>VLOOKUP(A40,'Trips&amp;Operators'!$C$1:$E$10000,3,FALSE)</f>
        <v>ACKERMAN</v>
      </c>
      <c r="M40" s="12">
        <f t="shared" si="15"/>
        <v>3.5092592595901806E-2</v>
      </c>
      <c r="N40" s="13">
        <f t="shared" si="16"/>
        <v>50.533333338098601</v>
      </c>
      <c r="O40" s="13"/>
      <c r="P40" s="13"/>
      <c r="Q40" s="51"/>
      <c r="R40" s="51"/>
      <c r="S40" s="85">
        <f t="shared" si="13"/>
        <v>1</v>
      </c>
      <c r="T40" s="2" t="str">
        <f t="shared" si="17"/>
        <v>NorthBound</v>
      </c>
      <c r="U40" s="2">
        <f>COUNTIFS(Variables!$M$2:$M$19, "&gt;=" &amp; Y40, Variables!$M$2:$M$19, "&lt;=" &amp; Z40)</f>
        <v>12</v>
      </c>
      <c r="V40" s="63" t="str">
        <f t="shared" si="18"/>
        <v>https://search-rtdc-monitor-bjffxe2xuh6vdkpspy63sjmuny.us-east-1.es.amazonaws.com/_plugin/kibana/#/discover/Steve-Slow-Train-Analysis-(2080s-and-2083s)?_g=(refreshInterval:(display:Off,section:0,value:0),time:(from:'2016-06-21 08:12:57-0600',mode:absolute,to:'2016-06-21 09:06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40" s="63" t="str">
        <f t="shared" si="19"/>
        <v>N</v>
      </c>
      <c r="X40" s="63">
        <f t="shared" si="20"/>
        <v>1</v>
      </c>
      <c r="Y40" s="63">
        <f t="shared" si="7"/>
        <v>4.7300000000000002E-2</v>
      </c>
      <c r="Z40" s="63">
        <f t="shared" si="22"/>
        <v>23.302099999999999</v>
      </c>
      <c r="AA40" s="63">
        <f t="shared" si="21"/>
        <v>23.254799999999999</v>
      </c>
      <c r="AB40" s="64">
        <f>VLOOKUP(A40,Enforcements!$C$3:$J$72,8,0)</f>
        <v>233491</v>
      </c>
      <c r="AC40" s="64" t="str">
        <f>VLOOKUP(A40,Enforcements!$C$3:$E$72,3,0)</f>
        <v>TRACK WARRANT AUTHORITY</v>
      </c>
    </row>
    <row r="41" spans="1:29" s="2" customFormat="1" x14ac:dyDescent="0.25">
      <c r="A41" s="50" t="s">
        <v>352</v>
      </c>
      <c r="B41" s="50">
        <v>4030</v>
      </c>
      <c r="C41" s="50" t="s">
        <v>60</v>
      </c>
      <c r="D41" s="50" t="s">
        <v>353</v>
      </c>
      <c r="E41" s="26">
        <v>42542.382592592592</v>
      </c>
      <c r="F41" s="26">
        <v>42542.383703703701</v>
      </c>
      <c r="G41" s="34">
        <v>1</v>
      </c>
      <c r="H41" s="26" t="s">
        <v>85</v>
      </c>
      <c r="I41" s="26">
        <v>42542.41505787037</v>
      </c>
      <c r="J41" s="50">
        <v>0</v>
      </c>
      <c r="K41" s="50" t="str">
        <f t="shared" si="14"/>
        <v>4029/4030</v>
      </c>
      <c r="L41" s="50" t="str">
        <f>VLOOKUP(A41,'Trips&amp;Operators'!$C$1:$E$10000,3,FALSE)</f>
        <v>ACKERMAN</v>
      </c>
      <c r="M41" s="12">
        <f t="shared" si="15"/>
        <v>3.1354166669188999E-2</v>
      </c>
      <c r="N41" s="13">
        <f t="shared" si="16"/>
        <v>45.150000003632158</v>
      </c>
      <c r="O41" s="13"/>
      <c r="P41" s="13"/>
      <c r="Q41" s="51"/>
      <c r="R41" s="51"/>
      <c r="S41" s="85">
        <f t="shared" si="13"/>
        <v>1</v>
      </c>
      <c r="T41" s="2" t="str">
        <f t="shared" si="17"/>
        <v>Southbound</v>
      </c>
      <c r="U41" s="2">
        <f>COUNTIFS(Variables!$M$2:$M$19, "&lt;=" &amp; Y41, Variables!$M$2:$M$19, "&gt;=" &amp; Z41)</f>
        <v>12</v>
      </c>
      <c r="V41" s="63" t="str">
        <f t="shared" si="18"/>
        <v>https://search-rtdc-monitor-bjffxe2xuh6vdkpspy63sjmuny.us-east-1.es.amazonaws.com/_plugin/kibana/#/discover/Steve-Slow-Train-Analysis-(2080s-and-2083s)?_g=(refreshInterval:(display:Off,section:0,value:0),time:(from:'2016-06-21 09:09:56-0600',mode:absolute,to:'2016-06-21 09:58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41" s="63" t="str">
        <f t="shared" si="19"/>
        <v>N</v>
      </c>
      <c r="X41" s="63">
        <f t="shared" si="20"/>
        <v>1</v>
      </c>
      <c r="Y41" s="63">
        <f t="shared" si="7"/>
        <v>23.286000000000001</v>
      </c>
      <c r="Z41" s="63">
        <f t="shared" si="22"/>
        <v>1.54E-2</v>
      </c>
      <c r="AA41" s="63">
        <f t="shared" si="21"/>
        <v>23.270600000000002</v>
      </c>
      <c r="AB41" s="64" t="e">
        <f>VLOOKUP(A41,Enforcements!$C$3:$J$72,8,0)</f>
        <v>#N/A</v>
      </c>
      <c r="AC41" s="64" t="e">
        <f>VLOOKUP(A41,Enforcements!$C$3:$E$72,3,0)</f>
        <v>#N/A</v>
      </c>
    </row>
    <row r="42" spans="1:29" s="2" customFormat="1" x14ac:dyDescent="0.25">
      <c r="A42" s="50" t="s">
        <v>354</v>
      </c>
      <c r="B42" s="50">
        <v>4027</v>
      </c>
      <c r="C42" s="50" t="s">
        <v>60</v>
      </c>
      <c r="D42" s="50" t="s">
        <v>167</v>
      </c>
      <c r="E42" s="26">
        <v>42542.351087962961</v>
      </c>
      <c r="F42" s="26">
        <v>42542.353159722225</v>
      </c>
      <c r="G42" s="34">
        <v>2</v>
      </c>
      <c r="H42" s="26" t="s">
        <v>171</v>
      </c>
      <c r="I42" s="26">
        <v>42542.386631944442</v>
      </c>
      <c r="J42" s="50">
        <v>0</v>
      </c>
      <c r="K42" s="50" t="str">
        <f t="shared" si="14"/>
        <v>4027/4028</v>
      </c>
      <c r="L42" s="50" t="str">
        <f>VLOOKUP(A42,'Trips&amp;Operators'!$C$1:$E$10000,3,FALSE)</f>
        <v>GEBRETEKLE</v>
      </c>
      <c r="M42" s="12">
        <f t="shared" si="15"/>
        <v>3.347222221782431E-2</v>
      </c>
      <c r="N42" s="13">
        <f t="shared" si="16"/>
        <v>48.199999993667006</v>
      </c>
      <c r="O42" s="13"/>
      <c r="P42" s="13"/>
      <c r="Q42" s="51"/>
      <c r="R42" s="51"/>
      <c r="S42" s="85">
        <f t="shared" si="13"/>
        <v>1</v>
      </c>
      <c r="T42" s="2" t="str">
        <f t="shared" si="17"/>
        <v>NorthBound</v>
      </c>
      <c r="U42" s="2">
        <f>COUNTIFS(Variables!$M$2:$M$19, "&gt;=" &amp; Y42, Variables!$M$2:$M$19, "&lt;=" &amp; Z42)</f>
        <v>12</v>
      </c>
      <c r="V42" s="63" t="str">
        <f t="shared" si="18"/>
        <v>https://search-rtdc-monitor-bjffxe2xuh6vdkpspy63sjmuny.us-east-1.es.amazonaws.com/_plugin/kibana/#/discover/Steve-Slow-Train-Analysis-(2080s-and-2083s)?_g=(refreshInterval:(display:Off,section:0,value:0),time:(from:'2016-06-21 08:24:34-0600',mode:absolute,to:'2016-06-21 09:17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42" s="63" t="str">
        <f t="shared" si="19"/>
        <v>N</v>
      </c>
      <c r="X42" s="63">
        <f t="shared" si="20"/>
        <v>1</v>
      </c>
      <c r="Y42" s="63">
        <f t="shared" si="7"/>
        <v>4.5100000000000001E-2</v>
      </c>
      <c r="Z42" s="63">
        <f t="shared" si="22"/>
        <v>23.328399999999998</v>
      </c>
      <c r="AA42" s="63">
        <f t="shared" si="21"/>
        <v>23.283299999999997</v>
      </c>
      <c r="AB42" s="64" t="e">
        <f>VLOOKUP(A42,Enforcements!$C$3:$J$72,8,0)</f>
        <v>#N/A</v>
      </c>
      <c r="AC42" s="64" t="e">
        <f>VLOOKUP(A42,Enforcements!$C$3:$E$72,3,0)</f>
        <v>#N/A</v>
      </c>
    </row>
    <row r="43" spans="1:29" s="2" customFormat="1" x14ac:dyDescent="0.25">
      <c r="A43" s="50" t="s">
        <v>355</v>
      </c>
      <c r="B43" s="50">
        <v>4028</v>
      </c>
      <c r="C43" s="50" t="s">
        <v>60</v>
      </c>
      <c r="D43" s="50" t="s">
        <v>217</v>
      </c>
      <c r="E43" s="26">
        <v>42542.39025462963</v>
      </c>
      <c r="F43" s="26">
        <v>42542.391041666669</v>
      </c>
      <c r="G43" s="34">
        <v>1</v>
      </c>
      <c r="H43" s="26" t="s">
        <v>356</v>
      </c>
      <c r="I43" s="26">
        <v>42542.428460648145</v>
      </c>
      <c r="J43" s="50">
        <v>0</v>
      </c>
      <c r="K43" s="50" t="str">
        <f t="shared" si="14"/>
        <v>4027/4028</v>
      </c>
      <c r="L43" s="50" t="str">
        <f>VLOOKUP(A43,'Trips&amp;Operators'!$C$1:$E$10000,3,FALSE)</f>
        <v>GEBRETEKLE</v>
      </c>
      <c r="M43" s="12">
        <f t="shared" si="15"/>
        <v>3.7418981475639157E-2</v>
      </c>
      <c r="N43" s="13">
        <f t="shared" si="16"/>
        <v>53.883333324920386</v>
      </c>
      <c r="O43" s="13"/>
      <c r="P43" s="13"/>
      <c r="Q43" s="51"/>
      <c r="R43" s="51"/>
      <c r="S43" s="85">
        <f t="shared" si="13"/>
        <v>1</v>
      </c>
      <c r="T43" s="2" t="str">
        <f t="shared" si="17"/>
        <v>Southbound</v>
      </c>
      <c r="U43" s="2">
        <f>COUNTIFS(Variables!$M$2:$M$19, "&lt;=" &amp; Y43, Variables!$M$2:$M$19, "&gt;=" &amp; Z43)</f>
        <v>12</v>
      </c>
      <c r="V43" s="63" t="str">
        <f t="shared" si="18"/>
        <v>https://search-rtdc-monitor-bjffxe2xuh6vdkpspy63sjmuny.us-east-1.es.amazonaws.com/_plugin/kibana/#/discover/Steve-Slow-Train-Analysis-(2080s-and-2083s)?_g=(refreshInterval:(display:Off,section:0,value:0),time:(from:'2016-06-21 09:20:58-0600',mode:absolute,to:'2016-06-21 10:17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43" s="63" t="str">
        <f t="shared" si="19"/>
        <v>N</v>
      </c>
      <c r="X43" s="63">
        <f t="shared" si="20"/>
        <v>1</v>
      </c>
      <c r="Y43" s="63">
        <f t="shared" si="7"/>
        <v>23.296700000000001</v>
      </c>
      <c r="Z43" s="63">
        <f t="shared" si="22"/>
        <v>1.7399999999999999E-2</v>
      </c>
      <c r="AA43" s="63">
        <f t="shared" si="21"/>
        <v>23.279300000000003</v>
      </c>
      <c r="AB43" s="64" t="e">
        <f>VLOOKUP(A43,Enforcements!$C$3:$J$72,8,0)</f>
        <v>#N/A</v>
      </c>
      <c r="AC43" s="64" t="e">
        <f>VLOOKUP(A43,Enforcements!$C$3:$E$72,3,0)</f>
        <v>#N/A</v>
      </c>
    </row>
    <row r="44" spans="1:29" s="2" customFormat="1" x14ac:dyDescent="0.25">
      <c r="A44" s="50" t="s">
        <v>357</v>
      </c>
      <c r="B44" s="50">
        <v>4018</v>
      </c>
      <c r="C44" s="50" t="s">
        <v>60</v>
      </c>
      <c r="D44" s="50" t="s">
        <v>358</v>
      </c>
      <c r="E44" s="26">
        <v>42542.364236111112</v>
      </c>
      <c r="F44" s="26">
        <v>42542.365416666667</v>
      </c>
      <c r="G44" s="34">
        <v>1</v>
      </c>
      <c r="H44" s="26" t="s">
        <v>122</v>
      </c>
      <c r="I44" s="26">
        <v>42542.400925925926</v>
      </c>
      <c r="J44" s="50">
        <v>1</v>
      </c>
      <c r="K44" s="50" t="str">
        <f t="shared" si="14"/>
        <v>4017/4018</v>
      </c>
      <c r="L44" s="50" t="str">
        <f>VLOOKUP(A44,'Trips&amp;Operators'!$C$1:$E$10000,3,FALSE)</f>
        <v>STAMBAUGH</v>
      </c>
      <c r="M44" s="12">
        <f t="shared" si="15"/>
        <v>3.5509259258105885E-2</v>
      </c>
      <c r="N44" s="13">
        <f t="shared" si="16"/>
        <v>51.133333331672475</v>
      </c>
      <c r="O44" s="13"/>
      <c r="P44" s="13"/>
      <c r="Q44" s="51"/>
      <c r="R44" s="51"/>
      <c r="S44" s="85">
        <f t="shared" si="13"/>
        <v>1</v>
      </c>
      <c r="T44" s="2" t="str">
        <f t="shared" si="17"/>
        <v>NorthBound</v>
      </c>
      <c r="U44" s="2">
        <f>COUNTIFS(Variables!$M$2:$M$19, "&gt;=" &amp; Y44, Variables!$M$2:$M$19, "&lt;=" &amp; Z44)</f>
        <v>12</v>
      </c>
      <c r="V44" s="63" t="str">
        <f t="shared" si="18"/>
        <v>https://search-rtdc-monitor-bjffxe2xuh6vdkpspy63sjmuny.us-east-1.es.amazonaws.com/_plugin/kibana/#/discover/Steve-Slow-Train-Analysis-(2080s-and-2083s)?_g=(refreshInterval:(display:Off,section:0,value:0),time:(from:'2016-06-21 08:43:30-0600',mode:absolute,to:'2016-06-21 09:38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44" s="63" t="str">
        <f t="shared" si="19"/>
        <v>N</v>
      </c>
      <c r="X44" s="63">
        <f t="shared" si="20"/>
        <v>1</v>
      </c>
      <c r="Y44" s="63">
        <f t="shared" si="7"/>
        <v>0.05</v>
      </c>
      <c r="Z44" s="63">
        <f t="shared" si="22"/>
        <v>23.329699999999999</v>
      </c>
      <c r="AA44" s="63">
        <f t="shared" si="21"/>
        <v>23.279699999999998</v>
      </c>
      <c r="AB44" s="64">
        <f>VLOOKUP(A44,Enforcements!$C$3:$J$72,8,0)</f>
        <v>233491</v>
      </c>
      <c r="AC44" s="64" t="str">
        <f>VLOOKUP(A44,Enforcements!$C$3:$E$72,3,0)</f>
        <v>TRACK WARRANT AUTHORITY</v>
      </c>
    </row>
    <row r="45" spans="1:29" s="2" customFormat="1" x14ac:dyDescent="0.25">
      <c r="A45" s="50" t="s">
        <v>359</v>
      </c>
      <c r="B45" s="50">
        <v>4017</v>
      </c>
      <c r="C45" s="50" t="s">
        <v>60</v>
      </c>
      <c r="D45" s="50" t="s">
        <v>360</v>
      </c>
      <c r="E45" s="26">
        <v>42542.402754629627</v>
      </c>
      <c r="F45" s="26">
        <v>42542.405023148145</v>
      </c>
      <c r="G45" s="34">
        <v>3</v>
      </c>
      <c r="H45" s="26" t="s">
        <v>69</v>
      </c>
      <c r="I45" s="26">
        <v>42542.435960648145</v>
      </c>
      <c r="J45" s="50">
        <v>0</v>
      </c>
      <c r="K45" s="50" t="str">
        <f t="shared" si="14"/>
        <v>4017/4018</v>
      </c>
      <c r="L45" s="50" t="str">
        <f>VLOOKUP(A45,'Trips&amp;Operators'!$C$1:$E$10000,3,FALSE)</f>
        <v>STAMBAUGH</v>
      </c>
      <c r="M45" s="12">
        <f t="shared" si="15"/>
        <v>3.0937499999708962E-2</v>
      </c>
      <c r="N45" s="13">
        <f t="shared" si="16"/>
        <v>44.549999999580905</v>
      </c>
      <c r="O45" s="13"/>
      <c r="P45" s="13"/>
      <c r="Q45" s="51"/>
      <c r="R45" s="51"/>
      <c r="S45" s="85">
        <f t="shared" si="13"/>
        <v>1</v>
      </c>
      <c r="T45" s="2" t="str">
        <f t="shared" si="17"/>
        <v>Southbound</v>
      </c>
      <c r="U45" s="2">
        <f>COUNTIFS(Variables!$M$2:$M$19, "&lt;=" &amp; Y45, Variables!$M$2:$M$19, "&gt;=" &amp; Z45)</f>
        <v>12</v>
      </c>
      <c r="V45" s="63" t="str">
        <f t="shared" si="18"/>
        <v>https://search-rtdc-monitor-bjffxe2xuh6vdkpspy63sjmuny.us-east-1.es.amazonaws.com/_plugin/kibana/#/discover/Steve-Slow-Train-Analysis-(2080s-and-2083s)?_g=(refreshInterval:(display:Off,section:0,value:0),time:(from:'2016-06-21 09:38:58-0600',mode:absolute,to:'2016-06-21 10:28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45" s="63" t="str">
        <f t="shared" si="19"/>
        <v>N</v>
      </c>
      <c r="X45" s="63">
        <f t="shared" si="20"/>
        <v>1</v>
      </c>
      <c r="Y45" s="63">
        <f t="shared" si="7"/>
        <v>23.2972</v>
      </c>
      <c r="Z45" s="63">
        <f t="shared" si="22"/>
        <v>1.6E-2</v>
      </c>
      <c r="AA45" s="63">
        <f t="shared" si="21"/>
        <v>23.281200000000002</v>
      </c>
      <c r="AB45" s="64" t="e">
        <f>VLOOKUP(A45,Enforcements!$C$3:$J$72,8,0)</f>
        <v>#N/A</v>
      </c>
      <c r="AC45" s="64" t="e">
        <f>VLOOKUP(A45,Enforcements!$C$3:$E$72,3,0)</f>
        <v>#N/A</v>
      </c>
    </row>
    <row r="46" spans="1:29" s="2" customFormat="1" x14ac:dyDescent="0.25">
      <c r="A46" s="50" t="s">
        <v>361</v>
      </c>
      <c r="B46" s="50">
        <v>4031</v>
      </c>
      <c r="C46" s="50" t="s">
        <v>60</v>
      </c>
      <c r="D46" s="50" t="s">
        <v>227</v>
      </c>
      <c r="E46" s="26">
        <v>42542.377384259256</v>
      </c>
      <c r="F46" s="26">
        <v>42542.378344907411</v>
      </c>
      <c r="G46" s="34">
        <v>1</v>
      </c>
      <c r="H46" s="26" t="s">
        <v>181</v>
      </c>
      <c r="I46" s="26">
        <v>42542.407384259262</v>
      </c>
      <c r="J46" s="50">
        <v>0</v>
      </c>
      <c r="K46" s="50" t="str">
        <f t="shared" si="14"/>
        <v>4031/4032</v>
      </c>
      <c r="L46" s="50" t="str">
        <f>VLOOKUP(A46,'Trips&amp;Operators'!$C$1:$E$10000,3,FALSE)</f>
        <v>SPECTOR</v>
      </c>
      <c r="M46" s="12">
        <f t="shared" si="15"/>
        <v>2.9039351851679385E-2</v>
      </c>
      <c r="N46" s="13">
        <f t="shared" si="16"/>
        <v>41.816666666418314</v>
      </c>
      <c r="O46" s="13"/>
      <c r="P46" s="13"/>
      <c r="Q46" s="51"/>
      <c r="R46" s="51"/>
      <c r="S46" s="85">
        <f t="shared" si="13"/>
        <v>1</v>
      </c>
      <c r="T46" s="2" t="str">
        <f t="shared" si="17"/>
        <v>NorthBound</v>
      </c>
      <c r="U46" s="2">
        <f>COUNTIFS(Variables!$M$2:$M$19, "&gt;=" &amp; Y46, Variables!$M$2:$M$19, "&lt;=" &amp; Z46)</f>
        <v>12</v>
      </c>
      <c r="V46" s="63" t="str">
        <f t="shared" si="18"/>
        <v>https://search-rtdc-monitor-bjffxe2xuh6vdkpspy63sjmuny.us-east-1.es.amazonaws.com/_plugin/kibana/#/discover/Steve-Slow-Train-Analysis-(2080s-and-2083s)?_g=(refreshInterval:(display:Off,section:0,value:0),time:(from:'2016-06-21 09:02:26-0600',mode:absolute,to:'2016-06-21 09:47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46" s="63" t="str">
        <f t="shared" si="19"/>
        <v>N</v>
      </c>
      <c r="X46" s="63">
        <f t="shared" si="20"/>
        <v>1</v>
      </c>
      <c r="Y46" s="63">
        <f t="shared" si="7"/>
        <v>4.4600000000000001E-2</v>
      </c>
      <c r="Z46" s="63">
        <f t="shared" si="22"/>
        <v>23.331099999999999</v>
      </c>
      <c r="AA46" s="63">
        <f t="shared" si="21"/>
        <v>23.2865</v>
      </c>
      <c r="AB46" s="64">
        <f>VLOOKUP(A46,Enforcements!$C$3:$J$72,8,0)</f>
        <v>233491</v>
      </c>
      <c r="AC46" s="64" t="str">
        <f>VLOOKUP(A46,Enforcements!$C$3:$E$72,3,0)</f>
        <v>TRACK WARRANT AUTHORITY</v>
      </c>
    </row>
    <row r="47" spans="1:29" s="2" customFormat="1" x14ac:dyDescent="0.25">
      <c r="A47" s="50" t="s">
        <v>362</v>
      </c>
      <c r="B47" s="50">
        <v>4032</v>
      </c>
      <c r="C47" s="50" t="s">
        <v>60</v>
      </c>
      <c r="D47" s="50" t="s">
        <v>363</v>
      </c>
      <c r="E47" s="26">
        <v>42542.412743055553</v>
      </c>
      <c r="F47" s="26">
        <v>42542.413807870369</v>
      </c>
      <c r="G47" s="34">
        <v>1</v>
      </c>
      <c r="H47" s="26" t="s">
        <v>333</v>
      </c>
      <c r="I47" s="26">
        <v>42542.445601851854</v>
      </c>
      <c r="J47" s="50">
        <v>0</v>
      </c>
      <c r="K47" s="50" t="str">
        <f t="shared" si="14"/>
        <v>4031/4032</v>
      </c>
      <c r="L47" s="50" t="str">
        <f>VLOOKUP(A47,'Trips&amp;Operators'!$C$1:$E$10000,3,FALSE)</f>
        <v>SPECTOR</v>
      </c>
      <c r="M47" s="12">
        <f t="shared" si="15"/>
        <v>3.1793981484952383E-2</v>
      </c>
      <c r="N47" s="13">
        <f t="shared" si="16"/>
        <v>45.783333338331431</v>
      </c>
      <c r="O47" s="13"/>
      <c r="P47" s="13"/>
      <c r="Q47" s="51"/>
      <c r="R47" s="51"/>
      <c r="S47" s="85">
        <f t="shared" si="13"/>
        <v>1</v>
      </c>
      <c r="T47" s="2" t="str">
        <f t="shared" si="17"/>
        <v>Southbound</v>
      </c>
      <c r="U47" s="2">
        <f>COUNTIFS(Variables!$M$2:$M$19, "&lt;=" &amp; Y47, Variables!$M$2:$M$19, "&gt;=" &amp; Z47)</f>
        <v>12</v>
      </c>
      <c r="V47" s="63" t="str">
        <f t="shared" si="18"/>
        <v>https://search-rtdc-monitor-bjffxe2xuh6vdkpspy63sjmuny.us-east-1.es.amazonaws.com/_plugin/kibana/#/discover/Steve-Slow-Train-Analysis-(2080s-and-2083s)?_g=(refreshInterval:(display:Off,section:0,value:0),time:(from:'2016-06-21 09:53:21-0600',mode:absolute,to:'2016-06-21 10:42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47" s="63" t="str">
        <f t="shared" si="19"/>
        <v>N</v>
      </c>
      <c r="X47" s="63">
        <f t="shared" si="20"/>
        <v>1</v>
      </c>
      <c r="Y47" s="63">
        <f t="shared" si="7"/>
        <v>23.2988</v>
      </c>
      <c r="Z47" s="63">
        <f t="shared" si="22"/>
        <v>1.38E-2</v>
      </c>
      <c r="AA47" s="63">
        <f t="shared" si="21"/>
        <v>23.285</v>
      </c>
      <c r="AB47" s="64" t="e">
        <f>VLOOKUP(A47,Enforcements!$C$3:$J$72,8,0)</f>
        <v>#N/A</v>
      </c>
      <c r="AC47" s="64" t="e">
        <f>VLOOKUP(A47,Enforcements!$C$3:$E$72,3,0)</f>
        <v>#N/A</v>
      </c>
    </row>
    <row r="48" spans="1:29" s="2" customFormat="1" x14ac:dyDescent="0.25">
      <c r="A48" s="50" t="s">
        <v>364</v>
      </c>
      <c r="B48" s="50">
        <v>4042</v>
      </c>
      <c r="C48" s="50" t="s">
        <v>60</v>
      </c>
      <c r="D48" s="50" t="s">
        <v>365</v>
      </c>
      <c r="E48" s="26">
        <v>42542.384317129632</v>
      </c>
      <c r="F48" s="26">
        <v>42542.386134259257</v>
      </c>
      <c r="G48" s="34">
        <v>2</v>
      </c>
      <c r="H48" s="26" t="s">
        <v>340</v>
      </c>
      <c r="I48" s="26">
        <v>42542.41615740741</v>
      </c>
      <c r="J48" s="50">
        <v>3</v>
      </c>
      <c r="K48" s="50" t="str">
        <f t="shared" si="14"/>
        <v>4041/4042</v>
      </c>
      <c r="L48" s="50" t="str">
        <f>VLOOKUP(A48,'Trips&amp;Operators'!$C$1:$E$10000,3,FALSE)</f>
        <v>STARKS</v>
      </c>
      <c r="M48" s="12">
        <f t="shared" si="15"/>
        <v>3.0023148152395152E-2</v>
      </c>
      <c r="N48" s="13">
        <f t="shared" si="16"/>
        <v>43.233333339449018</v>
      </c>
      <c r="O48" s="13"/>
      <c r="P48" s="13"/>
      <c r="Q48" s="51"/>
      <c r="R48" s="51"/>
      <c r="S48" s="85">
        <f t="shared" si="13"/>
        <v>1</v>
      </c>
      <c r="T48" s="2" t="str">
        <f t="shared" si="17"/>
        <v>NorthBound</v>
      </c>
      <c r="U48" s="2">
        <f>COUNTIFS(Variables!$M$2:$M$19, "&gt;=" &amp; Y48, Variables!$M$2:$M$19, "&lt;=" &amp; Z48)</f>
        <v>12</v>
      </c>
      <c r="V48" s="63" t="str">
        <f t="shared" si="18"/>
        <v>https://search-rtdc-monitor-bjffxe2xuh6vdkpspy63sjmuny.us-east-1.es.amazonaws.com/_plugin/kibana/#/discover/Steve-Slow-Train-Analysis-(2080s-and-2083s)?_g=(refreshInterval:(display:Off,section:0,value:0),time:(from:'2016-06-21 09:12:25-0600',mode:absolute,to:'2016-06-21 10:00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48" s="63" t="str">
        <f t="shared" si="19"/>
        <v>N</v>
      </c>
      <c r="X48" s="63">
        <f t="shared" si="20"/>
        <v>1</v>
      </c>
      <c r="Y48" s="63">
        <f t="shared" si="7"/>
        <v>4.1799999999999997E-2</v>
      </c>
      <c r="Z48" s="63">
        <f t="shared" si="22"/>
        <v>23.3249</v>
      </c>
      <c r="AA48" s="63">
        <f t="shared" si="21"/>
        <v>23.283100000000001</v>
      </c>
      <c r="AB48" s="64">
        <f>VLOOKUP(A48,Enforcements!$C$3:$J$72,8,0)</f>
        <v>0</v>
      </c>
      <c r="AC48" s="64" t="str">
        <f>VLOOKUP(A48,Enforcements!$C$3:$E$72,3,0)</f>
        <v>PERMANENT SPEED RESTRICTION</v>
      </c>
    </row>
    <row r="49" spans="1:29" s="2" customFormat="1" x14ac:dyDescent="0.25">
      <c r="A49" s="50" t="s">
        <v>366</v>
      </c>
      <c r="B49" s="50">
        <v>4041</v>
      </c>
      <c r="C49" s="50" t="s">
        <v>60</v>
      </c>
      <c r="D49" s="50" t="s">
        <v>367</v>
      </c>
      <c r="E49" s="26">
        <v>42542.422615740739</v>
      </c>
      <c r="F49" s="26">
        <v>42542.423854166664</v>
      </c>
      <c r="G49" s="34">
        <v>1</v>
      </c>
      <c r="H49" s="26" t="s">
        <v>149</v>
      </c>
      <c r="I49" s="26">
        <v>42542.452638888892</v>
      </c>
      <c r="J49" s="50">
        <v>1</v>
      </c>
      <c r="K49" s="50" t="str">
        <f t="shared" si="14"/>
        <v>4041/4042</v>
      </c>
      <c r="L49" s="50" t="str">
        <f>VLOOKUP(A49,'Trips&amp;Operators'!$C$1:$E$10000,3,FALSE)</f>
        <v>STARKS</v>
      </c>
      <c r="M49" s="12">
        <f t="shared" si="15"/>
        <v>2.8784722228010651E-2</v>
      </c>
      <c r="N49" s="13">
        <f t="shared" si="16"/>
        <v>41.450000008335337</v>
      </c>
      <c r="O49" s="13"/>
      <c r="P49" s="13"/>
      <c r="Q49" s="51"/>
      <c r="R49" s="51"/>
      <c r="S49" s="85">
        <f t="shared" si="13"/>
        <v>1</v>
      </c>
      <c r="T49" s="2" t="str">
        <f t="shared" si="17"/>
        <v>Southbound</v>
      </c>
      <c r="U49" s="2">
        <f>COUNTIFS(Variables!$M$2:$M$19, "&lt;=" &amp; Y49, Variables!$M$2:$M$19, "&gt;=" &amp; Z49)</f>
        <v>12</v>
      </c>
      <c r="V49" s="63" t="str">
        <f t="shared" si="18"/>
        <v>https://search-rtdc-monitor-bjffxe2xuh6vdkpspy63sjmuny.us-east-1.es.amazonaws.com/_plugin/kibana/#/discover/Steve-Slow-Train-Analysis-(2080s-and-2083s)?_g=(refreshInterval:(display:Off,section:0,value:0),time:(from:'2016-06-21 10:07:34-0600',mode:absolute,to:'2016-06-21 10:52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49" s="63" t="str">
        <f t="shared" si="19"/>
        <v>N</v>
      </c>
      <c r="X49" s="63">
        <f t="shared" si="20"/>
        <v>1</v>
      </c>
      <c r="Y49" s="63">
        <f t="shared" si="7"/>
        <v>23.294</v>
      </c>
      <c r="Z49" s="63">
        <f t="shared" si="22"/>
        <v>1.29E-2</v>
      </c>
      <c r="AA49" s="63">
        <f t="shared" si="21"/>
        <v>23.281100000000002</v>
      </c>
      <c r="AB49" s="64">
        <f>VLOOKUP(A49,Enforcements!$C$3:$J$72,8,0)</f>
        <v>1</v>
      </c>
      <c r="AC49" s="64" t="str">
        <f>VLOOKUP(A49,Enforcements!$C$3:$E$72,3,0)</f>
        <v>TRACK WARRANT AUTHORITY</v>
      </c>
    </row>
    <row r="50" spans="1:29" s="2" customFormat="1" x14ac:dyDescent="0.25">
      <c r="A50" s="50" t="s">
        <v>368</v>
      </c>
      <c r="B50" s="50">
        <v>4024</v>
      </c>
      <c r="C50" s="50" t="s">
        <v>60</v>
      </c>
      <c r="D50" s="50" t="s">
        <v>73</v>
      </c>
      <c r="E50" s="26">
        <v>42542.393819444442</v>
      </c>
      <c r="F50" s="26">
        <v>42542.394930555558</v>
      </c>
      <c r="G50" s="34">
        <v>1</v>
      </c>
      <c r="H50" s="26" t="s">
        <v>160</v>
      </c>
      <c r="I50" s="26">
        <v>42542.422754629632</v>
      </c>
      <c r="J50" s="50">
        <v>0</v>
      </c>
      <c r="K50" s="50" t="str">
        <f t="shared" si="14"/>
        <v>4023/4024</v>
      </c>
      <c r="L50" s="50" t="str">
        <f>VLOOKUP(A50,'Trips&amp;Operators'!$C$1:$E$10000,3,FALSE)</f>
        <v>ROCHA</v>
      </c>
      <c r="M50" s="12">
        <f t="shared" si="15"/>
        <v>2.7824074073578231E-2</v>
      </c>
      <c r="N50" s="13">
        <f t="shared" si="16"/>
        <v>40.066666665952653</v>
      </c>
      <c r="O50" s="13"/>
      <c r="P50" s="13"/>
      <c r="Q50" s="51"/>
      <c r="R50" s="51"/>
      <c r="S50" s="85">
        <f t="shared" si="13"/>
        <v>1</v>
      </c>
      <c r="T50" s="2" t="str">
        <f t="shared" si="17"/>
        <v>NorthBound</v>
      </c>
      <c r="U50" s="2">
        <f>COUNTIFS(Variables!$M$2:$M$19, "&gt;=" &amp; Y50, Variables!$M$2:$M$19, "&lt;=" &amp; Z50)</f>
        <v>12</v>
      </c>
      <c r="V50" s="63" t="str">
        <f t="shared" si="18"/>
        <v>https://search-rtdc-monitor-bjffxe2xuh6vdkpspy63sjmuny.us-east-1.es.amazonaws.com/_plugin/kibana/#/discover/Steve-Slow-Train-Analysis-(2080s-and-2083s)?_g=(refreshInterval:(display:Off,section:0,value:0),time:(from:'2016-06-21 09:26:06-0600',mode:absolute,to:'2016-06-21 10:09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50" s="63" t="str">
        <f t="shared" si="19"/>
        <v>N</v>
      </c>
      <c r="X50" s="63">
        <f t="shared" si="20"/>
        <v>1</v>
      </c>
      <c r="Y50" s="63">
        <f t="shared" si="7"/>
        <v>4.6199999999999998E-2</v>
      </c>
      <c r="Z50" s="63">
        <f t="shared" si="22"/>
        <v>23.330100000000002</v>
      </c>
      <c r="AA50" s="63">
        <f t="shared" si="21"/>
        <v>23.283900000000003</v>
      </c>
      <c r="AB50" s="64" t="e">
        <f>VLOOKUP(A50,Enforcements!$C$3:$J$72,8,0)</f>
        <v>#N/A</v>
      </c>
      <c r="AC50" s="64" t="e">
        <f>VLOOKUP(A50,Enforcements!$C$3:$E$72,3,0)</f>
        <v>#N/A</v>
      </c>
    </row>
    <row r="51" spans="1:29" s="2" customFormat="1" x14ac:dyDescent="0.25">
      <c r="A51" s="81" t="s">
        <v>472</v>
      </c>
      <c r="B51" s="50">
        <v>4023</v>
      </c>
      <c r="C51" s="50"/>
      <c r="D51" s="50"/>
      <c r="E51" s="26"/>
      <c r="F51" s="26">
        <v>42542.433877314812</v>
      </c>
      <c r="G51" s="34"/>
      <c r="H51" s="26"/>
      <c r="I51" s="26">
        <v>42542.435532407406</v>
      </c>
      <c r="J51" s="50"/>
      <c r="K51" s="50" t="str">
        <f t="shared" si="14"/>
        <v>4023/4024</v>
      </c>
      <c r="L51" s="50" t="str">
        <f>VLOOKUP(A51,'Trips&amp;Operators'!$C$1:$E$10000,3,FALSE)</f>
        <v>ROCHA</v>
      </c>
      <c r="M51" s="12">
        <f t="shared" si="15"/>
        <v>1.6550925938645378E-3</v>
      </c>
      <c r="N51" s="13"/>
      <c r="O51" s="13"/>
      <c r="P51" s="13">
        <f>24*60*SUM($M51:$M51)</f>
        <v>2.3833333351649344</v>
      </c>
      <c r="Q51" s="51"/>
      <c r="R51" s="51" t="s">
        <v>502</v>
      </c>
      <c r="S51" s="85">
        <f t="shared" si="13"/>
        <v>0</v>
      </c>
      <c r="T51" s="2" t="str">
        <f t="shared" si="17"/>
        <v>Southbound</v>
      </c>
      <c r="U51" s="2">
        <f>COUNTIFS(Variables!$M$2:$M$19, "&lt;=" &amp; Y51, Variables!$M$2:$M$19, "&gt;=" &amp; Z51)</f>
        <v>0</v>
      </c>
      <c r="V51" s="63" t="e">
        <f t="shared" si="18"/>
        <v>#VALUE!</v>
      </c>
      <c r="W51" s="63" t="str">
        <f t="shared" si="19"/>
        <v>Y</v>
      </c>
      <c r="X51" s="63">
        <f t="shared" si="20"/>
        <v>1</v>
      </c>
      <c r="Y51" s="63">
        <v>23.297499999999999</v>
      </c>
      <c r="Z51" s="63">
        <v>23.297499999999999</v>
      </c>
      <c r="AA51" s="63">
        <f t="shared" si="21"/>
        <v>0</v>
      </c>
      <c r="AB51" s="64" t="e">
        <f>VLOOKUP(A51,Enforcements!$C$3:$J$72,8,0)</f>
        <v>#N/A</v>
      </c>
      <c r="AC51" s="64" t="e">
        <f>VLOOKUP(A51,Enforcements!$C$3:$E$72,3,0)</f>
        <v>#N/A</v>
      </c>
    </row>
    <row r="52" spans="1:29" s="2" customFormat="1" x14ac:dyDescent="0.25">
      <c r="A52" s="50" t="s">
        <v>369</v>
      </c>
      <c r="B52" s="50">
        <v>4020</v>
      </c>
      <c r="C52" s="50" t="s">
        <v>60</v>
      </c>
      <c r="D52" s="50" t="s">
        <v>118</v>
      </c>
      <c r="E52" s="26">
        <v>42542.404143518521</v>
      </c>
      <c r="F52" s="26">
        <v>42542.405439814815</v>
      </c>
      <c r="G52" s="34">
        <v>1</v>
      </c>
      <c r="H52" s="26" t="s">
        <v>146</v>
      </c>
      <c r="I52" s="26">
        <v>42542.433668981481</v>
      </c>
      <c r="J52" s="50">
        <v>0</v>
      </c>
      <c r="K52" s="50" t="str">
        <f t="shared" si="14"/>
        <v>4019/4020</v>
      </c>
      <c r="L52" s="50" t="str">
        <f>VLOOKUP(A52,'Trips&amp;Operators'!$C$1:$E$10000,3,FALSE)</f>
        <v>KILLION</v>
      </c>
      <c r="M52" s="12">
        <f t="shared" si="15"/>
        <v>2.8229166666278616E-2</v>
      </c>
      <c r="N52" s="13">
        <f>24*60*SUM($M52:$M52)</f>
        <v>40.649999999441206</v>
      </c>
      <c r="O52" s="13"/>
      <c r="P52" s="13"/>
      <c r="Q52" s="51"/>
      <c r="R52" s="51"/>
      <c r="S52" s="85">
        <f t="shared" si="13"/>
        <v>1</v>
      </c>
      <c r="T52" s="2" t="str">
        <f t="shared" si="17"/>
        <v>NorthBound</v>
      </c>
      <c r="U52" s="2">
        <f>COUNTIFS(Variables!$M$2:$M$19, "&gt;=" &amp; Y52, Variables!$M$2:$M$19, "&lt;=" &amp; Z52)</f>
        <v>12</v>
      </c>
      <c r="V52" s="63" t="str">
        <f t="shared" si="18"/>
        <v>https://search-rtdc-monitor-bjffxe2xuh6vdkpspy63sjmuny.us-east-1.es.amazonaws.com/_plugin/kibana/#/discover/Steve-Slow-Train-Analysis-(2080s-and-2083s)?_g=(refreshInterval:(display:Off,section:0,value:0),time:(from:'2016-06-21 09:40:58-0600',mode:absolute,to:'2016-06-21 10:25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52" s="63" t="str">
        <f t="shared" si="19"/>
        <v>N</v>
      </c>
      <c r="X52" s="63">
        <f t="shared" si="20"/>
        <v>1</v>
      </c>
      <c r="Y52" s="63">
        <f t="shared" ref="Y52:Y65" si="23">RIGHT(D52,LEN(D52)-4)/10000</f>
        <v>4.4900000000000002E-2</v>
      </c>
      <c r="Z52" s="63">
        <f t="shared" ref="Z52:Z65" si="24">RIGHT(H52,LEN(H52)-4)/10000</f>
        <v>23.331199999999999</v>
      </c>
      <c r="AA52" s="63">
        <f t="shared" si="21"/>
        <v>23.286300000000001</v>
      </c>
      <c r="AB52" s="64" t="e">
        <f>VLOOKUP(A52,Enforcements!$C$3:$J$72,8,0)</f>
        <v>#N/A</v>
      </c>
      <c r="AC52" s="64" t="e">
        <f>VLOOKUP(A52,Enforcements!$C$3:$E$72,3,0)</f>
        <v>#N/A</v>
      </c>
    </row>
    <row r="53" spans="1:29" s="2" customFormat="1" x14ac:dyDescent="0.25">
      <c r="A53" s="50" t="s">
        <v>370</v>
      </c>
      <c r="B53" s="50">
        <v>4019</v>
      </c>
      <c r="C53" s="50" t="s">
        <v>60</v>
      </c>
      <c r="D53" s="50" t="s">
        <v>128</v>
      </c>
      <c r="E53" s="26">
        <v>42542.443506944444</v>
      </c>
      <c r="F53" s="26">
        <v>42542.444212962961</v>
      </c>
      <c r="G53" s="34">
        <v>1</v>
      </c>
      <c r="H53" s="26" t="s">
        <v>69</v>
      </c>
      <c r="I53" s="26">
        <v>42542.471631944441</v>
      </c>
      <c r="J53" s="50">
        <v>0</v>
      </c>
      <c r="K53" s="50" t="str">
        <f t="shared" si="14"/>
        <v>4019/4020</v>
      </c>
      <c r="L53" s="50" t="str">
        <f>VLOOKUP(A53,'Trips&amp;Operators'!$C$1:$E$10000,3,FALSE)</f>
        <v>KILLION</v>
      </c>
      <c r="M53" s="12">
        <f t="shared" si="15"/>
        <v>2.7418981480877846E-2</v>
      </c>
      <c r="N53" s="13">
        <f>24*60*SUM($M53:$M53)</f>
        <v>39.483333332464099</v>
      </c>
      <c r="O53" s="13"/>
      <c r="P53" s="13"/>
      <c r="Q53" s="51"/>
      <c r="R53" s="51"/>
      <c r="S53" s="85">
        <f t="shared" si="13"/>
        <v>1</v>
      </c>
      <c r="T53" s="2" t="str">
        <f t="shared" si="17"/>
        <v>Southbound</v>
      </c>
      <c r="U53" s="2">
        <f>COUNTIFS(Variables!$M$2:$M$19, "&lt;=" &amp; Y53, Variables!$M$2:$M$19, "&gt;=" &amp; Z53)</f>
        <v>12</v>
      </c>
      <c r="V53" s="63" t="str">
        <f t="shared" si="18"/>
        <v>https://search-rtdc-monitor-bjffxe2xuh6vdkpspy63sjmuny.us-east-1.es.amazonaws.com/_plugin/kibana/#/discover/Steve-Slow-Train-Analysis-(2080s-and-2083s)?_g=(refreshInterval:(display:Off,section:0,value:0),time:(from:'2016-06-21 10:37:39-0600',mode:absolute,to:'2016-06-21 11:20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53" s="63" t="str">
        <f t="shared" si="19"/>
        <v>N</v>
      </c>
      <c r="X53" s="63">
        <f t="shared" si="20"/>
        <v>1</v>
      </c>
      <c r="Y53" s="63">
        <f t="shared" si="23"/>
        <v>23.299800000000001</v>
      </c>
      <c r="Z53" s="63">
        <f t="shared" si="24"/>
        <v>1.6E-2</v>
      </c>
      <c r="AA53" s="63">
        <f t="shared" si="21"/>
        <v>23.283800000000003</v>
      </c>
      <c r="AB53" s="64" t="e">
        <f>VLOOKUP(A53,Enforcements!$C$3:$J$72,8,0)</f>
        <v>#N/A</v>
      </c>
      <c r="AC53" s="64" t="e">
        <f>VLOOKUP(A53,Enforcements!$C$3:$E$72,3,0)</f>
        <v>#N/A</v>
      </c>
    </row>
    <row r="54" spans="1:29" s="2" customFormat="1" x14ac:dyDescent="0.25">
      <c r="A54" s="50" t="s">
        <v>371</v>
      </c>
      <c r="B54" s="50">
        <v>4029</v>
      </c>
      <c r="C54" s="50" t="s">
        <v>60</v>
      </c>
      <c r="D54" s="50" t="s">
        <v>372</v>
      </c>
      <c r="E54" s="26">
        <v>42542.427048611113</v>
      </c>
      <c r="F54" s="26">
        <v>42542.427870370368</v>
      </c>
      <c r="G54" s="34">
        <v>1</v>
      </c>
      <c r="H54" s="26" t="s">
        <v>342</v>
      </c>
      <c r="I54" s="26">
        <v>42542.452002314814</v>
      </c>
      <c r="J54" s="50">
        <v>1</v>
      </c>
      <c r="K54" s="50" t="str">
        <f t="shared" si="14"/>
        <v>4029/4030</v>
      </c>
      <c r="L54" s="50" t="str">
        <f>VLOOKUP(A54,'Trips&amp;Operators'!$C$1:$E$10000,3,FALSE)</f>
        <v>ACKERMAN</v>
      </c>
      <c r="M54" s="12">
        <f t="shared" si="15"/>
        <v>2.4131944446708076E-2</v>
      </c>
      <c r="N54" s="13"/>
      <c r="O54" s="13"/>
      <c r="P54" s="13">
        <f>24*60*SUM($M54:$M54)</f>
        <v>34.750000003259629</v>
      </c>
      <c r="Q54" s="51"/>
      <c r="R54" s="51" t="s">
        <v>505</v>
      </c>
      <c r="S54" s="85">
        <f t="shared" si="13"/>
        <v>1</v>
      </c>
      <c r="T54" s="2" t="str">
        <f t="shared" si="17"/>
        <v>NorthBound</v>
      </c>
      <c r="U54" s="2">
        <f>COUNTIFS(Variables!$M$2:$M$19, "&gt;=" &amp; Y54, Variables!$M$2:$M$19, "&lt;=" &amp; Z54)</f>
        <v>12</v>
      </c>
      <c r="V54" s="63" t="str">
        <f t="shared" si="18"/>
        <v>https://search-rtdc-monitor-bjffxe2xuh6vdkpspy63sjmuny.us-east-1.es.amazonaws.com/_plugin/kibana/#/discover/Steve-Slow-Train-Analysis-(2080s-and-2083s)?_g=(refreshInterval:(display:Off,section:0,value:0),time:(from:'2016-06-21 10:13:57-0600',mode:absolute,to:'2016-06-21 10:51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54" s="63" t="str">
        <f t="shared" si="19"/>
        <v>Y</v>
      </c>
      <c r="X54" s="63">
        <f t="shared" si="20"/>
        <v>1</v>
      </c>
      <c r="Y54" s="63">
        <f t="shared" si="23"/>
        <v>1.9137999999999999</v>
      </c>
      <c r="Z54" s="63">
        <f t="shared" si="24"/>
        <v>23.307600000000001</v>
      </c>
      <c r="AA54" s="63">
        <f t="shared" si="21"/>
        <v>21.393800000000002</v>
      </c>
      <c r="AB54" s="64">
        <f>VLOOKUP(A54,Enforcements!$C$3:$J$72,8,0)</f>
        <v>233491</v>
      </c>
      <c r="AC54" s="64" t="str">
        <f>VLOOKUP(A54,Enforcements!$C$3:$E$72,3,0)</f>
        <v>TRACK WARRANT AUTHORITY</v>
      </c>
    </row>
    <row r="55" spans="1:29" s="2" customFormat="1" x14ac:dyDescent="0.25">
      <c r="A55" s="50" t="s">
        <v>373</v>
      </c>
      <c r="B55" s="50">
        <v>4030</v>
      </c>
      <c r="C55" s="50" t="s">
        <v>60</v>
      </c>
      <c r="D55" s="50" t="s">
        <v>374</v>
      </c>
      <c r="E55" s="26">
        <v>42542.4530787037</v>
      </c>
      <c r="F55" s="26">
        <v>42542.453946759262</v>
      </c>
      <c r="G55" s="34">
        <v>1</v>
      </c>
      <c r="H55" s="26" t="s">
        <v>375</v>
      </c>
      <c r="I55" s="26">
        <v>42542.482881944445</v>
      </c>
      <c r="J55" s="50">
        <v>1</v>
      </c>
      <c r="K55" s="50" t="str">
        <f t="shared" si="14"/>
        <v>4029/4030</v>
      </c>
      <c r="L55" s="50" t="str">
        <f>VLOOKUP(A55,'Trips&amp;Operators'!$C$1:$E$10000,3,FALSE)</f>
        <v>ACKERMAN</v>
      </c>
      <c r="M55" s="12">
        <f t="shared" si="15"/>
        <v>2.8935185182490386E-2</v>
      </c>
      <c r="N55" s="13">
        <f t="shared" ref="N55:N65" si="25">24*60*SUM($M55:$M55)</f>
        <v>41.666666662786156</v>
      </c>
      <c r="O55" s="13"/>
      <c r="P55" s="13"/>
      <c r="Q55" s="51"/>
      <c r="R55" s="51"/>
      <c r="S55" s="85">
        <f t="shared" si="13"/>
        <v>1</v>
      </c>
      <c r="T55" s="2" t="str">
        <f t="shared" si="17"/>
        <v>Southbound</v>
      </c>
      <c r="U55" s="2">
        <f>COUNTIFS(Variables!$M$2:$M$19, "&lt;=" &amp; Y55, Variables!$M$2:$M$19, "&gt;=" &amp; Z55)</f>
        <v>12</v>
      </c>
      <c r="V55" s="63" t="str">
        <f t="shared" si="18"/>
        <v>https://search-rtdc-monitor-bjffxe2xuh6vdkpspy63sjmuny.us-east-1.es.amazonaws.com/_plugin/kibana/#/discover/Steve-Slow-Train-Analysis-(2080s-and-2083s)?_g=(refreshInterval:(display:Off,section:0,value:0),time:(from:'2016-06-21 10:51:26-0600',mode:absolute,to:'2016-06-21 11:36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55" s="63" t="str">
        <f t="shared" si="19"/>
        <v>N</v>
      </c>
      <c r="X55" s="63">
        <f t="shared" si="20"/>
        <v>1</v>
      </c>
      <c r="Y55" s="63">
        <f t="shared" si="23"/>
        <v>23.291899999999998</v>
      </c>
      <c r="Z55" s="63">
        <f t="shared" si="24"/>
        <v>3.4000000000000002E-2</v>
      </c>
      <c r="AA55" s="63">
        <f t="shared" si="21"/>
        <v>23.257899999999999</v>
      </c>
      <c r="AB55" s="64">
        <f>VLOOKUP(A55,Enforcements!$C$3:$J$72,8,0)</f>
        <v>1</v>
      </c>
      <c r="AC55" s="64" t="str">
        <f>VLOOKUP(A55,Enforcements!$C$3:$E$72,3,0)</f>
        <v>TRACK WARRANT AUTHORITY</v>
      </c>
    </row>
    <row r="56" spans="1:29" s="2" customFormat="1" x14ac:dyDescent="0.25">
      <c r="A56" s="50" t="s">
        <v>376</v>
      </c>
      <c r="B56" s="50">
        <v>4027</v>
      </c>
      <c r="C56" s="50" t="s">
        <v>60</v>
      </c>
      <c r="D56" s="50" t="s">
        <v>168</v>
      </c>
      <c r="E56" s="26">
        <v>42542.430856481478</v>
      </c>
      <c r="F56" s="26">
        <v>42542.432557870372</v>
      </c>
      <c r="G56" s="34">
        <v>2</v>
      </c>
      <c r="H56" s="26" t="s">
        <v>146</v>
      </c>
      <c r="I56" s="26">
        <v>42542.461770833332</v>
      </c>
      <c r="J56" s="50">
        <v>0</v>
      </c>
      <c r="K56" s="50" t="str">
        <f t="shared" si="14"/>
        <v>4027/4028</v>
      </c>
      <c r="L56" s="50" t="str">
        <f>VLOOKUP(A56,'Trips&amp;Operators'!$C$1:$E$10000,3,FALSE)</f>
        <v>RIVERA</v>
      </c>
      <c r="M56" s="12">
        <f t="shared" si="15"/>
        <v>2.9212962959718425E-2</v>
      </c>
      <c r="N56" s="13">
        <f t="shared" si="25"/>
        <v>42.066666661994532</v>
      </c>
      <c r="O56" s="13"/>
      <c r="P56" s="13"/>
      <c r="Q56" s="51"/>
      <c r="R56" s="51"/>
      <c r="S56" s="85">
        <f t="shared" si="13"/>
        <v>1</v>
      </c>
      <c r="T56" s="2" t="str">
        <f t="shared" si="17"/>
        <v>NorthBound</v>
      </c>
      <c r="U56" s="2">
        <f>COUNTIFS(Variables!$M$2:$M$19, "&gt;=" &amp; Y56, Variables!$M$2:$M$19, "&lt;=" &amp; Z56)</f>
        <v>12</v>
      </c>
      <c r="V56" s="63" t="str">
        <f t="shared" si="18"/>
        <v>https://search-rtdc-monitor-bjffxe2xuh6vdkpspy63sjmuny.us-east-1.es.amazonaws.com/_plugin/kibana/#/discover/Steve-Slow-Train-Analysis-(2080s-and-2083s)?_g=(refreshInterval:(display:Off,section:0,value:0),time:(from:'2016-06-21 10:19:26-0600',mode:absolute,to:'2016-06-21 11:05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56" s="63" t="str">
        <f t="shared" si="19"/>
        <v>N</v>
      </c>
      <c r="X56" s="63">
        <f t="shared" si="20"/>
        <v>1</v>
      </c>
      <c r="Y56" s="63">
        <f t="shared" si="23"/>
        <v>4.8800000000000003E-2</v>
      </c>
      <c r="Z56" s="63">
        <f t="shared" si="24"/>
        <v>23.331199999999999</v>
      </c>
      <c r="AA56" s="63">
        <f t="shared" si="21"/>
        <v>23.282399999999999</v>
      </c>
      <c r="AB56" s="64" t="e">
        <f>VLOOKUP(A56,Enforcements!$C$3:$J$72,8,0)</f>
        <v>#N/A</v>
      </c>
      <c r="AC56" s="64" t="e">
        <f>VLOOKUP(A56,Enforcements!$C$3:$E$72,3,0)</f>
        <v>#N/A</v>
      </c>
    </row>
    <row r="57" spans="1:29" s="2" customFormat="1" x14ac:dyDescent="0.25">
      <c r="A57" s="50" t="s">
        <v>377</v>
      </c>
      <c r="B57" s="50">
        <v>4028</v>
      </c>
      <c r="C57" s="50" t="s">
        <v>60</v>
      </c>
      <c r="D57" s="50" t="s">
        <v>246</v>
      </c>
      <c r="E57" s="26">
        <v>42542.463460648149</v>
      </c>
      <c r="F57" s="26">
        <v>42542.464826388888</v>
      </c>
      <c r="G57" s="34">
        <v>1</v>
      </c>
      <c r="H57" s="26" t="s">
        <v>333</v>
      </c>
      <c r="I57" s="26">
        <v>42542.492523148147</v>
      </c>
      <c r="J57" s="50">
        <v>1</v>
      </c>
      <c r="K57" s="50" t="str">
        <f t="shared" si="14"/>
        <v>4027/4028</v>
      </c>
      <c r="L57" s="50" t="str">
        <f>VLOOKUP(A57,'Trips&amp;Operators'!$C$1:$E$10000,3,FALSE)</f>
        <v>RIVERA</v>
      </c>
      <c r="M57" s="12">
        <f t="shared" si="15"/>
        <v>2.7696759258105885E-2</v>
      </c>
      <c r="N57" s="13">
        <f t="shared" si="25"/>
        <v>39.883333331672475</v>
      </c>
      <c r="O57" s="13"/>
      <c r="P57" s="13"/>
      <c r="Q57" s="51"/>
      <c r="R57" s="51"/>
      <c r="S57" s="85">
        <f t="shared" si="13"/>
        <v>1</v>
      </c>
      <c r="T57" s="2" t="str">
        <f t="shared" si="17"/>
        <v>Southbound</v>
      </c>
      <c r="U57" s="2">
        <f>COUNTIFS(Variables!$M$2:$M$19, "&lt;=" &amp; Y57, Variables!$M$2:$M$19, "&gt;=" &amp; Z57)</f>
        <v>12</v>
      </c>
      <c r="V57" s="63" t="str">
        <f t="shared" si="18"/>
        <v>https://search-rtdc-monitor-bjffxe2xuh6vdkpspy63sjmuny.us-east-1.es.amazonaws.com/_plugin/kibana/#/discover/Steve-Slow-Train-Analysis-(2080s-and-2083s)?_g=(refreshInterval:(display:Off,section:0,value:0),time:(from:'2016-06-21 11:06:23-0600',mode:absolute,to:'2016-06-21 11:50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57" s="63" t="str">
        <f t="shared" si="19"/>
        <v>N</v>
      </c>
      <c r="X57" s="63">
        <f t="shared" si="20"/>
        <v>1</v>
      </c>
      <c r="Y57" s="63">
        <f t="shared" si="23"/>
        <v>23.3</v>
      </c>
      <c r="Z57" s="63">
        <f t="shared" si="24"/>
        <v>1.38E-2</v>
      </c>
      <c r="AA57" s="63">
        <f t="shared" si="21"/>
        <v>23.286200000000001</v>
      </c>
      <c r="AB57" s="64">
        <f>VLOOKUP(A57,Enforcements!$C$3:$J$72,8,0)</f>
        <v>1</v>
      </c>
      <c r="AC57" s="64" t="str">
        <f>VLOOKUP(A57,Enforcements!$C$3:$E$72,3,0)</f>
        <v>TRACK WARRANT AUTHORITY</v>
      </c>
    </row>
    <row r="58" spans="1:29" s="2" customFormat="1" x14ac:dyDescent="0.25">
      <c r="A58" s="50" t="s">
        <v>378</v>
      </c>
      <c r="B58" s="50">
        <v>4017</v>
      </c>
      <c r="C58" s="50" t="s">
        <v>60</v>
      </c>
      <c r="D58" s="50" t="s">
        <v>169</v>
      </c>
      <c r="E58" s="26">
        <v>42542.472361111111</v>
      </c>
      <c r="F58" s="26">
        <v>42542.473703703705</v>
      </c>
      <c r="G58" s="34">
        <v>1</v>
      </c>
      <c r="H58" s="26" t="s">
        <v>79</v>
      </c>
      <c r="I58" s="26">
        <v>42542.505115740743</v>
      </c>
      <c r="J58" s="50">
        <v>0</v>
      </c>
      <c r="K58" s="50" t="str">
        <f t="shared" si="14"/>
        <v>4017/4018</v>
      </c>
      <c r="L58" s="50" t="str">
        <f>VLOOKUP(A58,'Trips&amp;Operators'!$C$1:$E$10000,3,FALSE)</f>
        <v>GEBRETEKLE</v>
      </c>
      <c r="M58" s="12">
        <f t="shared" si="15"/>
        <v>3.1412037038535345E-2</v>
      </c>
      <c r="N58" s="13">
        <f t="shared" si="25"/>
        <v>45.233333335490897</v>
      </c>
      <c r="O58" s="13"/>
      <c r="P58" s="13"/>
      <c r="Q58" s="51"/>
      <c r="R58" s="51"/>
      <c r="S58" s="85">
        <f t="shared" si="13"/>
        <v>1</v>
      </c>
      <c r="T58" s="2" t="str">
        <f t="shared" si="17"/>
        <v>Southbound</v>
      </c>
      <c r="U58" s="2">
        <f>COUNTIFS(Variables!$M$2:$M$19, "&lt;=" &amp; Y58, Variables!$M$2:$M$19, "&gt;=" &amp; Z58)</f>
        <v>12</v>
      </c>
      <c r="V58" s="63" t="str">
        <f t="shared" si="18"/>
        <v>https://search-rtdc-monitor-bjffxe2xuh6vdkpspy63sjmuny.us-east-1.es.amazonaws.com/_plugin/kibana/#/discover/Steve-Slow-Train-Analysis-(2080s-and-2083s)?_g=(refreshInterval:(display:Off,section:0,value:0),time:(from:'2016-06-21 11:19:12-0600',mode:absolute,to:'2016-06-21 12:08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58" s="63" t="str">
        <f t="shared" si="19"/>
        <v>N</v>
      </c>
      <c r="X58" s="63">
        <f t="shared" si="20"/>
        <v>2</v>
      </c>
      <c r="Y58" s="63">
        <f t="shared" si="23"/>
        <v>23.301300000000001</v>
      </c>
      <c r="Z58" s="63">
        <f t="shared" si="24"/>
        <v>1.49E-2</v>
      </c>
      <c r="AA58" s="63">
        <f t="shared" si="21"/>
        <v>23.2864</v>
      </c>
      <c r="AB58" s="64" t="e">
        <f>VLOOKUP(A58,Enforcements!$C$3:$J$72,8,0)</f>
        <v>#N/A</v>
      </c>
      <c r="AC58" s="64" t="e">
        <f>VLOOKUP(A58,Enforcements!$C$3:$E$72,3,0)</f>
        <v>#N/A</v>
      </c>
    </row>
    <row r="59" spans="1:29" s="2" customFormat="1" x14ac:dyDescent="0.25">
      <c r="A59" s="50" t="s">
        <v>379</v>
      </c>
      <c r="B59" s="50">
        <v>4031</v>
      </c>
      <c r="C59" s="50" t="s">
        <v>60</v>
      </c>
      <c r="D59" s="50" t="s">
        <v>114</v>
      </c>
      <c r="E59" s="26">
        <v>42542.446817129632</v>
      </c>
      <c r="F59" s="26">
        <v>42542.448055555556</v>
      </c>
      <c r="G59" s="34">
        <v>1</v>
      </c>
      <c r="H59" s="26" t="s">
        <v>380</v>
      </c>
      <c r="I59" s="26">
        <v>42542.473287037035</v>
      </c>
      <c r="J59" s="50">
        <v>1</v>
      </c>
      <c r="K59" s="50" t="str">
        <f t="shared" si="14"/>
        <v>4031/4032</v>
      </c>
      <c r="L59" s="50" t="str">
        <f>VLOOKUP(A59,'Trips&amp;Operators'!$C$1:$E$10000,3,FALSE)</f>
        <v>REBOLETTI</v>
      </c>
      <c r="M59" s="12">
        <f t="shared" si="15"/>
        <v>2.5231481478840578E-2</v>
      </c>
      <c r="N59" s="13">
        <f t="shared" si="25"/>
        <v>36.333333329530433</v>
      </c>
      <c r="O59" s="13"/>
      <c r="P59" s="13"/>
      <c r="Q59" s="51"/>
      <c r="R59" s="51"/>
      <c r="S59" s="85">
        <f t="shared" ref="S59:S77" si="26">SUM(U59:U59)/12</f>
        <v>1</v>
      </c>
      <c r="T59" s="2" t="str">
        <f t="shared" si="17"/>
        <v>NorthBound</v>
      </c>
      <c r="U59" s="2">
        <f>COUNTIFS(Variables!$M$2:$M$19, "&gt;=" &amp; Y59, Variables!$M$2:$M$19, "&lt;=" &amp; Z59)</f>
        <v>12</v>
      </c>
      <c r="V59" s="63" t="str">
        <f t="shared" si="18"/>
        <v>https://search-rtdc-monitor-bjffxe2xuh6vdkpspy63sjmuny.us-east-1.es.amazonaws.com/_plugin/kibana/#/discover/Steve-Slow-Train-Analysis-(2080s-and-2083s)?_g=(refreshInterval:(display:Off,section:0,value:0),time:(from:'2016-06-21 10:42:25-0600',mode:absolute,to:'2016-06-21 11:22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59" s="63" t="str">
        <f t="shared" si="19"/>
        <v>N</v>
      </c>
      <c r="X59" s="63">
        <f t="shared" si="20"/>
        <v>1</v>
      </c>
      <c r="Y59" s="63">
        <f t="shared" si="23"/>
        <v>4.4699999999999997E-2</v>
      </c>
      <c r="Z59" s="63">
        <f t="shared" si="24"/>
        <v>23.172499999999999</v>
      </c>
      <c r="AA59" s="63">
        <f t="shared" si="21"/>
        <v>23.127800000000001</v>
      </c>
      <c r="AB59" s="64">
        <f>VLOOKUP(A59,Enforcements!$C$3:$J$72,8,0)</f>
        <v>233491</v>
      </c>
      <c r="AC59" s="64" t="str">
        <f>VLOOKUP(A59,Enforcements!$C$3:$E$72,3,0)</f>
        <v>TRACK WARRANT AUTHORITY</v>
      </c>
    </row>
    <row r="60" spans="1:29" s="2" customFormat="1" x14ac:dyDescent="0.25">
      <c r="A60" s="81" t="s">
        <v>381</v>
      </c>
      <c r="B60" s="50">
        <v>4032</v>
      </c>
      <c r="C60" s="50" t="s">
        <v>60</v>
      </c>
      <c r="D60" s="50" t="s">
        <v>209</v>
      </c>
      <c r="E60" s="26">
        <v>42542.48133101852</v>
      </c>
      <c r="F60" s="26">
        <v>42542.482291666667</v>
      </c>
      <c r="G60" s="34">
        <v>1</v>
      </c>
      <c r="H60" s="26" t="s">
        <v>175</v>
      </c>
      <c r="I60" s="26">
        <v>42542.515104166669</v>
      </c>
      <c r="J60" s="50">
        <v>1</v>
      </c>
      <c r="K60" s="50" t="str">
        <f t="shared" si="14"/>
        <v>4031/4032</v>
      </c>
      <c r="L60" s="50" t="str">
        <f>VLOOKUP(A60,'Trips&amp;Operators'!$C$1:$E$10000,3,FALSE)</f>
        <v>REBOLETTI</v>
      </c>
      <c r="M60" s="12">
        <f t="shared" si="15"/>
        <v>3.2812500001455192E-2</v>
      </c>
      <c r="N60" s="13">
        <f t="shared" si="25"/>
        <v>47.250000002095476</v>
      </c>
      <c r="O60" s="13"/>
      <c r="P60" s="13"/>
      <c r="Q60" s="51"/>
      <c r="R60" s="51"/>
      <c r="S60" s="85">
        <f t="shared" si="26"/>
        <v>1</v>
      </c>
      <c r="T60" s="2" t="str">
        <f t="shared" si="17"/>
        <v>Southbound</v>
      </c>
      <c r="U60" s="2">
        <f>COUNTIFS(Variables!$M$2:$M$19, "&lt;=" &amp; Y60, Variables!$M$2:$M$19, "&gt;=" &amp; Z60)</f>
        <v>12</v>
      </c>
      <c r="V60" s="63" t="str">
        <f t="shared" si="18"/>
        <v>https://search-rtdc-monitor-bjffxe2xuh6vdkpspy63sjmuny.us-east-1.es.amazonaws.com/_plugin/kibana/#/discover/Steve-Slow-Train-Analysis-(2080s-and-2083s)?_g=(refreshInterval:(display:Off,section:0,value:0),time:(from:'2016-06-21 11:32:07-0600',mode:absolute,to:'2016-06-21 12:22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60" s="63" t="str">
        <f t="shared" si="19"/>
        <v>N</v>
      </c>
      <c r="X60" s="63">
        <f t="shared" si="20"/>
        <v>1</v>
      </c>
      <c r="Y60" s="63">
        <f t="shared" si="23"/>
        <v>23.298200000000001</v>
      </c>
      <c r="Z60" s="63">
        <f t="shared" si="24"/>
        <v>1.89E-2</v>
      </c>
      <c r="AA60" s="63">
        <f t="shared" si="21"/>
        <v>23.279300000000003</v>
      </c>
      <c r="AB60" s="64">
        <f>VLOOKUP(A60,Enforcements!$C$3:$J$72,8,0)</f>
        <v>1</v>
      </c>
      <c r="AC60" s="64" t="str">
        <f>VLOOKUP(A60,Enforcements!$C$3:$E$72,3,0)</f>
        <v>TRACK WARRANT AUTHORITY</v>
      </c>
    </row>
    <row r="61" spans="1:29" s="2" customFormat="1" x14ac:dyDescent="0.25">
      <c r="A61" s="50" t="s">
        <v>382</v>
      </c>
      <c r="B61" s="50">
        <v>4042</v>
      </c>
      <c r="C61" s="50" t="s">
        <v>60</v>
      </c>
      <c r="D61" s="50" t="s">
        <v>70</v>
      </c>
      <c r="E61" s="26">
        <v>42542.454641203702</v>
      </c>
      <c r="F61" s="26">
        <v>42542.45590277778</v>
      </c>
      <c r="G61" s="34">
        <v>1</v>
      </c>
      <c r="H61" s="26" t="s">
        <v>383</v>
      </c>
      <c r="I61" s="26">
        <v>42542.484432870369</v>
      </c>
      <c r="J61" s="50">
        <v>0</v>
      </c>
      <c r="K61" s="50" t="str">
        <f t="shared" si="14"/>
        <v>4041/4042</v>
      </c>
      <c r="L61" s="50" t="str">
        <f>VLOOKUP(A61,'Trips&amp;Operators'!$C$1:$E$10000,3,FALSE)</f>
        <v>SPECTOR</v>
      </c>
      <c r="M61" s="12">
        <f t="shared" si="15"/>
        <v>2.8530092589790002E-2</v>
      </c>
      <c r="N61" s="13">
        <f t="shared" si="25"/>
        <v>41.083333329297602</v>
      </c>
      <c r="O61" s="13"/>
      <c r="P61" s="13"/>
      <c r="Q61" s="51"/>
      <c r="R61" s="51"/>
      <c r="S61" s="85">
        <f t="shared" si="26"/>
        <v>1</v>
      </c>
      <c r="T61" s="2" t="str">
        <f t="shared" si="17"/>
        <v>NorthBound</v>
      </c>
      <c r="U61" s="2">
        <f>COUNTIFS(Variables!$M$2:$M$19, "&gt;=" &amp; Y61, Variables!$M$2:$M$19, "&lt;=" &amp; Z61)</f>
        <v>12</v>
      </c>
      <c r="V61" s="63" t="str">
        <f t="shared" si="18"/>
        <v>https://search-rtdc-monitor-bjffxe2xuh6vdkpspy63sjmuny.us-east-1.es.amazonaws.com/_plugin/kibana/#/discover/Steve-Slow-Train-Analysis-(2080s-and-2083s)?_g=(refreshInterval:(display:Off,section:0,value:0),time:(from:'2016-06-21 10:53:41-0600',mode:absolute,to:'2016-06-21 11:38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61" s="63" t="str">
        <f t="shared" si="19"/>
        <v>N</v>
      </c>
      <c r="X61" s="63">
        <f t="shared" si="20"/>
        <v>1</v>
      </c>
      <c r="Y61" s="63">
        <f t="shared" si="23"/>
        <v>4.5999999999999999E-2</v>
      </c>
      <c r="Z61" s="63">
        <f t="shared" si="24"/>
        <v>23.3306</v>
      </c>
      <c r="AA61" s="63">
        <f t="shared" si="21"/>
        <v>23.284600000000001</v>
      </c>
      <c r="AB61" s="64" t="e">
        <f>VLOOKUP(A61,Enforcements!$C$3:$J$72,8,0)</f>
        <v>#N/A</v>
      </c>
      <c r="AC61" s="64" t="e">
        <f>VLOOKUP(A61,Enforcements!$C$3:$E$72,3,0)</f>
        <v>#N/A</v>
      </c>
    </row>
    <row r="62" spans="1:29" s="2" customFormat="1" x14ac:dyDescent="0.25">
      <c r="A62" s="50" t="s">
        <v>384</v>
      </c>
      <c r="B62" s="50">
        <v>4041</v>
      </c>
      <c r="C62" s="50" t="s">
        <v>60</v>
      </c>
      <c r="D62" s="50" t="s">
        <v>76</v>
      </c>
      <c r="E62" s="26">
        <v>42542.49113425926</v>
      </c>
      <c r="F62" s="26">
        <v>42542.492476851854</v>
      </c>
      <c r="G62" s="34">
        <v>1</v>
      </c>
      <c r="H62" s="26" t="s">
        <v>61</v>
      </c>
      <c r="I62" s="26">
        <v>42542.524629629632</v>
      </c>
      <c r="J62" s="50">
        <v>0</v>
      </c>
      <c r="K62" s="50" t="str">
        <f t="shared" si="14"/>
        <v>4041/4042</v>
      </c>
      <c r="L62" s="50" t="str">
        <f>VLOOKUP(A62,'Trips&amp;Operators'!$C$1:$E$10000,3,FALSE)</f>
        <v>SPECTOR</v>
      </c>
      <c r="M62" s="12">
        <f t="shared" si="15"/>
        <v>3.2152777777810115E-2</v>
      </c>
      <c r="N62" s="13">
        <f t="shared" si="25"/>
        <v>46.300000000046566</v>
      </c>
      <c r="O62" s="13"/>
      <c r="P62" s="13"/>
      <c r="Q62" s="51"/>
      <c r="R62" s="51"/>
      <c r="S62" s="85">
        <f t="shared" si="26"/>
        <v>1</v>
      </c>
      <c r="T62" s="2" t="str">
        <f t="shared" si="17"/>
        <v>Southbound</v>
      </c>
      <c r="U62" s="2">
        <f>COUNTIFS(Variables!$M$2:$M$19, "&lt;=" &amp; Y62, Variables!$M$2:$M$19, "&gt;=" &amp; Z62)</f>
        <v>12</v>
      </c>
      <c r="V62" s="63" t="str">
        <f t="shared" si="18"/>
        <v>https://search-rtdc-monitor-bjffxe2xuh6vdkpspy63sjmuny.us-east-1.es.amazonaws.com/_plugin/kibana/#/discover/Steve-Slow-Train-Analysis-(2080s-and-2083s)?_g=(refreshInterval:(display:Off,section:0,value:0),time:(from:'2016-06-21 11:46:14-0600',mode:absolute,to:'2016-06-21 12:36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62" s="63" t="str">
        <f t="shared" si="19"/>
        <v>N</v>
      </c>
      <c r="X62" s="63">
        <f t="shared" si="20"/>
        <v>1</v>
      </c>
      <c r="Y62" s="63">
        <f t="shared" si="23"/>
        <v>23.299099999999999</v>
      </c>
      <c r="Z62" s="63">
        <f t="shared" si="24"/>
        <v>1.4500000000000001E-2</v>
      </c>
      <c r="AA62" s="63">
        <f t="shared" si="21"/>
        <v>23.284599999999998</v>
      </c>
      <c r="AB62" s="64" t="e">
        <f>VLOOKUP(A62,Enforcements!$C$3:$J$72,8,0)</f>
        <v>#N/A</v>
      </c>
      <c r="AC62" s="64" t="e">
        <f>VLOOKUP(A62,Enforcements!$C$3:$E$72,3,0)</f>
        <v>#N/A</v>
      </c>
    </row>
    <row r="63" spans="1:29" s="2" customFormat="1" x14ac:dyDescent="0.25">
      <c r="A63" s="50" t="s">
        <v>385</v>
      </c>
      <c r="B63" s="50">
        <v>4011</v>
      </c>
      <c r="C63" s="50" t="s">
        <v>60</v>
      </c>
      <c r="D63" s="50" t="s">
        <v>386</v>
      </c>
      <c r="E63" s="26">
        <v>42542.468182870369</v>
      </c>
      <c r="F63" s="26">
        <v>42542.46979166667</v>
      </c>
      <c r="G63" s="34">
        <v>2</v>
      </c>
      <c r="H63" s="26" t="s">
        <v>241</v>
      </c>
      <c r="I63" s="26">
        <v>42542.497094907405</v>
      </c>
      <c r="J63" s="50">
        <v>0</v>
      </c>
      <c r="K63" s="50" t="str">
        <f t="shared" si="14"/>
        <v>4011/4012</v>
      </c>
      <c r="L63" s="50" t="str">
        <f>VLOOKUP(A63,'Trips&amp;Operators'!$C$1:$E$10000,3,FALSE)</f>
        <v>DAVIS</v>
      </c>
      <c r="M63" s="12">
        <f t="shared" si="15"/>
        <v>2.7303240734909195E-2</v>
      </c>
      <c r="N63" s="13">
        <f t="shared" si="25"/>
        <v>39.316666658269241</v>
      </c>
      <c r="O63" s="13"/>
      <c r="P63" s="13"/>
      <c r="Q63" s="51"/>
      <c r="R63" s="51"/>
      <c r="S63" s="85">
        <f t="shared" si="26"/>
        <v>1</v>
      </c>
      <c r="T63" s="2" t="str">
        <f t="shared" si="17"/>
        <v>NorthBound</v>
      </c>
      <c r="U63" s="2">
        <f>COUNTIFS(Variables!$M$2:$M$19, "&gt;=" &amp; Y63, Variables!$M$2:$M$19, "&lt;=" &amp; Z63)</f>
        <v>12</v>
      </c>
      <c r="V63" s="63" t="str">
        <f t="shared" si="18"/>
        <v>https://search-rtdc-monitor-bjffxe2xuh6vdkpspy63sjmuny.us-east-1.es.amazonaws.com/_plugin/kibana/#/discover/Steve-Slow-Train-Analysis-(2080s-and-2083s)?_g=(refreshInterval:(display:Off,section:0,value:0),time:(from:'2016-06-21 11:13:11-0600',mode:absolute,to:'2016-06-21 11:56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63" s="63" t="str">
        <f t="shared" si="19"/>
        <v>N</v>
      </c>
      <c r="X63" s="63">
        <f t="shared" si="20"/>
        <v>1</v>
      </c>
      <c r="Y63" s="63">
        <f t="shared" si="23"/>
        <v>0.14810000000000001</v>
      </c>
      <c r="Z63" s="63">
        <f t="shared" si="24"/>
        <v>23.327000000000002</v>
      </c>
      <c r="AA63" s="63">
        <f t="shared" si="21"/>
        <v>23.178900000000002</v>
      </c>
      <c r="AB63" s="64" t="e">
        <f>VLOOKUP(A63,Enforcements!$C$3:$J$72,8,0)</f>
        <v>#N/A</v>
      </c>
      <c r="AC63" s="64" t="e">
        <f>VLOOKUP(A63,Enforcements!$C$3:$E$72,3,0)</f>
        <v>#N/A</v>
      </c>
    </row>
    <row r="64" spans="1:29" s="2" customFormat="1" x14ac:dyDescent="0.25">
      <c r="A64" s="50" t="s">
        <v>387</v>
      </c>
      <c r="B64" s="50">
        <v>4012</v>
      </c>
      <c r="C64" s="50" t="s">
        <v>60</v>
      </c>
      <c r="D64" s="50" t="s">
        <v>162</v>
      </c>
      <c r="E64" s="26">
        <v>42542.506724537037</v>
      </c>
      <c r="F64" s="26">
        <v>42542.507986111108</v>
      </c>
      <c r="G64" s="34">
        <v>1</v>
      </c>
      <c r="H64" s="26" t="s">
        <v>120</v>
      </c>
      <c r="I64" s="26">
        <v>42542.535416666666</v>
      </c>
      <c r="J64" s="50">
        <v>0</v>
      </c>
      <c r="K64" s="50" t="str">
        <f t="shared" si="14"/>
        <v>4011/4012</v>
      </c>
      <c r="L64" s="50" t="str">
        <f>VLOOKUP(A64,'Trips&amp;Operators'!$C$1:$E$10000,3,FALSE)</f>
        <v>DAVIS</v>
      </c>
      <c r="M64" s="12">
        <f t="shared" si="15"/>
        <v>2.7430555557657499E-2</v>
      </c>
      <c r="N64" s="13">
        <f t="shared" si="25"/>
        <v>39.500000003026798</v>
      </c>
      <c r="O64" s="13"/>
      <c r="P64" s="13"/>
      <c r="Q64" s="51"/>
      <c r="R64" s="51"/>
      <c r="S64" s="85">
        <f t="shared" si="26"/>
        <v>1</v>
      </c>
      <c r="T64" s="2" t="str">
        <f t="shared" si="17"/>
        <v>Southbound</v>
      </c>
      <c r="U64" s="2">
        <f>COUNTIFS(Variables!$M$2:$M$19, "&lt;=" &amp; Y64, Variables!$M$2:$M$19, "&gt;=" &amp; Z64)</f>
        <v>12</v>
      </c>
      <c r="V64" s="63" t="str">
        <f t="shared" si="18"/>
        <v>https://search-rtdc-monitor-bjffxe2xuh6vdkpspy63sjmuny.us-east-1.es.amazonaws.com/_plugin/kibana/#/discover/Steve-Slow-Train-Analysis-(2080s-and-2083s)?_g=(refreshInterval:(display:Off,section:0,value:0),time:(from:'2016-06-21 12:08:41-0600',mode:absolute,to:'2016-06-21 12:52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64" s="63" t="str">
        <f t="shared" si="19"/>
        <v>N</v>
      </c>
      <c r="X64" s="63">
        <f t="shared" si="20"/>
        <v>1</v>
      </c>
      <c r="Y64" s="63">
        <f t="shared" si="23"/>
        <v>23.300699999999999</v>
      </c>
      <c r="Z64" s="63">
        <f t="shared" si="24"/>
        <v>1.5800000000000002E-2</v>
      </c>
      <c r="AA64" s="63">
        <f t="shared" si="21"/>
        <v>23.2849</v>
      </c>
      <c r="AB64" s="64" t="e">
        <f>VLOOKUP(A64,Enforcements!$C$3:$J$72,8,0)</f>
        <v>#N/A</v>
      </c>
      <c r="AC64" s="64" t="e">
        <f>VLOOKUP(A64,Enforcements!$C$3:$E$72,3,0)</f>
        <v>#N/A</v>
      </c>
    </row>
    <row r="65" spans="1:29" s="2" customFormat="1" x14ac:dyDescent="0.25">
      <c r="A65" s="50" t="s">
        <v>388</v>
      </c>
      <c r="B65" s="50">
        <v>4020</v>
      </c>
      <c r="C65" s="50" t="s">
        <v>60</v>
      </c>
      <c r="D65" s="50" t="s">
        <v>174</v>
      </c>
      <c r="E65" s="26">
        <v>42542.474236111113</v>
      </c>
      <c r="F65" s="26">
        <v>42542.474976851852</v>
      </c>
      <c r="G65" s="34">
        <v>1</v>
      </c>
      <c r="H65" s="26" t="s">
        <v>176</v>
      </c>
      <c r="I65" s="26">
        <v>42542.504594907405</v>
      </c>
      <c r="J65" s="50">
        <v>0</v>
      </c>
      <c r="K65" s="50" t="str">
        <f t="shared" si="14"/>
        <v>4019/4020</v>
      </c>
      <c r="L65" s="50" t="str">
        <f>VLOOKUP(A65,'Trips&amp;Operators'!$C$1:$E$10000,3,FALSE)</f>
        <v>LOCKLEAR</v>
      </c>
      <c r="M65" s="12">
        <f t="shared" si="15"/>
        <v>2.9618055552418809E-2</v>
      </c>
      <c r="N65" s="13">
        <f t="shared" si="25"/>
        <v>42.649999995483086</v>
      </c>
      <c r="O65" s="13"/>
      <c r="P65" s="13"/>
      <c r="Q65" s="51"/>
      <c r="R65" s="51"/>
      <c r="S65" s="85">
        <f t="shared" si="26"/>
        <v>1</v>
      </c>
      <c r="T65" s="2" t="str">
        <f t="shared" si="17"/>
        <v>NorthBound</v>
      </c>
      <c r="U65" s="2">
        <f>COUNTIFS(Variables!$M$2:$M$19, "&gt;=" &amp; Y65, Variables!$M$2:$M$19, "&lt;=" &amp; Z65)</f>
        <v>12</v>
      </c>
      <c r="V65" s="63" t="str">
        <f t="shared" si="18"/>
        <v>https://search-rtdc-monitor-bjffxe2xuh6vdkpspy63sjmuny.us-east-1.es.amazonaws.com/_plugin/kibana/#/discover/Steve-Slow-Train-Analysis-(2080s-and-2083s)?_g=(refreshInterval:(display:Off,section:0,value:0),time:(from:'2016-06-21 11:21:54-0600',mode:absolute,to:'2016-06-21 12:07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65" s="63" t="str">
        <f t="shared" si="19"/>
        <v>N</v>
      </c>
      <c r="X65" s="63">
        <f t="shared" si="20"/>
        <v>1</v>
      </c>
      <c r="Y65" s="63">
        <f t="shared" si="23"/>
        <v>4.7699999999999999E-2</v>
      </c>
      <c r="Z65" s="63">
        <f t="shared" si="24"/>
        <v>23.334399999999999</v>
      </c>
      <c r="AA65" s="63">
        <f t="shared" si="21"/>
        <v>23.2867</v>
      </c>
      <c r="AB65" s="64">
        <f>VLOOKUP(A65,Enforcements!$C$3:$J$72,8,0)</f>
        <v>233491</v>
      </c>
      <c r="AC65" s="64" t="str">
        <f>VLOOKUP(A65,Enforcements!$C$3:$E$72,3,0)</f>
        <v>TRACK WARRANT AUTHORITY</v>
      </c>
    </row>
    <row r="66" spans="1:29" s="2" customFormat="1" x14ac:dyDescent="0.25">
      <c r="A66" s="50" t="s">
        <v>389</v>
      </c>
      <c r="B66" s="50">
        <v>4019</v>
      </c>
      <c r="C66" s="50" t="s">
        <v>60</v>
      </c>
      <c r="D66" s="50" t="s">
        <v>391</v>
      </c>
      <c r="E66" s="26">
        <v>42542.518425925926</v>
      </c>
      <c r="F66" s="26">
        <v>42542.519537037035</v>
      </c>
      <c r="G66" s="34">
        <v>1</v>
      </c>
      <c r="H66" s="26" t="s">
        <v>390</v>
      </c>
      <c r="I66" s="26">
        <v>42542.521273148152</v>
      </c>
      <c r="J66" s="50">
        <v>0</v>
      </c>
      <c r="K66" s="50" t="str">
        <f t="shared" si="14"/>
        <v>4019/4020</v>
      </c>
      <c r="L66" s="50" t="str">
        <f>VLOOKUP(A66,'Trips&amp;Operators'!$C$1:$E$10000,3,FALSE)</f>
        <v>LOCKLEAR</v>
      </c>
      <c r="M66" s="12">
        <f t="shared" si="15"/>
        <v>1.7361111167701893E-3</v>
      </c>
      <c r="N66" s="13"/>
      <c r="O66" s="13"/>
      <c r="P66" s="13">
        <f>24*60*SUM($M66:$M66)</f>
        <v>2.5000000081490725</v>
      </c>
      <c r="Q66" s="51"/>
      <c r="R66" s="51" t="s">
        <v>502</v>
      </c>
      <c r="S66" s="85">
        <f t="shared" si="26"/>
        <v>0</v>
      </c>
      <c r="T66" s="2" t="str">
        <f t="shared" si="17"/>
        <v>Southbound</v>
      </c>
      <c r="U66" s="2">
        <f>COUNTIFS(Variables!$M$2:$M$19, "&lt;=" &amp; Y66, Variables!$M$2:$M$19, "&gt;=" &amp; Z66)</f>
        <v>0</v>
      </c>
      <c r="V66" s="63" t="str">
        <f t="shared" si="18"/>
        <v>https://search-rtdc-monitor-bjffxe2xuh6vdkpspy63sjmuny.us-east-1.es.amazonaws.com/_plugin/kibana/#/discover/Steve-Slow-Train-Analysis-(2080s-and-2083s)?_g=(refreshInterval:(display:Off,section:0,value:0),time:(from:'2016-06-21 12:25:32-0600',mode:absolute,to:'2016-06-21 12:31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66" s="63" t="str">
        <f t="shared" si="19"/>
        <v>Y</v>
      </c>
      <c r="X66" s="63">
        <f t="shared" si="20"/>
        <v>1</v>
      </c>
      <c r="Y66" s="63">
        <v>23.241499999999998</v>
      </c>
      <c r="Z66" s="63">
        <v>22.561499999999999</v>
      </c>
      <c r="AA66" s="63">
        <f t="shared" si="21"/>
        <v>0.67999999999999972</v>
      </c>
      <c r="AB66" s="64" t="e">
        <f>VLOOKUP(A66,Enforcements!$C$3:$J$72,8,0)</f>
        <v>#N/A</v>
      </c>
      <c r="AC66" s="64" t="e">
        <f>VLOOKUP(A66,Enforcements!$C$3:$E$72,3,0)</f>
        <v>#N/A</v>
      </c>
    </row>
    <row r="67" spans="1:29" s="2" customFormat="1" x14ac:dyDescent="0.25">
      <c r="A67" s="50" t="s">
        <v>392</v>
      </c>
      <c r="B67" s="50">
        <v>4029</v>
      </c>
      <c r="C67" s="50" t="s">
        <v>60</v>
      </c>
      <c r="D67" s="50" t="s">
        <v>393</v>
      </c>
      <c r="E67" s="26">
        <v>42542.488020833334</v>
      </c>
      <c r="F67" s="26">
        <v>42542.489039351851</v>
      </c>
      <c r="G67" s="34">
        <v>1</v>
      </c>
      <c r="H67" s="26" t="s">
        <v>394</v>
      </c>
      <c r="I67" s="26">
        <v>42542.518657407411</v>
      </c>
      <c r="J67" s="50">
        <v>0</v>
      </c>
      <c r="K67" s="50" t="str">
        <f t="shared" ref="K67:K98" si="27">IF(ISEVEN(B67),(B67-1)&amp;"/"&amp;B67,B67&amp;"/"&amp;(B67+1))</f>
        <v>4029/4030</v>
      </c>
      <c r="L67" s="50" t="str">
        <f>VLOOKUP(A67,'Trips&amp;Operators'!$C$1:$E$10000,3,FALSE)</f>
        <v>MOSES</v>
      </c>
      <c r="M67" s="12">
        <f t="shared" ref="M67:M98" si="28">I67-F67</f>
        <v>2.9618055559694767E-2</v>
      </c>
      <c r="N67" s="13">
        <f>24*60*SUM($M67:$M67)</f>
        <v>42.650000005960464</v>
      </c>
      <c r="O67" s="13"/>
      <c r="P67" s="13"/>
      <c r="Q67" s="51"/>
      <c r="R67" s="51"/>
      <c r="S67" s="85">
        <f t="shared" si="26"/>
        <v>1</v>
      </c>
      <c r="T67" s="2" t="str">
        <f t="shared" ref="T67:T98" si="29">IF(ISEVEN(LEFT(A67,3)),"Southbound","NorthBound")</f>
        <v>NorthBound</v>
      </c>
      <c r="U67" s="2">
        <f>COUNTIFS(Variables!$M$2:$M$19, "&gt;=" &amp; Y67, Variables!$M$2:$M$19, "&lt;=" &amp; Z67)</f>
        <v>12</v>
      </c>
      <c r="V67" s="63" t="str">
        <f t="shared" ref="V67:V98" si="30"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https://search-rtdc-monitor-bjffxe2xuh6vdkpspy63sjmuny.us-east-1.es.amazonaws.com/_plugin/kibana/#/discover/Steve-Slow-Train-Analysis-(2080s-and-2083s)?_g=(refreshInterval:(display:Off,section:0,value:0),time:(from:'2016-06-21 11:41:45-0600',mode:absolute,to:'2016-06-21 12:27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67" s="63" t="str">
        <f t="shared" ref="W67:W98" si="31">IF(AA67&lt;23,"Y","N")</f>
        <v>N</v>
      </c>
      <c r="X67" s="63">
        <f t="shared" ref="X67:X98" si="32">VALUE(LEFT(A67,3))-VALUE(LEFT(A66,3))</f>
        <v>1</v>
      </c>
      <c r="Y67" s="63">
        <f t="shared" ref="Y67:Y90" si="33">RIGHT(D67,LEN(D67)-4)/10000</f>
        <v>6.3899999999999998E-2</v>
      </c>
      <c r="Z67" s="63">
        <f t="shared" ref="Z67:Z90" si="34">RIGHT(H67,LEN(H67)-4)/10000</f>
        <v>23.309699999999999</v>
      </c>
      <c r="AA67" s="63">
        <f t="shared" ref="AA67:AA98" si="35">ABS(Z67-Y67)</f>
        <v>23.245799999999999</v>
      </c>
      <c r="AB67" s="64" t="e">
        <f>VLOOKUP(A67,Enforcements!$C$3:$J$72,8,0)</f>
        <v>#N/A</v>
      </c>
      <c r="AC67" s="64" t="e">
        <f>VLOOKUP(A67,Enforcements!$C$3:$E$72,3,0)</f>
        <v>#N/A</v>
      </c>
    </row>
    <row r="68" spans="1:29" s="2" customFormat="1" x14ac:dyDescent="0.25">
      <c r="A68" s="50" t="s">
        <v>395</v>
      </c>
      <c r="B68" s="50">
        <v>4030</v>
      </c>
      <c r="C68" s="50" t="s">
        <v>60</v>
      </c>
      <c r="D68" s="50" t="s">
        <v>396</v>
      </c>
      <c r="E68" s="26">
        <v>42542.525127314817</v>
      </c>
      <c r="F68" s="26">
        <v>42542.529768518521</v>
      </c>
      <c r="G68" s="34">
        <v>6</v>
      </c>
      <c r="H68" s="26" t="s">
        <v>129</v>
      </c>
      <c r="I68" s="26">
        <v>42542.568703703706</v>
      </c>
      <c r="J68" s="50">
        <v>1</v>
      </c>
      <c r="K68" s="50" t="str">
        <f t="shared" si="27"/>
        <v>4029/4030</v>
      </c>
      <c r="L68" s="50" t="str">
        <f>VLOOKUP(A68,'Trips&amp;Operators'!$C$1:$E$10000,3,FALSE)</f>
        <v>MOSES</v>
      </c>
      <c r="M68" s="12">
        <f t="shared" si="28"/>
        <v>3.8935185184527654E-2</v>
      </c>
      <c r="N68" s="13">
        <f>24*60*SUM($M68:$M68)</f>
        <v>56.066666665719822</v>
      </c>
      <c r="O68" s="13"/>
      <c r="P68" s="13"/>
      <c r="Q68" s="51"/>
      <c r="R68" s="51"/>
      <c r="S68" s="85">
        <f t="shared" si="26"/>
        <v>1</v>
      </c>
      <c r="T68" s="2" t="str">
        <f t="shared" si="29"/>
        <v>Southbound</v>
      </c>
      <c r="U68" s="2">
        <f>COUNTIFS(Variables!$M$2:$M$19, "&lt;=" &amp; Y68, Variables!$M$2:$M$19, "&gt;=" &amp; Z68)</f>
        <v>12</v>
      </c>
      <c r="V68" s="63" t="str">
        <f t="shared" si="30"/>
        <v>https://search-rtdc-monitor-bjffxe2xuh6vdkpspy63sjmuny.us-east-1.es.amazonaws.com/_plugin/kibana/#/discover/Steve-Slow-Train-Analysis-(2080s-and-2083s)?_g=(refreshInterval:(display:Off,section:0,value:0),time:(from:'2016-06-21 12:35:11-0600',mode:absolute,to:'2016-06-21 13:39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68" s="63" t="str">
        <f t="shared" si="31"/>
        <v>N</v>
      </c>
      <c r="X68" s="63">
        <f t="shared" si="32"/>
        <v>1</v>
      </c>
      <c r="Y68" s="63">
        <f t="shared" si="33"/>
        <v>23.295000000000002</v>
      </c>
      <c r="Z68" s="63">
        <f t="shared" si="34"/>
        <v>1.7000000000000001E-2</v>
      </c>
      <c r="AA68" s="63">
        <f t="shared" si="35"/>
        <v>23.278000000000002</v>
      </c>
      <c r="AB68" s="64">
        <f>VLOOKUP(A68,Enforcements!$C$3:$J$72,8,0)</f>
        <v>1</v>
      </c>
      <c r="AC68" s="64" t="str">
        <f>VLOOKUP(A68,Enforcements!$C$3:$E$72,3,0)</f>
        <v>TRACK WARRANT AUTHORITY</v>
      </c>
    </row>
    <row r="69" spans="1:29" s="2" customFormat="1" x14ac:dyDescent="0.25">
      <c r="A69" s="50" t="s">
        <v>397</v>
      </c>
      <c r="B69" s="50">
        <v>4027</v>
      </c>
      <c r="C69" s="50" t="s">
        <v>60</v>
      </c>
      <c r="D69" s="50" t="s">
        <v>75</v>
      </c>
      <c r="E69" s="26">
        <v>42542.494687500002</v>
      </c>
      <c r="F69" s="26">
        <v>42542.495717592596</v>
      </c>
      <c r="G69" s="34">
        <v>1</v>
      </c>
      <c r="H69" s="26" t="s">
        <v>151</v>
      </c>
      <c r="I69" s="26">
        <v>42542.526932870373</v>
      </c>
      <c r="J69" s="50">
        <v>1</v>
      </c>
      <c r="K69" s="50" t="str">
        <f t="shared" si="27"/>
        <v>4027/4028</v>
      </c>
      <c r="L69" s="50" t="str">
        <f>VLOOKUP(A69,'Trips&amp;Operators'!$C$1:$E$10000,3,FALSE)</f>
        <v>RIVERA</v>
      </c>
      <c r="M69" s="12">
        <f t="shared" si="28"/>
        <v>3.1215277776937E-2</v>
      </c>
      <c r="N69" s="13">
        <f>24*60*SUM($M69:$M69)</f>
        <v>44.949999998789281</v>
      </c>
      <c r="O69" s="13"/>
      <c r="P69" s="13"/>
      <c r="Q69" s="51"/>
      <c r="R69" s="51"/>
      <c r="S69" s="85">
        <f t="shared" si="26"/>
        <v>1</v>
      </c>
      <c r="T69" s="2" t="str">
        <f t="shared" si="29"/>
        <v>NorthBound</v>
      </c>
      <c r="U69" s="2">
        <f>COUNTIFS(Variables!$M$2:$M$19, "&gt;=" &amp; Y69, Variables!$M$2:$M$19, "&lt;=" &amp; Z69)</f>
        <v>12</v>
      </c>
      <c r="V69" s="63" t="str">
        <f t="shared" si="30"/>
        <v>https://search-rtdc-monitor-bjffxe2xuh6vdkpspy63sjmuny.us-east-1.es.amazonaws.com/_plugin/kibana/#/discover/Steve-Slow-Train-Analysis-(2080s-and-2083s)?_g=(refreshInterval:(display:Off,section:0,value:0),time:(from:'2016-06-21 11:51:21-0600',mode:absolute,to:'2016-06-21 12:39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69" s="63" t="str">
        <f t="shared" si="31"/>
        <v>N</v>
      </c>
      <c r="X69" s="63">
        <f t="shared" si="32"/>
        <v>1</v>
      </c>
      <c r="Y69" s="63">
        <f t="shared" si="33"/>
        <v>4.5699999999999998E-2</v>
      </c>
      <c r="Z69" s="63">
        <f t="shared" si="34"/>
        <v>23.333600000000001</v>
      </c>
      <c r="AA69" s="63">
        <f t="shared" si="35"/>
        <v>23.2879</v>
      </c>
      <c r="AB69" s="64">
        <f>VLOOKUP(A69,Enforcements!$C$3:$J$72,8,0)</f>
        <v>144300</v>
      </c>
      <c r="AC69" s="64" t="str">
        <f>VLOOKUP(A69,Enforcements!$C$3:$E$72,3,0)</f>
        <v>SIGNAL</v>
      </c>
    </row>
    <row r="70" spans="1:29" s="2" customFormat="1" x14ac:dyDescent="0.25">
      <c r="A70" s="50" t="s">
        <v>398</v>
      </c>
      <c r="B70" s="50">
        <v>4028</v>
      </c>
      <c r="C70" s="50" t="s">
        <v>60</v>
      </c>
      <c r="D70" s="50" t="s">
        <v>152</v>
      </c>
      <c r="E70" s="26">
        <v>42542.536782407406</v>
      </c>
      <c r="F70" s="26">
        <v>42542.537662037037</v>
      </c>
      <c r="G70" s="34">
        <v>1</v>
      </c>
      <c r="H70" s="26" t="s">
        <v>399</v>
      </c>
      <c r="I70" s="26">
        <v>42542.576805555553</v>
      </c>
      <c r="J70" s="50">
        <v>2</v>
      </c>
      <c r="K70" s="50" t="str">
        <f t="shared" si="27"/>
        <v>4027/4028</v>
      </c>
      <c r="L70" s="50" t="str">
        <f>VLOOKUP(A70,'Trips&amp;Operators'!$C$1:$E$10000,3,FALSE)</f>
        <v>RIVERA</v>
      </c>
      <c r="M70" s="12">
        <f t="shared" si="28"/>
        <v>3.9143518515629694E-2</v>
      </c>
      <c r="N70" s="13"/>
      <c r="O70" s="13"/>
      <c r="P70" s="13">
        <f>24*60*SUM($M70:$M70)</f>
        <v>56.366666662506759</v>
      </c>
      <c r="Q70" s="51"/>
      <c r="R70" s="51" t="s">
        <v>509</v>
      </c>
      <c r="S70" s="85">
        <f t="shared" si="26"/>
        <v>0.75</v>
      </c>
      <c r="T70" s="2" t="str">
        <f t="shared" si="29"/>
        <v>Southbound</v>
      </c>
      <c r="U70" s="2">
        <f>COUNTIFS(Variables!$M$2:$M$19, "&lt;=" &amp; Y70, Variables!$M$2:$M$19, "&gt;=" &amp; Z70)</f>
        <v>9</v>
      </c>
      <c r="V70" s="63" t="str">
        <f t="shared" si="30"/>
        <v>https://search-rtdc-monitor-bjffxe2xuh6vdkpspy63sjmuny.us-east-1.es.amazonaws.com/_plugin/kibana/#/discover/Steve-Slow-Train-Analysis-(2080s-and-2083s)?_g=(refreshInterval:(display:Off,section:0,value:0),time:(from:'2016-06-21 12:51:58-0600',mode:absolute,to:'2016-06-21 13:51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70" s="63" t="str">
        <f t="shared" si="31"/>
        <v>Y</v>
      </c>
      <c r="X70" s="63">
        <f t="shared" si="32"/>
        <v>1</v>
      </c>
      <c r="Y70" s="63">
        <f t="shared" si="33"/>
        <v>23.3002</v>
      </c>
      <c r="Z70" s="63">
        <f t="shared" si="34"/>
        <v>3.8969999999999998</v>
      </c>
      <c r="AA70" s="63">
        <f t="shared" si="35"/>
        <v>19.403200000000002</v>
      </c>
      <c r="AB70" s="64">
        <f>VLOOKUP(A70,Enforcements!$C$3:$J$72,8,0)</f>
        <v>58904</v>
      </c>
      <c r="AC70" s="64" t="str">
        <f>VLOOKUP(A70,Enforcements!$C$3:$E$72,3,0)</f>
        <v>GRADE CROSSING</v>
      </c>
    </row>
    <row r="71" spans="1:29" s="2" customFormat="1" x14ac:dyDescent="0.25">
      <c r="A71" s="50" t="s">
        <v>400</v>
      </c>
      <c r="B71" s="50">
        <v>4018</v>
      </c>
      <c r="C71" s="50" t="s">
        <v>60</v>
      </c>
      <c r="D71" s="50" t="s">
        <v>114</v>
      </c>
      <c r="E71" s="26">
        <v>42542.509641203702</v>
      </c>
      <c r="F71" s="26">
        <v>42542.510625000003</v>
      </c>
      <c r="G71" s="34">
        <v>1</v>
      </c>
      <c r="H71" s="26" t="s">
        <v>119</v>
      </c>
      <c r="I71" s="26">
        <v>42542.539525462962</v>
      </c>
      <c r="J71" s="50">
        <v>0</v>
      </c>
      <c r="K71" s="50" t="str">
        <f t="shared" si="27"/>
        <v>4017/4018</v>
      </c>
      <c r="L71" s="50" t="str">
        <f>VLOOKUP(A71,'Trips&amp;Operators'!$C$1:$E$10000,3,FALSE)</f>
        <v>YOUNG</v>
      </c>
      <c r="M71" s="12">
        <f t="shared" si="28"/>
        <v>2.8900462959427387E-2</v>
      </c>
      <c r="N71" s="13">
        <f>24*60*SUM($M71:$M71)</f>
        <v>41.616666661575437</v>
      </c>
      <c r="O71" s="13"/>
      <c r="P71" s="13"/>
      <c r="Q71" s="51"/>
      <c r="R71" s="51"/>
      <c r="S71" s="85">
        <f t="shared" si="26"/>
        <v>1</v>
      </c>
      <c r="T71" s="2" t="str">
        <f t="shared" si="29"/>
        <v>NorthBound</v>
      </c>
      <c r="U71" s="2">
        <f>COUNTIFS(Variables!$M$2:$M$19, "&gt;=" &amp; Y71, Variables!$M$2:$M$19, "&lt;=" &amp; Z71)</f>
        <v>12</v>
      </c>
      <c r="V71" s="63" t="str">
        <f t="shared" si="30"/>
        <v>https://search-rtdc-monitor-bjffxe2xuh6vdkpspy63sjmuny.us-east-1.es.amazonaws.com/_plugin/kibana/#/discover/Steve-Slow-Train-Analysis-(2080s-and-2083s)?_g=(refreshInterval:(display:Off,section:0,value:0),time:(from:'2016-06-21 12:12:53-0600',mode:absolute,to:'2016-06-21 12:57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71" s="63" t="str">
        <f t="shared" si="31"/>
        <v>N</v>
      </c>
      <c r="X71" s="63">
        <f t="shared" si="32"/>
        <v>1</v>
      </c>
      <c r="Y71" s="63">
        <f t="shared" si="33"/>
        <v>4.4699999999999997E-2</v>
      </c>
      <c r="Z71" s="63">
        <f t="shared" si="34"/>
        <v>23.3293</v>
      </c>
      <c r="AA71" s="63">
        <f t="shared" si="35"/>
        <v>23.284600000000001</v>
      </c>
      <c r="AB71" s="64" t="e">
        <f>VLOOKUP(A71,Enforcements!$C$3:$J$72,8,0)</f>
        <v>#N/A</v>
      </c>
      <c r="AC71" s="64" t="e">
        <f>VLOOKUP(A71,Enforcements!$C$3:$E$72,3,0)</f>
        <v>#N/A</v>
      </c>
    </row>
    <row r="72" spans="1:29" s="2" customFormat="1" x14ac:dyDescent="0.25">
      <c r="A72" s="50" t="s">
        <v>401</v>
      </c>
      <c r="B72" s="50">
        <v>4017</v>
      </c>
      <c r="C72" s="50" t="s">
        <v>60</v>
      </c>
      <c r="D72" s="50" t="s">
        <v>95</v>
      </c>
      <c r="E72" s="26">
        <v>42542.545416666668</v>
      </c>
      <c r="F72" s="26">
        <v>42542.550312500003</v>
      </c>
      <c r="G72" s="34">
        <v>7</v>
      </c>
      <c r="H72" s="26" t="s">
        <v>402</v>
      </c>
      <c r="I72" s="26">
        <v>42542.579131944447</v>
      </c>
      <c r="J72" s="50">
        <v>0</v>
      </c>
      <c r="K72" s="50" t="str">
        <f t="shared" si="27"/>
        <v>4017/4018</v>
      </c>
      <c r="L72" s="50" t="str">
        <f>VLOOKUP(A72,'Trips&amp;Operators'!$C$1:$E$10000,3,FALSE)</f>
        <v>YOUNG</v>
      </c>
      <c r="M72" s="12">
        <f t="shared" si="28"/>
        <v>2.8819444443797693E-2</v>
      </c>
      <c r="N72" s="13"/>
      <c r="O72" s="13"/>
      <c r="P72" s="13">
        <f>24*60*SUM($M72:$M72)</f>
        <v>41.499999999068677</v>
      </c>
      <c r="Q72" s="51"/>
      <c r="R72" s="51" t="s">
        <v>509</v>
      </c>
      <c r="S72" s="85">
        <f t="shared" si="26"/>
        <v>0.41666666666666669</v>
      </c>
      <c r="T72" s="2" t="str">
        <f t="shared" si="29"/>
        <v>Southbound</v>
      </c>
      <c r="U72" s="2">
        <f>COUNTIFS(Variables!$M$2:$M$19, "&lt;=" &amp; Y72, Variables!$M$2:$M$19, "&gt;=" &amp; Z72)</f>
        <v>5</v>
      </c>
      <c r="V72" s="63" t="str">
        <f t="shared" si="30"/>
        <v>https://search-rtdc-monitor-bjffxe2xuh6vdkpspy63sjmuny.us-east-1.es.amazonaws.com/_plugin/kibana/#/discover/Steve-Slow-Train-Analysis-(2080s-and-2083s)?_g=(refreshInterval:(display:Off,section:0,value:0),time:(from:'2016-06-21 13:04:24-0600',mode:absolute,to:'2016-06-21 13:54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72" s="63" t="str">
        <f t="shared" si="31"/>
        <v>Y</v>
      </c>
      <c r="X72" s="63">
        <f t="shared" si="32"/>
        <v>1</v>
      </c>
      <c r="Y72" s="63">
        <f t="shared" si="33"/>
        <v>23.297499999999999</v>
      </c>
      <c r="Z72" s="63">
        <f t="shared" si="34"/>
        <v>5.8268000000000004</v>
      </c>
      <c r="AA72" s="63">
        <f t="shared" si="35"/>
        <v>17.470700000000001</v>
      </c>
      <c r="AB72" s="64" t="e">
        <f>VLOOKUP(A72,Enforcements!$C$3:$J$72,8,0)</f>
        <v>#N/A</v>
      </c>
      <c r="AC72" s="64" t="e">
        <f>VLOOKUP(A72,Enforcements!$C$3:$E$72,3,0)</f>
        <v>#N/A</v>
      </c>
    </row>
    <row r="73" spans="1:29" s="2" customFormat="1" x14ac:dyDescent="0.25">
      <c r="A73" s="50" t="s">
        <v>403</v>
      </c>
      <c r="B73" s="50">
        <v>4031</v>
      </c>
      <c r="C73" s="50" t="s">
        <v>60</v>
      </c>
      <c r="D73" s="50" t="s">
        <v>404</v>
      </c>
      <c r="E73" s="26">
        <v>42542.516898148147</v>
      </c>
      <c r="F73" s="26">
        <v>42542.518067129633</v>
      </c>
      <c r="G73" s="34">
        <v>1</v>
      </c>
      <c r="H73" s="26" t="s">
        <v>358</v>
      </c>
      <c r="I73" s="26">
        <v>42542.519756944443</v>
      </c>
      <c r="J73" s="50">
        <v>1</v>
      </c>
      <c r="K73" s="50" t="str">
        <f t="shared" si="27"/>
        <v>4031/4032</v>
      </c>
      <c r="L73" s="50" t="str">
        <f>VLOOKUP(A73,'Trips&amp;Operators'!$C$1:$E$10000,3,FALSE)</f>
        <v>BONDS</v>
      </c>
      <c r="M73" s="12">
        <f t="shared" si="28"/>
        <v>1.6898148096515797E-3</v>
      </c>
      <c r="N73" s="13"/>
      <c r="O73" s="13"/>
      <c r="P73" s="13">
        <f>24*60*SUM($M73:$M73)</f>
        <v>2.4333333258982748</v>
      </c>
      <c r="Q73" s="51"/>
      <c r="R73" s="51" t="s">
        <v>502</v>
      </c>
      <c r="S73" s="85">
        <f t="shared" si="26"/>
        <v>0</v>
      </c>
      <c r="T73" s="2" t="str">
        <f t="shared" si="29"/>
        <v>NorthBound</v>
      </c>
      <c r="U73" s="2">
        <f>COUNTIFS(Variables!$M$2:$M$19, "&gt;=" &amp; Y73, Variables!$M$2:$M$19, "&lt;=" &amp; Z73)</f>
        <v>0</v>
      </c>
      <c r="V73" s="63" t="str">
        <f t="shared" si="30"/>
        <v>https://search-rtdc-monitor-bjffxe2xuh6vdkpspy63sjmuny.us-east-1.es.amazonaws.com/_plugin/kibana/#/discover/Steve-Slow-Train-Analysis-(2080s-and-2083s)?_g=(refreshInterval:(display:Off,section:0,value:0),time:(from:'2016-06-21 12:23:20-0600',mode:absolute,to:'2016-06-21 12:29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73" s="63" t="str">
        <f t="shared" si="31"/>
        <v>Y</v>
      </c>
      <c r="X73" s="63">
        <f t="shared" si="32"/>
        <v>1</v>
      </c>
      <c r="Y73" s="63">
        <f t="shared" si="33"/>
        <v>5.0200000000000002E-2</v>
      </c>
      <c r="Z73" s="63">
        <f t="shared" si="34"/>
        <v>0.05</v>
      </c>
      <c r="AA73" s="63">
        <f t="shared" si="35"/>
        <v>1.9999999999999879E-4</v>
      </c>
      <c r="AB73" s="64" t="e">
        <f>VLOOKUP(A73,Enforcements!$C$3:$J$72,8,0)</f>
        <v>#N/A</v>
      </c>
      <c r="AC73" s="64" t="e">
        <f>VLOOKUP(A73,Enforcements!$C$3:$E$72,3,0)</f>
        <v>#N/A</v>
      </c>
    </row>
    <row r="74" spans="1:29" s="2" customFormat="1" x14ac:dyDescent="0.25">
      <c r="A74" s="50" t="s">
        <v>405</v>
      </c>
      <c r="B74" s="50">
        <v>4032</v>
      </c>
      <c r="C74" s="50" t="s">
        <v>60</v>
      </c>
      <c r="D74" s="50" t="s">
        <v>406</v>
      </c>
      <c r="E74" s="26">
        <v>42542.551469907405</v>
      </c>
      <c r="F74" s="26">
        <v>42542.553483796299</v>
      </c>
      <c r="G74" s="34">
        <v>2</v>
      </c>
      <c r="H74" s="26" t="s">
        <v>407</v>
      </c>
      <c r="I74" s="26">
        <v>42542.5934375</v>
      </c>
      <c r="J74" s="50">
        <v>1</v>
      </c>
      <c r="K74" s="50" t="str">
        <f t="shared" si="27"/>
        <v>4031/4032</v>
      </c>
      <c r="L74" s="50" t="str">
        <f>VLOOKUP(A74,'Trips&amp;Operators'!$C$1:$E$10000,3,FALSE)</f>
        <v>BONDS</v>
      </c>
      <c r="M74" s="12">
        <f t="shared" si="28"/>
        <v>3.9953703701030463E-2</v>
      </c>
      <c r="N74" s="13"/>
      <c r="O74" s="13"/>
      <c r="P74" s="13">
        <f>24*60*SUM($M74:$M74)</f>
        <v>57.533333329483867</v>
      </c>
      <c r="Q74" s="51"/>
      <c r="R74" s="51" t="s">
        <v>509</v>
      </c>
      <c r="S74" s="85">
        <f t="shared" si="26"/>
        <v>0.75</v>
      </c>
      <c r="T74" s="2" t="str">
        <f t="shared" si="29"/>
        <v>Southbound</v>
      </c>
      <c r="U74" s="2">
        <f>COUNTIFS(Variables!$M$2:$M$19, "&lt;=" &amp; Y74, Variables!$M$2:$M$19, "&gt;=" &amp; Z74)</f>
        <v>9</v>
      </c>
      <c r="V74" s="63" t="str">
        <f t="shared" si="30"/>
        <v>https://search-rtdc-monitor-bjffxe2xuh6vdkpspy63sjmuny.us-east-1.es.amazonaws.com/_plugin/kibana/#/discover/Steve-Slow-Train-Analysis-(2080s-and-2083s)?_g=(refreshInterval:(display:Off,section:0,value:0),time:(from:'2016-06-21 13:13:07-0600',mode:absolute,to:'2016-06-21 14:15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74" s="63" t="str">
        <f t="shared" si="31"/>
        <v>Y</v>
      </c>
      <c r="X74" s="63">
        <f t="shared" si="32"/>
        <v>1</v>
      </c>
      <c r="Y74" s="63">
        <f t="shared" si="33"/>
        <v>23.300799999999999</v>
      </c>
      <c r="Z74" s="63">
        <f t="shared" si="34"/>
        <v>4.0730000000000004</v>
      </c>
      <c r="AA74" s="63">
        <f t="shared" si="35"/>
        <v>19.227799999999998</v>
      </c>
      <c r="AB74" s="64">
        <f>VLOOKUP(A74,Enforcements!$C$3:$J$72,8,0)</f>
        <v>38656</v>
      </c>
      <c r="AC74" s="64" t="str">
        <f>VLOOKUP(A74,Enforcements!$C$3:$E$72,3,0)</f>
        <v>SIGNAL</v>
      </c>
    </row>
    <row r="75" spans="1:29" s="2" customFormat="1" x14ac:dyDescent="0.25">
      <c r="A75" s="50" t="s">
        <v>408</v>
      </c>
      <c r="B75" s="50">
        <v>4042</v>
      </c>
      <c r="C75" s="50" t="s">
        <v>60</v>
      </c>
      <c r="D75" s="50" t="s">
        <v>118</v>
      </c>
      <c r="E75" s="26">
        <v>42542.527349537035</v>
      </c>
      <c r="F75" s="26">
        <v>42542.531412037039</v>
      </c>
      <c r="G75" s="34">
        <v>5</v>
      </c>
      <c r="H75" s="26" t="s">
        <v>137</v>
      </c>
      <c r="I75" s="26">
        <v>42542.558576388888</v>
      </c>
      <c r="J75" s="50">
        <v>0</v>
      </c>
      <c r="K75" s="50" t="str">
        <f t="shared" si="27"/>
        <v>4041/4042</v>
      </c>
      <c r="L75" s="50" t="str">
        <f>VLOOKUP(A75,'Trips&amp;Operators'!$C$1:$E$10000,3,FALSE)</f>
        <v>COOLAHAN</v>
      </c>
      <c r="M75" s="12">
        <f t="shared" si="28"/>
        <v>2.7164351849933155E-2</v>
      </c>
      <c r="N75" s="13">
        <f>24*60*SUM($M75:$M75)</f>
        <v>39.116666663903743</v>
      </c>
      <c r="O75" s="13"/>
      <c r="P75" s="13"/>
      <c r="Q75" s="51"/>
      <c r="R75" s="51"/>
      <c r="S75" s="85">
        <f t="shared" si="26"/>
        <v>1</v>
      </c>
      <c r="T75" s="2" t="str">
        <f t="shared" si="29"/>
        <v>NorthBound</v>
      </c>
      <c r="U75" s="2">
        <f>COUNTIFS(Variables!$M$2:$M$19, "&gt;=" &amp; Y75, Variables!$M$2:$M$19, "&lt;=" &amp; Z75)</f>
        <v>12</v>
      </c>
      <c r="V75" s="63" t="str">
        <f t="shared" si="30"/>
        <v>https://search-rtdc-monitor-bjffxe2xuh6vdkpspy63sjmuny.us-east-1.es.amazonaws.com/_plugin/kibana/#/discover/Steve-Slow-Train-Analysis-(2080s-and-2083s)?_g=(refreshInterval:(display:Off,section:0,value:0),time:(from:'2016-06-21 12:38:23-0600',mode:absolute,to:'2016-06-21 13:25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75" s="63" t="str">
        <f t="shared" si="31"/>
        <v>N</v>
      </c>
      <c r="X75" s="63">
        <f t="shared" si="32"/>
        <v>1</v>
      </c>
      <c r="Y75" s="63">
        <f t="shared" si="33"/>
        <v>4.4900000000000002E-2</v>
      </c>
      <c r="Z75" s="63">
        <f t="shared" si="34"/>
        <v>23.330300000000001</v>
      </c>
      <c r="AA75" s="63">
        <f t="shared" si="35"/>
        <v>23.285400000000003</v>
      </c>
      <c r="AB75" s="64" t="e">
        <f>VLOOKUP(A75,Enforcements!$C$3:$J$72,8,0)</f>
        <v>#N/A</v>
      </c>
      <c r="AC75" s="64" t="e">
        <f>VLOOKUP(A75,Enforcements!$C$3:$E$72,3,0)</f>
        <v>#N/A</v>
      </c>
    </row>
    <row r="76" spans="1:29" s="2" customFormat="1" x14ac:dyDescent="0.25">
      <c r="A76" s="50" t="s">
        <v>409</v>
      </c>
      <c r="B76" s="50">
        <v>4041</v>
      </c>
      <c r="C76" s="50" t="s">
        <v>60</v>
      </c>
      <c r="D76" s="50" t="s">
        <v>155</v>
      </c>
      <c r="E76" s="26">
        <v>42542.569386574076</v>
      </c>
      <c r="F76" s="26">
        <v>42542.571053240739</v>
      </c>
      <c r="G76" s="34">
        <v>2</v>
      </c>
      <c r="H76" s="26" t="s">
        <v>79</v>
      </c>
      <c r="I76" s="26">
        <v>42542.609953703701</v>
      </c>
      <c r="J76" s="50">
        <v>3</v>
      </c>
      <c r="K76" s="50" t="str">
        <f t="shared" si="27"/>
        <v>4041/4042</v>
      </c>
      <c r="L76" s="50" t="str">
        <f>VLOOKUP(A76,'Trips&amp;Operators'!$C$1:$E$10000,3,FALSE)</f>
        <v>COOLAHAN</v>
      </c>
      <c r="M76" s="12">
        <f t="shared" si="28"/>
        <v>3.8900462961464655E-2</v>
      </c>
      <c r="N76" s="13">
        <f>24*60*SUM($M76:$M76)</f>
        <v>56.016666664509103</v>
      </c>
      <c r="O76" s="13"/>
      <c r="P76" s="13"/>
      <c r="Q76" s="51"/>
      <c r="R76" s="51"/>
      <c r="S76" s="85">
        <f t="shared" si="26"/>
        <v>1</v>
      </c>
      <c r="T76" s="2" t="str">
        <f t="shared" si="29"/>
        <v>Southbound</v>
      </c>
      <c r="U76" s="2">
        <f>COUNTIFS(Variables!$M$2:$M$19, "&lt;=" &amp; Y76, Variables!$M$2:$M$19, "&gt;=" &amp; Z76)</f>
        <v>12</v>
      </c>
      <c r="V76" s="63" t="str">
        <f t="shared" si="30"/>
        <v>https://search-rtdc-monitor-bjffxe2xuh6vdkpspy63sjmuny.us-east-1.es.amazonaws.com/_plugin/kibana/#/discover/Steve-Slow-Train-Analysis-(2080s-and-2083s)?_g=(refreshInterval:(display:Off,section:0,value:0),time:(from:'2016-06-21 13:38:55-0600',mode:absolute,to:'2016-06-21 14:39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76" s="63" t="str">
        <f t="shared" si="31"/>
        <v>N</v>
      </c>
      <c r="X76" s="63">
        <f t="shared" si="32"/>
        <v>1</v>
      </c>
      <c r="Y76" s="63">
        <f t="shared" si="33"/>
        <v>23.2986</v>
      </c>
      <c r="Z76" s="63">
        <f t="shared" si="34"/>
        <v>1.49E-2</v>
      </c>
      <c r="AA76" s="63">
        <f t="shared" si="35"/>
        <v>23.2837</v>
      </c>
      <c r="AB76" s="64">
        <f>VLOOKUP(A76,Enforcements!$C$3:$J$72,8,0)</f>
        <v>58904</v>
      </c>
      <c r="AC76" s="64" t="str">
        <f>VLOOKUP(A76,Enforcements!$C$3:$E$72,3,0)</f>
        <v>GRADE CROSSING</v>
      </c>
    </row>
    <row r="77" spans="1:29" s="2" customFormat="1" ht="16.5" customHeight="1" x14ac:dyDescent="0.25">
      <c r="A77" s="50" t="s">
        <v>410</v>
      </c>
      <c r="B77" s="50">
        <v>4011</v>
      </c>
      <c r="C77" s="50" t="s">
        <v>60</v>
      </c>
      <c r="D77" s="50" t="s">
        <v>157</v>
      </c>
      <c r="E77" s="26">
        <v>42542.540439814817</v>
      </c>
      <c r="F77" s="26">
        <v>42542.541550925926</v>
      </c>
      <c r="G77" s="34">
        <v>1</v>
      </c>
      <c r="H77" s="26" t="s">
        <v>412</v>
      </c>
      <c r="I77" s="26">
        <v>42542.547696759262</v>
      </c>
      <c r="J77" s="50">
        <v>0</v>
      </c>
      <c r="K77" s="50" t="str">
        <f t="shared" si="27"/>
        <v>4011/4012</v>
      </c>
      <c r="L77" s="50" t="str">
        <f>VLOOKUP(A77,'Trips&amp;Operators'!$C$1:$E$10000,3,FALSE)</f>
        <v>DAVIS</v>
      </c>
      <c r="M77" s="12">
        <f t="shared" si="28"/>
        <v>6.1458333366317675E-3</v>
      </c>
      <c r="N77" s="13"/>
      <c r="O77" s="13"/>
      <c r="P77" s="13">
        <f>24*60*SUM($M77:$M78)</f>
        <v>57.650000002468005</v>
      </c>
      <c r="Q77" s="51"/>
      <c r="R77" s="51" t="s">
        <v>509</v>
      </c>
      <c r="S77" s="85">
        <f t="shared" si="26"/>
        <v>0</v>
      </c>
      <c r="T77" s="2" t="str">
        <f t="shared" si="29"/>
        <v>NorthBound</v>
      </c>
      <c r="U77" s="2">
        <f>COUNTIFS(Variables!$M$2:$M$19, "&gt;=" &amp; Y77, Variables!$M$2:$M$19, "&lt;=" &amp; Z77)</f>
        <v>0</v>
      </c>
      <c r="V77" s="63" t="str">
        <f t="shared" si="30"/>
        <v>https://search-rtdc-monitor-bjffxe2xuh6vdkpspy63sjmuny.us-east-1.es.amazonaws.com/_plugin/kibana/#/discover/Steve-Slow-Train-Analysis-(2080s-and-2083s)?_g=(refreshInterval:(display:Off,section:0,value:0),time:(from:'2016-06-21 12:57:14-0600',mode:absolute,to:'2016-06-21 13:09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77" s="63" t="str">
        <f t="shared" si="31"/>
        <v>Y</v>
      </c>
      <c r="X77" s="63">
        <f t="shared" si="32"/>
        <v>1</v>
      </c>
      <c r="Y77" s="63">
        <f t="shared" si="33"/>
        <v>4.3099999999999999E-2</v>
      </c>
      <c r="Z77" s="63">
        <f t="shared" si="34"/>
        <v>1.0193000000000001</v>
      </c>
      <c r="AA77" s="63">
        <f t="shared" si="35"/>
        <v>0.97620000000000007</v>
      </c>
      <c r="AB77" s="64" t="e">
        <f>VLOOKUP(A77,Enforcements!$C$3:$J$72,8,0)</f>
        <v>#N/A</v>
      </c>
      <c r="AC77" s="64" t="e">
        <f>VLOOKUP(A77,Enforcements!$C$3:$E$72,3,0)</f>
        <v>#N/A</v>
      </c>
    </row>
    <row r="78" spans="1:29" s="2" customFormat="1" ht="16.5" customHeight="1" x14ac:dyDescent="0.25">
      <c r="A78" s="50" t="s">
        <v>410</v>
      </c>
      <c r="B78" s="50">
        <v>4011</v>
      </c>
      <c r="C78" s="50" t="s">
        <v>60</v>
      </c>
      <c r="D78" s="50" t="s">
        <v>411</v>
      </c>
      <c r="E78" s="26">
        <v>42542.550856481481</v>
      </c>
      <c r="F78" s="26">
        <v>42542.551851851851</v>
      </c>
      <c r="G78" s="34">
        <v>1</v>
      </c>
      <c r="H78" s="26" t="s">
        <v>258</v>
      </c>
      <c r="I78" s="26">
        <v>42542.585740740738</v>
      </c>
      <c r="J78" s="50">
        <v>0</v>
      </c>
      <c r="K78" s="50" t="str">
        <f t="shared" si="27"/>
        <v>4011/4012</v>
      </c>
      <c r="L78" s="50" t="str">
        <f>VLOOKUP(A78,'Trips&amp;Operators'!$C$1:$E$10000,3,FALSE)</f>
        <v>DAVIS</v>
      </c>
      <c r="M78" s="12">
        <f t="shared" si="28"/>
        <v>3.3888888887304347E-2</v>
      </c>
      <c r="N78" s="13"/>
      <c r="O78" s="13"/>
      <c r="P78" s="13"/>
      <c r="Q78" s="51"/>
      <c r="R78" s="51"/>
      <c r="S78" s="85"/>
      <c r="T78" s="2" t="str">
        <f t="shared" si="29"/>
        <v>NorthBound</v>
      </c>
      <c r="U78" s="2">
        <f>COUNTIFS(Variables!$M$2:$M$19, "&gt;=" &amp; Y78, Variables!$M$2:$M$19, "&lt;=" &amp; Z78)</f>
        <v>12</v>
      </c>
      <c r="V78" s="63" t="str">
        <f t="shared" si="30"/>
        <v>https://search-rtdc-monitor-bjffxe2xuh6vdkpspy63sjmuny.us-east-1.es.amazonaws.com/_plugin/kibana/#/discover/Steve-Slow-Train-Analysis-(2080s-and-2083s)?_g=(refreshInterval:(display:Off,section:0,value:0),time:(from:'2016-06-21 13:12:14-0600',mode:absolute,to:'2016-06-21 14:04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78" s="63" t="str">
        <f t="shared" si="31"/>
        <v>Y</v>
      </c>
      <c r="X78" s="63">
        <f t="shared" si="32"/>
        <v>0</v>
      </c>
      <c r="Y78" s="63">
        <f t="shared" si="33"/>
        <v>1.9141999999999999</v>
      </c>
      <c r="Z78" s="63">
        <f t="shared" si="34"/>
        <v>23.328800000000001</v>
      </c>
      <c r="AA78" s="63">
        <f t="shared" si="35"/>
        <v>21.4146</v>
      </c>
      <c r="AB78" s="64" t="e">
        <f>VLOOKUP(A78,Enforcements!$C$3:$J$72,8,0)</f>
        <v>#N/A</v>
      </c>
      <c r="AC78" s="64" t="e">
        <f>VLOOKUP(A78,Enforcements!$C$3:$E$72,3,0)</f>
        <v>#N/A</v>
      </c>
    </row>
    <row r="79" spans="1:29" s="2" customFormat="1" x14ac:dyDescent="0.25">
      <c r="A79" s="50" t="s">
        <v>413</v>
      </c>
      <c r="B79" s="50">
        <v>4012</v>
      </c>
      <c r="C79" s="50" t="s">
        <v>60</v>
      </c>
      <c r="D79" s="50" t="s">
        <v>72</v>
      </c>
      <c r="E79" s="26">
        <v>42542.587199074071</v>
      </c>
      <c r="F79" s="26">
        <v>42542.588530092595</v>
      </c>
      <c r="G79" s="34">
        <v>1</v>
      </c>
      <c r="H79" s="26" t="s">
        <v>133</v>
      </c>
      <c r="I79" s="26">
        <v>42542.623738425929</v>
      </c>
      <c r="J79" s="50">
        <v>0</v>
      </c>
      <c r="K79" s="50" t="str">
        <f t="shared" si="27"/>
        <v>4011/4012</v>
      </c>
      <c r="L79" s="50" t="str">
        <f>VLOOKUP(A79,'Trips&amp;Operators'!$C$1:$E$10000,3,FALSE)</f>
        <v>DAVIS</v>
      </c>
      <c r="M79" s="12">
        <f t="shared" si="28"/>
        <v>3.5208333334594499E-2</v>
      </c>
      <c r="N79" s="13">
        <f>24*60*SUM($M79:$M79)</f>
        <v>50.700000001816079</v>
      </c>
      <c r="O79" s="13"/>
      <c r="P79" s="13"/>
      <c r="Q79" s="51"/>
      <c r="R79" s="51"/>
      <c r="S79" s="85">
        <f>SUM(U79:U79)/12</f>
        <v>1</v>
      </c>
      <c r="T79" s="2" t="str">
        <f t="shared" si="29"/>
        <v>Southbound</v>
      </c>
      <c r="U79" s="2">
        <f>COUNTIFS(Variables!$M$2:$M$19, "&lt;=" &amp; Y79, Variables!$M$2:$M$19, "&gt;=" &amp; Z79)</f>
        <v>12</v>
      </c>
      <c r="V79" s="63" t="str">
        <f t="shared" si="30"/>
        <v>https://search-rtdc-monitor-bjffxe2xuh6vdkpspy63sjmuny.us-east-1.es.amazonaws.com/_plugin/kibana/#/discover/Steve-Slow-Train-Analysis-(2080s-and-2083s)?_g=(refreshInterval:(display:Off,section:0,value:0),time:(from:'2016-06-21 14:04:34-0600',mode:absolute,to:'2016-06-21 14:59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79" s="63" t="str">
        <f t="shared" si="31"/>
        <v>N</v>
      </c>
      <c r="X79" s="63">
        <f t="shared" si="32"/>
        <v>1</v>
      </c>
      <c r="Y79" s="63">
        <f t="shared" si="33"/>
        <v>23.297699999999999</v>
      </c>
      <c r="Z79" s="63">
        <f t="shared" si="34"/>
        <v>1.3899999999999999E-2</v>
      </c>
      <c r="AA79" s="63">
        <f t="shared" si="35"/>
        <v>23.283799999999999</v>
      </c>
      <c r="AB79" s="64" t="e">
        <f>VLOOKUP(A79,Enforcements!$C$3:$J$72,8,0)</f>
        <v>#N/A</v>
      </c>
      <c r="AC79" s="64" t="e">
        <f>VLOOKUP(A79,Enforcements!$C$3:$E$72,3,0)</f>
        <v>#N/A</v>
      </c>
    </row>
    <row r="80" spans="1:29" s="2" customFormat="1" x14ac:dyDescent="0.25">
      <c r="A80" s="50" t="s">
        <v>414</v>
      </c>
      <c r="B80" s="50">
        <v>4024</v>
      </c>
      <c r="C80" s="50" t="s">
        <v>60</v>
      </c>
      <c r="D80" s="50" t="s">
        <v>82</v>
      </c>
      <c r="E80" s="26">
        <v>42542.553425925929</v>
      </c>
      <c r="F80" s="26">
        <v>42542.5544212963</v>
      </c>
      <c r="G80" s="34">
        <v>1</v>
      </c>
      <c r="H80" s="26" t="s">
        <v>415</v>
      </c>
      <c r="I80" s="26">
        <v>42542.588541666664</v>
      </c>
      <c r="J80" s="50">
        <v>0</v>
      </c>
      <c r="K80" s="50" t="str">
        <f t="shared" si="27"/>
        <v>4023/4024</v>
      </c>
      <c r="L80" s="50" t="str">
        <f>VLOOKUP(A80,'Trips&amp;Operators'!$C$1:$E$10000,3,FALSE)</f>
        <v>LOCKLEAR</v>
      </c>
      <c r="M80" s="12">
        <f t="shared" si="28"/>
        <v>3.4120370364689734E-2</v>
      </c>
      <c r="N80" s="13">
        <f>24*60*SUM($M80:$M80)</f>
        <v>49.133333325153217</v>
      </c>
      <c r="O80" s="13"/>
      <c r="P80" s="13"/>
      <c r="Q80" s="51"/>
      <c r="R80" s="51"/>
      <c r="S80" s="85">
        <f>SUM(U80:U80)/12</f>
        <v>1</v>
      </c>
      <c r="T80" s="2" t="str">
        <f t="shared" si="29"/>
        <v>NorthBound</v>
      </c>
      <c r="U80" s="2">
        <f>COUNTIFS(Variables!$M$2:$M$19, "&gt;=" &amp; Y80, Variables!$M$2:$M$19, "&lt;=" &amp; Z80)</f>
        <v>12</v>
      </c>
      <c r="V80" s="63" t="str">
        <f t="shared" si="30"/>
        <v>https://search-rtdc-monitor-bjffxe2xuh6vdkpspy63sjmuny.us-east-1.es.amazonaws.com/_plugin/kibana/#/discover/Steve-Slow-Train-Analysis-(2080s-and-2083s)?_g=(refreshInterval:(display:Off,section:0,value:0),time:(from:'2016-06-21 13:15:56-0600',mode:absolute,to:'2016-06-21 14:08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80" s="63" t="str">
        <f t="shared" si="31"/>
        <v>N</v>
      </c>
      <c r="X80" s="63">
        <f t="shared" si="32"/>
        <v>1</v>
      </c>
      <c r="Y80" s="63">
        <f t="shared" si="33"/>
        <v>4.53E-2</v>
      </c>
      <c r="Z80" s="63">
        <f t="shared" si="34"/>
        <v>23.332899999999999</v>
      </c>
      <c r="AA80" s="63">
        <f t="shared" si="35"/>
        <v>23.287599999999998</v>
      </c>
      <c r="AB80" s="64" t="e">
        <f>VLOOKUP(A80,Enforcements!$C$3:$J$72,8,0)</f>
        <v>#N/A</v>
      </c>
      <c r="AC80" s="64" t="e">
        <f>VLOOKUP(A80,Enforcements!$C$3:$E$72,3,0)</f>
        <v>#N/A</v>
      </c>
    </row>
    <row r="81" spans="1:29" s="2" customFormat="1" x14ac:dyDescent="0.25">
      <c r="A81" s="50" t="s">
        <v>416</v>
      </c>
      <c r="B81" s="50">
        <v>4023</v>
      </c>
      <c r="C81" s="50" t="s">
        <v>60</v>
      </c>
      <c r="D81" s="50" t="s">
        <v>170</v>
      </c>
      <c r="E81" s="26">
        <v>42542.602349537039</v>
      </c>
      <c r="F81" s="26">
        <v>42542.603136574071</v>
      </c>
      <c r="G81" s="34">
        <v>1</v>
      </c>
      <c r="H81" s="26" t="s">
        <v>154</v>
      </c>
      <c r="I81" s="26">
        <v>42542.63417824074</v>
      </c>
      <c r="J81" s="50">
        <v>1</v>
      </c>
      <c r="K81" s="50" t="str">
        <f t="shared" si="27"/>
        <v>4023/4024</v>
      </c>
      <c r="L81" s="50" t="str">
        <f>VLOOKUP(A81,'Trips&amp;Operators'!$C$1:$E$10000,3,FALSE)</f>
        <v>LOCKLEAR</v>
      </c>
      <c r="M81" s="12">
        <f t="shared" si="28"/>
        <v>3.104166666889796E-2</v>
      </c>
      <c r="N81" s="13">
        <f>24*60*SUM($M81:$M81)</f>
        <v>44.700000003213063</v>
      </c>
      <c r="O81" s="13"/>
      <c r="P81" s="13"/>
      <c r="Q81" s="51"/>
      <c r="R81" s="51"/>
      <c r="S81" s="85">
        <f>SUM(U81:U81)/12</f>
        <v>1</v>
      </c>
      <c r="T81" s="2" t="str">
        <f t="shared" si="29"/>
        <v>Southbound</v>
      </c>
      <c r="U81" s="2">
        <f>COUNTIFS(Variables!$M$2:$M$19, "&lt;=" &amp; Y81, Variables!$M$2:$M$19, "&gt;=" &amp; Z81)</f>
        <v>12</v>
      </c>
      <c r="V81" s="63" t="str">
        <f t="shared" si="30"/>
        <v>https://search-rtdc-monitor-bjffxe2xuh6vdkpspy63sjmuny.us-east-1.es.amazonaws.com/_plugin/kibana/#/discover/Steve-Slow-Train-Analysis-(2080s-and-2083s)?_g=(refreshInterval:(display:Off,section:0,value:0),time:(from:'2016-06-21 14:26:23-0600',mode:absolute,to:'2016-06-21 15:14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81" s="63" t="str">
        <f t="shared" si="31"/>
        <v>N</v>
      </c>
      <c r="X81" s="63">
        <f t="shared" si="32"/>
        <v>3</v>
      </c>
      <c r="Y81" s="63">
        <f t="shared" si="33"/>
        <v>23.303000000000001</v>
      </c>
      <c r="Z81" s="63">
        <f t="shared" si="34"/>
        <v>1.4999999999999999E-2</v>
      </c>
      <c r="AA81" s="63">
        <f t="shared" si="35"/>
        <v>23.288</v>
      </c>
      <c r="AB81" s="64">
        <f>VLOOKUP(A81,Enforcements!$C$3:$J$72,8,0)</f>
        <v>1</v>
      </c>
      <c r="AC81" s="64" t="str">
        <f>VLOOKUP(A81,Enforcements!$C$3:$E$72,3,0)</f>
        <v>TRACK WARRANT AUTHORITY</v>
      </c>
    </row>
    <row r="82" spans="1:29" s="2" customFormat="1" x14ac:dyDescent="0.25">
      <c r="A82" s="50" t="s">
        <v>417</v>
      </c>
      <c r="B82" s="50">
        <v>4029</v>
      </c>
      <c r="C82" s="50" t="s">
        <v>60</v>
      </c>
      <c r="D82" s="50" t="s">
        <v>419</v>
      </c>
      <c r="E82" s="26">
        <v>42542.572465277779</v>
      </c>
      <c r="F82" s="26">
        <v>42542.573530092595</v>
      </c>
      <c r="G82" s="34">
        <v>1</v>
      </c>
      <c r="H82" s="26" t="s">
        <v>420</v>
      </c>
      <c r="I82" s="26">
        <v>42542.579606481479</v>
      </c>
      <c r="J82" s="50">
        <v>0</v>
      </c>
      <c r="K82" s="50" t="str">
        <f t="shared" si="27"/>
        <v>4029/4030</v>
      </c>
      <c r="L82" s="50" t="str">
        <f>VLOOKUP(A82,'Trips&amp;Operators'!$C$1:$E$10000,3,FALSE)</f>
        <v>MOSES</v>
      </c>
      <c r="M82" s="12">
        <f t="shared" si="28"/>
        <v>6.0763888832298107E-3</v>
      </c>
      <c r="N82" s="13"/>
      <c r="O82" s="13"/>
      <c r="P82" s="13">
        <f>24*60*SUM($M82:$M83)</f>
        <v>49.499999993713573</v>
      </c>
      <c r="Q82" s="51"/>
      <c r="R82" s="51" t="s">
        <v>509</v>
      </c>
      <c r="S82" s="85">
        <f>SUM(U82:U82)/12</f>
        <v>0</v>
      </c>
      <c r="T82" s="2" t="str">
        <f t="shared" si="29"/>
        <v>NorthBound</v>
      </c>
      <c r="U82" s="2">
        <f>COUNTIFS(Variables!$M$2:$M$19, "&gt;=" &amp; Y82, Variables!$M$2:$M$19, "&lt;=" &amp; Z82)</f>
        <v>0</v>
      </c>
      <c r="V82" s="63" t="str">
        <f t="shared" si="30"/>
        <v>https://search-rtdc-monitor-bjffxe2xuh6vdkpspy63sjmuny.us-east-1.es.amazonaws.com/_plugin/kibana/#/discover/Steve-Slow-Train-Analysis-(2080s-and-2083s)?_g=(refreshInterval:(display:Off,section:0,value:0),time:(from:'2016-06-21 13:43:21-0600',mode:absolute,to:'2016-06-21 13:55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82" s="63" t="str">
        <f t="shared" si="31"/>
        <v>Y</v>
      </c>
      <c r="X82" s="63">
        <f t="shared" si="32"/>
        <v>1</v>
      </c>
      <c r="Y82" s="63">
        <f t="shared" si="33"/>
        <v>4.8899999999999999E-2</v>
      </c>
      <c r="Z82" s="63">
        <f t="shared" si="34"/>
        <v>1.0001</v>
      </c>
      <c r="AA82" s="63">
        <f t="shared" si="35"/>
        <v>0.95120000000000005</v>
      </c>
      <c r="AB82" s="64" t="e">
        <f>VLOOKUP(A82,Enforcements!$C$3:$J$72,8,0)</f>
        <v>#N/A</v>
      </c>
      <c r="AC82" s="64" t="e">
        <f>VLOOKUP(A82,Enforcements!$C$3:$E$72,3,0)</f>
        <v>#N/A</v>
      </c>
    </row>
    <row r="83" spans="1:29" s="79" customFormat="1" x14ac:dyDescent="0.25">
      <c r="A83" s="50" t="s">
        <v>417</v>
      </c>
      <c r="B83" s="50">
        <v>4029</v>
      </c>
      <c r="C83" s="50" t="s">
        <v>60</v>
      </c>
      <c r="D83" s="50" t="s">
        <v>418</v>
      </c>
      <c r="E83" s="26">
        <v>42542.582488425927</v>
      </c>
      <c r="F83" s="26">
        <v>42542.583252314813</v>
      </c>
      <c r="G83" s="34">
        <v>1</v>
      </c>
      <c r="H83" s="26" t="s">
        <v>345</v>
      </c>
      <c r="I83" s="26">
        <v>42542.611550925925</v>
      </c>
      <c r="J83" s="50">
        <v>0</v>
      </c>
      <c r="K83" s="50" t="str">
        <f t="shared" si="27"/>
        <v>4029/4030</v>
      </c>
      <c r="L83" s="50" t="str">
        <f>VLOOKUP(A83,'Trips&amp;Operators'!$C$1:$E$10000,3,FALSE)</f>
        <v>MOSES</v>
      </c>
      <c r="M83" s="12">
        <f t="shared" si="28"/>
        <v>2.8298611112404615E-2</v>
      </c>
      <c r="N83" s="13"/>
      <c r="O83" s="13"/>
      <c r="P83" s="13"/>
      <c r="Q83" s="51"/>
      <c r="R83" s="51"/>
      <c r="S83" s="85"/>
      <c r="T83" s="2" t="str">
        <f t="shared" si="29"/>
        <v>NorthBound</v>
      </c>
      <c r="U83" s="2">
        <f>COUNTIFS(Variables!$M$2:$M$19, "&gt;=" &amp; Y83, Variables!$M$2:$M$19, "&lt;=" &amp; Z83)</f>
        <v>12</v>
      </c>
      <c r="V83" s="63" t="str">
        <f t="shared" si="30"/>
        <v>https://search-rtdc-monitor-bjffxe2xuh6vdkpspy63sjmuny.us-east-1.es.amazonaws.com/_plugin/kibana/#/discover/Steve-Slow-Train-Analysis-(2080s-and-2083s)?_g=(refreshInterval:(display:Off,section:0,value:0),time:(from:'2016-06-21 13:57:47-0600',mode:absolute,to:'2016-06-21 14:41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83" s="63" t="str">
        <f t="shared" si="31"/>
        <v>Y</v>
      </c>
      <c r="X83" s="63">
        <f t="shared" si="32"/>
        <v>0</v>
      </c>
      <c r="Y83" s="63">
        <f t="shared" si="33"/>
        <v>1.9118999999999999</v>
      </c>
      <c r="Z83" s="63">
        <f t="shared" si="34"/>
        <v>23.33</v>
      </c>
      <c r="AA83" s="63">
        <f t="shared" si="35"/>
        <v>21.418099999999999</v>
      </c>
      <c r="AB83" s="64" t="e">
        <f>VLOOKUP(A83,Enforcements!$C$3:$J$72,8,0)</f>
        <v>#N/A</v>
      </c>
      <c r="AC83" s="64" t="e">
        <f>VLOOKUP(A83,Enforcements!$C$3:$E$72,3,0)</f>
        <v>#N/A</v>
      </c>
    </row>
    <row r="84" spans="1:29" s="2" customFormat="1" x14ac:dyDescent="0.25">
      <c r="A84" s="50" t="s">
        <v>421</v>
      </c>
      <c r="B84" s="50">
        <v>4030</v>
      </c>
      <c r="C84" s="50" t="s">
        <v>60</v>
      </c>
      <c r="D84" s="50" t="s">
        <v>165</v>
      </c>
      <c r="E84" s="26">
        <v>42542.612754629627</v>
      </c>
      <c r="F84" s="26">
        <v>42542.613692129627</v>
      </c>
      <c r="G84" s="34">
        <v>1</v>
      </c>
      <c r="H84" s="26" t="s">
        <v>120</v>
      </c>
      <c r="I84" s="26">
        <v>42542.651817129627</v>
      </c>
      <c r="J84" s="50">
        <v>0</v>
      </c>
      <c r="K84" s="50" t="str">
        <f t="shared" si="27"/>
        <v>4029/4030</v>
      </c>
      <c r="L84" s="50" t="str">
        <f>VLOOKUP(A84,'Trips&amp;Operators'!$C$1:$E$10000,3,FALSE)</f>
        <v>MOSES</v>
      </c>
      <c r="M84" s="12">
        <f t="shared" si="28"/>
        <v>3.8124999999126885E-2</v>
      </c>
      <c r="N84" s="13">
        <f>24*60*SUM($M84:$M84)</f>
        <v>54.899999998742715</v>
      </c>
      <c r="O84" s="13"/>
      <c r="P84" s="13"/>
      <c r="Q84" s="51"/>
      <c r="R84" s="51"/>
      <c r="S84" s="85">
        <f t="shared" ref="S84:S89" si="36">SUM(U84:U84)/12</f>
        <v>1</v>
      </c>
      <c r="T84" s="2" t="str">
        <f t="shared" si="29"/>
        <v>Southbound</v>
      </c>
      <c r="U84" s="2">
        <f>COUNTIFS(Variables!$M$2:$M$19, "&lt;=" &amp; Y84, Variables!$M$2:$M$19, "&gt;=" &amp; Z84)</f>
        <v>12</v>
      </c>
      <c r="V84" s="63" t="str">
        <f t="shared" si="30"/>
        <v>https://search-rtdc-monitor-bjffxe2xuh6vdkpspy63sjmuny.us-east-1.es.amazonaws.com/_plugin/kibana/#/discover/Steve-Slow-Train-Analysis-(2080s-and-2083s)?_g=(refreshInterval:(display:Off,section:0,value:0),time:(from:'2016-06-21 14:41:22-0600',mode:absolute,to:'2016-06-21 15:39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84" s="63" t="str">
        <f t="shared" si="31"/>
        <v>N</v>
      </c>
      <c r="X84" s="63">
        <f t="shared" si="32"/>
        <v>1</v>
      </c>
      <c r="Y84" s="63">
        <f t="shared" si="33"/>
        <v>23.298100000000002</v>
      </c>
      <c r="Z84" s="63">
        <f t="shared" si="34"/>
        <v>1.5800000000000002E-2</v>
      </c>
      <c r="AA84" s="63">
        <f t="shared" si="35"/>
        <v>23.282300000000003</v>
      </c>
      <c r="AB84" s="64" t="e">
        <f>VLOOKUP(A84,Enforcements!$C$3:$J$72,8,0)</f>
        <v>#N/A</v>
      </c>
      <c r="AC84" s="64" t="e">
        <f>VLOOKUP(A84,Enforcements!$C$3:$E$72,3,0)</f>
        <v>#N/A</v>
      </c>
    </row>
    <row r="85" spans="1:29" s="2" customFormat="1" ht="14.25" customHeight="1" x14ac:dyDescent="0.25">
      <c r="A85" s="50" t="s">
        <v>422</v>
      </c>
      <c r="B85" s="50">
        <v>4018</v>
      </c>
      <c r="C85" s="50" t="s">
        <v>60</v>
      </c>
      <c r="D85" s="50" t="s">
        <v>423</v>
      </c>
      <c r="E85" s="26">
        <v>42542.597025462965</v>
      </c>
      <c r="F85" s="26">
        <v>42542.598171296297</v>
      </c>
      <c r="G85" s="34">
        <v>1</v>
      </c>
      <c r="H85" s="26" t="s">
        <v>122</v>
      </c>
      <c r="I85" s="26">
        <v>42542.63758101852</v>
      </c>
      <c r="J85" s="50">
        <v>1</v>
      </c>
      <c r="K85" s="50" t="str">
        <f t="shared" si="27"/>
        <v>4017/4018</v>
      </c>
      <c r="L85" s="50" t="str">
        <f>VLOOKUP(A85,'Trips&amp;Operators'!$C$1:$E$10000,3,FALSE)</f>
        <v>YOUNG</v>
      </c>
      <c r="M85" s="12">
        <f t="shared" si="28"/>
        <v>3.9409722223354038E-2</v>
      </c>
      <c r="N85" s="13">
        <f>24*60*SUM($M85:$M85)</f>
        <v>56.750000001629815</v>
      </c>
      <c r="O85" s="13"/>
      <c r="P85" s="13"/>
      <c r="Q85" s="51"/>
      <c r="R85" s="51"/>
      <c r="S85" s="85">
        <f t="shared" si="36"/>
        <v>1</v>
      </c>
      <c r="T85" s="2" t="str">
        <f t="shared" si="29"/>
        <v>NorthBound</v>
      </c>
      <c r="U85" s="2">
        <f>COUNTIFS(Variables!$M$2:$M$19, "&gt;=" &amp; Y85, Variables!$M$2:$M$19, "&lt;=" &amp; Z85)</f>
        <v>12</v>
      </c>
      <c r="V85" s="63" t="str">
        <f t="shared" si="30"/>
        <v>https://search-rtdc-monitor-bjffxe2xuh6vdkpspy63sjmuny.us-east-1.es.amazonaws.com/_plugin/kibana/#/discover/Steve-Slow-Train-Analysis-(2080s-and-2083s)?_g=(refreshInterval:(display:Off,section:0,value:0),time:(from:'2016-06-21 14:18:43-0600',mode:absolute,to:'2016-06-21 15:19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85" s="63" t="str">
        <f t="shared" si="31"/>
        <v>N</v>
      </c>
      <c r="X85" s="63">
        <f t="shared" si="32"/>
        <v>1</v>
      </c>
      <c r="Y85" s="63">
        <f t="shared" si="33"/>
        <v>4.2900000000000001E-2</v>
      </c>
      <c r="Z85" s="63">
        <f t="shared" si="34"/>
        <v>23.329699999999999</v>
      </c>
      <c r="AA85" s="63">
        <f t="shared" si="35"/>
        <v>23.286799999999999</v>
      </c>
      <c r="AB85" s="64">
        <f>VLOOKUP(A85,Enforcements!$C$3:$J$72,8,0)</f>
        <v>233491</v>
      </c>
      <c r="AC85" s="64" t="str">
        <f>VLOOKUP(A85,Enforcements!$C$3:$E$72,3,0)</f>
        <v>TRACK WARRANT AUTHORITY</v>
      </c>
    </row>
    <row r="86" spans="1:29" s="2" customFormat="1" x14ac:dyDescent="0.25">
      <c r="A86" s="50" t="s">
        <v>424</v>
      </c>
      <c r="B86" s="50">
        <v>4027</v>
      </c>
      <c r="C86" s="50" t="s">
        <v>60</v>
      </c>
      <c r="D86" s="50" t="s">
        <v>89</v>
      </c>
      <c r="E86" s="26">
        <v>42542.593831018516</v>
      </c>
      <c r="F86" s="26">
        <v>42542.59611111111</v>
      </c>
      <c r="G86" s="34">
        <v>3</v>
      </c>
      <c r="H86" s="26" t="s">
        <v>425</v>
      </c>
      <c r="I86" s="26">
        <v>42542.631458333337</v>
      </c>
      <c r="J86" s="50">
        <v>1</v>
      </c>
      <c r="K86" s="50" t="str">
        <f t="shared" si="27"/>
        <v>4027/4028</v>
      </c>
      <c r="L86" s="50" t="str">
        <f>VLOOKUP(A86,'Trips&amp;Operators'!$C$1:$E$10000,3,FALSE)</f>
        <v>RIVERA</v>
      </c>
      <c r="M86" s="12">
        <f t="shared" si="28"/>
        <v>3.5347222226846498E-2</v>
      </c>
      <c r="N86" s="13">
        <f>24*60*SUM($M86:$M86)</f>
        <v>50.900000006658956</v>
      </c>
      <c r="O86" s="13"/>
      <c r="P86" s="13"/>
      <c r="Q86" s="51"/>
      <c r="R86" s="51"/>
      <c r="S86" s="85">
        <f t="shared" si="36"/>
        <v>1</v>
      </c>
      <c r="T86" s="2" t="str">
        <f t="shared" si="29"/>
        <v>NorthBound</v>
      </c>
      <c r="U86" s="2">
        <f>COUNTIFS(Variables!$M$2:$M$19, "&gt;=" &amp; Y86, Variables!$M$2:$M$19, "&lt;=" &amp; Z86)</f>
        <v>12</v>
      </c>
      <c r="V86" s="63" t="str">
        <f t="shared" si="30"/>
        <v>https://search-rtdc-monitor-bjffxe2xuh6vdkpspy63sjmuny.us-east-1.es.amazonaws.com/_plugin/kibana/#/discover/Steve-Slow-Train-Analysis-(2080s-and-2083s)?_g=(refreshInterval:(display:Off,section:0,value:0),time:(from:'2016-06-21 14:14:07-0600',mode:absolute,to:'2016-06-21 15:10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86" s="63" t="str">
        <f t="shared" si="31"/>
        <v>N</v>
      </c>
      <c r="X86" s="63">
        <f t="shared" si="32"/>
        <v>2</v>
      </c>
      <c r="Y86" s="63">
        <f t="shared" si="33"/>
        <v>4.58E-2</v>
      </c>
      <c r="Z86" s="63">
        <f t="shared" si="34"/>
        <v>23.3325</v>
      </c>
      <c r="AA86" s="63">
        <f t="shared" si="35"/>
        <v>23.2867</v>
      </c>
      <c r="AB86" s="64">
        <f>VLOOKUP(A86,Enforcements!$C$3:$J$72,8,0)</f>
        <v>53155</v>
      </c>
      <c r="AC86" s="64" t="str">
        <f>VLOOKUP(A86,Enforcements!$C$3:$E$72,3,0)</f>
        <v>GRADE CROSSING</v>
      </c>
    </row>
    <row r="87" spans="1:29" s="2" customFormat="1" x14ac:dyDescent="0.25">
      <c r="A87" s="50" t="s">
        <v>426</v>
      </c>
      <c r="B87" s="50">
        <v>4028</v>
      </c>
      <c r="C87" s="50" t="s">
        <v>60</v>
      </c>
      <c r="D87" s="50" t="s">
        <v>68</v>
      </c>
      <c r="E87" s="26">
        <v>42542.635428240741</v>
      </c>
      <c r="F87" s="26">
        <v>42542.636643518519</v>
      </c>
      <c r="G87" s="34">
        <v>1</v>
      </c>
      <c r="H87" s="26" t="s">
        <v>79</v>
      </c>
      <c r="I87" s="26">
        <v>42542.671157407407</v>
      </c>
      <c r="J87" s="50">
        <v>0</v>
      </c>
      <c r="K87" s="50" t="str">
        <f t="shared" si="27"/>
        <v>4027/4028</v>
      </c>
      <c r="L87" s="50" t="str">
        <f>VLOOKUP(A87,'Trips&amp;Operators'!$C$1:$E$10000,3,FALSE)</f>
        <v>RIVERA</v>
      </c>
      <c r="M87" s="12">
        <f t="shared" si="28"/>
        <v>3.4513888887886424E-2</v>
      </c>
      <c r="N87" s="13">
        <f>24*60*SUM($M87:$M87)</f>
        <v>49.69999999855645</v>
      </c>
      <c r="O87" s="13"/>
      <c r="P87" s="13"/>
      <c r="Q87" s="51"/>
      <c r="R87" s="51"/>
      <c r="S87" s="85">
        <f t="shared" si="36"/>
        <v>1</v>
      </c>
      <c r="T87" s="2" t="str">
        <f t="shared" si="29"/>
        <v>Southbound</v>
      </c>
      <c r="U87" s="2">
        <f>COUNTIFS(Variables!$M$2:$M$19, "&lt;=" &amp; Y87, Variables!$M$2:$M$19, "&gt;=" &amp; Z87)</f>
        <v>12</v>
      </c>
      <c r="V87" s="63" t="str">
        <f t="shared" si="30"/>
        <v>https://search-rtdc-monitor-bjffxe2xuh6vdkpspy63sjmuny.us-east-1.es.amazonaws.com/_plugin/kibana/#/discover/Steve-Slow-Train-Analysis-(2080s-and-2083s)?_g=(refreshInterval:(display:Off,section:0,value:0),time:(from:'2016-06-21 15:14:01-0600',mode:absolute,to:'2016-06-21 16:07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87" s="63" t="str">
        <f t="shared" si="31"/>
        <v>N</v>
      </c>
      <c r="X87" s="63">
        <f t="shared" si="32"/>
        <v>1</v>
      </c>
      <c r="Y87" s="63">
        <f t="shared" si="33"/>
        <v>23.299600000000002</v>
      </c>
      <c r="Z87" s="63">
        <f t="shared" si="34"/>
        <v>1.49E-2</v>
      </c>
      <c r="AA87" s="63">
        <f t="shared" si="35"/>
        <v>23.284700000000001</v>
      </c>
      <c r="AB87" s="64" t="e">
        <f>VLOOKUP(A87,Enforcements!$C$3:$J$72,8,0)</f>
        <v>#N/A</v>
      </c>
      <c r="AC87" s="64" t="e">
        <f>VLOOKUP(A87,Enforcements!$C$3:$E$72,3,0)</f>
        <v>#N/A</v>
      </c>
    </row>
    <row r="88" spans="1:29" s="2" customFormat="1" x14ac:dyDescent="0.25">
      <c r="A88" s="50" t="s">
        <v>427</v>
      </c>
      <c r="B88" s="50">
        <v>4017</v>
      </c>
      <c r="C88" s="50" t="s">
        <v>60</v>
      </c>
      <c r="D88" s="50" t="s">
        <v>138</v>
      </c>
      <c r="E88" s="26">
        <v>42542.645497685182</v>
      </c>
      <c r="F88" s="26">
        <v>42542.646747685183</v>
      </c>
      <c r="G88" s="34">
        <v>1</v>
      </c>
      <c r="H88" s="26" t="s">
        <v>130</v>
      </c>
      <c r="I88" s="26">
        <v>42542.681064814817</v>
      </c>
      <c r="J88" s="50">
        <v>0</v>
      </c>
      <c r="K88" s="50" t="str">
        <f t="shared" si="27"/>
        <v>4017/4018</v>
      </c>
      <c r="L88" s="50" t="str">
        <f>VLOOKUP(A88,'Trips&amp;Operators'!$C$1:$E$10000,3,FALSE)</f>
        <v>YOUNG</v>
      </c>
      <c r="M88" s="12">
        <f t="shared" si="28"/>
        <v>3.4317129633564036E-2</v>
      </c>
      <c r="N88" s="13">
        <f>24*60*SUM($M88:$M88)</f>
        <v>49.416666672332212</v>
      </c>
      <c r="O88" s="13"/>
      <c r="P88" s="13"/>
      <c r="Q88" s="51"/>
      <c r="R88" s="51"/>
      <c r="S88" s="85">
        <f t="shared" si="36"/>
        <v>1</v>
      </c>
      <c r="T88" s="2" t="str">
        <f t="shared" si="29"/>
        <v>Southbound</v>
      </c>
      <c r="U88" s="2">
        <f>COUNTIFS(Variables!$M$2:$M$19, "&lt;=" &amp; Y88, Variables!$M$2:$M$19, "&gt;=" &amp; Z88)</f>
        <v>12</v>
      </c>
      <c r="V88" s="63" t="str">
        <f t="shared" si="30"/>
        <v>https://search-rtdc-monitor-bjffxe2xuh6vdkpspy63sjmuny.us-east-1.es.amazonaws.com/_plugin/kibana/#/discover/Steve-Slow-Train-Analysis-(2080s-and-2083s)?_g=(refreshInterval:(display:Off,section:0,value:0),time:(from:'2016-06-21 15:28:31-0600',mode:absolute,to:'2016-06-21 16:21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88" s="63" t="str">
        <f t="shared" si="31"/>
        <v>N</v>
      </c>
      <c r="X88" s="63">
        <f t="shared" si="32"/>
        <v>2</v>
      </c>
      <c r="Y88" s="63">
        <f t="shared" si="33"/>
        <v>23.296900000000001</v>
      </c>
      <c r="Z88" s="63">
        <f t="shared" si="34"/>
        <v>1.6299999999999999E-2</v>
      </c>
      <c r="AA88" s="63">
        <f t="shared" si="35"/>
        <v>23.2806</v>
      </c>
      <c r="AB88" s="64" t="e">
        <f>VLOOKUP(A88,Enforcements!$C$3:$J$72,8,0)</f>
        <v>#N/A</v>
      </c>
      <c r="AC88" s="64" t="e">
        <f>VLOOKUP(A88,Enforcements!$C$3:$E$72,3,0)</f>
        <v>#N/A</v>
      </c>
    </row>
    <row r="89" spans="1:29" s="2" customFormat="1" x14ac:dyDescent="0.25">
      <c r="A89" s="50" t="s">
        <v>428</v>
      </c>
      <c r="B89" s="50">
        <v>4031</v>
      </c>
      <c r="C89" s="50" t="s">
        <v>60</v>
      </c>
      <c r="D89" s="50" t="s">
        <v>89</v>
      </c>
      <c r="E89" s="26">
        <v>42542.60670138889</v>
      </c>
      <c r="F89" s="26">
        <v>42542.608229166668</v>
      </c>
      <c r="G89" s="34">
        <v>2</v>
      </c>
      <c r="H89" s="26" t="s">
        <v>430</v>
      </c>
      <c r="I89" s="26">
        <v>42542.61787037037</v>
      </c>
      <c r="J89" s="50">
        <v>0</v>
      </c>
      <c r="K89" s="50" t="str">
        <f t="shared" si="27"/>
        <v>4031/4032</v>
      </c>
      <c r="L89" s="50" t="str">
        <f>VLOOKUP(A89,'Trips&amp;Operators'!$C$1:$E$10000,3,FALSE)</f>
        <v>BONDS</v>
      </c>
      <c r="M89" s="12">
        <f t="shared" si="28"/>
        <v>9.6412037019035779E-3</v>
      </c>
      <c r="N89" s="13"/>
      <c r="O89" s="13"/>
      <c r="P89" s="13">
        <f>24*60*SUM($M89:$M90)</f>
        <v>53.300000001909211</v>
      </c>
      <c r="Q89" s="51"/>
      <c r="R89" s="51" t="s">
        <v>509</v>
      </c>
      <c r="S89" s="85">
        <f t="shared" si="36"/>
        <v>0</v>
      </c>
      <c r="T89" s="2" t="str">
        <f t="shared" si="29"/>
        <v>NorthBound</v>
      </c>
      <c r="U89" s="2">
        <f>COUNTIFS(Variables!$M$2:$M$19, "&gt;=" &amp; Y89, Variables!$M$2:$M$19, "&lt;=" &amp; Z89)</f>
        <v>0</v>
      </c>
      <c r="V89" s="63" t="str">
        <f t="shared" si="30"/>
        <v>https://search-rtdc-monitor-bjffxe2xuh6vdkpspy63sjmuny.us-east-1.es.amazonaws.com/_plugin/kibana/#/discover/Steve-Slow-Train-Analysis-(2080s-and-2083s)?_g=(refreshInterval:(display:Off,section:0,value:0),time:(from:'2016-06-21 14:32:39-0600',mode:absolute,to:'2016-06-21 14:50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89" s="63" t="str">
        <f t="shared" si="31"/>
        <v>Y</v>
      </c>
      <c r="X89" s="63">
        <f t="shared" si="32"/>
        <v>1</v>
      </c>
      <c r="Y89" s="63">
        <f t="shared" si="33"/>
        <v>4.58E-2</v>
      </c>
      <c r="Z89" s="63">
        <f t="shared" si="34"/>
        <v>1.8414999999999999</v>
      </c>
      <c r="AA89" s="63">
        <f t="shared" si="35"/>
        <v>1.7956999999999999</v>
      </c>
      <c r="AB89" s="64" t="e">
        <f>VLOOKUP(A89,Enforcements!$C$3:$J$72,8,0)</f>
        <v>#N/A</v>
      </c>
      <c r="AC89" s="64" t="e">
        <f>VLOOKUP(A89,Enforcements!$C$3:$E$72,3,0)</f>
        <v>#N/A</v>
      </c>
    </row>
    <row r="90" spans="1:29" s="2" customFormat="1" x14ac:dyDescent="0.25">
      <c r="A90" s="50" t="s">
        <v>428</v>
      </c>
      <c r="B90" s="50">
        <v>4031</v>
      </c>
      <c r="C90" s="50" t="s">
        <v>60</v>
      </c>
      <c r="D90" s="50" t="s">
        <v>429</v>
      </c>
      <c r="E90" s="26">
        <v>42542.61986111111</v>
      </c>
      <c r="F90" s="26">
        <v>42542.620787037034</v>
      </c>
      <c r="G90" s="34">
        <v>1</v>
      </c>
      <c r="H90" s="26" t="s">
        <v>415</v>
      </c>
      <c r="I90" s="26">
        <v>42542.648159722223</v>
      </c>
      <c r="J90" s="50">
        <v>0</v>
      </c>
      <c r="K90" s="50" t="str">
        <f t="shared" si="27"/>
        <v>4031/4032</v>
      </c>
      <c r="L90" s="50" t="str">
        <f>VLOOKUP(A90,'Trips&amp;Operators'!$C$1:$E$10000,3,FALSE)</f>
        <v>BONDS</v>
      </c>
      <c r="M90" s="12">
        <f t="shared" si="28"/>
        <v>2.7372685188311152E-2</v>
      </c>
      <c r="N90" s="13"/>
      <c r="O90" s="13"/>
      <c r="P90" s="13"/>
      <c r="Q90" s="51"/>
      <c r="R90" s="51"/>
      <c r="S90" s="85"/>
      <c r="T90" s="2" t="str">
        <f t="shared" si="29"/>
        <v>NorthBound</v>
      </c>
      <c r="U90" s="2">
        <f>COUNTIFS(Variables!$M$2:$M$19, "&gt;=" &amp; Y90, Variables!$M$2:$M$19, "&lt;=" &amp; Z90)</f>
        <v>12</v>
      </c>
      <c r="V90" s="63" t="str">
        <f t="shared" si="30"/>
        <v>https://search-rtdc-monitor-bjffxe2xuh6vdkpspy63sjmuny.us-east-1.es.amazonaws.com/_plugin/kibana/#/discover/Steve-Slow-Train-Analysis-(2080s-and-2083s)?_g=(refreshInterval:(display:Off,section:0,value:0),time:(from:'2016-06-21 14:51:36-0600',mode:absolute,to:'2016-06-21 15:34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90" s="63" t="str">
        <f t="shared" si="31"/>
        <v>Y</v>
      </c>
      <c r="X90" s="63">
        <f t="shared" si="32"/>
        <v>0</v>
      </c>
      <c r="Y90" s="63">
        <f t="shared" si="33"/>
        <v>1.913</v>
      </c>
      <c r="Z90" s="63">
        <f t="shared" si="34"/>
        <v>23.332899999999999</v>
      </c>
      <c r="AA90" s="63">
        <f t="shared" si="35"/>
        <v>21.419899999999998</v>
      </c>
      <c r="AB90" s="64" t="e">
        <f>VLOOKUP(A90,Enforcements!$C$3:$J$72,8,0)</f>
        <v>#N/A</v>
      </c>
      <c r="AC90" s="64" t="e">
        <f>VLOOKUP(A90,Enforcements!$C$3:$E$72,3,0)</f>
        <v>#N/A</v>
      </c>
    </row>
    <row r="91" spans="1:29" s="2" customFormat="1" x14ac:dyDescent="0.25">
      <c r="A91" s="81" t="s">
        <v>478</v>
      </c>
      <c r="B91" s="50">
        <v>4032</v>
      </c>
      <c r="C91" s="50"/>
      <c r="D91" s="50"/>
      <c r="E91" s="26"/>
      <c r="F91" s="26">
        <v>42542.65347222222</v>
      </c>
      <c r="G91" s="34"/>
      <c r="H91" s="26"/>
      <c r="I91" s="26">
        <v>42542.655439814815</v>
      </c>
      <c r="J91" s="50"/>
      <c r="K91" s="50" t="str">
        <f t="shared" si="27"/>
        <v>4031/4032</v>
      </c>
      <c r="L91" s="50" t="str">
        <f>VLOOKUP(A91,'Trips&amp;Operators'!$C$1:$E$10000,3,FALSE)</f>
        <v>BONDS</v>
      </c>
      <c r="M91" s="12">
        <f t="shared" si="28"/>
        <v>1.9675925941555761E-3</v>
      </c>
      <c r="N91" s="13"/>
      <c r="O91" s="13"/>
      <c r="P91" s="13">
        <f>24*60*SUM($M91:$M91)</f>
        <v>2.8333333355840296</v>
      </c>
      <c r="Q91" s="51"/>
      <c r="R91" s="51" t="s">
        <v>502</v>
      </c>
      <c r="S91" s="85">
        <f t="shared" ref="S91:S106" si="37">SUM(U91:U91)/12</f>
        <v>0</v>
      </c>
      <c r="T91" s="2" t="str">
        <f t="shared" si="29"/>
        <v>Southbound</v>
      </c>
      <c r="U91" s="2">
        <f>COUNTIFS(Variables!$M$2:$M$19, "&lt;=" &amp; Y91, Variables!$M$2:$M$19, "&gt;=" &amp; Z91)</f>
        <v>0</v>
      </c>
      <c r="V91" s="63" t="e">
        <f t="shared" si="30"/>
        <v>#VALUE!</v>
      </c>
      <c r="W91" s="63" t="str">
        <f t="shared" si="31"/>
        <v>Y</v>
      </c>
      <c r="X91" s="63">
        <f t="shared" si="32"/>
        <v>1</v>
      </c>
      <c r="Y91" s="63">
        <v>23.301500000000001</v>
      </c>
      <c r="Z91" s="63">
        <v>23.301500000000001</v>
      </c>
      <c r="AA91" s="63">
        <f t="shared" si="35"/>
        <v>0</v>
      </c>
      <c r="AB91" s="64" t="e">
        <f>VLOOKUP(A91,Enforcements!$C$3:$J$72,8,0)</f>
        <v>#N/A</v>
      </c>
      <c r="AC91" s="64" t="e">
        <f>VLOOKUP(A91,Enforcements!$C$3:$E$72,3,0)</f>
        <v>#N/A</v>
      </c>
    </row>
    <row r="92" spans="1:29" s="2" customFormat="1" x14ac:dyDescent="0.25">
      <c r="A92" s="50" t="s">
        <v>431</v>
      </c>
      <c r="B92" s="50">
        <v>4042</v>
      </c>
      <c r="C92" s="50" t="s">
        <v>60</v>
      </c>
      <c r="D92" s="50" t="s">
        <v>227</v>
      </c>
      <c r="E92" s="26">
        <v>42542.619791666664</v>
      </c>
      <c r="F92" s="26">
        <v>42542.621712962966</v>
      </c>
      <c r="G92" s="34">
        <v>2</v>
      </c>
      <c r="H92" s="26" t="s">
        <v>432</v>
      </c>
      <c r="I92" s="26">
        <v>42542.654664351852</v>
      </c>
      <c r="J92" s="50">
        <v>3</v>
      </c>
      <c r="K92" s="50" t="str">
        <f t="shared" si="27"/>
        <v>4041/4042</v>
      </c>
      <c r="L92" s="50" t="str">
        <f>VLOOKUP(A92,'Trips&amp;Operators'!$C$1:$E$10000,3,FALSE)</f>
        <v>COOLAHAN</v>
      </c>
      <c r="M92" s="12">
        <f t="shared" si="28"/>
        <v>3.2951388886431232E-2</v>
      </c>
      <c r="N92" s="13">
        <f t="shared" ref="N92:N105" si="38">24*60*SUM($M92:$M92)</f>
        <v>47.449999996460974</v>
      </c>
      <c r="O92" s="13"/>
      <c r="P92" s="13"/>
      <c r="Q92" s="51"/>
      <c r="R92" s="51"/>
      <c r="S92" s="85">
        <f t="shared" si="37"/>
        <v>1</v>
      </c>
      <c r="T92" s="2" t="str">
        <f t="shared" si="29"/>
        <v>NorthBound</v>
      </c>
      <c r="U92" s="2">
        <f>COUNTIFS(Variables!$M$2:$M$19, "&gt;=" &amp; Y92, Variables!$M$2:$M$19, "&lt;=" &amp; Z92)</f>
        <v>12</v>
      </c>
      <c r="V92" s="63" t="str">
        <f t="shared" si="30"/>
        <v>https://search-rtdc-monitor-bjffxe2xuh6vdkpspy63sjmuny.us-east-1.es.amazonaws.com/_plugin/kibana/#/discover/Steve-Slow-Train-Analysis-(2080s-and-2083s)?_g=(refreshInterval:(display:Off,section:0,value:0),time:(from:'2016-06-21 14:51:30-0600',mode:absolute,to:'2016-06-21 15:43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92" s="63" t="str">
        <f t="shared" si="31"/>
        <v>N</v>
      </c>
      <c r="X92" s="63">
        <f t="shared" si="32"/>
        <v>1</v>
      </c>
      <c r="Y92" s="63">
        <f t="shared" ref="Y92:Y132" si="39">RIGHT(D92,LEN(D92)-4)/10000</f>
        <v>4.4600000000000001E-2</v>
      </c>
      <c r="Z92" s="63">
        <f t="shared" ref="Z92:Z132" si="40">RIGHT(H92,LEN(H92)-4)/10000</f>
        <v>23.204899999999999</v>
      </c>
      <c r="AA92" s="63">
        <f t="shared" si="35"/>
        <v>23.160299999999999</v>
      </c>
      <c r="AB92" s="64">
        <f>VLOOKUP(A92,Enforcements!$C$3:$J$72,8,0)</f>
        <v>20338</v>
      </c>
      <c r="AC92" s="64" t="str">
        <f>VLOOKUP(A92,Enforcements!$C$3:$E$72,3,0)</f>
        <v>PERMANENT SPEED RESTRICTION</v>
      </c>
    </row>
    <row r="93" spans="1:29" s="2" customFormat="1" x14ac:dyDescent="0.25">
      <c r="A93" s="50" t="s">
        <v>433</v>
      </c>
      <c r="B93" s="50">
        <v>4041</v>
      </c>
      <c r="C93" s="50" t="s">
        <v>60</v>
      </c>
      <c r="D93" s="50" t="s">
        <v>209</v>
      </c>
      <c r="E93" s="26">
        <v>42542.661597222221</v>
      </c>
      <c r="F93" s="26">
        <v>42542.664236111108</v>
      </c>
      <c r="G93" s="34">
        <v>3</v>
      </c>
      <c r="H93" s="26" t="s">
        <v>79</v>
      </c>
      <c r="I93" s="26">
        <v>42542.696689814817</v>
      </c>
      <c r="J93" s="50">
        <v>1</v>
      </c>
      <c r="K93" s="50" t="str">
        <f t="shared" si="27"/>
        <v>4041/4042</v>
      </c>
      <c r="L93" s="50" t="str">
        <f>VLOOKUP(A93,'Trips&amp;Operators'!$C$1:$E$10000,3,FALSE)</f>
        <v>COOLAHAN</v>
      </c>
      <c r="M93" s="12">
        <f t="shared" si="28"/>
        <v>3.2453703708597459E-2</v>
      </c>
      <c r="N93" s="13">
        <f t="shared" si="38"/>
        <v>46.733333340380341</v>
      </c>
      <c r="O93" s="13"/>
      <c r="P93" s="13"/>
      <c r="Q93" s="51"/>
      <c r="R93" s="51"/>
      <c r="S93" s="85">
        <f t="shared" si="37"/>
        <v>1</v>
      </c>
      <c r="T93" s="2" t="str">
        <f t="shared" si="29"/>
        <v>Southbound</v>
      </c>
      <c r="U93" s="2">
        <f>COUNTIFS(Variables!$M$2:$M$19, "&lt;=" &amp; Y93, Variables!$M$2:$M$19, "&gt;=" &amp; Z93)</f>
        <v>12</v>
      </c>
      <c r="V93" s="63" t="str">
        <f t="shared" si="30"/>
        <v>https://search-rtdc-monitor-bjffxe2xuh6vdkpspy63sjmuny.us-east-1.es.amazonaws.com/_plugin/kibana/#/discover/Steve-Slow-Train-Analysis-(2080s-and-2083s)?_g=(refreshInterval:(display:Off,section:0,value:0),time:(from:'2016-06-21 15:51:42-0600',mode:absolute,to:'2016-06-21 16:44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93" s="63" t="str">
        <f t="shared" si="31"/>
        <v>N</v>
      </c>
      <c r="X93" s="63">
        <f t="shared" si="32"/>
        <v>1</v>
      </c>
      <c r="Y93" s="63">
        <f t="shared" si="39"/>
        <v>23.298200000000001</v>
      </c>
      <c r="Z93" s="63">
        <f t="shared" si="40"/>
        <v>1.49E-2</v>
      </c>
      <c r="AA93" s="63">
        <f t="shared" si="35"/>
        <v>23.283300000000001</v>
      </c>
      <c r="AB93" s="64">
        <f>VLOOKUP(A93,Enforcements!$C$3:$J$72,8,0)</f>
        <v>1</v>
      </c>
      <c r="AC93" s="64" t="str">
        <f>VLOOKUP(A93,Enforcements!$C$3:$E$72,3,0)</f>
        <v>TRACK WARRANT AUTHORITY</v>
      </c>
    </row>
    <row r="94" spans="1:29" s="2" customFormat="1" x14ac:dyDescent="0.25">
      <c r="A94" s="50" t="s">
        <v>434</v>
      </c>
      <c r="B94" s="50">
        <v>4011</v>
      </c>
      <c r="C94" s="50" t="s">
        <v>60</v>
      </c>
      <c r="D94" s="50" t="s">
        <v>96</v>
      </c>
      <c r="E94" s="26">
        <v>42542.628599537034</v>
      </c>
      <c r="F94" s="26">
        <v>42542.633263888885</v>
      </c>
      <c r="G94" s="34">
        <v>6</v>
      </c>
      <c r="H94" s="26" t="s">
        <v>115</v>
      </c>
      <c r="I94" s="26">
        <v>42542.671122685184</v>
      </c>
      <c r="J94" s="50">
        <v>0</v>
      </c>
      <c r="K94" s="50" t="str">
        <f t="shared" si="27"/>
        <v>4011/4012</v>
      </c>
      <c r="L94" s="50" t="str">
        <f>VLOOKUP(A94,'Trips&amp;Operators'!$C$1:$E$10000,3,FALSE)</f>
        <v>DAVIS</v>
      </c>
      <c r="M94" s="12">
        <f t="shared" si="28"/>
        <v>3.7858796298678499E-2</v>
      </c>
      <c r="N94" s="13">
        <f t="shared" si="38"/>
        <v>54.516666670097038</v>
      </c>
      <c r="O94" s="13"/>
      <c r="P94" s="13"/>
      <c r="Q94" s="51"/>
      <c r="R94" s="51"/>
      <c r="S94" s="85">
        <f t="shared" si="37"/>
        <v>1</v>
      </c>
      <c r="T94" s="2" t="str">
        <f t="shared" si="29"/>
        <v>NorthBound</v>
      </c>
      <c r="U94" s="2">
        <f>COUNTIFS(Variables!$M$2:$M$19, "&gt;=" &amp; Y94, Variables!$M$2:$M$19, "&lt;=" &amp; Z94)</f>
        <v>12</v>
      </c>
      <c r="V94" s="63" t="str">
        <f t="shared" si="30"/>
        <v>https://search-rtdc-monitor-bjffxe2xuh6vdkpspy63sjmuny.us-east-1.es.amazonaws.com/_plugin/kibana/#/discover/Steve-Slow-Train-Analysis-(2080s-and-2083s)?_g=(refreshInterval:(display:Off,section:0,value:0),time:(from:'2016-06-21 15:04:11-0600',mode:absolute,to:'2016-06-21 16:07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94" s="63" t="str">
        <f t="shared" si="31"/>
        <v>N</v>
      </c>
      <c r="X94" s="63">
        <f t="shared" si="32"/>
        <v>1</v>
      </c>
      <c r="Y94" s="63">
        <f t="shared" si="39"/>
        <v>4.6399999999999997E-2</v>
      </c>
      <c r="Z94" s="63">
        <f t="shared" si="40"/>
        <v>23.328900000000001</v>
      </c>
      <c r="AA94" s="63">
        <f t="shared" si="35"/>
        <v>23.282500000000002</v>
      </c>
      <c r="AB94" s="64" t="e">
        <f>VLOOKUP(A94,Enforcements!$C$3:$J$72,8,0)</f>
        <v>#N/A</v>
      </c>
      <c r="AC94" s="64" t="e">
        <f>VLOOKUP(A94,Enforcements!$C$3:$E$72,3,0)</f>
        <v>#N/A</v>
      </c>
    </row>
    <row r="95" spans="1:29" s="2" customFormat="1" x14ac:dyDescent="0.25">
      <c r="A95" s="50" t="s">
        <v>435</v>
      </c>
      <c r="B95" s="50">
        <v>4012</v>
      </c>
      <c r="C95" s="50" t="s">
        <v>60</v>
      </c>
      <c r="D95" s="50" t="s">
        <v>211</v>
      </c>
      <c r="E95" s="26">
        <v>42542.672974537039</v>
      </c>
      <c r="F95" s="26">
        <v>42542.674155092594</v>
      </c>
      <c r="G95" s="34">
        <v>1</v>
      </c>
      <c r="H95" s="26" t="s">
        <v>77</v>
      </c>
      <c r="I95" s="26">
        <v>42542.703611111108</v>
      </c>
      <c r="J95" s="50">
        <v>0</v>
      </c>
      <c r="K95" s="50" t="str">
        <f t="shared" si="27"/>
        <v>4011/4012</v>
      </c>
      <c r="L95" s="50" t="str">
        <f>VLOOKUP(A95,'Trips&amp;Operators'!$C$1:$E$10000,3,FALSE)</f>
        <v>DAVIS</v>
      </c>
      <c r="M95" s="12">
        <f t="shared" si="28"/>
        <v>2.9456018513883464E-2</v>
      </c>
      <c r="N95" s="13">
        <f t="shared" si="38"/>
        <v>42.416666659992188</v>
      </c>
      <c r="O95" s="13"/>
      <c r="P95" s="13"/>
      <c r="Q95" s="51"/>
      <c r="R95" s="51"/>
      <c r="S95" s="85">
        <f t="shared" si="37"/>
        <v>1</v>
      </c>
      <c r="T95" s="2" t="str">
        <f t="shared" si="29"/>
        <v>Southbound</v>
      </c>
      <c r="U95" s="2">
        <f>COUNTIFS(Variables!$M$2:$M$19, "&lt;=" &amp; Y95, Variables!$M$2:$M$19, "&gt;=" &amp; Z95)</f>
        <v>12</v>
      </c>
      <c r="V95" s="63" t="str">
        <f t="shared" si="30"/>
        <v>https://search-rtdc-monitor-bjffxe2xuh6vdkpspy63sjmuny.us-east-1.es.amazonaws.com/_plugin/kibana/#/discover/Steve-Slow-Train-Analysis-(2080s-and-2083s)?_g=(refreshInterval:(display:Off,section:0,value:0),time:(from:'2016-06-21 16:08:05-0600',mode:absolute,to:'2016-06-21 16:54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95" s="63" t="str">
        <f t="shared" si="31"/>
        <v>N</v>
      </c>
      <c r="X95" s="63">
        <f t="shared" si="32"/>
        <v>1</v>
      </c>
      <c r="Y95" s="63">
        <f t="shared" si="39"/>
        <v>23.2989</v>
      </c>
      <c r="Z95" s="63">
        <f t="shared" si="40"/>
        <v>1.41E-2</v>
      </c>
      <c r="AA95" s="63">
        <f t="shared" si="35"/>
        <v>23.284800000000001</v>
      </c>
      <c r="AB95" s="64" t="e">
        <f>VLOOKUP(A95,Enforcements!$C$3:$J$72,8,0)</f>
        <v>#N/A</v>
      </c>
      <c r="AC95" s="64" t="e">
        <f>VLOOKUP(A95,Enforcements!$C$3:$E$72,3,0)</f>
        <v>#N/A</v>
      </c>
    </row>
    <row r="96" spans="1:29" s="2" customFormat="1" x14ac:dyDescent="0.25">
      <c r="A96" s="50" t="s">
        <v>436</v>
      </c>
      <c r="B96" s="50">
        <v>4024</v>
      </c>
      <c r="C96" s="50" t="s">
        <v>60</v>
      </c>
      <c r="D96" s="50" t="s">
        <v>158</v>
      </c>
      <c r="E96" s="26">
        <v>42542.643773148149</v>
      </c>
      <c r="F96" s="26">
        <v>42542.644861111112</v>
      </c>
      <c r="G96" s="34">
        <v>1</v>
      </c>
      <c r="H96" s="26" t="s">
        <v>172</v>
      </c>
      <c r="I96" s="26">
        <v>42542.674050925925</v>
      </c>
      <c r="J96" s="50">
        <v>0</v>
      </c>
      <c r="K96" s="50" t="str">
        <f t="shared" si="27"/>
        <v>4023/4024</v>
      </c>
      <c r="L96" s="50" t="str">
        <f>VLOOKUP(A96,'Trips&amp;Operators'!$C$1:$E$10000,3,FALSE)</f>
        <v>LOCKLEAR</v>
      </c>
      <c r="M96" s="12">
        <f t="shared" si="28"/>
        <v>2.9189814813435078E-2</v>
      </c>
      <c r="N96" s="13">
        <f t="shared" si="38"/>
        <v>42.033333331346512</v>
      </c>
      <c r="O96" s="13"/>
      <c r="P96" s="13"/>
      <c r="Q96" s="51"/>
      <c r="R96" s="51"/>
      <c r="S96" s="85">
        <f t="shared" si="37"/>
        <v>1</v>
      </c>
      <c r="T96" s="2" t="str">
        <f t="shared" si="29"/>
        <v>NorthBound</v>
      </c>
      <c r="U96" s="2">
        <f>COUNTIFS(Variables!$M$2:$M$19, "&gt;=" &amp; Y96, Variables!$M$2:$M$19, "&lt;=" &amp; Z96)</f>
        <v>12</v>
      </c>
      <c r="V96" s="63" t="str">
        <f t="shared" si="30"/>
        <v>https://search-rtdc-monitor-bjffxe2xuh6vdkpspy63sjmuny.us-east-1.es.amazonaws.com/_plugin/kibana/#/discover/Steve-Slow-Train-Analysis-(2080s-and-2083s)?_g=(refreshInterval:(display:Off,section:0,value:0),time:(from:'2016-06-21 15:26:02-0600',mode:absolute,to:'2016-06-21 16:11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96" s="63" t="str">
        <f t="shared" si="31"/>
        <v>N</v>
      </c>
      <c r="X96" s="63">
        <f t="shared" si="32"/>
        <v>1</v>
      </c>
      <c r="Y96" s="63">
        <f t="shared" si="39"/>
        <v>4.8000000000000001E-2</v>
      </c>
      <c r="Z96" s="63">
        <f t="shared" si="40"/>
        <v>23.333200000000001</v>
      </c>
      <c r="AA96" s="63">
        <f t="shared" si="35"/>
        <v>23.285200000000003</v>
      </c>
      <c r="AB96" s="64" t="e">
        <f>VLOOKUP(A96,Enforcements!$C$3:$J$72,8,0)</f>
        <v>#N/A</v>
      </c>
      <c r="AC96" s="64" t="e">
        <f>VLOOKUP(A96,Enforcements!$C$3:$E$72,3,0)</f>
        <v>#N/A</v>
      </c>
    </row>
    <row r="97" spans="1:29" s="2" customFormat="1" x14ac:dyDescent="0.25">
      <c r="A97" s="50" t="s">
        <v>437</v>
      </c>
      <c r="B97" s="50">
        <v>4023</v>
      </c>
      <c r="C97" s="50" t="s">
        <v>60</v>
      </c>
      <c r="D97" s="50" t="s">
        <v>178</v>
      </c>
      <c r="E97" s="26">
        <v>42542.683379629627</v>
      </c>
      <c r="F97" s="26">
        <v>42542.684270833335</v>
      </c>
      <c r="G97" s="34">
        <v>1</v>
      </c>
      <c r="H97" s="26" t="s">
        <v>129</v>
      </c>
      <c r="I97" s="26">
        <v>42542.719305555554</v>
      </c>
      <c r="J97" s="50">
        <v>0</v>
      </c>
      <c r="K97" s="50" t="str">
        <f t="shared" si="27"/>
        <v>4023/4024</v>
      </c>
      <c r="L97" s="50" t="str">
        <f>VLOOKUP(A97,'Trips&amp;Operators'!$C$1:$E$10000,3,FALSE)</f>
        <v>LOCKLEAR</v>
      </c>
      <c r="M97" s="12">
        <f t="shared" si="28"/>
        <v>3.5034722219279502E-2</v>
      </c>
      <c r="N97" s="13">
        <f t="shared" si="38"/>
        <v>50.449999995762482</v>
      </c>
      <c r="O97" s="13"/>
      <c r="P97" s="13"/>
      <c r="Q97" s="51"/>
      <c r="R97" s="51"/>
      <c r="S97" s="85">
        <f t="shared" si="37"/>
        <v>1</v>
      </c>
      <c r="T97" s="2" t="str">
        <f t="shared" si="29"/>
        <v>Southbound</v>
      </c>
      <c r="U97" s="2">
        <f>COUNTIFS(Variables!$M$2:$M$19, "&lt;=" &amp; Y97, Variables!$M$2:$M$19, "&gt;=" &amp; Z97)</f>
        <v>12</v>
      </c>
      <c r="V97" s="63" t="str">
        <f t="shared" si="30"/>
        <v>https://search-rtdc-monitor-bjffxe2xuh6vdkpspy63sjmuny.us-east-1.es.amazonaws.com/_plugin/kibana/#/discover/Steve-Slow-Train-Analysis-(2080s-and-2083s)?_g=(refreshInterval:(display:Off,section:0,value:0),time:(from:'2016-06-21 16:23:04-0600',mode:absolute,to:'2016-06-21 17:16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97" s="63" t="str">
        <f t="shared" si="31"/>
        <v>N</v>
      </c>
      <c r="X97" s="63">
        <f t="shared" si="32"/>
        <v>1</v>
      </c>
      <c r="Y97" s="63">
        <f t="shared" si="39"/>
        <v>23.302299999999999</v>
      </c>
      <c r="Z97" s="63">
        <f t="shared" si="40"/>
        <v>1.7000000000000001E-2</v>
      </c>
      <c r="AA97" s="63">
        <f t="shared" si="35"/>
        <v>23.285299999999999</v>
      </c>
      <c r="AB97" s="64" t="e">
        <f>VLOOKUP(A97,Enforcements!$C$3:$J$72,8,0)</f>
        <v>#N/A</v>
      </c>
      <c r="AC97" s="64" t="e">
        <f>VLOOKUP(A97,Enforcements!$C$3:$E$72,3,0)</f>
        <v>#N/A</v>
      </c>
    </row>
    <row r="98" spans="1:29" s="2" customFormat="1" x14ac:dyDescent="0.25">
      <c r="A98" s="50" t="s">
        <v>438</v>
      </c>
      <c r="B98" s="50">
        <v>4029</v>
      </c>
      <c r="C98" s="50" t="s">
        <v>60</v>
      </c>
      <c r="D98" s="50" t="s">
        <v>96</v>
      </c>
      <c r="E98" s="26">
        <v>42542.655150462961</v>
      </c>
      <c r="F98" s="26">
        <v>42542.656099537038</v>
      </c>
      <c r="G98" s="34">
        <v>1</v>
      </c>
      <c r="H98" s="26" t="s">
        <v>86</v>
      </c>
      <c r="I98" s="26">
        <v>42542.689421296294</v>
      </c>
      <c r="J98" s="50">
        <v>0</v>
      </c>
      <c r="K98" s="50" t="str">
        <f t="shared" si="27"/>
        <v>4029/4030</v>
      </c>
      <c r="L98" s="50" t="str">
        <f>VLOOKUP(A98,'Trips&amp;Operators'!$C$1:$E$10000,3,FALSE)</f>
        <v>MOSES</v>
      </c>
      <c r="M98" s="12">
        <f t="shared" si="28"/>
        <v>3.3321759256068617E-2</v>
      </c>
      <c r="N98" s="13">
        <f t="shared" si="38"/>
        <v>47.983333328738809</v>
      </c>
      <c r="O98" s="13"/>
      <c r="P98" s="13"/>
      <c r="Q98" s="51"/>
      <c r="R98" s="51"/>
      <c r="S98" s="85">
        <f t="shared" si="37"/>
        <v>1</v>
      </c>
      <c r="T98" s="2" t="str">
        <f t="shared" si="29"/>
        <v>NorthBound</v>
      </c>
      <c r="U98" s="2">
        <f>COUNTIFS(Variables!$M$2:$M$19, "&gt;=" &amp; Y98, Variables!$M$2:$M$19, "&lt;=" &amp; Z98)</f>
        <v>12</v>
      </c>
      <c r="V98" s="63" t="str">
        <f t="shared" si="30"/>
        <v>https://search-rtdc-monitor-bjffxe2xuh6vdkpspy63sjmuny.us-east-1.es.amazonaws.com/_plugin/kibana/#/discover/Steve-Slow-Train-Analysis-(2080s-and-2083s)?_g=(refreshInterval:(display:Off,section:0,value:0),time:(from:'2016-06-21 15:42:25-0600',mode:absolute,to:'2016-06-21 16:33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98" s="63" t="str">
        <f t="shared" si="31"/>
        <v>N</v>
      </c>
      <c r="X98" s="63">
        <f t="shared" si="32"/>
        <v>1</v>
      </c>
      <c r="Y98" s="63">
        <f t="shared" si="39"/>
        <v>4.6399999999999997E-2</v>
      </c>
      <c r="Z98" s="63">
        <f t="shared" si="40"/>
        <v>23.330400000000001</v>
      </c>
      <c r="AA98" s="63">
        <f t="shared" si="35"/>
        <v>23.284000000000002</v>
      </c>
      <c r="AB98" s="64" t="e">
        <f>VLOOKUP(A98,Enforcements!$C$3:$J$72,8,0)</f>
        <v>#N/A</v>
      </c>
      <c r="AC98" s="64" t="e">
        <f>VLOOKUP(A98,Enforcements!$C$3:$E$72,3,0)</f>
        <v>#N/A</v>
      </c>
    </row>
    <row r="99" spans="1:29" s="2" customFormat="1" x14ac:dyDescent="0.25">
      <c r="A99" s="50" t="s">
        <v>439</v>
      </c>
      <c r="B99" s="50">
        <v>4030</v>
      </c>
      <c r="C99" s="50" t="s">
        <v>60</v>
      </c>
      <c r="D99" s="50" t="s">
        <v>440</v>
      </c>
      <c r="E99" s="26">
        <v>42542.694027777776</v>
      </c>
      <c r="F99" s="26">
        <v>42542.695011574076</v>
      </c>
      <c r="G99" s="34">
        <v>1</v>
      </c>
      <c r="H99" s="26" t="s">
        <v>120</v>
      </c>
      <c r="I99" s="26">
        <v>42542.728402777779</v>
      </c>
      <c r="J99" s="50">
        <v>0</v>
      </c>
      <c r="K99" s="50" t="str">
        <f t="shared" ref="K99:K130" si="41">IF(ISEVEN(B99),(B99-1)&amp;"/"&amp;B99,B99&amp;"/"&amp;(B99+1))</f>
        <v>4029/4030</v>
      </c>
      <c r="L99" s="50" t="str">
        <f>VLOOKUP(A99,'Trips&amp;Operators'!$C$1:$E$10000,3,FALSE)</f>
        <v>MOSES</v>
      </c>
      <c r="M99" s="12">
        <f t="shared" ref="M99:M130" si="42">I99-F99</f>
        <v>3.3391203702194616E-2</v>
      </c>
      <c r="N99" s="13">
        <f t="shared" si="38"/>
        <v>48.083333331160247</v>
      </c>
      <c r="O99" s="13"/>
      <c r="P99" s="13"/>
      <c r="Q99" s="51"/>
      <c r="R99" s="51"/>
      <c r="S99" s="85">
        <f t="shared" si="37"/>
        <v>1</v>
      </c>
      <c r="T99" s="2" t="str">
        <f t="shared" ref="T99:T130" si="43">IF(ISEVEN(LEFT(A99,3)),"Southbound","NorthBound")</f>
        <v>Southbound</v>
      </c>
      <c r="U99" s="2">
        <f>COUNTIFS(Variables!$M$2:$M$19, "&lt;=" &amp; Y99, Variables!$M$2:$M$19, "&gt;=" &amp; Z99)</f>
        <v>12</v>
      </c>
      <c r="V99" s="63" t="str">
        <f t="shared" ref="V99:V130" si="44">"https://search-rtdc-monitor-bjffxe2xuh6vdkpspy63sjmuny.us-east-1.es.amazonaws.com/_plugin/kibana/#/discover/Steve-Slow-Train-Analysis-(2080s-and-2083s)?_g=(refreshInterval:(display:Off,section:0,value:0),time:(from:'"&amp;TEXT(E99-1/24/60,"yyyy-MM-DD hh:mm:ss")&amp;"-0600',mode:absolute,to:'"&amp;TEXT(I99+1/24/60,"yyyy-MM-DD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99&amp;"%22')),sort:!(Time,asc))"</f>
        <v>https://search-rtdc-monitor-bjffxe2xuh6vdkpspy63sjmuny.us-east-1.es.amazonaws.com/_plugin/kibana/#/discover/Steve-Slow-Train-Analysis-(2080s-and-2083s)?_g=(refreshInterval:(display:Off,section:0,value:0),time:(from:'2016-06-21 16:38:24-0600',mode:absolute,to:'2016-06-21 17:29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99" s="63" t="str">
        <f t="shared" ref="W99:W130" si="45">IF(AA99&lt;23,"Y","N")</f>
        <v>N</v>
      </c>
      <c r="X99" s="63">
        <f t="shared" ref="X99:X130" si="46">VALUE(LEFT(A99,3))-VALUE(LEFT(A98,3))</f>
        <v>1</v>
      </c>
      <c r="Y99" s="63">
        <f t="shared" si="39"/>
        <v>23.299299999999999</v>
      </c>
      <c r="Z99" s="63">
        <f t="shared" si="40"/>
        <v>1.5800000000000002E-2</v>
      </c>
      <c r="AA99" s="63">
        <f t="shared" ref="AA99:AA130" si="47">ABS(Z99-Y99)</f>
        <v>23.2835</v>
      </c>
      <c r="AB99" s="64" t="e">
        <f>VLOOKUP(A99,Enforcements!$C$3:$J$72,8,0)</f>
        <v>#N/A</v>
      </c>
      <c r="AC99" s="64" t="e">
        <f>VLOOKUP(A99,Enforcements!$C$3:$E$72,3,0)</f>
        <v>#N/A</v>
      </c>
    </row>
    <row r="100" spans="1:29" s="2" customFormat="1" x14ac:dyDescent="0.25">
      <c r="A100" s="50" t="s">
        <v>441</v>
      </c>
      <c r="B100" s="50">
        <v>4027</v>
      </c>
      <c r="C100" s="50" t="s">
        <v>60</v>
      </c>
      <c r="D100" s="50" t="s">
        <v>82</v>
      </c>
      <c r="E100" s="26">
        <v>42542.675798611112</v>
      </c>
      <c r="F100" s="26">
        <v>42542.676863425928</v>
      </c>
      <c r="G100" s="34">
        <v>1</v>
      </c>
      <c r="H100" s="26" t="s">
        <v>222</v>
      </c>
      <c r="I100" s="26">
        <v>42542.709560185183</v>
      </c>
      <c r="J100" s="50">
        <v>1</v>
      </c>
      <c r="K100" s="50" t="str">
        <f t="shared" si="41"/>
        <v>4027/4028</v>
      </c>
      <c r="L100" s="50" t="str">
        <f>VLOOKUP(A100,'Trips&amp;Operators'!$C$1:$E$10000,3,FALSE)</f>
        <v>RIVERA</v>
      </c>
      <c r="M100" s="12">
        <f t="shared" si="42"/>
        <v>3.269675925548654E-2</v>
      </c>
      <c r="N100" s="13">
        <f t="shared" si="38"/>
        <v>47.083333327900618</v>
      </c>
      <c r="O100" s="13"/>
      <c r="P100" s="13"/>
      <c r="Q100" s="51"/>
      <c r="R100" s="51"/>
      <c r="S100" s="85">
        <f t="shared" si="37"/>
        <v>1</v>
      </c>
      <c r="T100" s="2" t="str">
        <f t="shared" si="43"/>
        <v>NorthBound</v>
      </c>
      <c r="U100" s="2">
        <f>COUNTIFS(Variables!$M$2:$M$19, "&gt;=" &amp; Y100, Variables!$M$2:$M$19, "&lt;=" &amp; Z100)</f>
        <v>12</v>
      </c>
      <c r="V100" s="63" t="str">
        <f t="shared" si="44"/>
        <v>https://search-rtdc-monitor-bjffxe2xuh6vdkpspy63sjmuny.us-east-1.es.amazonaws.com/_plugin/kibana/#/discover/Steve-Slow-Train-Analysis-(2080s-and-2083s)?_g=(refreshInterval:(display:Off,section:0,value:0),time:(from:'2016-06-21 16:12:09-0600',mode:absolute,to:'2016-06-21 17:02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00" s="63" t="str">
        <f t="shared" si="45"/>
        <v>N</v>
      </c>
      <c r="X100" s="63">
        <f t="shared" si="46"/>
        <v>1</v>
      </c>
      <c r="Y100" s="63">
        <f t="shared" si="39"/>
        <v>4.53E-2</v>
      </c>
      <c r="Z100" s="63">
        <f t="shared" si="40"/>
        <v>23.334199999999999</v>
      </c>
      <c r="AA100" s="63">
        <f t="shared" si="47"/>
        <v>23.288899999999998</v>
      </c>
      <c r="AB100" s="64">
        <f>VLOOKUP(A100,Enforcements!$C$3:$J$72,8,0)</f>
        <v>63068</v>
      </c>
      <c r="AC100" s="64" t="str">
        <f>VLOOKUP(A100,Enforcements!$C$3:$E$72,3,0)</f>
        <v>GRADE CROSSING</v>
      </c>
    </row>
    <row r="101" spans="1:29" s="2" customFormat="1" x14ac:dyDescent="0.25">
      <c r="A101" s="50" t="s">
        <v>442</v>
      </c>
      <c r="B101" s="50">
        <v>4018</v>
      </c>
      <c r="C101" s="50" t="s">
        <v>60</v>
      </c>
      <c r="D101" s="50" t="s">
        <v>70</v>
      </c>
      <c r="E101" s="26">
        <v>42542.686921296299</v>
      </c>
      <c r="F101" s="26">
        <v>42542.688206018516</v>
      </c>
      <c r="G101" s="34">
        <v>1</v>
      </c>
      <c r="H101" s="26" t="s">
        <v>121</v>
      </c>
      <c r="I101" s="26">
        <v>42542.717291666668</v>
      </c>
      <c r="J101" s="50">
        <v>1</v>
      </c>
      <c r="K101" s="50" t="str">
        <f t="shared" si="41"/>
        <v>4017/4018</v>
      </c>
      <c r="L101" s="50" t="str">
        <f>VLOOKUP(A101,'Trips&amp;Operators'!$C$1:$E$10000,3,FALSE)</f>
        <v>ALONZO</v>
      </c>
      <c r="M101" s="12">
        <f t="shared" si="42"/>
        <v>2.9085648151522037E-2</v>
      </c>
      <c r="N101" s="13">
        <f t="shared" si="38"/>
        <v>41.883333338191733</v>
      </c>
      <c r="O101" s="13"/>
      <c r="P101" s="13"/>
      <c r="Q101" s="51"/>
      <c r="R101" s="51"/>
      <c r="S101" s="85">
        <f t="shared" si="37"/>
        <v>1</v>
      </c>
      <c r="T101" s="2" t="str">
        <f t="shared" si="43"/>
        <v>NorthBound</v>
      </c>
      <c r="U101" s="2">
        <f>COUNTIFS(Variables!$M$2:$M$19, "&gt;=" &amp; Y101, Variables!$M$2:$M$19, "&lt;=" &amp; Z101)</f>
        <v>12</v>
      </c>
      <c r="V101" s="63" t="str">
        <f t="shared" si="44"/>
        <v>https://search-rtdc-monitor-bjffxe2xuh6vdkpspy63sjmuny.us-east-1.es.amazonaws.com/_plugin/kibana/#/discover/Steve-Slow-Train-Analysis-(2080s-and-2083s)?_g=(refreshInterval:(display:Off,section:0,value:0),time:(from:'2016-06-21 16:28:10-0600',mode:absolute,to:'2016-06-21 17:13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01" s="63" t="str">
        <f t="shared" si="45"/>
        <v>N</v>
      </c>
      <c r="X101" s="63">
        <f t="shared" si="46"/>
        <v>2</v>
      </c>
      <c r="Y101" s="63">
        <f t="shared" si="39"/>
        <v>4.5999999999999999E-2</v>
      </c>
      <c r="Z101" s="63">
        <f t="shared" si="40"/>
        <v>23.3309</v>
      </c>
      <c r="AA101" s="63">
        <f t="shared" si="47"/>
        <v>23.2849</v>
      </c>
      <c r="AB101" s="64">
        <f>VLOOKUP(A101,Enforcements!$C$3:$J$72,8,0)</f>
        <v>63068</v>
      </c>
      <c r="AC101" s="64" t="str">
        <f>VLOOKUP(A101,Enforcements!$C$3:$E$72,3,0)</f>
        <v>GRADE CROSSING</v>
      </c>
    </row>
    <row r="102" spans="1:29" s="2" customFormat="1" x14ac:dyDescent="0.25">
      <c r="A102" s="50" t="s">
        <v>207</v>
      </c>
      <c r="B102" s="50">
        <v>4028</v>
      </c>
      <c r="C102" s="50" t="s">
        <v>60</v>
      </c>
      <c r="D102" s="50" t="s">
        <v>177</v>
      </c>
      <c r="E102" s="26">
        <v>42542.716747685183</v>
      </c>
      <c r="F102" s="26">
        <v>42542.717453703706</v>
      </c>
      <c r="G102" s="34">
        <v>1</v>
      </c>
      <c r="H102" s="26" t="s">
        <v>107</v>
      </c>
      <c r="I102" s="26">
        <v>42542.745532407411</v>
      </c>
      <c r="J102" s="50">
        <v>0</v>
      </c>
      <c r="K102" s="50" t="str">
        <f t="shared" si="41"/>
        <v>4027/4028</v>
      </c>
      <c r="L102" s="50" t="str">
        <f>VLOOKUP(A102,'Trips&amp;Operators'!$C$1:$E$10000,3,FALSE)</f>
        <v>RIVERA</v>
      </c>
      <c r="M102" s="12">
        <f t="shared" si="42"/>
        <v>2.8078703704522923E-2</v>
      </c>
      <c r="N102" s="13">
        <f t="shared" si="38"/>
        <v>40.433333334513009</v>
      </c>
      <c r="O102" s="13"/>
      <c r="P102" s="13"/>
      <c r="Q102" s="51"/>
      <c r="R102" s="51"/>
      <c r="S102" s="85">
        <f t="shared" si="37"/>
        <v>1</v>
      </c>
      <c r="T102" s="2" t="str">
        <f t="shared" si="43"/>
        <v>Southbound</v>
      </c>
      <c r="U102" s="2">
        <f>COUNTIFS(Variables!$M$2:$M$19, "&lt;=" &amp; Y102, Variables!$M$2:$M$19, "&gt;=" &amp; Z102)</f>
        <v>12</v>
      </c>
      <c r="V102" s="63" t="str">
        <f t="shared" si="44"/>
        <v>https://search-rtdc-monitor-bjffxe2xuh6vdkpspy63sjmuny.us-east-1.es.amazonaws.com/_plugin/kibana/#/discover/Steve-Slow-Train-Analysis-(2080s-and-2083s)?_g=(refreshInterval:(display:Off,section:0,value:0),time:(from:'2016-06-21 17:11:07-0600',mode:absolute,to:'2016-06-21 17:54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02" s="63" t="str">
        <f t="shared" si="45"/>
        <v>N</v>
      </c>
      <c r="X102" s="63">
        <f t="shared" si="46"/>
        <v>1</v>
      </c>
      <c r="Y102" s="63">
        <f t="shared" si="39"/>
        <v>23.302700000000002</v>
      </c>
      <c r="Z102" s="63">
        <f t="shared" si="40"/>
        <v>1.61E-2</v>
      </c>
      <c r="AA102" s="63">
        <f t="shared" si="47"/>
        <v>23.2866</v>
      </c>
      <c r="AB102" s="64" t="e">
        <f>VLOOKUP(A102,Enforcements!$C$3:$J$72,8,0)</f>
        <v>#N/A</v>
      </c>
      <c r="AC102" s="64" t="e">
        <f>VLOOKUP(A102,Enforcements!$C$3:$E$72,3,0)</f>
        <v>#N/A</v>
      </c>
    </row>
    <row r="103" spans="1:29" s="2" customFormat="1" x14ac:dyDescent="0.25">
      <c r="A103" s="50" t="s">
        <v>443</v>
      </c>
      <c r="B103" s="50">
        <v>4020</v>
      </c>
      <c r="C103" s="50" t="s">
        <v>60</v>
      </c>
      <c r="D103" s="50" t="s">
        <v>136</v>
      </c>
      <c r="E103" s="26">
        <v>42542.6878125</v>
      </c>
      <c r="F103" s="26">
        <v>42542.689004629632</v>
      </c>
      <c r="G103" s="34">
        <v>1</v>
      </c>
      <c r="H103" s="26" t="s">
        <v>113</v>
      </c>
      <c r="I103" s="26">
        <v>42542.723460648151</v>
      </c>
      <c r="J103" s="50">
        <v>0</v>
      </c>
      <c r="K103" s="50" t="str">
        <f t="shared" si="41"/>
        <v>4019/4020</v>
      </c>
      <c r="L103" s="50" t="str">
        <f>VLOOKUP(A103,'Trips&amp;Operators'!$C$1:$E$10000,3,FALSE)</f>
        <v>REBOLETTI</v>
      </c>
      <c r="M103" s="12">
        <f t="shared" si="42"/>
        <v>3.4456018518540077E-2</v>
      </c>
      <c r="N103" s="13">
        <f t="shared" si="38"/>
        <v>49.616666666697711</v>
      </c>
      <c r="O103" s="13"/>
      <c r="P103" s="13"/>
      <c r="Q103" s="51"/>
      <c r="R103" s="51"/>
      <c r="S103" s="85">
        <f t="shared" si="37"/>
        <v>1</v>
      </c>
      <c r="T103" s="2" t="str">
        <f t="shared" si="43"/>
        <v>NorthBound</v>
      </c>
      <c r="U103" s="2">
        <f>COUNTIFS(Variables!$M$2:$M$19, "&gt;=" &amp; Y103, Variables!$M$2:$M$19, "&lt;=" &amp; Z103)</f>
        <v>12</v>
      </c>
      <c r="V103" s="63" t="str">
        <f t="shared" si="44"/>
        <v>https://search-rtdc-monitor-bjffxe2xuh6vdkpspy63sjmuny.us-east-1.es.amazonaws.com/_plugin/kibana/#/discover/Steve-Slow-Train-Analysis-(2080s-and-2083s)?_g=(refreshInterval:(display:Off,section:0,value:0),time:(from:'2016-06-21 16:29:27-0600',mode:absolute,to:'2016-06-21 17:22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03" s="63" t="str">
        <f t="shared" si="45"/>
        <v>N</v>
      </c>
      <c r="X103" s="63">
        <f t="shared" si="46"/>
        <v>1</v>
      </c>
      <c r="Y103" s="63">
        <f t="shared" si="39"/>
        <v>4.6699999999999998E-2</v>
      </c>
      <c r="Z103" s="63">
        <f t="shared" si="40"/>
        <v>23.329499999999999</v>
      </c>
      <c r="AA103" s="63">
        <f t="shared" si="47"/>
        <v>23.282799999999998</v>
      </c>
      <c r="AB103" s="64" t="e">
        <f>VLOOKUP(A103,Enforcements!$C$3:$J$72,8,0)</f>
        <v>#N/A</v>
      </c>
      <c r="AC103" s="64" t="e">
        <f>VLOOKUP(A103,Enforcements!$C$3:$E$72,3,0)</f>
        <v>#N/A</v>
      </c>
    </row>
    <row r="104" spans="1:29" s="2" customFormat="1" x14ac:dyDescent="0.25">
      <c r="A104" s="50" t="s">
        <v>208</v>
      </c>
      <c r="B104" s="50">
        <v>4017</v>
      </c>
      <c r="C104" s="50" t="s">
        <v>60</v>
      </c>
      <c r="D104" s="50" t="s">
        <v>209</v>
      </c>
      <c r="E104" s="26">
        <v>42542.725312499999</v>
      </c>
      <c r="F104" s="26">
        <v>42542.726944444446</v>
      </c>
      <c r="G104" s="34">
        <v>2</v>
      </c>
      <c r="H104" s="26" t="s">
        <v>69</v>
      </c>
      <c r="I104" s="26">
        <v>42542.756469907406</v>
      </c>
      <c r="J104" s="50">
        <v>0</v>
      </c>
      <c r="K104" s="50" t="str">
        <f t="shared" si="41"/>
        <v>4017/4018</v>
      </c>
      <c r="L104" s="50" t="str">
        <f>VLOOKUP(A104,'Trips&amp;Operators'!$C$1:$E$10000,3,FALSE)</f>
        <v>ALONZO</v>
      </c>
      <c r="M104" s="12">
        <f t="shared" si="42"/>
        <v>2.9525462960009463E-2</v>
      </c>
      <c r="N104" s="13">
        <f t="shared" si="38"/>
        <v>42.516666662413627</v>
      </c>
      <c r="O104" s="13"/>
      <c r="P104" s="13"/>
      <c r="Q104" s="51"/>
      <c r="R104" s="51"/>
      <c r="S104" s="85">
        <f t="shared" si="37"/>
        <v>1</v>
      </c>
      <c r="T104" s="2" t="str">
        <f t="shared" si="43"/>
        <v>Southbound</v>
      </c>
      <c r="U104" s="2">
        <f>COUNTIFS(Variables!$M$2:$M$19, "&lt;=" &amp; Y104, Variables!$M$2:$M$19, "&gt;=" &amp; Z104)</f>
        <v>12</v>
      </c>
      <c r="V104" s="63" t="str">
        <f t="shared" si="44"/>
        <v>https://search-rtdc-monitor-bjffxe2xuh6vdkpspy63sjmuny.us-east-1.es.amazonaws.com/_plugin/kibana/#/discover/Steve-Slow-Train-Analysis-(2080s-and-2083s)?_g=(refreshInterval:(display:Off,section:0,value:0),time:(from:'2016-06-21 17:23:27-0600',mode:absolute,to:'2016-06-21 18:10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04" s="63" t="str">
        <f t="shared" si="45"/>
        <v>N</v>
      </c>
      <c r="X104" s="63">
        <f t="shared" si="46"/>
        <v>1</v>
      </c>
      <c r="Y104" s="63">
        <f t="shared" si="39"/>
        <v>23.298200000000001</v>
      </c>
      <c r="Z104" s="63">
        <f t="shared" si="40"/>
        <v>1.6E-2</v>
      </c>
      <c r="AA104" s="63">
        <f t="shared" si="47"/>
        <v>23.282200000000003</v>
      </c>
      <c r="AB104" s="64" t="e">
        <f>VLOOKUP(A104,Enforcements!$C$3:$J$72,8,0)</f>
        <v>#N/A</v>
      </c>
      <c r="AC104" s="64" t="e">
        <f>VLOOKUP(A104,Enforcements!$C$3:$E$72,3,0)</f>
        <v>#N/A</v>
      </c>
    </row>
    <row r="105" spans="1:29" s="2" customFormat="1" x14ac:dyDescent="0.25">
      <c r="A105" s="50" t="s">
        <v>210</v>
      </c>
      <c r="B105" s="50">
        <v>4019</v>
      </c>
      <c r="C105" s="50" t="s">
        <v>60</v>
      </c>
      <c r="D105" s="50" t="s">
        <v>211</v>
      </c>
      <c r="E105" s="26">
        <v>42542.73027777778</v>
      </c>
      <c r="F105" s="26">
        <v>42542.731296296297</v>
      </c>
      <c r="G105" s="34">
        <v>1</v>
      </c>
      <c r="H105" s="26" t="s">
        <v>77</v>
      </c>
      <c r="I105" s="26">
        <v>42542.764988425923</v>
      </c>
      <c r="J105" s="50">
        <v>0</v>
      </c>
      <c r="K105" s="50" t="str">
        <f t="shared" si="41"/>
        <v>4019/4020</v>
      </c>
      <c r="L105" s="50" t="str">
        <f>VLOOKUP(A105,'Trips&amp;Operators'!$C$1:$E$10000,3,FALSE)</f>
        <v>REBOLETTI</v>
      </c>
      <c r="M105" s="12">
        <f t="shared" si="42"/>
        <v>3.3692129625706002E-2</v>
      </c>
      <c r="N105" s="13">
        <f t="shared" si="38"/>
        <v>48.516666661016643</v>
      </c>
      <c r="O105" s="13"/>
      <c r="P105" s="13"/>
      <c r="Q105" s="51"/>
      <c r="R105" s="51"/>
      <c r="S105" s="85">
        <f t="shared" si="37"/>
        <v>1</v>
      </c>
      <c r="T105" s="2" t="str">
        <f t="shared" si="43"/>
        <v>Southbound</v>
      </c>
      <c r="U105" s="2">
        <f>COUNTIFS(Variables!$M$2:$M$19, "&lt;=" &amp; Y105, Variables!$M$2:$M$19, "&gt;=" &amp; Z105)</f>
        <v>12</v>
      </c>
      <c r="V105" s="63" t="str">
        <f t="shared" si="44"/>
        <v>https://search-rtdc-monitor-bjffxe2xuh6vdkpspy63sjmuny.us-east-1.es.amazonaws.com/_plugin/kibana/#/discover/Steve-Slow-Train-Analysis-(2080s-and-2083s)?_g=(refreshInterval:(display:Off,section:0,value:0),time:(from:'2016-06-21 17:30:36-0600',mode:absolute,to:'2016-06-21 18:22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05" s="63" t="str">
        <f t="shared" si="45"/>
        <v>N</v>
      </c>
      <c r="X105" s="63">
        <f t="shared" si="46"/>
        <v>2</v>
      </c>
      <c r="Y105" s="63">
        <f t="shared" si="39"/>
        <v>23.2989</v>
      </c>
      <c r="Z105" s="63">
        <f t="shared" si="40"/>
        <v>1.41E-2</v>
      </c>
      <c r="AA105" s="63">
        <f t="shared" si="47"/>
        <v>23.284800000000001</v>
      </c>
      <c r="AB105" s="64" t="e">
        <f>VLOOKUP(A105,Enforcements!$C$3:$J$72,8,0)</f>
        <v>#N/A</v>
      </c>
      <c r="AC105" s="64" t="e">
        <f>VLOOKUP(A105,Enforcements!$C$3:$E$72,3,0)</f>
        <v>#N/A</v>
      </c>
    </row>
    <row r="106" spans="1:29" s="2" customFormat="1" x14ac:dyDescent="0.25">
      <c r="A106" s="50" t="s">
        <v>212</v>
      </c>
      <c r="B106" s="50">
        <v>4042</v>
      </c>
      <c r="C106" s="50" t="s">
        <v>60</v>
      </c>
      <c r="D106" s="50" t="s">
        <v>444</v>
      </c>
      <c r="E106" s="26">
        <v>42542.707418981481</v>
      </c>
      <c r="F106" s="26">
        <v>42542.70884259259</v>
      </c>
      <c r="G106" s="34">
        <v>2</v>
      </c>
      <c r="H106" s="26" t="s">
        <v>215</v>
      </c>
      <c r="I106" s="26">
        <v>42542.714502314811</v>
      </c>
      <c r="J106" s="50">
        <v>0</v>
      </c>
      <c r="K106" s="50" t="str">
        <f t="shared" si="41"/>
        <v>4041/4042</v>
      </c>
      <c r="L106" s="50" t="str">
        <f>VLOOKUP(A106,'Trips&amp;Operators'!$C$1:$E$10000,3,FALSE)</f>
        <v>NATION</v>
      </c>
      <c r="M106" s="12">
        <f t="shared" si="42"/>
        <v>5.6597222210257314E-3</v>
      </c>
      <c r="N106" s="13"/>
      <c r="O106" s="13"/>
      <c r="P106" s="13">
        <f>24*60*SUM($M106:$M107)</f>
        <v>43.833333333022892</v>
      </c>
      <c r="Q106" s="51"/>
      <c r="R106" s="51" t="s">
        <v>505</v>
      </c>
      <c r="S106" s="85">
        <f t="shared" si="37"/>
        <v>0</v>
      </c>
      <c r="T106" s="2" t="str">
        <f t="shared" si="43"/>
        <v>NorthBound</v>
      </c>
      <c r="U106" s="2">
        <f>COUNTIFS(Variables!$M$2:$M$19, "&gt;=" &amp; Y106, Variables!$M$2:$M$19, "&lt;=" &amp; Z106)</f>
        <v>0</v>
      </c>
      <c r="V106" s="63" t="str">
        <f t="shared" si="44"/>
        <v>https://search-rtdc-monitor-bjffxe2xuh6vdkpspy63sjmuny.us-east-1.es.amazonaws.com/_plugin/kibana/#/discover/Steve-Slow-Train-Analysis-(2080s-and-2083s)?_g=(refreshInterval:(display:Off,section:0,value:0),time:(from:'2016-06-21 16:57:41-0600',mode:absolute,to:'2016-06-21 17:09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06" s="63" t="str">
        <f t="shared" si="45"/>
        <v>Y</v>
      </c>
      <c r="X106" s="63">
        <f t="shared" si="46"/>
        <v>1</v>
      </c>
      <c r="Y106" s="63">
        <f t="shared" si="39"/>
        <v>4.82E-2</v>
      </c>
      <c r="Z106" s="63">
        <f t="shared" si="40"/>
        <v>0.1222</v>
      </c>
      <c r="AA106" s="63">
        <f t="shared" si="47"/>
        <v>7.400000000000001E-2</v>
      </c>
      <c r="AB106" s="64" t="e">
        <f>VLOOKUP(A106,Enforcements!$C$3:$J$72,8,0)</f>
        <v>#N/A</v>
      </c>
      <c r="AC106" s="64" t="e">
        <f>VLOOKUP(A106,Enforcements!$C$3:$E$72,3,0)</f>
        <v>#N/A</v>
      </c>
    </row>
    <row r="107" spans="1:29" s="2" customFormat="1" x14ac:dyDescent="0.25">
      <c r="A107" s="50" t="s">
        <v>212</v>
      </c>
      <c r="B107" s="50">
        <v>4042</v>
      </c>
      <c r="C107" s="50" t="s">
        <v>60</v>
      </c>
      <c r="D107" s="50" t="s">
        <v>213</v>
      </c>
      <c r="E107" s="26">
        <v>42542.71770833333</v>
      </c>
      <c r="F107" s="26">
        <v>42542.7187037037</v>
      </c>
      <c r="G107" s="34">
        <v>1</v>
      </c>
      <c r="H107" s="26" t="s">
        <v>214</v>
      </c>
      <c r="I107" s="26">
        <v>42542.743483796294</v>
      </c>
      <c r="J107" s="50">
        <v>0</v>
      </c>
      <c r="K107" s="50" t="str">
        <f t="shared" si="41"/>
        <v>4041/4042</v>
      </c>
      <c r="L107" s="50" t="str">
        <f>VLOOKUP(A107,'Trips&amp;Operators'!$C$1:$E$10000,3,FALSE)</f>
        <v>NATION</v>
      </c>
      <c r="M107" s="12">
        <f t="shared" si="42"/>
        <v>2.4780092593573499E-2</v>
      </c>
      <c r="N107" s="13"/>
      <c r="O107" s="13"/>
      <c r="P107" s="13"/>
      <c r="Q107" s="51"/>
      <c r="R107" s="51"/>
      <c r="S107" s="85"/>
      <c r="T107" s="2" t="str">
        <f t="shared" si="43"/>
        <v>NorthBound</v>
      </c>
      <c r="U107" s="2">
        <f>COUNTIFS(Variables!$M$2:$M$19, "&gt;=" &amp; Y107, Variables!$M$2:$M$19, "&lt;=" &amp; Z107)</f>
        <v>12</v>
      </c>
      <c r="V107" s="63" t="str">
        <f t="shared" si="44"/>
        <v>https://search-rtdc-monitor-bjffxe2xuh6vdkpspy63sjmuny.us-east-1.es.amazonaws.com/_plugin/kibana/#/discover/Steve-Slow-Train-Analysis-(2080s-and-2083s)?_g=(refreshInterval:(display:Off,section:0,value:0),time:(from:'2016-06-21 17:12:30-0600',mode:absolute,to:'2016-06-21 17:51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07" s="63" t="str">
        <f t="shared" si="45"/>
        <v>Y</v>
      </c>
      <c r="X107" s="63">
        <f t="shared" si="46"/>
        <v>0</v>
      </c>
      <c r="Y107" s="63">
        <f t="shared" si="39"/>
        <v>1.9137</v>
      </c>
      <c r="Z107" s="63">
        <f t="shared" si="40"/>
        <v>23.327400000000001</v>
      </c>
      <c r="AA107" s="63">
        <f t="shared" si="47"/>
        <v>21.413700000000002</v>
      </c>
      <c r="AB107" s="64" t="e">
        <f>VLOOKUP(A107,Enforcements!$C$3:$J$72,8,0)</f>
        <v>#N/A</v>
      </c>
      <c r="AC107" s="64" t="e">
        <f>VLOOKUP(A107,Enforcements!$C$3:$E$72,3,0)</f>
        <v>#N/A</v>
      </c>
    </row>
    <row r="108" spans="1:29" s="2" customFormat="1" x14ac:dyDescent="0.25">
      <c r="A108" s="50" t="s">
        <v>216</v>
      </c>
      <c r="B108" s="50">
        <v>4041</v>
      </c>
      <c r="C108" s="50" t="s">
        <v>60</v>
      </c>
      <c r="D108" s="50" t="s">
        <v>217</v>
      </c>
      <c r="E108" s="26">
        <v>42542.745706018519</v>
      </c>
      <c r="F108" s="26">
        <v>42542.746851851851</v>
      </c>
      <c r="G108" s="34">
        <v>1</v>
      </c>
      <c r="H108" s="26" t="s">
        <v>129</v>
      </c>
      <c r="I108" s="26">
        <v>42542.775694444441</v>
      </c>
      <c r="J108" s="50">
        <v>0</v>
      </c>
      <c r="K108" s="50" t="str">
        <f t="shared" si="41"/>
        <v>4041/4042</v>
      </c>
      <c r="L108" s="50" t="str">
        <f>VLOOKUP(A108,'Trips&amp;Operators'!$C$1:$E$10000,3,FALSE)</f>
        <v>LEVERE</v>
      </c>
      <c r="M108" s="12">
        <f t="shared" si="42"/>
        <v>2.884259259008104E-2</v>
      </c>
      <c r="N108" s="13">
        <f t="shared" ref="N108:N116" si="48">24*60*SUM($M108:$M108)</f>
        <v>41.533333329716697</v>
      </c>
      <c r="O108" s="13"/>
      <c r="P108" s="13"/>
      <c r="Q108" s="51"/>
      <c r="R108" s="51"/>
      <c r="S108" s="85">
        <f t="shared" ref="S108:S118" si="49">SUM(U108:U108)/12</f>
        <v>1</v>
      </c>
      <c r="T108" s="2" t="str">
        <f t="shared" si="43"/>
        <v>Southbound</v>
      </c>
      <c r="U108" s="2">
        <f>COUNTIFS(Variables!$M$2:$M$19, "&lt;=" &amp; Y108, Variables!$M$2:$M$19, "&gt;=" &amp; Z108)</f>
        <v>12</v>
      </c>
      <c r="V108" s="63" t="str">
        <f t="shared" si="44"/>
        <v>https://search-rtdc-monitor-bjffxe2xuh6vdkpspy63sjmuny.us-east-1.es.amazonaws.com/_plugin/kibana/#/discover/Steve-Slow-Train-Analysis-(2080s-and-2083s)?_g=(refreshInterval:(display:Off,section:0,value:0),time:(from:'2016-06-21 17:52:49-0600',mode:absolute,to:'2016-06-21 18:38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08" s="63" t="str">
        <f t="shared" si="45"/>
        <v>N</v>
      </c>
      <c r="X108" s="63">
        <f t="shared" si="46"/>
        <v>1</v>
      </c>
      <c r="Y108" s="63">
        <f t="shared" si="39"/>
        <v>23.296700000000001</v>
      </c>
      <c r="Z108" s="63">
        <f t="shared" si="40"/>
        <v>1.7000000000000001E-2</v>
      </c>
      <c r="AA108" s="63">
        <f t="shared" si="47"/>
        <v>23.279700000000002</v>
      </c>
      <c r="AB108" s="64" t="e">
        <f>VLOOKUP(A108,Enforcements!$C$3:$J$72,8,0)</f>
        <v>#N/A</v>
      </c>
      <c r="AC108" s="64" t="e">
        <f>VLOOKUP(A108,Enforcements!$C$3:$E$72,3,0)</f>
        <v>#N/A</v>
      </c>
    </row>
    <row r="109" spans="1:29" s="2" customFormat="1" x14ac:dyDescent="0.25">
      <c r="A109" s="50" t="s">
        <v>218</v>
      </c>
      <c r="B109" s="50">
        <v>4011</v>
      </c>
      <c r="C109" s="50" t="s">
        <v>60</v>
      </c>
      <c r="D109" s="50" t="s">
        <v>150</v>
      </c>
      <c r="E109" s="26">
        <v>42542.714432870373</v>
      </c>
      <c r="F109" s="26">
        <v>42542.71769675926</v>
      </c>
      <c r="G109" s="34">
        <v>4</v>
      </c>
      <c r="H109" s="26" t="s">
        <v>113</v>
      </c>
      <c r="I109" s="26">
        <v>42542.751226851855</v>
      </c>
      <c r="J109" s="50">
        <v>0</v>
      </c>
      <c r="K109" s="50" t="str">
        <f t="shared" si="41"/>
        <v>4011/4012</v>
      </c>
      <c r="L109" s="50" t="str">
        <f>VLOOKUP(A109,'Trips&amp;Operators'!$C$1:$E$10000,3,FALSE)</f>
        <v>DAVIS</v>
      </c>
      <c r="M109" s="12">
        <f t="shared" si="42"/>
        <v>3.3530092594446614E-2</v>
      </c>
      <c r="N109" s="13">
        <f t="shared" si="48"/>
        <v>48.283333336003125</v>
      </c>
      <c r="O109" s="13"/>
      <c r="P109" s="13"/>
      <c r="Q109" s="51"/>
      <c r="R109" s="51"/>
      <c r="S109" s="85">
        <f t="shared" si="49"/>
        <v>1</v>
      </c>
      <c r="T109" s="2" t="str">
        <f t="shared" si="43"/>
        <v>NorthBound</v>
      </c>
      <c r="U109" s="2">
        <f>COUNTIFS(Variables!$M$2:$M$19, "&gt;=" &amp; Y109, Variables!$M$2:$M$19, "&lt;=" &amp; Z109)</f>
        <v>12</v>
      </c>
      <c r="V109" s="63" t="str">
        <f t="shared" si="44"/>
        <v>https://search-rtdc-monitor-bjffxe2xuh6vdkpspy63sjmuny.us-east-1.es.amazonaws.com/_plugin/kibana/#/discover/Steve-Slow-Train-Analysis-(2080s-and-2083s)?_g=(refreshInterval:(display:Off,section:0,value:0),time:(from:'2016-06-21 17:07:47-0600',mode:absolute,to:'2016-06-21 18:02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09" s="63" t="str">
        <f t="shared" si="45"/>
        <v>N</v>
      </c>
      <c r="X109" s="63">
        <f t="shared" si="46"/>
        <v>1</v>
      </c>
      <c r="Y109" s="63">
        <f t="shared" si="39"/>
        <v>4.4400000000000002E-2</v>
      </c>
      <c r="Z109" s="63">
        <f t="shared" si="40"/>
        <v>23.329499999999999</v>
      </c>
      <c r="AA109" s="63">
        <f t="shared" si="47"/>
        <v>23.2851</v>
      </c>
      <c r="AB109" s="64" t="e">
        <f>VLOOKUP(A109,Enforcements!$C$3:$J$72,8,0)</f>
        <v>#N/A</v>
      </c>
      <c r="AC109" s="64" t="e">
        <f>VLOOKUP(A109,Enforcements!$C$3:$E$72,3,0)</f>
        <v>#N/A</v>
      </c>
    </row>
    <row r="110" spans="1:29" s="2" customFormat="1" x14ac:dyDescent="0.25">
      <c r="A110" s="50" t="s">
        <v>219</v>
      </c>
      <c r="B110" s="50">
        <v>4012</v>
      </c>
      <c r="C110" s="50" t="s">
        <v>60</v>
      </c>
      <c r="D110" s="50" t="s">
        <v>209</v>
      </c>
      <c r="E110" s="26">
        <v>42542.756076388891</v>
      </c>
      <c r="F110" s="26">
        <v>42542.757199074076</v>
      </c>
      <c r="G110" s="34">
        <v>1</v>
      </c>
      <c r="H110" s="26" t="s">
        <v>107</v>
      </c>
      <c r="I110" s="26">
        <v>42542.786134259259</v>
      </c>
      <c r="J110" s="50">
        <v>0</v>
      </c>
      <c r="K110" s="50" t="str">
        <f t="shared" si="41"/>
        <v>4011/4012</v>
      </c>
      <c r="L110" s="50" t="str">
        <f>VLOOKUP(A110,'Trips&amp;Operators'!$C$1:$E$10000,3,FALSE)</f>
        <v>DAVIS</v>
      </c>
      <c r="M110" s="12">
        <f t="shared" si="42"/>
        <v>2.8935185182490386E-2</v>
      </c>
      <c r="N110" s="13">
        <f t="shared" si="48"/>
        <v>41.666666662786156</v>
      </c>
      <c r="O110" s="13"/>
      <c r="P110" s="13"/>
      <c r="Q110" s="51"/>
      <c r="R110" s="51"/>
      <c r="S110" s="85">
        <f t="shared" si="49"/>
        <v>1</v>
      </c>
      <c r="T110" s="2" t="str">
        <f t="shared" si="43"/>
        <v>Southbound</v>
      </c>
      <c r="U110" s="2">
        <f>COUNTIFS(Variables!$M$2:$M$19, "&lt;=" &amp; Y110, Variables!$M$2:$M$19, "&gt;=" &amp; Z110)</f>
        <v>12</v>
      </c>
      <c r="V110" s="63" t="str">
        <f t="shared" si="44"/>
        <v>https://search-rtdc-monitor-bjffxe2xuh6vdkpspy63sjmuny.us-east-1.es.amazonaws.com/_plugin/kibana/#/discover/Steve-Slow-Train-Analysis-(2080s-and-2083s)?_g=(refreshInterval:(display:Off,section:0,value:0),time:(from:'2016-06-21 18:07:45-0600',mode:absolute,to:'2016-06-21 18:53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10" s="63" t="str">
        <f t="shared" si="45"/>
        <v>N</v>
      </c>
      <c r="X110" s="63">
        <f t="shared" si="46"/>
        <v>1</v>
      </c>
      <c r="Y110" s="63">
        <f t="shared" si="39"/>
        <v>23.298200000000001</v>
      </c>
      <c r="Z110" s="63">
        <f t="shared" si="40"/>
        <v>1.61E-2</v>
      </c>
      <c r="AA110" s="63">
        <f t="shared" si="47"/>
        <v>23.2821</v>
      </c>
      <c r="AB110" s="64" t="e">
        <f>VLOOKUP(A110,Enforcements!$C$3:$J$72,8,0)</f>
        <v>#N/A</v>
      </c>
      <c r="AC110" s="64" t="e">
        <f>VLOOKUP(A110,Enforcements!$C$3:$E$72,3,0)</f>
        <v>#N/A</v>
      </c>
    </row>
    <row r="111" spans="1:29" s="2" customFormat="1" x14ac:dyDescent="0.25">
      <c r="A111" s="50" t="s">
        <v>220</v>
      </c>
      <c r="B111" s="50">
        <v>4024</v>
      </c>
      <c r="C111" s="50" t="s">
        <v>60</v>
      </c>
      <c r="D111" s="50" t="s">
        <v>221</v>
      </c>
      <c r="E111" s="26">
        <v>42542.725092592591</v>
      </c>
      <c r="F111" s="26">
        <v>42542.726678240739</v>
      </c>
      <c r="G111" s="34">
        <v>2</v>
      </c>
      <c r="H111" s="26" t="s">
        <v>222</v>
      </c>
      <c r="I111" s="26">
        <v>42542.755590277775</v>
      </c>
      <c r="J111" s="50">
        <v>0</v>
      </c>
      <c r="K111" s="50" t="str">
        <f t="shared" si="41"/>
        <v>4023/4024</v>
      </c>
      <c r="L111" s="50" t="str">
        <f>VLOOKUP(A111,'Trips&amp;Operators'!$C$1:$E$10000,3,FALSE)</f>
        <v>LOCKLEAR</v>
      </c>
      <c r="M111" s="12">
        <f t="shared" si="42"/>
        <v>2.8912037036207039E-2</v>
      </c>
      <c r="N111" s="13">
        <f t="shared" si="48"/>
        <v>41.633333332138136</v>
      </c>
      <c r="O111" s="13"/>
      <c r="P111" s="13"/>
      <c r="Q111" s="51"/>
      <c r="R111" s="51"/>
      <c r="S111" s="85">
        <f t="shared" si="49"/>
        <v>1</v>
      </c>
      <c r="T111" s="2" t="str">
        <f t="shared" si="43"/>
        <v>NorthBound</v>
      </c>
      <c r="U111" s="2">
        <f>COUNTIFS(Variables!$M$2:$M$19, "&gt;=" &amp; Y111, Variables!$M$2:$M$19, "&lt;=" &amp; Z111)</f>
        <v>12</v>
      </c>
      <c r="V111" s="63" t="str">
        <f t="shared" si="44"/>
        <v>https://search-rtdc-monitor-bjffxe2xuh6vdkpspy63sjmuny.us-east-1.es.amazonaws.com/_plugin/kibana/#/discover/Steve-Slow-Train-Analysis-(2080s-and-2083s)?_g=(refreshInterval:(display:Off,section:0,value:0),time:(from:'2016-06-21 17:23:08-0600',mode:absolute,to:'2016-06-21 18:09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11" s="63" t="str">
        <f t="shared" si="45"/>
        <v>N</v>
      </c>
      <c r="X111" s="63">
        <f t="shared" si="46"/>
        <v>1</v>
      </c>
      <c r="Y111" s="63">
        <f t="shared" si="39"/>
        <v>4.8399999999999999E-2</v>
      </c>
      <c r="Z111" s="63">
        <f t="shared" si="40"/>
        <v>23.334199999999999</v>
      </c>
      <c r="AA111" s="63">
        <f t="shared" si="47"/>
        <v>23.285799999999998</v>
      </c>
      <c r="AB111" s="64" t="e">
        <f>VLOOKUP(A111,Enforcements!$C$3:$J$72,8,0)</f>
        <v>#N/A</v>
      </c>
      <c r="AC111" s="64" t="e">
        <f>VLOOKUP(A111,Enforcements!$C$3:$E$72,3,0)</f>
        <v>#N/A</v>
      </c>
    </row>
    <row r="112" spans="1:29" s="2" customFormat="1" x14ac:dyDescent="0.25">
      <c r="A112" s="50" t="s">
        <v>223</v>
      </c>
      <c r="B112" s="50">
        <v>4023</v>
      </c>
      <c r="C112" s="50" t="s">
        <v>60</v>
      </c>
      <c r="D112" s="50" t="s">
        <v>173</v>
      </c>
      <c r="E112" s="26">
        <v>42542.766157407408</v>
      </c>
      <c r="F112" s="26">
        <v>42542.767083333332</v>
      </c>
      <c r="G112" s="34">
        <v>1</v>
      </c>
      <c r="H112" s="26" t="s">
        <v>154</v>
      </c>
      <c r="I112" s="26">
        <v>42542.796446759261</v>
      </c>
      <c r="J112" s="50">
        <v>1</v>
      </c>
      <c r="K112" s="50" t="str">
        <f t="shared" si="41"/>
        <v>4023/4024</v>
      </c>
      <c r="L112" s="50" t="str">
        <f>VLOOKUP(A112,'Trips&amp;Operators'!$C$1:$E$10000,3,FALSE)</f>
        <v>LOCKLEAR</v>
      </c>
      <c r="M112" s="12">
        <f t="shared" si="42"/>
        <v>2.9363425928750075E-2</v>
      </c>
      <c r="N112" s="13">
        <f t="shared" si="48"/>
        <v>42.283333337400109</v>
      </c>
      <c r="O112" s="13"/>
      <c r="P112" s="13"/>
      <c r="Q112" s="51"/>
      <c r="R112" s="51"/>
      <c r="S112" s="85">
        <f t="shared" si="49"/>
        <v>1</v>
      </c>
      <c r="T112" s="2" t="str">
        <f t="shared" si="43"/>
        <v>Southbound</v>
      </c>
      <c r="U112" s="2">
        <f>COUNTIFS(Variables!$M$2:$M$19, "&lt;=" &amp; Y112, Variables!$M$2:$M$19, "&gt;=" &amp; Z112)</f>
        <v>12</v>
      </c>
      <c r="V112" s="63" t="str">
        <f t="shared" si="44"/>
        <v>https://search-rtdc-monitor-bjffxe2xuh6vdkpspy63sjmuny.us-east-1.es.amazonaws.com/_plugin/kibana/#/discover/Steve-Slow-Train-Analysis-(2080s-and-2083s)?_g=(refreshInterval:(display:Off,section:0,value:0),time:(from:'2016-06-21 18:22:16-0600',mode:absolute,to:'2016-06-21 19:07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12" s="63" t="str">
        <f t="shared" si="45"/>
        <v>N</v>
      </c>
      <c r="X112" s="63">
        <f t="shared" si="46"/>
        <v>1</v>
      </c>
      <c r="Y112" s="63">
        <f t="shared" si="39"/>
        <v>23.3017</v>
      </c>
      <c r="Z112" s="63">
        <f t="shared" si="40"/>
        <v>1.4999999999999999E-2</v>
      </c>
      <c r="AA112" s="63">
        <f t="shared" si="47"/>
        <v>23.2867</v>
      </c>
      <c r="AB112" s="64">
        <f>VLOOKUP(A112,Enforcements!$C$3:$J$72,8,0)</f>
        <v>103800</v>
      </c>
      <c r="AC112" s="64" t="str">
        <f>VLOOKUP(A112,Enforcements!$C$3:$E$72,3,0)</f>
        <v>GRADE CROSSING</v>
      </c>
    </row>
    <row r="113" spans="1:29" s="2" customFormat="1" x14ac:dyDescent="0.25">
      <c r="A113" s="50" t="s">
        <v>224</v>
      </c>
      <c r="B113" s="50">
        <v>4029</v>
      </c>
      <c r="C113" s="50" t="s">
        <v>60</v>
      </c>
      <c r="D113" s="50" t="s">
        <v>150</v>
      </c>
      <c r="E113" s="26">
        <v>42542.732708333337</v>
      </c>
      <c r="F113" s="26">
        <v>42542.733634259261</v>
      </c>
      <c r="G113" s="34">
        <v>1</v>
      </c>
      <c r="H113" s="26" t="s">
        <v>145</v>
      </c>
      <c r="I113" s="26">
        <v>42542.766215277778</v>
      </c>
      <c r="J113" s="50">
        <v>1</v>
      </c>
      <c r="K113" s="50" t="str">
        <f t="shared" si="41"/>
        <v>4029/4030</v>
      </c>
      <c r="L113" s="50" t="str">
        <f>VLOOKUP(A113,'Trips&amp;Operators'!$C$1:$E$10000,3,FALSE)</f>
        <v>MAELZER</v>
      </c>
      <c r="M113" s="12">
        <f t="shared" si="42"/>
        <v>3.2581018516793847E-2</v>
      </c>
      <c r="N113" s="13">
        <f t="shared" si="48"/>
        <v>46.91666666418314</v>
      </c>
      <c r="O113" s="13"/>
      <c r="P113" s="13"/>
      <c r="Q113" s="51"/>
      <c r="R113" s="51"/>
      <c r="S113" s="85">
        <f t="shared" si="49"/>
        <v>1</v>
      </c>
      <c r="T113" s="2" t="str">
        <f t="shared" si="43"/>
        <v>NorthBound</v>
      </c>
      <c r="U113" s="2">
        <f>COUNTIFS(Variables!$M$2:$M$19, "&gt;=" &amp; Y113, Variables!$M$2:$M$19, "&lt;=" &amp; Z113)</f>
        <v>12</v>
      </c>
      <c r="V113" s="63" t="str">
        <f t="shared" si="44"/>
        <v>https://search-rtdc-monitor-bjffxe2xuh6vdkpspy63sjmuny.us-east-1.es.amazonaws.com/_plugin/kibana/#/discover/Steve-Slow-Train-Analysis-(2080s-and-2083s)?_g=(refreshInterval:(display:Off,section:0,value:0),time:(from:'2016-06-21 17:34:06-0600',mode:absolute,to:'2016-06-21 18:24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13" s="63" t="str">
        <f t="shared" si="45"/>
        <v>N</v>
      </c>
      <c r="X113" s="63">
        <f t="shared" si="46"/>
        <v>1</v>
      </c>
      <c r="Y113" s="63">
        <f t="shared" si="39"/>
        <v>4.4400000000000002E-2</v>
      </c>
      <c r="Z113" s="63">
        <f t="shared" si="40"/>
        <v>23.331399999999999</v>
      </c>
      <c r="AA113" s="63">
        <f t="shared" si="47"/>
        <v>23.286999999999999</v>
      </c>
      <c r="AB113" s="64">
        <f>VLOOKUP(A113,Enforcements!$C$3:$J$72,8,0)</f>
        <v>233491</v>
      </c>
      <c r="AC113" s="64" t="str">
        <f>VLOOKUP(A113,Enforcements!$C$3:$E$72,3,0)</f>
        <v>TRACK WARRANT AUTHORITY</v>
      </c>
    </row>
    <row r="114" spans="1:29" s="2" customFormat="1" x14ac:dyDescent="0.25">
      <c r="A114" s="50" t="s">
        <v>225</v>
      </c>
      <c r="B114" s="50">
        <v>4030</v>
      </c>
      <c r="C114" s="50" t="s">
        <v>60</v>
      </c>
      <c r="D114" s="50" t="s">
        <v>183</v>
      </c>
      <c r="E114" s="26">
        <v>42542.775289351855</v>
      </c>
      <c r="F114" s="26">
        <v>42542.77648148148</v>
      </c>
      <c r="G114" s="34">
        <v>1</v>
      </c>
      <c r="H114" s="26" t="s">
        <v>85</v>
      </c>
      <c r="I114" s="26">
        <v>42542.806747685187</v>
      </c>
      <c r="J114" s="50">
        <v>1</v>
      </c>
      <c r="K114" s="50" t="str">
        <f t="shared" si="41"/>
        <v>4029/4030</v>
      </c>
      <c r="L114" s="50" t="str">
        <f>VLOOKUP(A114,'Trips&amp;Operators'!$C$1:$E$10000,3,FALSE)</f>
        <v>MAELZER</v>
      </c>
      <c r="M114" s="12">
        <f t="shared" si="42"/>
        <v>3.0266203706560191E-2</v>
      </c>
      <c r="N114" s="13">
        <f t="shared" si="48"/>
        <v>43.583333337446675</v>
      </c>
      <c r="O114" s="13"/>
      <c r="P114" s="13"/>
      <c r="Q114" s="51"/>
      <c r="R114" s="51"/>
      <c r="S114" s="85">
        <f t="shared" si="49"/>
        <v>1</v>
      </c>
      <c r="T114" s="2" t="str">
        <f t="shared" si="43"/>
        <v>Southbound</v>
      </c>
      <c r="U114" s="2">
        <f>COUNTIFS(Variables!$M$2:$M$19, "&lt;=" &amp; Y114, Variables!$M$2:$M$19, "&gt;=" &amp; Z114)</f>
        <v>12</v>
      </c>
      <c r="V114" s="63" t="str">
        <f t="shared" si="44"/>
        <v>https://search-rtdc-monitor-bjffxe2xuh6vdkpspy63sjmuny.us-east-1.es.amazonaws.com/_plugin/kibana/#/discover/Steve-Slow-Train-Analysis-(2080s-and-2083s)?_g=(refreshInterval:(display:Off,section:0,value:0),time:(from:'2016-06-21 18:35:25-0600',mode:absolute,to:'2016-06-21 19:22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14" s="63" t="str">
        <f t="shared" si="45"/>
        <v>N</v>
      </c>
      <c r="X114" s="63">
        <f t="shared" si="46"/>
        <v>1</v>
      </c>
      <c r="Y114" s="63">
        <f t="shared" si="39"/>
        <v>23.298400000000001</v>
      </c>
      <c r="Z114" s="63">
        <f t="shared" si="40"/>
        <v>1.54E-2</v>
      </c>
      <c r="AA114" s="63">
        <f t="shared" si="47"/>
        <v>23.283000000000001</v>
      </c>
      <c r="AB114" s="64">
        <f>VLOOKUP(A114,Enforcements!$C$3:$J$72,8,0)</f>
        <v>103800</v>
      </c>
      <c r="AC114" s="64" t="str">
        <f>VLOOKUP(A114,Enforcements!$C$3:$E$72,3,0)</f>
        <v>GRADE CROSSING</v>
      </c>
    </row>
    <row r="115" spans="1:29" s="2" customFormat="1" x14ac:dyDescent="0.25">
      <c r="A115" s="50" t="s">
        <v>226</v>
      </c>
      <c r="B115" s="50">
        <v>4027</v>
      </c>
      <c r="C115" s="50" t="s">
        <v>60</v>
      </c>
      <c r="D115" s="50" t="s">
        <v>227</v>
      </c>
      <c r="E115" s="26">
        <v>42542.75104166667</v>
      </c>
      <c r="F115" s="26">
        <v>42542.752291666664</v>
      </c>
      <c r="G115" s="34">
        <v>1</v>
      </c>
      <c r="H115" s="26" t="s">
        <v>228</v>
      </c>
      <c r="I115" s="26">
        <v>42542.783472222225</v>
      </c>
      <c r="J115" s="50">
        <v>0</v>
      </c>
      <c r="K115" s="50" t="str">
        <f t="shared" si="41"/>
        <v>4027/4028</v>
      </c>
      <c r="L115" s="50" t="str">
        <f>VLOOKUP(A115,'Trips&amp;Operators'!$C$1:$E$10000,3,FALSE)</f>
        <v>DE LA ROSA</v>
      </c>
      <c r="M115" s="12">
        <f t="shared" si="42"/>
        <v>3.1180555561149959E-2</v>
      </c>
      <c r="N115" s="13">
        <f t="shared" si="48"/>
        <v>44.90000000805594</v>
      </c>
      <c r="O115" s="13"/>
      <c r="P115" s="13"/>
      <c r="Q115" s="51"/>
      <c r="R115" s="51"/>
      <c r="S115" s="85">
        <f t="shared" si="49"/>
        <v>1</v>
      </c>
      <c r="T115" s="2" t="str">
        <f t="shared" si="43"/>
        <v>NorthBound</v>
      </c>
      <c r="U115" s="2">
        <f>COUNTIFS(Variables!$M$2:$M$19, "&gt;=" &amp; Y115, Variables!$M$2:$M$19, "&lt;=" &amp; Z115)</f>
        <v>12</v>
      </c>
      <c r="V115" s="63" t="str">
        <f t="shared" si="44"/>
        <v>https://search-rtdc-monitor-bjffxe2xuh6vdkpspy63sjmuny.us-east-1.es.amazonaws.com/_plugin/kibana/#/discover/Steve-Slow-Train-Analysis-(2080s-and-2083s)?_g=(refreshInterval:(display:Off,section:0,value:0),time:(from:'2016-06-21 18:00:30-0600',mode:absolute,to:'2016-06-21 18:49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15" s="63" t="str">
        <f t="shared" si="45"/>
        <v>N</v>
      </c>
      <c r="X115" s="63">
        <f t="shared" si="46"/>
        <v>1</v>
      </c>
      <c r="Y115" s="63">
        <f t="shared" si="39"/>
        <v>4.4600000000000001E-2</v>
      </c>
      <c r="Z115" s="63">
        <f t="shared" si="40"/>
        <v>23.333100000000002</v>
      </c>
      <c r="AA115" s="63">
        <f t="shared" si="47"/>
        <v>23.288500000000003</v>
      </c>
      <c r="AB115" s="64" t="e">
        <f>VLOOKUP(A115,Enforcements!$C$3:$J$72,8,0)</f>
        <v>#N/A</v>
      </c>
      <c r="AC115" s="64" t="e">
        <f>VLOOKUP(A115,Enforcements!$C$3:$E$72,3,0)</f>
        <v>#N/A</v>
      </c>
    </row>
    <row r="116" spans="1:29" s="2" customFormat="1" x14ac:dyDescent="0.25">
      <c r="A116" s="50" t="s">
        <v>229</v>
      </c>
      <c r="B116" s="50">
        <v>4028</v>
      </c>
      <c r="C116" s="50" t="s">
        <v>60</v>
      </c>
      <c r="D116" s="50" t="s">
        <v>128</v>
      </c>
      <c r="E116" s="26">
        <v>42542.785833333335</v>
      </c>
      <c r="F116" s="26">
        <v>42542.787060185183</v>
      </c>
      <c r="G116" s="34">
        <v>1</v>
      </c>
      <c r="H116" s="26" t="s">
        <v>154</v>
      </c>
      <c r="I116" s="26">
        <v>42542.8283912037</v>
      </c>
      <c r="J116" s="50">
        <v>1</v>
      </c>
      <c r="K116" s="50" t="str">
        <f t="shared" si="41"/>
        <v>4027/4028</v>
      </c>
      <c r="L116" s="50" t="str">
        <f>VLOOKUP(A116,'Trips&amp;Operators'!$C$1:$E$10000,3,FALSE)</f>
        <v>DE LA ROSA</v>
      </c>
      <c r="M116" s="12">
        <f t="shared" si="42"/>
        <v>4.1331018517666962E-2</v>
      </c>
      <c r="N116" s="13">
        <f t="shared" si="48"/>
        <v>59.516666665440425</v>
      </c>
      <c r="O116" s="13"/>
      <c r="P116" s="13"/>
      <c r="Q116" s="51"/>
      <c r="R116" s="51"/>
      <c r="S116" s="85">
        <f t="shared" si="49"/>
        <v>1</v>
      </c>
      <c r="T116" s="2" t="str">
        <f t="shared" si="43"/>
        <v>Southbound</v>
      </c>
      <c r="U116" s="2">
        <f>COUNTIFS(Variables!$M$2:$M$19, "&lt;=" &amp; Y116, Variables!$M$2:$M$19, "&gt;=" &amp; Z116)</f>
        <v>12</v>
      </c>
      <c r="V116" s="63" t="str">
        <f t="shared" si="44"/>
        <v>https://search-rtdc-monitor-bjffxe2xuh6vdkpspy63sjmuny.us-east-1.es.amazonaws.com/_plugin/kibana/#/discover/Steve-Slow-Train-Analysis-(2080s-and-2083s)?_g=(refreshInterval:(display:Off,section:0,value:0),time:(from:'2016-06-21 18:50:36-0600',mode:absolute,to:'2016-06-21 19:53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16" s="63" t="str">
        <f t="shared" si="45"/>
        <v>N</v>
      </c>
      <c r="X116" s="63">
        <f t="shared" si="46"/>
        <v>1</v>
      </c>
      <c r="Y116" s="63">
        <f t="shared" si="39"/>
        <v>23.299800000000001</v>
      </c>
      <c r="Z116" s="63">
        <f t="shared" si="40"/>
        <v>1.4999999999999999E-2</v>
      </c>
      <c r="AA116" s="63">
        <f t="shared" si="47"/>
        <v>23.284800000000001</v>
      </c>
      <c r="AB116" s="64">
        <f>VLOOKUP(A116,Enforcements!$C$3:$J$72,8,0)</f>
        <v>15167</v>
      </c>
      <c r="AC116" s="64" t="str">
        <f>VLOOKUP(A116,Enforcements!$C$3:$E$72,3,0)</f>
        <v>PERMANENT SPEED RESTRICTION</v>
      </c>
    </row>
    <row r="117" spans="1:29" s="2" customFormat="1" x14ac:dyDescent="0.25">
      <c r="A117" s="50" t="s">
        <v>230</v>
      </c>
      <c r="B117" s="50">
        <v>4018</v>
      </c>
      <c r="C117" s="50" t="s">
        <v>60</v>
      </c>
      <c r="D117" s="50" t="s">
        <v>231</v>
      </c>
      <c r="E117" s="26">
        <v>42542.768541666665</v>
      </c>
      <c r="F117" s="26">
        <v>42542.769212962965</v>
      </c>
      <c r="G117" s="34">
        <v>0</v>
      </c>
      <c r="H117" s="26" t="s">
        <v>232</v>
      </c>
      <c r="I117" s="26">
        <v>42542.792812500003</v>
      </c>
      <c r="J117" s="50">
        <v>2</v>
      </c>
      <c r="K117" s="50" t="str">
        <f t="shared" si="41"/>
        <v>4017/4018</v>
      </c>
      <c r="L117" s="50" t="str">
        <f>VLOOKUP(A117,'Trips&amp;Operators'!$C$1:$E$10000,3,FALSE)</f>
        <v>ADANE</v>
      </c>
      <c r="M117" s="12">
        <f t="shared" si="42"/>
        <v>2.3599537038535345E-2</v>
      </c>
      <c r="N117" s="13"/>
      <c r="O117" s="13"/>
      <c r="P117" s="13">
        <f>24*60*SUM($M117:$M117)</f>
        <v>33.983333335490897</v>
      </c>
      <c r="Q117" s="51"/>
      <c r="R117" s="51" t="s">
        <v>502</v>
      </c>
      <c r="S117" s="85">
        <f t="shared" si="49"/>
        <v>1</v>
      </c>
      <c r="T117" s="2" t="str">
        <f t="shared" si="43"/>
        <v>NorthBound</v>
      </c>
      <c r="U117" s="2">
        <f>COUNTIFS(Variables!$M$2:$M$19, "&gt;=" &amp; Y117, Variables!$M$2:$M$19, "&lt;=" &amp; Z117)</f>
        <v>12</v>
      </c>
      <c r="V117" s="63" t="str">
        <f t="shared" si="44"/>
        <v>https://search-rtdc-monitor-bjffxe2xuh6vdkpspy63sjmuny.us-east-1.es.amazonaws.com/_plugin/kibana/#/discover/Steve-Slow-Train-Analysis-(2080s-and-2083s)?_g=(refreshInterval:(display:Off,section:0,value:0),time:(from:'2016-06-21 18:25:42-0600',mode:absolute,to:'2016-06-21 19:02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17" s="63" t="str">
        <f t="shared" si="45"/>
        <v>Y</v>
      </c>
      <c r="X117" s="63">
        <f t="shared" si="46"/>
        <v>1</v>
      </c>
      <c r="Y117" s="63">
        <f t="shared" si="39"/>
        <v>1.9145000000000001</v>
      </c>
      <c r="Z117" s="63">
        <f t="shared" si="40"/>
        <v>23.255800000000001</v>
      </c>
      <c r="AA117" s="63">
        <f t="shared" si="47"/>
        <v>21.3413</v>
      </c>
      <c r="AB117" s="64">
        <f>VLOOKUP(A117,Enforcements!$C$3:$J$72,8,0)</f>
        <v>233491</v>
      </c>
      <c r="AC117" s="64" t="str">
        <f>VLOOKUP(A117,Enforcements!$C$3:$E$72,3,0)</f>
        <v>TRACK WARRANT AUTHORITY</v>
      </c>
    </row>
    <row r="118" spans="1:29" s="2" customFormat="1" x14ac:dyDescent="0.25">
      <c r="A118" s="50" t="s">
        <v>233</v>
      </c>
      <c r="B118" s="50">
        <v>4017</v>
      </c>
      <c r="C118" s="50" t="s">
        <v>60</v>
      </c>
      <c r="D118" s="50" t="s">
        <v>235</v>
      </c>
      <c r="E118" s="26">
        <v>42542.800370370373</v>
      </c>
      <c r="F118" s="26">
        <v>42542.801747685182</v>
      </c>
      <c r="G118" s="34">
        <v>1</v>
      </c>
      <c r="H118" s="26" t="s">
        <v>236</v>
      </c>
      <c r="I118" s="26">
        <v>42542.801793981482</v>
      </c>
      <c r="J118" s="50">
        <v>0</v>
      </c>
      <c r="K118" s="50" t="str">
        <f t="shared" si="41"/>
        <v>4017/4018</v>
      </c>
      <c r="L118" s="50" t="str">
        <f>VLOOKUP(A118,'Trips&amp;Operators'!$C$1:$E$10000,3,FALSE)</f>
        <v>ADANE</v>
      </c>
      <c r="M118" s="12">
        <f t="shared" si="42"/>
        <v>4.6296299842651933E-5</v>
      </c>
      <c r="N118" s="13"/>
      <c r="O118" s="13"/>
      <c r="P118" s="13">
        <f>24*60*SUM($M118:$M119)</f>
        <v>32.79999999795109</v>
      </c>
      <c r="Q118" s="51"/>
      <c r="R118" s="51" t="s">
        <v>502</v>
      </c>
      <c r="S118" s="85">
        <f t="shared" si="49"/>
        <v>0</v>
      </c>
      <c r="T118" s="2" t="str">
        <f t="shared" si="43"/>
        <v>Southbound</v>
      </c>
      <c r="U118" s="2">
        <f>COUNTIFS(Variables!$M$2:$M$19, "&lt;=" &amp; Y118, Variables!$M$2:$M$19, "&gt;=" &amp; Z118)</f>
        <v>0</v>
      </c>
      <c r="V118" s="63" t="str">
        <f t="shared" si="44"/>
        <v>https://search-rtdc-monitor-bjffxe2xuh6vdkpspy63sjmuny.us-east-1.es.amazonaws.com/_plugin/kibana/#/discover/Steve-Slow-Train-Analysis-(2080s-and-2083s)?_g=(refreshInterval:(display:Off,section:0,value:0),time:(from:'2016-06-21 19:11:32-0600',mode:absolute,to:'2016-06-21 19:15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18" s="63" t="str">
        <f t="shared" si="45"/>
        <v>Y</v>
      </c>
      <c r="X118" s="63">
        <f t="shared" si="46"/>
        <v>1</v>
      </c>
      <c r="Y118" s="63">
        <f t="shared" si="39"/>
        <v>23.2666</v>
      </c>
      <c r="Z118" s="63">
        <f t="shared" si="40"/>
        <v>23.246600000000001</v>
      </c>
      <c r="AA118" s="63">
        <f t="shared" si="47"/>
        <v>1.9999999999999574E-2</v>
      </c>
      <c r="AB118" s="64">
        <f>VLOOKUP(A118,Enforcements!$C$3:$J$72,8,0)</f>
        <v>15167</v>
      </c>
      <c r="AC118" s="64" t="str">
        <f>VLOOKUP(A118,Enforcements!$C$3:$E$72,3,0)</f>
        <v>PERMANENT SPEED RESTRICTION</v>
      </c>
    </row>
    <row r="119" spans="1:29" s="2" customFormat="1" x14ac:dyDescent="0.25">
      <c r="A119" s="50" t="s">
        <v>233</v>
      </c>
      <c r="B119" s="50">
        <v>4017</v>
      </c>
      <c r="C119" s="50" t="s">
        <v>60</v>
      </c>
      <c r="D119" s="50" t="s">
        <v>234</v>
      </c>
      <c r="E119" s="26">
        <v>42542.809444444443</v>
      </c>
      <c r="F119" s="26">
        <v>42542.810266203705</v>
      </c>
      <c r="G119" s="34">
        <v>1</v>
      </c>
      <c r="H119" s="26" t="s">
        <v>154</v>
      </c>
      <c r="I119" s="26">
        <v>42542.832997685182</v>
      </c>
      <c r="J119" s="50">
        <v>1</v>
      </c>
      <c r="K119" s="50" t="str">
        <f t="shared" si="41"/>
        <v>4017/4018</v>
      </c>
      <c r="L119" s="50" t="str">
        <f>VLOOKUP(A119,'Trips&amp;Operators'!$C$1:$E$10000,3,FALSE)</f>
        <v>ADANE</v>
      </c>
      <c r="M119" s="12">
        <f t="shared" si="42"/>
        <v>2.2731481476512272E-2</v>
      </c>
      <c r="N119" s="13"/>
      <c r="O119" s="13"/>
      <c r="P119" s="13"/>
      <c r="Q119" s="51"/>
      <c r="R119" s="51"/>
      <c r="S119" s="85"/>
      <c r="T119" s="2" t="str">
        <f t="shared" si="43"/>
        <v>Southbound</v>
      </c>
      <c r="U119" s="2">
        <f>COUNTIFS(Variables!$M$2:$M$19, "&lt;=" &amp; Y119, Variables!$M$2:$M$19, "&gt;=" &amp; Z119)</f>
        <v>12</v>
      </c>
      <c r="V119" s="63" t="str">
        <f t="shared" si="44"/>
        <v>https://search-rtdc-monitor-bjffxe2xuh6vdkpspy63sjmuny.us-east-1.es.amazonaws.com/_plugin/kibana/#/discover/Steve-Slow-Train-Analysis-(2080s-and-2083s)?_g=(refreshInterval:(display:Off,section:0,value:0),time:(from:'2016-06-21 19:24:36-0600',mode:absolute,to:'2016-06-21 20:00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19" s="63" t="str">
        <f t="shared" si="45"/>
        <v>Y</v>
      </c>
      <c r="X119" s="63">
        <f t="shared" si="46"/>
        <v>0</v>
      </c>
      <c r="Y119" s="63">
        <f t="shared" si="39"/>
        <v>15.398300000000001</v>
      </c>
      <c r="Z119" s="63">
        <f t="shared" si="40"/>
        <v>1.4999999999999999E-2</v>
      </c>
      <c r="AA119" s="63">
        <f t="shared" si="47"/>
        <v>15.3833</v>
      </c>
      <c r="AB119" s="64">
        <f>VLOOKUP(A119,Enforcements!$C$3:$J$72,8,0)</f>
        <v>15167</v>
      </c>
      <c r="AC119" s="64" t="str">
        <f>VLOOKUP(A119,Enforcements!$C$3:$E$72,3,0)</f>
        <v>PERMANENT SPEED RESTRICTION</v>
      </c>
    </row>
    <row r="120" spans="1:29" s="2" customFormat="1" x14ac:dyDescent="0.25">
      <c r="A120" s="50" t="s">
        <v>237</v>
      </c>
      <c r="B120" s="50">
        <v>4020</v>
      </c>
      <c r="C120" s="50" t="s">
        <v>60</v>
      </c>
      <c r="D120" s="50" t="s">
        <v>118</v>
      </c>
      <c r="E120" s="26">
        <v>42542.76766203704</v>
      </c>
      <c r="F120" s="26">
        <v>42542.769386574073</v>
      </c>
      <c r="G120" s="34">
        <v>2</v>
      </c>
      <c r="H120" s="26" t="s">
        <v>160</v>
      </c>
      <c r="I120" s="26">
        <v>42542.798877314817</v>
      </c>
      <c r="J120" s="50">
        <v>1</v>
      </c>
      <c r="K120" s="50" t="str">
        <f t="shared" si="41"/>
        <v>4019/4020</v>
      </c>
      <c r="L120" s="50" t="str">
        <f>VLOOKUP(A120,'Trips&amp;Operators'!$C$1:$E$10000,3,FALSE)</f>
        <v>NEWELL</v>
      </c>
      <c r="M120" s="12">
        <f t="shared" si="42"/>
        <v>2.9490740744222421E-2</v>
      </c>
      <c r="N120" s="13">
        <f t="shared" ref="N120:N126" si="50">24*60*SUM($M120:$M120)</f>
        <v>42.466666671680287</v>
      </c>
      <c r="O120" s="13"/>
      <c r="P120" s="13"/>
      <c r="Q120" s="51"/>
      <c r="R120" s="51"/>
      <c r="S120" s="85">
        <f t="shared" ref="S120:S145" si="51">SUM(U120:U120)/12</f>
        <v>1</v>
      </c>
      <c r="T120" s="2" t="str">
        <f t="shared" si="43"/>
        <v>NorthBound</v>
      </c>
      <c r="U120" s="2">
        <f>COUNTIFS(Variables!$M$2:$M$19, "&gt;=" &amp; Y120, Variables!$M$2:$M$19, "&lt;=" &amp; Z120)</f>
        <v>12</v>
      </c>
      <c r="V120" s="63" t="str">
        <f t="shared" si="44"/>
        <v>https://search-rtdc-monitor-bjffxe2xuh6vdkpspy63sjmuny.us-east-1.es.amazonaws.com/_plugin/kibana/#/discover/Steve-Slow-Train-Analysis-(2080s-and-2083s)?_g=(refreshInterval:(display:Off,section:0,value:0),time:(from:'2016-06-21 18:24:26-0600',mode:absolute,to:'2016-06-21 19:11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20" s="63" t="str">
        <f t="shared" si="45"/>
        <v>N</v>
      </c>
      <c r="X120" s="63">
        <f t="shared" si="46"/>
        <v>1</v>
      </c>
      <c r="Y120" s="63">
        <f t="shared" si="39"/>
        <v>4.4900000000000002E-2</v>
      </c>
      <c r="Z120" s="63">
        <f t="shared" si="40"/>
        <v>23.330100000000002</v>
      </c>
      <c r="AA120" s="63">
        <f t="shared" si="47"/>
        <v>23.285200000000003</v>
      </c>
      <c r="AB120" s="64">
        <f>VLOOKUP(A120,Enforcements!$C$3:$J$72,8,0)</f>
        <v>233491</v>
      </c>
      <c r="AC120" s="64" t="str">
        <f>VLOOKUP(A120,Enforcements!$C$3:$E$72,3,0)</f>
        <v>TRACK WARRANT AUTHORITY</v>
      </c>
    </row>
    <row r="121" spans="1:29" s="2" customFormat="1" x14ac:dyDescent="0.25">
      <c r="A121" s="50" t="s">
        <v>238</v>
      </c>
      <c r="B121" s="50">
        <v>4019</v>
      </c>
      <c r="C121" s="50" t="s">
        <v>60</v>
      </c>
      <c r="D121" s="50" t="s">
        <v>239</v>
      </c>
      <c r="E121" s="26">
        <v>42542.802511574075</v>
      </c>
      <c r="F121" s="26">
        <v>42542.803263888891</v>
      </c>
      <c r="G121" s="34">
        <v>1</v>
      </c>
      <c r="H121" s="26" t="s">
        <v>67</v>
      </c>
      <c r="I121" s="26">
        <v>42542.843321759261</v>
      </c>
      <c r="J121" s="50">
        <v>1</v>
      </c>
      <c r="K121" s="50" t="str">
        <f t="shared" si="41"/>
        <v>4019/4020</v>
      </c>
      <c r="L121" s="50" t="str">
        <f>VLOOKUP(A121,'Trips&amp;Operators'!$C$1:$E$10000,3,FALSE)</f>
        <v>NEWELL</v>
      </c>
      <c r="M121" s="12">
        <f t="shared" si="42"/>
        <v>4.0057870370219462E-2</v>
      </c>
      <c r="N121" s="13">
        <f t="shared" si="50"/>
        <v>57.683333333116025</v>
      </c>
      <c r="O121" s="13"/>
      <c r="P121" s="13"/>
      <c r="Q121" s="51"/>
      <c r="R121" s="51"/>
      <c r="S121" s="85">
        <f t="shared" si="51"/>
        <v>1</v>
      </c>
      <c r="T121" s="2" t="str">
        <f t="shared" si="43"/>
        <v>Southbound</v>
      </c>
      <c r="U121" s="2">
        <f>COUNTIFS(Variables!$M$2:$M$19, "&lt;=" &amp; Y121, Variables!$M$2:$M$19, "&gt;=" &amp; Z121)</f>
        <v>12</v>
      </c>
      <c r="V121" s="63" t="str">
        <f t="shared" si="44"/>
        <v>https://search-rtdc-monitor-bjffxe2xuh6vdkpspy63sjmuny.us-east-1.es.amazonaws.com/_plugin/kibana/#/discover/Steve-Slow-Train-Analysis-(2080s-and-2083s)?_g=(refreshInterval:(display:Off,section:0,value:0),time:(from:'2016-06-21 19:14:37-0600',mode:absolute,to:'2016-06-21 20:15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21" s="63" t="str">
        <f t="shared" si="45"/>
        <v>N</v>
      </c>
      <c r="X121" s="63">
        <f t="shared" si="46"/>
        <v>1</v>
      </c>
      <c r="Y121" s="63">
        <f t="shared" si="39"/>
        <v>23.2971</v>
      </c>
      <c r="Z121" s="63">
        <f t="shared" si="40"/>
        <v>1.47E-2</v>
      </c>
      <c r="AA121" s="63">
        <f t="shared" si="47"/>
        <v>23.282399999999999</v>
      </c>
      <c r="AB121" s="64">
        <f>VLOOKUP(A121,Enforcements!$C$3:$J$72,8,0)</f>
        <v>1</v>
      </c>
      <c r="AC121" s="64" t="str">
        <f>VLOOKUP(A121,Enforcements!$C$3:$E$72,3,0)</f>
        <v>TRACK WARRANT AUTHORITY</v>
      </c>
    </row>
    <row r="122" spans="1:29" s="2" customFormat="1" x14ac:dyDescent="0.25">
      <c r="A122" s="50" t="s">
        <v>240</v>
      </c>
      <c r="B122" s="50">
        <v>4042</v>
      </c>
      <c r="C122" s="50" t="s">
        <v>60</v>
      </c>
      <c r="D122" s="50" t="s">
        <v>70</v>
      </c>
      <c r="E122" s="26">
        <v>42542.783495370371</v>
      </c>
      <c r="F122" s="26">
        <v>42542.784525462965</v>
      </c>
      <c r="G122" s="34">
        <v>1</v>
      </c>
      <c r="H122" s="26" t="s">
        <v>241</v>
      </c>
      <c r="I122" s="26">
        <v>42542.819305555553</v>
      </c>
      <c r="J122" s="50">
        <v>0</v>
      </c>
      <c r="K122" s="50" t="str">
        <f t="shared" si="41"/>
        <v>4041/4042</v>
      </c>
      <c r="L122" s="50" t="str">
        <f>VLOOKUP(A122,'Trips&amp;Operators'!$C$1:$E$10000,3,FALSE)</f>
        <v>LEVERE</v>
      </c>
      <c r="M122" s="12">
        <f t="shared" si="42"/>
        <v>3.478009258833481E-2</v>
      </c>
      <c r="N122" s="13">
        <f t="shared" si="50"/>
        <v>50.083333327202126</v>
      </c>
      <c r="O122" s="13"/>
      <c r="P122" s="13"/>
      <c r="Q122" s="51"/>
      <c r="R122" s="51"/>
      <c r="S122" s="85">
        <f t="shared" si="51"/>
        <v>1</v>
      </c>
      <c r="T122" s="2" t="str">
        <f t="shared" si="43"/>
        <v>NorthBound</v>
      </c>
      <c r="U122" s="2">
        <f>COUNTIFS(Variables!$M$2:$M$19, "&gt;=" &amp; Y122, Variables!$M$2:$M$19, "&lt;=" &amp; Z122)</f>
        <v>12</v>
      </c>
      <c r="V122" s="63" t="str">
        <f t="shared" si="44"/>
        <v>https://search-rtdc-monitor-bjffxe2xuh6vdkpspy63sjmuny.us-east-1.es.amazonaws.com/_plugin/kibana/#/discover/Steve-Slow-Train-Analysis-(2080s-and-2083s)?_g=(refreshInterval:(display:Off,section:0,value:0),time:(from:'2016-06-21 18:47:14-0600',mode:absolute,to:'2016-06-21 19:40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22" s="63" t="str">
        <f t="shared" si="45"/>
        <v>N</v>
      </c>
      <c r="X122" s="63">
        <f t="shared" si="46"/>
        <v>1</v>
      </c>
      <c r="Y122" s="63">
        <f t="shared" si="39"/>
        <v>4.5999999999999999E-2</v>
      </c>
      <c r="Z122" s="63">
        <f t="shared" si="40"/>
        <v>23.327000000000002</v>
      </c>
      <c r="AA122" s="63">
        <f t="shared" si="47"/>
        <v>23.281000000000002</v>
      </c>
      <c r="AB122" s="64" t="e">
        <f>VLOOKUP(A122,Enforcements!$C$3:$J$72,8,0)</f>
        <v>#N/A</v>
      </c>
      <c r="AC122" s="64" t="e">
        <f>VLOOKUP(A122,Enforcements!$C$3:$E$72,3,0)</f>
        <v>#N/A</v>
      </c>
    </row>
    <row r="123" spans="1:29" s="2" customFormat="1" x14ac:dyDescent="0.25">
      <c r="A123" s="50" t="s">
        <v>242</v>
      </c>
      <c r="B123" s="50">
        <v>4041</v>
      </c>
      <c r="C123" s="50" t="s">
        <v>60</v>
      </c>
      <c r="D123" s="50" t="s">
        <v>243</v>
      </c>
      <c r="E123" s="26">
        <v>42542.824259259258</v>
      </c>
      <c r="F123" s="26">
        <v>42542.825208333335</v>
      </c>
      <c r="G123" s="34">
        <v>1</v>
      </c>
      <c r="H123" s="26" t="s">
        <v>154</v>
      </c>
      <c r="I123" s="26">
        <v>42542.862638888888</v>
      </c>
      <c r="J123" s="50">
        <v>0</v>
      </c>
      <c r="K123" s="50" t="str">
        <f t="shared" si="41"/>
        <v>4041/4042</v>
      </c>
      <c r="L123" s="50" t="str">
        <f>VLOOKUP(A123,'Trips&amp;Operators'!$C$1:$E$10000,3,FALSE)</f>
        <v>LEVERE</v>
      </c>
      <c r="M123" s="12">
        <f t="shared" si="42"/>
        <v>3.7430555552418809E-2</v>
      </c>
      <c r="N123" s="13">
        <f t="shared" si="50"/>
        <v>53.899999995483086</v>
      </c>
      <c r="O123" s="13"/>
      <c r="P123" s="13"/>
      <c r="Q123" s="51"/>
      <c r="R123" s="51"/>
      <c r="S123" s="85">
        <f t="shared" si="51"/>
        <v>1</v>
      </c>
      <c r="T123" s="2" t="str">
        <f t="shared" si="43"/>
        <v>Southbound</v>
      </c>
      <c r="U123" s="2">
        <f>COUNTIFS(Variables!$M$2:$M$19, "&lt;=" &amp; Y123, Variables!$M$2:$M$19, "&gt;=" &amp; Z123)</f>
        <v>12</v>
      </c>
      <c r="V123" s="63" t="str">
        <f t="shared" si="44"/>
        <v>https://search-rtdc-monitor-bjffxe2xuh6vdkpspy63sjmuny.us-east-1.es.amazonaws.com/_plugin/kibana/#/discover/Steve-Slow-Train-Analysis-(2080s-and-2083s)?_g=(refreshInterval:(display:Off,section:0,value:0),time:(from:'2016-06-21 19:45:56-0600',mode:absolute,to:'2016-06-21 20:43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23" s="63" t="str">
        <f t="shared" si="45"/>
        <v>N</v>
      </c>
      <c r="X123" s="63">
        <f t="shared" si="46"/>
        <v>1</v>
      </c>
      <c r="Y123" s="63">
        <f t="shared" si="39"/>
        <v>23.296600000000002</v>
      </c>
      <c r="Z123" s="63">
        <f t="shared" si="40"/>
        <v>1.4999999999999999E-2</v>
      </c>
      <c r="AA123" s="63">
        <f t="shared" si="47"/>
        <v>23.281600000000001</v>
      </c>
      <c r="AB123" s="64" t="e">
        <f>VLOOKUP(A123,Enforcements!$C$3:$J$72,8,0)</f>
        <v>#N/A</v>
      </c>
      <c r="AC123" s="64" t="e">
        <f>VLOOKUP(A123,Enforcements!$C$3:$E$72,3,0)</f>
        <v>#N/A</v>
      </c>
    </row>
    <row r="124" spans="1:29" s="2" customFormat="1" x14ac:dyDescent="0.25">
      <c r="A124" s="50" t="s">
        <v>244</v>
      </c>
      <c r="B124" s="50">
        <v>4029</v>
      </c>
      <c r="C124" s="50" t="s">
        <v>60</v>
      </c>
      <c r="D124" s="50" t="s">
        <v>70</v>
      </c>
      <c r="E124" s="26">
        <v>42542.808842592596</v>
      </c>
      <c r="F124" s="26">
        <v>42542.80982638889</v>
      </c>
      <c r="G124" s="34">
        <v>1</v>
      </c>
      <c r="H124" s="26" t="s">
        <v>94</v>
      </c>
      <c r="I124" s="26">
        <v>42542.839236111111</v>
      </c>
      <c r="J124" s="50">
        <v>0</v>
      </c>
      <c r="K124" s="50" t="str">
        <f t="shared" si="41"/>
        <v>4029/4030</v>
      </c>
      <c r="L124" s="50" t="str">
        <f>VLOOKUP(A124,'Trips&amp;Operators'!$C$1:$E$10000,3,FALSE)</f>
        <v>MAELZER</v>
      </c>
      <c r="M124" s="12">
        <f t="shared" si="42"/>
        <v>2.940972222131677E-2</v>
      </c>
      <c r="N124" s="13">
        <f t="shared" si="50"/>
        <v>42.349999998696148</v>
      </c>
      <c r="O124" s="13"/>
      <c r="P124" s="13"/>
      <c r="Q124" s="51"/>
      <c r="R124" s="51"/>
      <c r="S124" s="85">
        <f t="shared" si="51"/>
        <v>1</v>
      </c>
      <c r="T124" s="2" t="str">
        <f t="shared" si="43"/>
        <v>NorthBound</v>
      </c>
      <c r="U124" s="2">
        <f>COUNTIFS(Variables!$M$2:$M$19, "&gt;=" &amp; Y124, Variables!$M$2:$M$19, "&lt;=" &amp; Z124)</f>
        <v>12</v>
      </c>
      <c r="V124" s="63" t="str">
        <f t="shared" si="44"/>
        <v>https://search-rtdc-monitor-bjffxe2xuh6vdkpspy63sjmuny.us-east-1.es.amazonaws.com/_plugin/kibana/#/discover/Steve-Slow-Train-Analysis-(2080s-and-2083s)?_g=(refreshInterval:(display:Off,section:0,value:0),time:(from:'2016-06-21 19:23:44-0600',mode:absolute,to:'2016-06-21 20:09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24" s="63" t="str">
        <f t="shared" si="45"/>
        <v>N</v>
      </c>
      <c r="X124" s="63">
        <f t="shared" si="46"/>
        <v>1</v>
      </c>
      <c r="Y124" s="63">
        <f t="shared" si="39"/>
        <v>4.5999999999999999E-2</v>
      </c>
      <c r="Z124" s="63">
        <f t="shared" si="40"/>
        <v>23.331499999999998</v>
      </c>
      <c r="AA124" s="63">
        <f t="shared" si="47"/>
        <v>23.285499999999999</v>
      </c>
      <c r="AB124" s="64" t="e">
        <f>VLOOKUP(A124,Enforcements!$C$3:$J$72,8,0)</f>
        <v>#N/A</v>
      </c>
      <c r="AC124" s="64" t="e">
        <f>VLOOKUP(A124,Enforcements!$C$3:$E$72,3,0)</f>
        <v>#N/A</v>
      </c>
    </row>
    <row r="125" spans="1:29" s="2" customFormat="1" x14ac:dyDescent="0.25">
      <c r="A125" s="50" t="s">
        <v>245</v>
      </c>
      <c r="B125" s="50">
        <v>4030</v>
      </c>
      <c r="C125" s="50" t="s">
        <v>60</v>
      </c>
      <c r="D125" s="50" t="s">
        <v>246</v>
      </c>
      <c r="E125" s="26">
        <v>42542.850416666668</v>
      </c>
      <c r="F125" s="26">
        <v>42542.852164351854</v>
      </c>
      <c r="G125" s="34">
        <v>2</v>
      </c>
      <c r="H125" s="26" t="s">
        <v>120</v>
      </c>
      <c r="I125" s="26">
        <v>42542.879386574074</v>
      </c>
      <c r="J125" s="50">
        <v>0</v>
      </c>
      <c r="K125" s="50" t="str">
        <f t="shared" si="41"/>
        <v>4029/4030</v>
      </c>
      <c r="L125" s="50" t="str">
        <f>VLOOKUP(A125,'Trips&amp;Operators'!$C$1:$E$10000,3,FALSE)</f>
        <v>MAELZER</v>
      </c>
      <c r="M125" s="12">
        <f t="shared" si="42"/>
        <v>2.7222222219279502E-2</v>
      </c>
      <c r="N125" s="13">
        <f t="shared" si="50"/>
        <v>39.199999995762482</v>
      </c>
      <c r="O125" s="13"/>
      <c r="P125" s="13"/>
      <c r="Q125" s="51"/>
      <c r="R125" s="51"/>
      <c r="S125" s="85">
        <f t="shared" si="51"/>
        <v>1</v>
      </c>
      <c r="T125" s="2" t="str">
        <f t="shared" si="43"/>
        <v>Southbound</v>
      </c>
      <c r="U125" s="2">
        <f>COUNTIFS(Variables!$M$2:$M$19, "&lt;=" &amp; Y125, Variables!$M$2:$M$19, "&gt;=" &amp; Z125)</f>
        <v>12</v>
      </c>
      <c r="V125" s="63" t="str">
        <f t="shared" si="44"/>
        <v>https://search-rtdc-monitor-bjffxe2xuh6vdkpspy63sjmuny.us-east-1.es.amazonaws.com/_plugin/kibana/#/discover/Steve-Slow-Train-Analysis-(2080s-and-2083s)?_g=(refreshInterval:(display:Off,section:0,value:0),time:(from:'2016-06-21 20:23:36-0600',mode:absolute,to:'2016-06-21 21:07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25" s="63" t="str">
        <f t="shared" si="45"/>
        <v>N</v>
      </c>
      <c r="X125" s="63">
        <f t="shared" si="46"/>
        <v>1</v>
      </c>
      <c r="Y125" s="63">
        <f t="shared" si="39"/>
        <v>23.3</v>
      </c>
      <c r="Z125" s="63">
        <f t="shared" si="40"/>
        <v>1.5800000000000002E-2</v>
      </c>
      <c r="AA125" s="63">
        <f t="shared" si="47"/>
        <v>23.284200000000002</v>
      </c>
      <c r="AB125" s="64" t="e">
        <f>VLOOKUP(A125,Enforcements!$C$3:$J$72,8,0)</f>
        <v>#N/A</v>
      </c>
      <c r="AC125" s="64" t="e">
        <f>VLOOKUP(A125,Enforcements!$C$3:$E$72,3,0)</f>
        <v>#N/A</v>
      </c>
    </row>
    <row r="126" spans="1:29" s="2" customFormat="1" x14ac:dyDescent="0.25">
      <c r="A126" s="50" t="s">
        <v>247</v>
      </c>
      <c r="B126" s="50">
        <v>4018</v>
      </c>
      <c r="C126" s="50" t="s">
        <v>60</v>
      </c>
      <c r="D126" s="50" t="s">
        <v>96</v>
      </c>
      <c r="E126" s="26">
        <v>42542.835196759261</v>
      </c>
      <c r="F126" s="26">
        <v>42542.836030092592</v>
      </c>
      <c r="G126" s="34">
        <v>1</v>
      </c>
      <c r="H126" s="26" t="s">
        <v>166</v>
      </c>
      <c r="I126" s="26">
        <v>42542.870289351849</v>
      </c>
      <c r="J126" s="50">
        <v>1</v>
      </c>
      <c r="K126" s="50" t="str">
        <f t="shared" si="41"/>
        <v>4017/4018</v>
      </c>
      <c r="L126" s="50" t="str">
        <f>VLOOKUP(A126,'Trips&amp;Operators'!$C$1:$E$10000,3,FALSE)</f>
        <v>ADANE</v>
      </c>
      <c r="M126" s="12">
        <f t="shared" si="42"/>
        <v>3.4259259256941732E-2</v>
      </c>
      <c r="N126" s="13">
        <f t="shared" si="50"/>
        <v>49.333333329996094</v>
      </c>
      <c r="O126" s="13"/>
      <c r="P126" s="13"/>
      <c r="Q126" s="51"/>
      <c r="R126" s="51"/>
      <c r="S126" s="85">
        <f t="shared" si="51"/>
        <v>1</v>
      </c>
      <c r="T126" s="2" t="str">
        <f t="shared" si="43"/>
        <v>NorthBound</v>
      </c>
      <c r="U126" s="2">
        <f>COUNTIFS(Variables!$M$2:$M$19, "&gt;=" &amp; Y126, Variables!$M$2:$M$19, "&lt;=" &amp; Z126)</f>
        <v>12</v>
      </c>
      <c r="V126" s="63" t="str">
        <f t="shared" si="44"/>
        <v>https://search-rtdc-monitor-bjffxe2xuh6vdkpspy63sjmuny.us-east-1.es.amazonaws.com/_plugin/kibana/#/discover/Steve-Slow-Train-Analysis-(2080s-and-2083s)?_g=(refreshInterval:(display:Off,section:0,value:0),time:(from:'2016-06-21 20:01:41-0600',mode:absolute,to:'2016-06-21 20:54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26" s="63" t="str">
        <f t="shared" si="45"/>
        <v>N</v>
      </c>
      <c r="X126" s="63">
        <f t="shared" si="46"/>
        <v>1</v>
      </c>
      <c r="Y126" s="63">
        <f t="shared" si="39"/>
        <v>4.6399999999999997E-2</v>
      </c>
      <c r="Z126" s="63">
        <f t="shared" si="40"/>
        <v>23.332699999999999</v>
      </c>
      <c r="AA126" s="63">
        <f t="shared" si="47"/>
        <v>23.286300000000001</v>
      </c>
      <c r="AB126" s="64">
        <f>VLOOKUP(A126,Enforcements!$C$3:$J$72,8,0)</f>
        <v>58783</v>
      </c>
      <c r="AC126" s="64" t="str">
        <f>VLOOKUP(A126,Enforcements!$C$3:$E$72,3,0)</f>
        <v>GRADE CROSSING</v>
      </c>
    </row>
    <row r="127" spans="1:29" s="2" customFormat="1" x14ac:dyDescent="0.25">
      <c r="A127" s="50" t="s">
        <v>248</v>
      </c>
      <c r="B127" s="50">
        <v>4017</v>
      </c>
      <c r="C127" s="50" t="s">
        <v>60</v>
      </c>
      <c r="D127" s="50" t="s">
        <v>249</v>
      </c>
      <c r="E127" s="26">
        <v>42542.8747337963</v>
      </c>
      <c r="F127" s="26">
        <v>42542.876446759263</v>
      </c>
      <c r="G127" s="34">
        <v>2</v>
      </c>
      <c r="H127" s="26" t="s">
        <v>249</v>
      </c>
      <c r="I127" s="26">
        <v>42542.876446759263</v>
      </c>
      <c r="J127" s="50">
        <v>0</v>
      </c>
      <c r="K127" s="50" t="str">
        <f t="shared" si="41"/>
        <v>4017/4018</v>
      </c>
      <c r="L127" s="50" t="str">
        <f>VLOOKUP(A127,'Trips&amp;Operators'!$C$1:$E$10000,3,FALSE)</f>
        <v>ADANE</v>
      </c>
      <c r="M127" s="12">
        <f t="shared" si="42"/>
        <v>0</v>
      </c>
      <c r="N127" s="13"/>
      <c r="O127" s="13"/>
      <c r="P127" s="13">
        <v>1</v>
      </c>
      <c r="Q127" s="51"/>
      <c r="R127" s="51" t="s">
        <v>502</v>
      </c>
      <c r="S127" s="85">
        <f t="shared" si="51"/>
        <v>0</v>
      </c>
      <c r="T127" s="2" t="str">
        <f t="shared" si="43"/>
        <v>Southbound</v>
      </c>
      <c r="U127" s="2">
        <f>COUNTIFS(Variables!$M$2:$M$19, "&lt;=" &amp; Y127, Variables!$M$2:$M$19, "&gt;=" &amp; Z127)</f>
        <v>0</v>
      </c>
      <c r="V127" s="63" t="str">
        <f t="shared" si="44"/>
        <v>https://search-rtdc-monitor-bjffxe2xuh6vdkpspy63sjmuny.us-east-1.es.amazonaws.com/_plugin/kibana/#/discover/Steve-Slow-Train-Analysis-(2080s-and-2083s)?_g=(refreshInterval:(display:Off,section:0,value:0),time:(from:'2016-06-21 20:58:37-0600',mode:absolute,to:'2016-06-21 21:03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27" s="63" t="str">
        <f t="shared" si="45"/>
        <v>Y</v>
      </c>
      <c r="X127" s="63">
        <f t="shared" si="46"/>
        <v>1</v>
      </c>
      <c r="Y127" s="63">
        <f t="shared" si="39"/>
        <v>23.28</v>
      </c>
      <c r="Z127" s="63">
        <f t="shared" si="40"/>
        <v>23.28</v>
      </c>
      <c r="AA127" s="63">
        <f t="shared" si="47"/>
        <v>0</v>
      </c>
      <c r="AB127" s="64" t="e">
        <f>VLOOKUP(A127,Enforcements!$C$3:$J$72,8,0)</f>
        <v>#N/A</v>
      </c>
      <c r="AC127" s="64" t="e">
        <f>VLOOKUP(A127,Enforcements!$C$3:$E$72,3,0)</f>
        <v>#N/A</v>
      </c>
    </row>
    <row r="128" spans="1:29" s="2" customFormat="1" x14ac:dyDescent="0.25">
      <c r="A128" s="50" t="s">
        <v>250</v>
      </c>
      <c r="B128" s="50">
        <v>4020</v>
      </c>
      <c r="C128" s="50" t="s">
        <v>60</v>
      </c>
      <c r="D128" s="50" t="s">
        <v>89</v>
      </c>
      <c r="E128" s="26">
        <v>42542.849189814813</v>
      </c>
      <c r="F128" s="26">
        <v>42542.850127314814</v>
      </c>
      <c r="G128" s="34">
        <v>1</v>
      </c>
      <c r="H128" s="26" t="s">
        <v>147</v>
      </c>
      <c r="I128" s="26">
        <v>42542.881712962961</v>
      </c>
      <c r="J128" s="50">
        <v>0</v>
      </c>
      <c r="K128" s="50" t="str">
        <f t="shared" si="41"/>
        <v>4019/4020</v>
      </c>
      <c r="L128" s="50" t="str">
        <f>VLOOKUP(A128,'Trips&amp;Operators'!$C$1:$E$10000,3,FALSE)</f>
        <v>NEWELL</v>
      </c>
      <c r="M128" s="12">
        <f t="shared" si="42"/>
        <v>3.1585648146574385E-2</v>
      </c>
      <c r="N128" s="13">
        <f>24*60*SUM($M128:$M128)</f>
        <v>45.483333331067115</v>
      </c>
      <c r="O128" s="13"/>
      <c r="P128" s="13"/>
      <c r="Q128" s="51"/>
      <c r="R128" s="51"/>
      <c r="S128" s="85">
        <f t="shared" si="51"/>
        <v>1</v>
      </c>
      <c r="T128" s="2" t="str">
        <f t="shared" si="43"/>
        <v>NorthBound</v>
      </c>
      <c r="U128" s="2">
        <f>COUNTIFS(Variables!$M$2:$M$19, "&gt;=" &amp; Y128, Variables!$M$2:$M$19, "&lt;=" &amp; Z128)</f>
        <v>12</v>
      </c>
      <c r="V128" s="63" t="str">
        <f t="shared" si="44"/>
        <v>https://search-rtdc-monitor-bjffxe2xuh6vdkpspy63sjmuny.us-east-1.es.amazonaws.com/_plugin/kibana/#/discover/Steve-Slow-Train-Analysis-(2080s-and-2083s)?_g=(refreshInterval:(display:Off,section:0,value:0),time:(from:'2016-06-21 20:21:50-0600',mode:absolute,to:'2016-06-21 21:10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28" s="63" t="str">
        <f t="shared" si="45"/>
        <v>N</v>
      </c>
      <c r="X128" s="63">
        <f t="shared" si="46"/>
        <v>1</v>
      </c>
      <c r="Y128" s="63">
        <f t="shared" si="39"/>
        <v>4.58E-2</v>
      </c>
      <c r="Z128" s="63">
        <f t="shared" si="40"/>
        <v>23.331</v>
      </c>
      <c r="AA128" s="63">
        <f t="shared" si="47"/>
        <v>23.2852</v>
      </c>
      <c r="AB128" s="64" t="e">
        <f>VLOOKUP(A128,Enforcements!$C$3:$J$72,8,0)</f>
        <v>#N/A</v>
      </c>
      <c r="AC128" s="64" t="e">
        <f>VLOOKUP(A128,Enforcements!$C$3:$E$72,3,0)</f>
        <v>#N/A</v>
      </c>
    </row>
    <row r="129" spans="1:29" s="2" customFormat="1" x14ac:dyDescent="0.25">
      <c r="A129" s="50" t="s">
        <v>251</v>
      </c>
      <c r="B129" s="50">
        <v>4019</v>
      </c>
      <c r="C129" s="50" t="s">
        <v>60</v>
      </c>
      <c r="D129" s="50" t="s">
        <v>211</v>
      </c>
      <c r="E129" s="26">
        <v>42542.889421296299</v>
      </c>
      <c r="F129" s="26">
        <v>42542.890277777777</v>
      </c>
      <c r="G129" s="34">
        <v>1</v>
      </c>
      <c r="H129" s="26" t="s">
        <v>252</v>
      </c>
      <c r="I129" s="26">
        <v>42542.921516203707</v>
      </c>
      <c r="J129" s="50">
        <v>1</v>
      </c>
      <c r="K129" s="50" t="str">
        <f t="shared" si="41"/>
        <v>4019/4020</v>
      </c>
      <c r="L129" s="50" t="str">
        <f>VLOOKUP(A129,'Trips&amp;Operators'!$C$1:$E$10000,3,FALSE)</f>
        <v>NEWELL</v>
      </c>
      <c r="M129" s="12">
        <f t="shared" si="42"/>
        <v>3.1238425930496305E-2</v>
      </c>
      <c r="N129" s="13">
        <f>24*60*SUM($M129:$M129)</f>
        <v>44.98333333991468</v>
      </c>
      <c r="O129" s="13"/>
      <c r="P129" s="13"/>
      <c r="Q129" s="51"/>
      <c r="R129" s="51"/>
      <c r="S129" s="85">
        <f t="shared" si="51"/>
        <v>1</v>
      </c>
      <c r="T129" s="2" t="str">
        <f t="shared" si="43"/>
        <v>Southbound</v>
      </c>
      <c r="U129" s="2">
        <f>COUNTIFS(Variables!$M$2:$M$19, "&lt;=" &amp; Y129, Variables!$M$2:$M$19, "&gt;=" &amp; Z129)</f>
        <v>12</v>
      </c>
      <c r="V129" s="63" t="str">
        <f t="shared" si="44"/>
        <v>https://search-rtdc-monitor-bjffxe2xuh6vdkpspy63sjmuny.us-east-1.es.amazonaws.com/_plugin/kibana/#/discover/Steve-Slow-Train-Analysis-(2080s-and-2083s)?_g=(refreshInterval:(display:Off,section:0,value:0),time:(from:'2016-06-21 21:19:46-0600',mode:absolute,to:'2016-06-21 22:07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29" s="63" t="str">
        <f t="shared" si="45"/>
        <v>N</v>
      </c>
      <c r="X129" s="63">
        <f t="shared" si="46"/>
        <v>1</v>
      </c>
      <c r="Y129" s="63">
        <f t="shared" si="39"/>
        <v>23.2989</v>
      </c>
      <c r="Z129" s="63">
        <f t="shared" si="40"/>
        <v>1.6899999999999998E-2</v>
      </c>
      <c r="AA129" s="63">
        <f t="shared" si="47"/>
        <v>23.282</v>
      </c>
      <c r="AB129" s="64">
        <f>VLOOKUP(A129,Enforcements!$C$3:$J$72,8,0)</f>
        <v>175398</v>
      </c>
      <c r="AC129" s="64" t="str">
        <f>VLOOKUP(A129,Enforcements!$C$3:$E$72,3,0)</f>
        <v>SIGNAL</v>
      </c>
    </row>
    <row r="130" spans="1:29" s="2" customFormat="1" x14ac:dyDescent="0.25">
      <c r="A130" s="50" t="s">
        <v>253</v>
      </c>
      <c r="B130" s="50">
        <v>4042</v>
      </c>
      <c r="C130" s="50" t="s">
        <v>60</v>
      </c>
      <c r="D130" s="50" t="s">
        <v>131</v>
      </c>
      <c r="E130" s="26">
        <v>42542.869456018518</v>
      </c>
      <c r="F130" s="26">
        <v>42542.87023148148</v>
      </c>
      <c r="G130" s="34">
        <v>1</v>
      </c>
      <c r="H130" s="26" t="s">
        <v>180</v>
      </c>
      <c r="I130" s="26">
        <v>42542.902581018519</v>
      </c>
      <c r="J130" s="50">
        <v>0</v>
      </c>
      <c r="K130" s="50" t="str">
        <f t="shared" si="41"/>
        <v>4041/4042</v>
      </c>
      <c r="L130" s="50" t="str">
        <f>VLOOKUP(A130,'Trips&amp;Operators'!$C$1:$E$10000,3,FALSE)</f>
        <v>LEVERE</v>
      </c>
      <c r="M130" s="12">
        <f t="shared" si="42"/>
        <v>3.234953703940846E-2</v>
      </c>
      <c r="N130" s="13">
        <f>24*60*SUM($M130:$M130)</f>
        <v>46.583333336748183</v>
      </c>
      <c r="O130" s="13"/>
      <c r="P130" s="13"/>
      <c r="Q130" s="51"/>
      <c r="R130" s="51"/>
      <c r="S130" s="85">
        <f t="shared" si="51"/>
        <v>1</v>
      </c>
      <c r="T130" s="2" t="str">
        <f t="shared" si="43"/>
        <v>NorthBound</v>
      </c>
      <c r="U130" s="2">
        <f>COUNTIFS(Variables!$M$2:$M$19, "&gt;=" &amp; Y130, Variables!$M$2:$M$19, "&lt;=" &amp; Z130)</f>
        <v>12</v>
      </c>
      <c r="V130" s="63" t="str">
        <f t="shared" si="44"/>
        <v>https://search-rtdc-monitor-bjffxe2xuh6vdkpspy63sjmuny.us-east-1.es.amazonaws.com/_plugin/kibana/#/discover/Steve-Slow-Train-Analysis-(2080s-and-2083s)?_g=(refreshInterval:(display:Off,section:0,value:0),time:(from:'2016-06-21 20:51:01-0600',mode:absolute,to:'2016-06-21 21:40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30" s="63" t="str">
        <f t="shared" si="45"/>
        <v>N</v>
      </c>
      <c r="X130" s="63">
        <f t="shared" si="46"/>
        <v>1</v>
      </c>
      <c r="Y130" s="63">
        <f t="shared" si="39"/>
        <v>4.6899999999999997E-2</v>
      </c>
      <c r="Z130" s="63">
        <f t="shared" si="40"/>
        <v>23.328700000000001</v>
      </c>
      <c r="AA130" s="63">
        <f t="shared" si="47"/>
        <v>23.2818</v>
      </c>
      <c r="AB130" s="64" t="e">
        <f>VLOOKUP(A130,Enforcements!$C$3:$J$72,8,0)</f>
        <v>#N/A</v>
      </c>
      <c r="AC130" s="64" t="e">
        <f>VLOOKUP(A130,Enforcements!$C$3:$E$72,3,0)</f>
        <v>#N/A</v>
      </c>
    </row>
    <row r="131" spans="1:29" s="2" customFormat="1" x14ac:dyDescent="0.25">
      <c r="A131" s="50" t="s">
        <v>254</v>
      </c>
      <c r="B131" s="50">
        <v>4041</v>
      </c>
      <c r="C131" s="50" t="s">
        <v>60</v>
      </c>
      <c r="D131" s="50" t="s">
        <v>164</v>
      </c>
      <c r="E131" s="26">
        <v>42542.908668981479</v>
      </c>
      <c r="F131" s="26">
        <v>42542.909756944442</v>
      </c>
      <c r="G131" s="34">
        <v>1</v>
      </c>
      <c r="H131" s="26" t="s">
        <v>69</v>
      </c>
      <c r="I131" s="26">
        <v>42542.943124999998</v>
      </c>
      <c r="J131" s="50">
        <v>0</v>
      </c>
      <c r="K131" s="50" t="str">
        <f t="shared" ref="K131:K145" si="52">IF(ISEVEN(B131),(B131-1)&amp;"/"&amp;B131,B131&amp;"/"&amp;(B131+1))</f>
        <v>4041/4042</v>
      </c>
      <c r="L131" s="50" t="str">
        <f>VLOOKUP(A131,'Trips&amp;Operators'!$C$1:$E$10000,3,FALSE)</f>
        <v>LEVERE</v>
      </c>
      <c r="M131" s="12">
        <f t="shared" ref="M131:M145" si="53">I131-F131</f>
        <v>3.3368055555911269E-2</v>
      </c>
      <c r="N131" s="13">
        <f>24*60*SUM($M131:$M131)</f>
        <v>48.050000000512227</v>
      </c>
      <c r="O131" s="13"/>
      <c r="P131" s="13"/>
      <c r="Q131" s="51"/>
      <c r="R131" s="51"/>
      <c r="S131" s="85">
        <f t="shared" si="51"/>
        <v>1</v>
      </c>
      <c r="T131" s="2" t="str">
        <f t="shared" ref="T131:T145" si="54">IF(ISEVEN(LEFT(A131,3)),"Southbound","NorthBound")</f>
        <v>Southbound</v>
      </c>
      <c r="U131" s="2">
        <f>COUNTIFS(Variables!$M$2:$M$19, "&lt;=" &amp; Y131, Variables!$M$2:$M$19, "&gt;=" &amp; Z131)</f>
        <v>12</v>
      </c>
      <c r="V131" s="63" t="str">
        <f t="shared" ref="V131:V145" si="55">"https://search-rtdc-monitor-bjffxe2xuh6vdkpspy63sjmuny.us-east-1.es.amazonaws.com/_plugin/kibana/#/discover/Steve-Slow-Train-Analysis-(2080s-and-2083s)?_g=(refreshInterval:(display:Off,section:0,value:0),time:(from:'"&amp;TEXT(E131-1/24/60,"yyyy-MM-DD hh:mm:ss")&amp;"-0600',mode:absolute,to:'"&amp;TEXT(I131+1/24/60,"yyyy-MM-DD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131&amp;"%22')),sort:!(Time,asc))"</f>
        <v>https://search-rtdc-monitor-bjffxe2xuh6vdkpspy63sjmuny.us-east-1.es.amazonaws.com/_plugin/kibana/#/discover/Steve-Slow-Train-Analysis-(2080s-and-2083s)?_g=(refreshInterval:(display:Off,section:0,value:0),time:(from:'2016-06-21 21:47:29-0600',mode:absolute,to:'2016-06-21 22:39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31" s="63" t="str">
        <f t="shared" ref="W131:W145" si="56">IF(AA131&lt;23,"Y","N")</f>
        <v>N</v>
      </c>
      <c r="X131" s="63">
        <f t="shared" ref="X131:X144" si="57">VALUE(LEFT(A131,3))-VALUE(LEFT(A130,3))</f>
        <v>1</v>
      </c>
      <c r="Y131" s="63">
        <f t="shared" si="39"/>
        <v>23.295500000000001</v>
      </c>
      <c r="Z131" s="63">
        <f t="shared" si="40"/>
        <v>1.6E-2</v>
      </c>
      <c r="AA131" s="63">
        <f t="shared" ref="AA131:AA162" si="58">ABS(Z131-Y131)</f>
        <v>23.279500000000002</v>
      </c>
      <c r="AB131" s="64" t="e">
        <f>VLOOKUP(A131,Enforcements!$C$3:$J$72,8,0)</f>
        <v>#N/A</v>
      </c>
      <c r="AC131" s="64" t="e">
        <f>VLOOKUP(A131,Enforcements!$C$3:$E$72,3,0)</f>
        <v>#N/A</v>
      </c>
    </row>
    <row r="132" spans="1:29" s="2" customFormat="1" x14ac:dyDescent="0.25">
      <c r="A132" s="50" t="s">
        <v>255</v>
      </c>
      <c r="B132" s="50">
        <v>4029</v>
      </c>
      <c r="C132" s="50" t="s">
        <v>60</v>
      </c>
      <c r="D132" s="50" t="s">
        <v>174</v>
      </c>
      <c r="E132" s="26">
        <v>42542.891111111108</v>
      </c>
      <c r="F132" s="26">
        <v>42542.892060185186</v>
      </c>
      <c r="G132" s="34">
        <v>1</v>
      </c>
      <c r="H132" s="26" t="s">
        <v>132</v>
      </c>
      <c r="I132" s="26">
        <v>42542.923495370371</v>
      </c>
      <c r="J132" s="50">
        <v>1</v>
      </c>
      <c r="K132" s="50" t="str">
        <f t="shared" si="52"/>
        <v>4029/4030</v>
      </c>
      <c r="L132" s="50" t="str">
        <f>VLOOKUP(A132,'Trips&amp;Operators'!$C$1:$E$10000,3,FALSE)</f>
        <v>MAELZER</v>
      </c>
      <c r="M132" s="12">
        <f t="shared" si="53"/>
        <v>3.1435185184818693E-2</v>
      </c>
      <c r="N132" s="13">
        <f>24*60*SUM($M132:$M132)</f>
        <v>45.266666666138917</v>
      </c>
      <c r="O132" s="13"/>
      <c r="P132" s="13"/>
      <c r="Q132" s="51"/>
      <c r="R132" s="51"/>
      <c r="S132" s="85">
        <f t="shared" si="51"/>
        <v>1</v>
      </c>
      <c r="T132" s="2" t="str">
        <f t="shared" si="54"/>
        <v>NorthBound</v>
      </c>
      <c r="U132" s="2">
        <f>COUNTIFS(Variables!$M$2:$M$19, "&gt;=" &amp; Y132, Variables!$M$2:$M$19, "&lt;=" &amp; Z132)</f>
        <v>12</v>
      </c>
      <c r="V132" s="63" t="str">
        <f t="shared" si="55"/>
        <v>https://search-rtdc-monitor-bjffxe2xuh6vdkpspy63sjmuny.us-east-1.es.amazonaws.com/_plugin/kibana/#/discover/Steve-Slow-Train-Analysis-(2080s-and-2083s)?_g=(refreshInterval:(display:Off,section:0,value:0),time:(from:'2016-06-21 21:22:12-0600',mode:absolute,to:'2016-06-21 22:10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32" s="63" t="str">
        <f t="shared" si="56"/>
        <v>N</v>
      </c>
      <c r="X132" s="63">
        <f t="shared" si="57"/>
        <v>1</v>
      </c>
      <c r="Y132" s="63">
        <f t="shared" si="39"/>
        <v>4.7699999999999999E-2</v>
      </c>
      <c r="Z132" s="63">
        <f t="shared" si="40"/>
        <v>23.3291</v>
      </c>
      <c r="AA132" s="63">
        <f t="shared" si="58"/>
        <v>23.281400000000001</v>
      </c>
      <c r="AB132" s="64">
        <f>VLOOKUP(A132,Enforcements!$C$3:$J$72,8,0)</f>
        <v>233491</v>
      </c>
      <c r="AC132" s="64" t="str">
        <f>VLOOKUP(A132,Enforcements!$C$3:$E$72,3,0)</f>
        <v>TRACK WARRANT AUTHORITY</v>
      </c>
    </row>
    <row r="133" spans="1:29" s="2" customFormat="1" x14ac:dyDescent="0.25">
      <c r="A133" s="81" t="s">
        <v>481</v>
      </c>
      <c r="B133" s="50">
        <v>4030</v>
      </c>
      <c r="C133" s="50"/>
      <c r="D133" s="50"/>
      <c r="E133" s="26"/>
      <c r="F133" s="26">
        <v>42542.932303240741</v>
      </c>
      <c r="G133" s="34"/>
      <c r="H133" s="26"/>
      <c r="I133" s="26">
        <v>42542.934803240743</v>
      </c>
      <c r="J133" s="50"/>
      <c r="K133" s="50" t="str">
        <f t="shared" si="52"/>
        <v>4029/4030</v>
      </c>
      <c r="L133" s="50" t="str">
        <f>VLOOKUP(A133,'Trips&amp;Operators'!$C$1:$E$10000,3,FALSE)</f>
        <v>MAELZER</v>
      </c>
      <c r="M133" s="12">
        <f t="shared" si="53"/>
        <v>2.5000000023283064E-3</v>
      </c>
      <c r="N133" s="13"/>
      <c r="O133" s="13"/>
      <c r="P133" s="13">
        <f>24*60*SUM($M133:$M133)</f>
        <v>3.6000000033527613</v>
      </c>
      <c r="Q133" s="51"/>
      <c r="R133" s="51" t="s">
        <v>502</v>
      </c>
      <c r="S133" s="85">
        <f t="shared" si="51"/>
        <v>0</v>
      </c>
      <c r="T133" s="2" t="str">
        <f t="shared" si="54"/>
        <v>Southbound</v>
      </c>
      <c r="U133" s="2">
        <f>COUNTIFS(Variables!$M$2:$M$19, "&lt;=" &amp; Y133, Variables!$M$2:$M$19, "&gt;=" &amp; Z133)</f>
        <v>0</v>
      </c>
      <c r="V133" s="63" t="e">
        <f t="shared" si="55"/>
        <v>#VALUE!</v>
      </c>
      <c r="W133" s="63" t="str">
        <f t="shared" si="56"/>
        <v>Y</v>
      </c>
      <c r="X133" s="63">
        <f t="shared" si="57"/>
        <v>1</v>
      </c>
      <c r="Y133" s="63">
        <v>23.2972</v>
      </c>
      <c r="Z133" s="63">
        <v>23.2974</v>
      </c>
      <c r="AA133" s="63">
        <f t="shared" si="58"/>
        <v>1.9999999999953388E-4</v>
      </c>
      <c r="AB133" s="64" t="e">
        <f>VLOOKUP(A133,Enforcements!$C$3:$J$72,8,0)</f>
        <v>#N/A</v>
      </c>
      <c r="AC133" s="64" t="e">
        <f>VLOOKUP(A133,Enforcements!$C$3:$E$72,3,0)</f>
        <v>#N/A</v>
      </c>
    </row>
    <row r="134" spans="1:29" s="2" customFormat="1" x14ac:dyDescent="0.25">
      <c r="A134" s="50" t="s">
        <v>256</v>
      </c>
      <c r="B134" s="50">
        <v>4025</v>
      </c>
      <c r="C134" s="50" t="s">
        <v>60</v>
      </c>
      <c r="D134" s="50" t="s">
        <v>257</v>
      </c>
      <c r="E134" s="26">
        <v>42542.913553240738</v>
      </c>
      <c r="F134" s="26">
        <v>42542.915069444447</v>
      </c>
      <c r="G134" s="34">
        <v>2</v>
      </c>
      <c r="H134" s="26" t="s">
        <v>258</v>
      </c>
      <c r="I134" s="26">
        <v>42542.942893518521</v>
      </c>
      <c r="J134" s="50">
        <v>0</v>
      </c>
      <c r="K134" s="50" t="str">
        <f t="shared" si="52"/>
        <v>4025/4026</v>
      </c>
      <c r="L134" s="50" t="str">
        <f>VLOOKUP(A134,'Trips&amp;Operators'!$C$1:$E$10000,3,FALSE)</f>
        <v>ADANE</v>
      </c>
      <c r="M134" s="12">
        <f t="shared" si="53"/>
        <v>2.7824074073578231E-2</v>
      </c>
      <c r="N134" s="13">
        <f t="shared" ref="N134:N145" si="59">24*60*SUM($M134:$M134)</f>
        <v>40.066666665952653</v>
      </c>
      <c r="O134" s="13"/>
      <c r="P134" s="13"/>
      <c r="Q134" s="51"/>
      <c r="R134" s="51"/>
      <c r="S134" s="85">
        <f t="shared" si="51"/>
        <v>1</v>
      </c>
      <c r="T134" s="2" t="str">
        <f t="shared" si="54"/>
        <v>NorthBound</v>
      </c>
      <c r="U134" s="2">
        <f>COUNTIFS(Variables!$M$2:$M$19, "&gt;=" &amp; Y134, Variables!$M$2:$M$19, "&lt;=" &amp; Z134)</f>
        <v>12</v>
      </c>
      <c r="V134" s="63" t="str">
        <f t="shared" si="55"/>
        <v>https://search-rtdc-monitor-bjffxe2xuh6vdkpspy63sjmuny.us-east-1.es.amazonaws.com/_plugin/kibana/#/discover/Steve-Slow-Train-Analysis-(2080s-and-2083s)?_g=(refreshInterval:(display:Off,section:0,value:0),time:(from:'2016-06-21 21:54:31-0600',mode:absolute,to:'2016-06-21 22:38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34" s="63" t="str">
        <f t="shared" si="56"/>
        <v>N</v>
      </c>
      <c r="X134" s="63">
        <f t="shared" si="57"/>
        <v>1</v>
      </c>
      <c r="Y134" s="63">
        <f t="shared" ref="Y134:Y145" si="60">RIGHT(D134,LEN(D134)-4)/10000</f>
        <v>0.11600000000000001</v>
      </c>
      <c r="Z134" s="63">
        <f t="shared" ref="Z134:Z145" si="61">RIGHT(H134,LEN(H134)-4)/10000</f>
        <v>23.328800000000001</v>
      </c>
      <c r="AA134" s="63">
        <f t="shared" si="58"/>
        <v>23.212800000000001</v>
      </c>
      <c r="AB134" s="64" t="e">
        <f>VLOOKUP(A134,Enforcements!$C$3:$J$72,8,0)</f>
        <v>#N/A</v>
      </c>
      <c r="AC134" s="64" t="e">
        <f>VLOOKUP(A134,Enforcements!$C$3:$E$72,3,0)</f>
        <v>#N/A</v>
      </c>
    </row>
    <row r="135" spans="1:29" s="2" customFormat="1" x14ac:dyDescent="0.25">
      <c r="A135" s="50" t="s">
        <v>259</v>
      </c>
      <c r="B135" s="50">
        <v>4026</v>
      </c>
      <c r="C135" s="50" t="s">
        <v>60</v>
      </c>
      <c r="D135" s="50" t="s">
        <v>84</v>
      </c>
      <c r="E135" s="26">
        <v>42542.955763888887</v>
      </c>
      <c r="F135" s="26">
        <v>42542.957013888888</v>
      </c>
      <c r="G135" s="34">
        <v>1</v>
      </c>
      <c r="H135" s="26" t="s">
        <v>78</v>
      </c>
      <c r="I135" s="26">
        <v>42542.982835648145</v>
      </c>
      <c r="J135" s="50">
        <v>0</v>
      </c>
      <c r="K135" s="50" t="str">
        <f t="shared" si="52"/>
        <v>4025/4026</v>
      </c>
      <c r="L135" s="50" t="str">
        <f>VLOOKUP(A135,'Trips&amp;Operators'!$C$1:$E$10000,3,FALSE)</f>
        <v>ADANE</v>
      </c>
      <c r="M135" s="12">
        <f t="shared" si="53"/>
        <v>2.5821759256359655E-2</v>
      </c>
      <c r="N135" s="13">
        <f t="shared" si="59"/>
        <v>37.183333329157904</v>
      </c>
      <c r="O135" s="13"/>
      <c r="P135" s="13"/>
      <c r="Q135" s="51"/>
      <c r="R135" s="51"/>
      <c r="S135" s="85">
        <f t="shared" si="51"/>
        <v>1</v>
      </c>
      <c r="T135" s="2" t="str">
        <f t="shared" si="54"/>
        <v>Southbound</v>
      </c>
      <c r="U135" s="2">
        <f>COUNTIFS(Variables!$M$2:$M$19, "&lt;=" &amp; Y135, Variables!$M$2:$M$19, "&gt;=" &amp; Z135)</f>
        <v>12</v>
      </c>
      <c r="V135" s="63" t="str">
        <f t="shared" si="55"/>
        <v>https://search-rtdc-monitor-bjffxe2xuh6vdkpspy63sjmuny.us-east-1.es.amazonaws.com/_plugin/kibana/#/discover/Steve-Slow-Train-Analysis-(2080s-and-2083s)?_g=(refreshInterval:(display:Off,section:0,value:0),time:(from:'2016-06-21 22:55:18-0600',mode:absolute,to:'2016-06-21 23:36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35" s="63" t="str">
        <f t="shared" si="56"/>
        <v>N</v>
      </c>
      <c r="X135" s="63">
        <f t="shared" si="57"/>
        <v>1</v>
      </c>
      <c r="Y135" s="63">
        <f t="shared" si="60"/>
        <v>23.297799999999999</v>
      </c>
      <c r="Z135" s="63">
        <f t="shared" si="61"/>
        <v>1.5599999999999999E-2</v>
      </c>
      <c r="AA135" s="63">
        <f t="shared" si="58"/>
        <v>23.2822</v>
      </c>
      <c r="AB135" s="64" t="e">
        <f>VLOOKUP(A135,Enforcements!$C$3:$J$72,8,0)</f>
        <v>#N/A</v>
      </c>
      <c r="AC135" s="64" t="e">
        <f>VLOOKUP(A135,Enforcements!$C$3:$E$72,3,0)</f>
        <v>#N/A</v>
      </c>
    </row>
    <row r="136" spans="1:29" s="2" customFormat="1" x14ac:dyDescent="0.25">
      <c r="A136" s="50" t="s">
        <v>260</v>
      </c>
      <c r="B136" s="50">
        <v>4020</v>
      </c>
      <c r="C136" s="50" t="s">
        <v>60</v>
      </c>
      <c r="D136" s="50" t="s">
        <v>89</v>
      </c>
      <c r="E136" s="26">
        <v>42542.923136574071</v>
      </c>
      <c r="F136" s="26">
        <v>42542.924814814818</v>
      </c>
      <c r="G136" s="34">
        <v>2</v>
      </c>
      <c r="H136" s="26" t="s">
        <v>113</v>
      </c>
      <c r="I136" s="26">
        <v>42542.964004629626</v>
      </c>
      <c r="J136" s="50">
        <v>1</v>
      </c>
      <c r="K136" s="50" t="str">
        <f t="shared" si="52"/>
        <v>4019/4020</v>
      </c>
      <c r="L136" s="50" t="str">
        <f>VLOOKUP(A136,'Trips&amp;Operators'!$C$1:$E$10000,3,FALSE)</f>
        <v>NEWELL</v>
      </c>
      <c r="M136" s="12">
        <f t="shared" si="53"/>
        <v>3.9189814808196388E-2</v>
      </c>
      <c r="N136" s="13">
        <f t="shared" si="59"/>
        <v>56.433333323802799</v>
      </c>
      <c r="O136" s="13"/>
      <c r="P136" s="13"/>
      <c r="Q136" s="51"/>
      <c r="R136" s="51"/>
      <c r="S136" s="85">
        <f t="shared" si="51"/>
        <v>1</v>
      </c>
      <c r="T136" s="2" t="str">
        <f t="shared" si="54"/>
        <v>NorthBound</v>
      </c>
      <c r="U136" s="2">
        <f>COUNTIFS(Variables!$M$2:$M$19, "&gt;=" &amp; Y136, Variables!$M$2:$M$19, "&lt;=" &amp; Z136)</f>
        <v>12</v>
      </c>
      <c r="V136" s="63" t="str">
        <f t="shared" si="55"/>
        <v>https://search-rtdc-monitor-bjffxe2xuh6vdkpspy63sjmuny.us-east-1.es.amazonaws.com/_plugin/kibana/#/discover/Steve-Slow-Train-Analysis-(2080s-and-2083s)?_g=(refreshInterval:(display:Off,section:0,value:0),time:(from:'2016-06-21 22:08:19-0600',mode:absolute,to:'2016-06-21 23:09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36" s="63" t="str">
        <f t="shared" si="56"/>
        <v>N</v>
      </c>
      <c r="X136" s="63">
        <f t="shared" si="57"/>
        <v>1</v>
      </c>
      <c r="Y136" s="63">
        <f t="shared" si="60"/>
        <v>4.58E-2</v>
      </c>
      <c r="Z136" s="63">
        <f t="shared" si="61"/>
        <v>23.329499999999999</v>
      </c>
      <c r="AA136" s="63">
        <f t="shared" si="58"/>
        <v>23.2837</v>
      </c>
      <c r="AB136" s="64">
        <f>VLOOKUP(A136,Enforcements!$C$3:$J$72,8,0)</f>
        <v>233491</v>
      </c>
      <c r="AC136" s="64" t="str">
        <f>VLOOKUP(A136,Enforcements!$C$3:$E$72,3,0)</f>
        <v>TRACK WARRANT AUTHORITY</v>
      </c>
    </row>
    <row r="137" spans="1:29" s="2" customFormat="1" x14ac:dyDescent="0.25">
      <c r="A137" s="50" t="s">
        <v>261</v>
      </c>
      <c r="B137" s="50">
        <v>4019</v>
      </c>
      <c r="C137" s="50" t="s">
        <v>60</v>
      </c>
      <c r="D137" s="50" t="s">
        <v>95</v>
      </c>
      <c r="E137" s="26">
        <v>42542.966990740744</v>
      </c>
      <c r="F137" s="26">
        <v>42542.967812499999</v>
      </c>
      <c r="G137" s="34">
        <v>1</v>
      </c>
      <c r="H137" s="26" t="s">
        <v>67</v>
      </c>
      <c r="I137" s="26">
        <v>42543.004675925928</v>
      </c>
      <c r="J137" s="50">
        <v>0</v>
      </c>
      <c r="K137" s="50" t="str">
        <f t="shared" si="52"/>
        <v>4019/4020</v>
      </c>
      <c r="L137" s="50" t="str">
        <f>VLOOKUP(A137,'Trips&amp;Operators'!$C$1:$E$10000,3,FALSE)</f>
        <v>NEWELL</v>
      </c>
      <c r="M137" s="12">
        <f t="shared" si="53"/>
        <v>3.6863425928459037E-2</v>
      </c>
      <c r="N137" s="13">
        <f t="shared" si="59"/>
        <v>53.083333336981013</v>
      </c>
      <c r="O137" s="13"/>
      <c r="P137" s="13"/>
      <c r="Q137" s="51"/>
      <c r="R137" s="51"/>
      <c r="S137" s="85">
        <f t="shared" si="51"/>
        <v>1</v>
      </c>
      <c r="T137" s="2" t="str">
        <f t="shared" si="54"/>
        <v>Southbound</v>
      </c>
      <c r="U137" s="2">
        <f>COUNTIFS(Variables!$M$2:$M$19, "&lt;=" &amp; Y137, Variables!$M$2:$M$19, "&gt;=" &amp; Z137)</f>
        <v>12</v>
      </c>
      <c r="V137" s="63" t="str">
        <f t="shared" si="55"/>
        <v>https://search-rtdc-monitor-bjffxe2xuh6vdkpspy63sjmuny.us-east-1.es.amazonaws.com/_plugin/kibana/#/discover/Steve-Slow-Train-Analysis-(2080s-and-2083s)?_g=(refreshInterval:(display:Off,section:0,value:0),time:(from:'2016-06-21 23:11:28-0600',mode:absolute,to:'2016-06-22 00:07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37" s="63" t="str">
        <f t="shared" si="56"/>
        <v>N</v>
      </c>
      <c r="X137" s="63">
        <f t="shared" si="57"/>
        <v>1</v>
      </c>
      <c r="Y137" s="63">
        <f t="shared" si="60"/>
        <v>23.297499999999999</v>
      </c>
      <c r="Z137" s="63">
        <f t="shared" si="61"/>
        <v>1.47E-2</v>
      </c>
      <c r="AA137" s="63">
        <f t="shared" si="58"/>
        <v>23.282799999999998</v>
      </c>
      <c r="AB137" s="64" t="e">
        <f>VLOOKUP(A137,Enforcements!$C$3:$J$72,8,0)</f>
        <v>#N/A</v>
      </c>
      <c r="AC137" s="64" t="e">
        <f>VLOOKUP(A137,Enforcements!$C$3:$E$72,3,0)</f>
        <v>#N/A</v>
      </c>
    </row>
    <row r="138" spans="1:29" s="2" customFormat="1" x14ac:dyDescent="0.25">
      <c r="A138" s="50" t="s">
        <v>262</v>
      </c>
      <c r="B138" s="50">
        <v>4042</v>
      </c>
      <c r="C138" s="50" t="s">
        <v>60</v>
      </c>
      <c r="D138" s="50" t="s">
        <v>263</v>
      </c>
      <c r="E138" s="26">
        <v>42542.955694444441</v>
      </c>
      <c r="F138" s="26">
        <v>42542.95652777778</v>
      </c>
      <c r="G138" s="34">
        <v>1</v>
      </c>
      <c r="H138" s="26" t="s">
        <v>264</v>
      </c>
      <c r="I138" s="26">
        <v>42542.985150462962</v>
      </c>
      <c r="J138" s="50">
        <v>1</v>
      </c>
      <c r="K138" s="50" t="str">
        <f t="shared" si="52"/>
        <v>4041/4042</v>
      </c>
      <c r="L138" s="50" t="str">
        <f>VLOOKUP(A138,'Trips&amp;Operators'!$C$1:$E$10000,3,FALSE)</f>
        <v>LEVERE</v>
      </c>
      <c r="M138" s="12">
        <f t="shared" si="53"/>
        <v>2.8622685182199348E-2</v>
      </c>
      <c r="N138" s="13">
        <f t="shared" si="59"/>
        <v>41.216666662367061</v>
      </c>
      <c r="O138" s="13"/>
      <c r="P138" s="13"/>
      <c r="Q138" s="51"/>
      <c r="R138" s="51"/>
      <c r="S138" s="85">
        <f t="shared" si="51"/>
        <v>1</v>
      </c>
      <c r="T138" s="2" t="str">
        <f t="shared" si="54"/>
        <v>NorthBound</v>
      </c>
      <c r="U138" s="2">
        <f>COUNTIFS(Variables!$M$2:$M$19, "&gt;=" &amp; Y138, Variables!$M$2:$M$19, "&lt;=" &amp; Z138)</f>
        <v>12</v>
      </c>
      <c r="V138" s="63" t="str">
        <f t="shared" si="55"/>
        <v>https://search-rtdc-monitor-bjffxe2xuh6vdkpspy63sjmuny.us-east-1.es.amazonaws.com/_plugin/kibana/#/discover/Steve-Slow-Train-Analysis-(2080s-and-2083s)?_g=(refreshInterval:(display:Off,section:0,value:0),time:(from:'2016-06-21 22:55:12-0600',mode:absolute,to:'2016-06-21 23:39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38" s="63" t="str">
        <f t="shared" si="56"/>
        <v>N</v>
      </c>
      <c r="X138" s="63">
        <f t="shared" si="57"/>
        <v>1</v>
      </c>
      <c r="Y138" s="63">
        <f t="shared" si="60"/>
        <v>5.0799999999999998E-2</v>
      </c>
      <c r="Z138" s="63">
        <f t="shared" si="61"/>
        <v>23.326799999999999</v>
      </c>
      <c r="AA138" s="63">
        <f t="shared" si="58"/>
        <v>23.276</v>
      </c>
      <c r="AB138" s="64">
        <f>VLOOKUP(A138,Enforcements!$C$3:$J$72,8,0)</f>
        <v>233491</v>
      </c>
      <c r="AC138" s="64" t="str">
        <f>VLOOKUP(A138,Enforcements!$C$3:$E$72,3,0)</f>
        <v>TRACK WARRANT AUTHORITY</v>
      </c>
    </row>
    <row r="139" spans="1:29" s="2" customFormat="1" x14ac:dyDescent="0.25">
      <c r="A139" s="50" t="s">
        <v>265</v>
      </c>
      <c r="B139" s="50">
        <v>4041</v>
      </c>
      <c r="C139" s="50" t="s">
        <v>60</v>
      </c>
      <c r="D139" s="50" t="s">
        <v>266</v>
      </c>
      <c r="E139" s="26">
        <v>42542.990902777776</v>
      </c>
      <c r="F139" s="26">
        <v>42542.991898148146</v>
      </c>
      <c r="G139" s="34">
        <v>1</v>
      </c>
      <c r="H139" s="26" t="s">
        <v>107</v>
      </c>
      <c r="I139" s="26">
        <v>42543.026018518518</v>
      </c>
      <c r="J139" s="50">
        <v>0</v>
      </c>
      <c r="K139" s="50" t="str">
        <f t="shared" si="52"/>
        <v>4041/4042</v>
      </c>
      <c r="L139" s="50" t="str">
        <f>VLOOKUP(A139,'Trips&amp;Operators'!$C$1:$E$10000,3,FALSE)</f>
        <v>LEVERE</v>
      </c>
      <c r="M139" s="12">
        <f t="shared" si="53"/>
        <v>3.4120370371965691E-2</v>
      </c>
      <c r="N139" s="13">
        <f t="shared" si="59"/>
        <v>49.133333335630596</v>
      </c>
      <c r="O139" s="13"/>
      <c r="P139" s="13"/>
      <c r="Q139" s="51"/>
      <c r="R139" s="51"/>
      <c r="S139" s="85">
        <f t="shared" si="51"/>
        <v>1</v>
      </c>
      <c r="T139" s="2" t="str">
        <f t="shared" si="54"/>
        <v>Southbound</v>
      </c>
      <c r="U139" s="2">
        <f>COUNTIFS(Variables!$M$2:$M$19, "&lt;=" &amp; Y139, Variables!$M$2:$M$19, "&gt;=" &amp; Z139)</f>
        <v>12</v>
      </c>
      <c r="V139" s="63" t="str">
        <f t="shared" si="55"/>
        <v>https://search-rtdc-monitor-bjffxe2xuh6vdkpspy63sjmuny.us-east-1.es.amazonaws.com/_plugin/kibana/#/discover/Steve-Slow-Train-Analysis-(2080s-and-2083s)?_g=(refreshInterval:(display:Off,section:0,value:0),time:(from:'2016-06-21 23:45:54-0600',mode:absolute,to:'2016-06-22 00:38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39" s="63" t="str">
        <f t="shared" si="56"/>
        <v>N</v>
      </c>
      <c r="X139" s="63">
        <f t="shared" si="57"/>
        <v>1</v>
      </c>
      <c r="Y139" s="63">
        <f t="shared" si="60"/>
        <v>23.295300000000001</v>
      </c>
      <c r="Z139" s="63">
        <f t="shared" si="61"/>
        <v>1.61E-2</v>
      </c>
      <c r="AA139" s="63">
        <f t="shared" si="58"/>
        <v>23.279199999999999</v>
      </c>
      <c r="AB139" s="64" t="e">
        <f>VLOOKUP(A139,Enforcements!$C$3:$J$72,8,0)</f>
        <v>#N/A</v>
      </c>
      <c r="AC139" s="64" t="e">
        <f>VLOOKUP(A139,Enforcements!$C$3:$E$72,3,0)</f>
        <v>#N/A</v>
      </c>
    </row>
    <row r="140" spans="1:29" s="2" customFormat="1" x14ac:dyDescent="0.25">
      <c r="A140" s="50" t="s">
        <v>267</v>
      </c>
      <c r="B140" s="50">
        <v>4029</v>
      </c>
      <c r="C140" s="50" t="s">
        <v>60</v>
      </c>
      <c r="D140" s="50" t="s">
        <v>268</v>
      </c>
      <c r="E140" s="26">
        <v>42542.975821759261</v>
      </c>
      <c r="F140" s="26">
        <v>42542.977048611108</v>
      </c>
      <c r="G140" s="34">
        <v>1</v>
      </c>
      <c r="H140" s="26" t="s">
        <v>163</v>
      </c>
      <c r="I140" s="26">
        <v>42543.00582175926</v>
      </c>
      <c r="J140" s="50">
        <v>0</v>
      </c>
      <c r="K140" s="50" t="str">
        <f t="shared" si="52"/>
        <v>4029/4030</v>
      </c>
      <c r="L140" s="50" t="str">
        <f>VLOOKUP(A140,'Trips&amp;Operators'!$C$1:$E$10000,3,FALSE)</f>
        <v>MAELZER</v>
      </c>
      <c r="M140" s="12">
        <f t="shared" si="53"/>
        <v>2.8773148151230998E-2</v>
      </c>
      <c r="N140" s="13">
        <f t="shared" si="59"/>
        <v>41.433333337772638</v>
      </c>
      <c r="O140" s="13"/>
      <c r="P140" s="13"/>
      <c r="Q140" s="51"/>
      <c r="R140" s="51"/>
      <c r="S140" s="85">
        <f t="shared" si="51"/>
        <v>1</v>
      </c>
      <c r="T140" s="2" t="str">
        <f t="shared" si="54"/>
        <v>NorthBound</v>
      </c>
      <c r="U140" s="2">
        <f>COUNTIFS(Variables!$M$2:$M$19, "&gt;=" &amp; Y140, Variables!$M$2:$M$19, "&lt;=" &amp; Z140)</f>
        <v>12</v>
      </c>
      <c r="V140" s="63" t="str">
        <f t="shared" si="55"/>
        <v>https://search-rtdc-monitor-bjffxe2xuh6vdkpspy63sjmuny.us-east-1.es.amazonaws.com/_plugin/kibana/#/discover/Steve-Slow-Train-Analysis-(2080s-and-2083s)?_g=(refreshInterval:(display:Off,section:0,value:0),time:(from:'2016-06-21 23:24:11-0600',mode:absolute,to:'2016-06-22 00:09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40" s="63" t="str">
        <f t="shared" si="56"/>
        <v>N</v>
      </c>
      <c r="X140" s="63">
        <f t="shared" si="57"/>
        <v>1</v>
      </c>
      <c r="Y140" s="63">
        <f t="shared" si="60"/>
        <v>4.4200000000000003E-2</v>
      </c>
      <c r="Z140" s="63">
        <f t="shared" si="61"/>
        <v>23.3278</v>
      </c>
      <c r="AA140" s="63">
        <f t="shared" si="58"/>
        <v>23.2836</v>
      </c>
      <c r="AB140" s="64" t="e">
        <f>VLOOKUP(A140,Enforcements!$C$3:$J$72,8,0)</f>
        <v>#N/A</v>
      </c>
      <c r="AC140" s="64" t="e">
        <f>VLOOKUP(A140,Enforcements!$C$3:$E$72,3,0)</f>
        <v>#N/A</v>
      </c>
    </row>
    <row r="141" spans="1:29" s="2" customFormat="1" x14ac:dyDescent="0.25">
      <c r="A141" s="50" t="s">
        <v>269</v>
      </c>
      <c r="B141" s="50">
        <v>4030</v>
      </c>
      <c r="C141" s="50" t="s">
        <v>60</v>
      </c>
      <c r="D141" s="50" t="s">
        <v>95</v>
      </c>
      <c r="E141" s="26">
        <v>42543.015347222223</v>
      </c>
      <c r="F141" s="26">
        <v>42543.017256944448</v>
      </c>
      <c r="G141" s="34">
        <v>2</v>
      </c>
      <c r="H141" s="26" t="s">
        <v>62</v>
      </c>
      <c r="I141" s="26">
        <v>42543.046273148146</v>
      </c>
      <c r="J141" s="50">
        <v>1</v>
      </c>
      <c r="K141" s="50" t="str">
        <f t="shared" si="52"/>
        <v>4029/4030</v>
      </c>
      <c r="L141" s="50" t="str">
        <f>VLOOKUP(A141,'Trips&amp;Operators'!$C$1:$E$10000,3,FALSE)</f>
        <v>MAELZER</v>
      </c>
      <c r="M141" s="12">
        <f t="shared" si="53"/>
        <v>2.901620369812008E-2</v>
      </c>
      <c r="N141" s="13">
        <f t="shared" si="59"/>
        <v>41.783333325292915</v>
      </c>
      <c r="O141" s="13"/>
      <c r="P141" s="13"/>
      <c r="Q141" s="51"/>
      <c r="R141" s="51"/>
      <c r="S141" s="85">
        <f t="shared" si="51"/>
        <v>1</v>
      </c>
      <c r="T141" s="2" t="str">
        <f t="shared" si="54"/>
        <v>Southbound</v>
      </c>
      <c r="U141" s="2">
        <f>COUNTIFS(Variables!$M$2:$M$19, "&lt;=" &amp; Y141, Variables!$M$2:$M$19, "&gt;=" &amp; Z141)</f>
        <v>12</v>
      </c>
      <c r="V141" s="63" t="str">
        <f t="shared" si="55"/>
        <v>https://search-rtdc-monitor-bjffxe2xuh6vdkpspy63sjmuny.us-east-1.es.amazonaws.com/_plugin/kibana/#/discover/Steve-Slow-Train-Analysis-(2080s-and-2083s)?_g=(refreshInterval:(display:Off,section:0,value:0),time:(from:'2016-06-22 00:21:06-0600',mode:absolute,to:'2016-06-22 01:07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41" s="63" t="str">
        <f t="shared" si="56"/>
        <v>N</v>
      </c>
      <c r="X141" s="63">
        <f t="shared" si="57"/>
        <v>1</v>
      </c>
      <c r="Y141" s="63">
        <f t="shared" si="60"/>
        <v>23.297499999999999</v>
      </c>
      <c r="Z141" s="63">
        <f t="shared" si="61"/>
        <v>1.52E-2</v>
      </c>
      <c r="AA141" s="63">
        <f t="shared" si="58"/>
        <v>23.282299999999999</v>
      </c>
      <c r="AB141" s="64">
        <f>VLOOKUP(A141,Enforcements!$C$3:$J$72,8,0)</f>
        <v>21848</v>
      </c>
      <c r="AC141" s="64" t="str">
        <f>VLOOKUP(A141,Enforcements!$C$3:$E$72,3,0)</f>
        <v>PERMANENT SPEED RESTRICTION</v>
      </c>
    </row>
    <row r="142" spans="1:29" s="2" customFormat="1" x14ac:dyDescent="0.25">
      <c r="A142" s="50" t="s">
        <v>270</v>
      </c>
      <c r="B142" s="50">
        <v>4025</v>
      </c>
      <c r="C142" s="50" t="s">
        <v>60</v>
      </c>
      <c r="D142" s="50" t="s">
        <v>73</v>
      </c>
      <c r="E142" s="26">
        <v>42542.996365740742</v>
      </c>
      <c r="F142" s="26">
        <v>42542.997476851851</v>
      </c>
      <c r="G142" s="34">
        <v>1</v>
      </c>
      <c r="H142" s="26" t="s">
        <v>271</v>
      </c>
      <c r="I142" s="26">
        <v>42543.027199074073</v>
      </c>
      <c r="J142" s="50">
        <v>1</v>
      </c>
      <c r="K142" s="50" t="str">
        <f t="shared" si="52"/>
        <v>4025/4026</v>
      </c>
      <c r="L142" s="50" t="str">
        <f>VLOOKUP(A142,'Trips&amp;Operators'!$C$1:$E$10000,3,FALSE)</f>
        <v>ADANE</v>
      </c>
      <c r="M142" s="12">
        <f t="shared" si="53"/>
        <v>2.9722222221607808E-2</v>
      </c>
      <c r="N142" s="13">
        <f t="shared" si="59"/>
        <v>42.799999999115244</v>
      </c>
      <c r="O142" s="13"/>
      <c r="P142" s="13"/>
      <c r="Q142" s="51"/>
      <c r="R142" s="51"/>
      <c r="S142" s="85">
        <f t="shared" si="51"/>
        <v>1</v>
      </c>
      <c r="T142" s="2" t="str">
        <f t="shared" si="54"/>
        <v>NorthBound</v>
      </c>
      <c r="U142" s="2">
        <f>COUNTIFS(Variables!$M$2:$M$19, "&gt;=" &amp; Y142, Variables!$M$2:$M$19, "&lt;=" &amp; Z142)</f>
        <v>12</v>
      </c>
      <c r="V142" s="63" t="str">
        <f t="shared" si="55"/>
        <v>https://search-rtdc-monitor-bjffxe2xuh6vdkpspy63sjmuny.us-east-1.es.amazonaws.com/_plugin/kibana/#/discover/Steve-Slow-Train-Analysis-(2080s-and-2083s)?_g=(refreshInterval:(display:Off,section:0,value:0),time:(from:'2016-06-21 23:53:46-0600',mode:absolute,to:'2016-06-22 00:40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42" s="63" t="str">
        <f t="shared" si="56"/>
        <v>N</v>
      </c>
      <c r="X142" s="63">
        <f t="shared" si="57"/>
        <v>1</v>
      </c>
      <c r="Y142" s="63">
        <f t="shared" si="60"/>
        <v>4.6199999999999998E-2</v>
      </c>
      <c r="Z142" s="63">
        <f t="shared" si="61"/>
        <v>23.3322</v>
      </c>
      <c r="AA142" s="63">
        <f t="shared" si="58"/>
        <v>23.286000000000001</v>
      </c>
      <c r="AB142" s="64">
        <f>VLOOKUP(A142,Enforcements!$C$3:$J$72,8,0)</f>
        <v>108954</v>
      </c>
      <c r="AC142" s="64" t="str">
        <f>VLOOKUP(A142,Enforcements!$C$3:$E$72,3,0)</f>
        <v>GRADE CROSSING</v>
      </c>
    </row>
    <row r="143" spans="1:29" s="2" customFormat="1" x14ac:dyDescent="0.25">
      <c r="A143" s="50" t="s">
        <v>272</v>
      </c>
      <c r="B143" s="50">
        <v>4026</v>
      </c>
      <c r="C143" s="50" t="s">
        <v>60</v>
      </c>
      <c r="D143" s="50" t="s">
        <v>273</v>
      </c>
      <c r="E143" s="26">
        <v>42543.036770833336</v>
      </c>
      <c r="F143" s="26">
        <v>42543.037986111114</v>
      </c>
      <c r="G143" s="34">
        <v>1</v>
      </c>
      <c r="H143" s="26" t="s">
        <v>154</v>
      </c>
      <c r="I143" s="26">
        <v>42543.065300925926</v>
      </c>
      <c r="J143" s="50">
        <v>1</v>
      </c>
      <c r="K143" s="50" t="str">
        <f t="shared" si="52"/>
        <v>4025/4026</v>
      </c>
      <c r="L143" s="50" t="str">
        <f>VLOOKUP(A143,'Trips&amp;Operators'!$C$1:$E$10000,3,FALSE)</f>
        <v>ADANE</v>
      </c>
      <c r="M143" s="12">
        <f t="shared" si="53"/>
        <v>2.7314814811688848E-2</v>
      </c>
      <c r="N143" s="13">
        <f t="shared" si="59"/>
        <v>39.333333328831941</v>
      </c>
      <c r="O143" s="13"/>
      <c r="P143" s="13"/>
      <c r="Q143" s="51"/>
      <c r="R143" s="51"/>
      <c r="S143" s="85">
        <f t="shared" si="51"/>
        <v>1</v>
      </c>
      <c r="T143" s="2" t="str">
        <f t="shared" si="54"/>
        <v>Southbound</v>
      </c>
      <c r="U143" s="2">
        <f>COUNTIFS(Variables!$M$2:$M$19, "&lt;=" &amp; Y143, Variables!$M$2:$M$19, "&gt;=" &amp; Z143)</f>
        <v>12</v>
      </c>
      <c r="V143" s="63" t="str">
        <f t="shared" si="55"/>
        <v>https://search-rtdc-monitor-bjffxe2xuh6vdkpspy63sjmuny.us-east-1.es.amazonaws.com/_plugin/kibana/#/discover/Steve-Slow-Train-Analysis-(2080s-and-2083s)?_g=(refreshInterval:(display:Off,section:0,value:0),time:(from:'2016-06-22 00:51:57-0600',mode:absolute,to:'2016-06-22 01:35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43" s="63" t="str">
        <f t="shared" si="56"/>
        <v>N</v>
      </c>
      <c r="X143" s="63">
        <f t="shared" si="57"/>
        <v>1</v>
      </c>
      <c r="Y143" s="63">
        <f t="shared" si="60"/>
        <v>23.298999999999999</v>
      </c>
      <c r="Z143" s="63">
        <f t="shared" si="61"/>
        <v>1.4999999999999999E-2</v>
      </c>
      <c r="AA143" s="63">
        <f t="shared" si="58"/>
        <v>23.283999999999999</v>
      </c>
      <c r="AB143" s="64">
        <f>VLOOKUP(A143,Enforcements!$C$3:$J$72,8,0)</f>
        <v>190834</v>
      </c>
      <c r="AC143" s="64" t="str">
        <f>VLOOKUP(A143,Enforcements!$C$3:$E$72,3,0)</f>
        <v>PERMANENT SPEED RESTRICTION</v>
      </c>
    </row>
    <row r="144" spans="1:29" s="2" customFormat="1" x14ac:dyDescent="0.25">
      <c r="A144" s="50" t="s">
        <v>274</v>
      </c>
      <c r="B144" s="50">
        <v>4020</v>
      </c>
      <c r="C144" s="50" t="s">
        <v>60</v>
      </c>
      <c r="D144" s="50" t="s">
        <v>82</v>
      </c>
      <c r="E144" s="26">
        <v>42543.014826388891</v>
      </c>
      <c r="F144" s="26">
        <v>42543.015821759262</v>
      </c>
      <c r="G144" s="34">
        <v>1</v>
      </c>
      <c r="H144" s="26" t="s">
        <v>122</v>
      </c>
      <c r="I144" s="26">
        <v>42543.046226851853</v>
      </c>
      <c r="J144" s="50">
        <v>0</v>
      </c>
      <c r="K144" s="50" t="str">
        <f t="shared" si="52"/>
        <v>4019/4020</v>
      </c>
      <c r="L144" s="50" t="str">
        <f>VLOOKUP(A144,'Trips&amp;Operators'!$C$1:$E$10000,3,FALSE)</f>
        <v>NEWELL</v>
      </c>
      <c r="M144" s="12">
        <f t="shared" si="53"/>
        <v>3.0405092591536231E-2</v>
      </c>
      <c r="N144" s="13">
        <f t="shared" si="59"/>
        <v>43.783333331812173</v>
      </c>
      <c r="O144" s="13"/>
      <c r="P144" s="13"/>
      <c r="Q144" s="51"/>
      <c r="R144" s="51"/>
      <c r="S144" s="85">
        <f t="shared" si="51"/>
        <v>1</v>
      </c>
      <c r="T144" s="2" t="str">
        <f t="shared" si="54"/>
        <v>NorthBound</v>
      </c>
      <c r="U144" s="2">
        <f>COUNTIFS(Variables!$M$2:$M$19, "&gt;=" &amp; Y144, Variables!$M$2:$M$19, "&lt;=" &amp; Z144)</f>
        <v>12</v>
      </c>
      <c r="V144" s="63" t="str">
        <f t="shared" si="55"/>
        <v>https://search-rtdc-monitor-bjffxe2xuh6vdkpspy63sjmuny.us-east-1.es.amazonaws.com/_plugin/kibana/#/discover/Steve-Slow-Train-Analysis-(2080s-and-2083s)?_g=(refreshInterval:(display:Off,section:0,value:0),time:(from:'2016-06-22 00:20:21-0600',mode:absolute,to:'2016-06-22 01:07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44" s="63" t="str">
        <f t="shared" si="56"/>
        <v>N</v>
      </c>
      <c r="X144" s="63">
        <f t="shared" si="57"/>
        <v>1</v>
      </c>
      <c r="Y144" s="63">
        <f t="shared" si="60"/>
        <v>4.53E-2</v>
      </c>
      <c r="Z144" s="63">
        <f t="shared" si="61"/>
        <v>23.329699999999999</v>
      </c>
      <c r="AA144" s="63">
        <f t="shared" si="58"/>
        <v>23.284399999999998</v>
      </c>
      <c r="AB144" s="64" t="e">
        <f>VLOOKUP(A144,Enforcements!$C$3:$J$72,8,0)</f>
        <v>#N/A</v>
      </c>
      <c r="AC144" s="64" t="e">
        <f>VLOOKUP(A144,Enforcements!$C$3:$E$72,3,0)</f>
        <v>#N/A</v>
      </c>
    </row>
    <row r="145" spans="1:29" s="2" customFormat="1" x14ac:dyDescent="0.25">
      <c r="A145" s="50" t="s">
        <v>275</v>
      </c>
      <c r="B145" s="50">
        <v>4019</v>
      </c>
      <c r="C145" s="50" t="s">
        <v>60</v>
      </c>
      <c r="D145" s="50" t="s">
        <v>239</v>
      </c>
      <c r="E145" s="26">
        <v>42543.055439814816</v>
      </c>
      <c r="F145" s="26">
        <v>42543.056423611109</v>
      </c>
      <c r="G145" s="34">
        <v>1</v>
      </c>
      <c r="H145" s="26" t="s">
        <v>67</v>
      </c>
      <c r="I145" s="26">
        <v>42543.088437500002</v>
      </c>
      <c r="J145" s="50">
        <v>1</v>
      </c>
      <c r="K145" s="50" t="str">
        <f t="shared" si="52"/>
        <v>4019/4020</v>
      </c>
      <c r="L145" s="50" t="str">
        <f>VLOOKUP(A145,'Trips&amp;Operators'!$C$1:$E$10000,3,FALSE)</f>
        <v>NEWELL</v>
      </c>
      <c r="M145" s="12">
        <f t="shared" si="53"/>
        <v>3.2013888892834075E-2</v>
      </c>
      <c r="N145" s="13">
        <f t="shared" si="59"/>
        <v>46.100000005681068</v>
      </c>
      <c r="O145" s="13"/>
      <c r="P145" s="13"/>
      <c r="Q145" s="51"/>
      <c r="R145" s="51"/>
      <c r="S145" s="85">
        <f t="shared" si="51"/>
        <v>1</v>
      </c>
      <c r="T145" s="2" t="str">
        <f t="shared" si="54"/>
        <v>Southbound</v>
      </c>
      <c r="U145" s="2">
        <f>COUNTIFS(Variables!$M$2:$M$19, "&lt;=" &amp; Y145, Variables!$M$2:$M$19, "&gt;=" &amp; Z145)</f>
        <v>12</v>
      </c>
      <c r="V145" s="63" t="str">
        <f t="shared" si="55"/>
        <v>https://search-rtdc-monitor-bjffxe2xuh6vdkpspy63sjmuny.us-east-1.es.amazonaws.com/_plugin/kibana/#/discover/Steve-Slow-Train-Analysis-(2080s-and-2083s)?_g=(refreshInterval:(display:Off,section:0,value:0),time:(from:'2016-06-22 01:18:50-0600',mode:absolute,to:'2016-06-22 02:08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45" s="63" t="str">
        <f t="shared" si="56"/>
        <v>N</v>
      </c>
      <c r="X145" s="63">
        <f>VALUE(LEFT(A145,3))-VALUE(LEFT(A141,3))</f>
        <v>4</v>
      </c>
      <c r="Y145" s="63">
        <f t="shared" si="60"/>
        <v>23.2971</v>
      </c>
      <c r="Z145" s="63">
        <f t="shared" si="61"/>
        <v>1.47E-2</v>
      </c>
      <c r="AA145" s="63">
        <f t="shared" si="58"/>
        <v>23.282399999999999</v>
      </c>
      <c r="AB145" s="64" t="e">
        <f>VLOOKUP(A145,Enforcements!$C$3:$J$72,8,0)</f>
        <v>#N/A</v>
      </c>
      <c r="AC145" s="64" t="e">
        <f>VLOOKUP(A145,Enforcements!$C$3:$E$72,3,0)</f>
        <v>#N/A</v>
      </c>
    </row>
    <row r="146" spans="1:29" s="2" customFormat="1" x14ac:dyDescent="0.25">
      <c r="B146" s="52"/>
      <c r="C146" s="52"/>
      <c r="D146" s="52"/>
      <c r="E146" s="53"/>
      <c r="F146" s="53"/>
      <c r="G146" s="54"/>
      <c r="H146" s="53"/>
      <c r="I146" s="53"/>
      <c r="J146" s="52"/>
      <c r="K146" s="52"/>
      <c r="L146" s="52"/>
      <c r="M146" s="55"/>
      <c r="N146" s="56"/>
      <c r="O146" s="56"/>
      <c r="P146" s="56"/>
      <c r="Q146" s="57"/>
      <c r="R146" s="57"/>
      <c r="S146" s="57"/>
      <c r="V146" s="63"/>
      <c r="W146" s="63"/>
      <c r="X146" s="63"/>
      <c r="Y146" s="63"/>
      <c r="Z146" s="63"/>
      <c r="AA146" s="63"/>
      <c r="AB146" s="64"/>
      <c r="AC146" s="64"/>
    </row>
    <row r="147" spans="1:29" s="2" customFormat="1" ht="15.75" thickBot="1" x14ac:dyDescent="0.3">
      <c r="B147" s="52"/>
      <c r="C147" s="52"/>
      <c r="D147" s="52"/>
      <c r="E147" s="53"/>
      <c r="F147" s="53"/>
      <c r="G147" s="54"/>
      <c r="H147" s="53"/>
      <c r="I147" s="53"/>
      <c r="J147" s="52"/>
      <c r="K147" s="52"/>
      <c r="L147" s="52"/>
      <c r="M147" s="55"/>
      <c r="N147" s="56"/>
      <c r="O147" s="56"/>
      <c r="P147" s="56"/>
      <c r="Q147" s="57"/>
      <c r="R147" s="57"/>
      <c r="S147" s="57"/>
      <c r="V147" s="58"/>
      <c r="W147" s="58"/>
      <c r="X147" s="58"/>
      <c r="Y147" s="58"/>
      <c r="Z147" s="58"/>
      <c r="AA147" s="58"/>
      <c r="AB147" s="59"/>
      <c r="AC147" s="59"/>
    </row>
    <row r="148" spans="1:29" s="2" customFormat="1" ht="15.75" thickBot="1" x14ac:dyDescent="0.3">
      <c r="E148" s="27"/>
      <c r="F148" s="27"/>
      <c r="G148" s="35"/>
      <c r="H148" s="27"/>
      <c r="I148" s="94">
        <f>Variables!A2</f>
        <v>42542</v>
      </c>
      <c r="J148" s="95"/>
      <c r="K148" s="65"/>
      <c r="L148" s="65"/>
      <c r="M148" s="96" t="s">
        <v>8</v>
      </c>
      <c r="N148" s="97"/>
      <c r="O148" s="98"/>
      <c r="P148" s="5"/>
      <c r="V148" s="46"/>
      <c r="W148" s="46"/>
      <c r="X148" s="46"/>
      <c r="Y148" s="46"/>
      <c r="Z148" s="46"/>
      <c r="AA148" s="46"/>
      <c r="AB148" s="47"/>
      <c r="AC148" s="47"/>
    </row>
    <row r="149" spans="1:29" s="2" customFormat="1" ht="15.75" thickBot="1" x14ac:dyDescent="0.3">
      <c r="E149" s="27"/>
      <c r="F149" s="27"/>
      <c r="G149" s="35"/>
      <c r="H149" s="27"/>
      <c r="I149" s="99" t="s">
        <v>10</v>
      </c>
      <c r="J149" s="100"/>
      <c r="K149" s="31"/>
      <c r="L149" s="48"/>
      <c r="M149" s="9" t="s">
        <v>11</v>
      </c>
      <c r="N149" s="6" t="s">
        <v>12</v>
      </c>
      <c r="O149" s="7" t="s">
        <v>13</v>
      </c>
      <c r="P149" s="5"/>
      <c r="V149" s="46"/>
      <c r="W149" s="46"/>
      <c r="X149" s="46"/>
      <c r="Y149" s="46"/>
      <c r="Z149" s="46"/>
      <c r="AA149" s="46"/>
      <c r="AB149" s="47"/>
      <c r="AC149" s="47"/>
    </row>
    <row r="150" spans="1:29" s="2" customFormat="1" ht="15.75" thickBot="1" x14ac:dyDescent="0.3">
      <c r="E150" s="27"/>
      <c r="F150" s="27"/>
      <c r="G150" s="35"/>
      <c r="H150" s="27"/>
      <c r="I150" s="28" t="s">
        <v>14</v>
      </c>
      <c r="J150" s="3">
        <f>COUNT(N3:P145)</f>
        <v>137</v>
      </c>
      <c r="K150" s="3"/>
      <c r="L150" s="3"/>
      <c r="M150" s="60" t="s">
        <v>15</v>
      </c>
      <c r="N150" s="6" t="s">
        <v>15</v>
      </c>
      <c r="O150" s="7" t="s">
        <v>15</v>
      </c>
      <c r="P150" s="5"/>
      <c r="V150" s="46"/>
      <c r="W150" s="46"/>
      <c r="X150" s="46"/>
      <c r="Y150" s="46"/>
      <c r="Z150" s="46"/>
      <c r="AA150" s="46"/>
      <c r="AB150" s="47"/>
      <c r="AC150" s="47"/>
    </row>
    <row r="151" spans="1:29" s="2" customFormat="1" ht="15.75" thickBot="1" x14ac:dyDescent="0.3">
      <c r="E151" s="27"/>
      <c r="F151" s="27"/>
      <c r="G151" s="35"/>
      <c r="H151" s="27"/>
      <c r="I151" s="28" t="s">
        <v>17</v>
      </c>
      <c r="J151" s="3">
        <f>COUNT(N3:N145)</f>
        <v>108</v>
      </c>
      <c r="K151" s="3"/>
      <c r="L151" s="3"/>
      <c r="M151" s="60">
        <f>AVERAGE(N3:N145)</f>
        <v>45.515586419205647</v>
      </c>
      <c r="N151" s="6">
        <f>MIN(N3:N145)</f>
        <v>36.333333329530433</v>
      </c>
      <c r="O151" s="7">
        <f>MAX(N3:N145)</f>
        <v>59.516666665440425</v>
      </c>
      <c r="P151" s="5"/>
      <c r="V151" s="46"/>
      <c r="W151" s="46"/>
      <c r="X151" s="46"/>
      <c r="Y151" s="46"/>
      <c r="Z151" s="46"/>
      <c r="AA151" s="46"/>
      <c r="AB151" s="47"/>
      <c r="AC151" s="47"/>
    </row>
    <row r="152" spans="1:29" s="2" customFormat="1" ht="15.75" thickBot="1" x14ac:dyDescent="0.3">
      <c r="B152" s="49"/>
      <c r="C152" s="49"/>
      <c r="D152" s="49"/>
      <c r="E152" s="14"/>
      <c r="F152" s="14"/>
      <c r="G152" s="36"/>
      <c r="H152" s="14"/>
      <c r="I152" s="29" t="s">
        <v>43</v>
      </c>
      <c r="J152" s="3">
        <f>COUNT(O3:O145)</f>
        <v>0</v>
      </c>
      <c r="K152" s="3"/>
      <c r="L152" s="3"/>
      <c r="M152" s="60">
        <f>IFERROR(AVERAGE(O3:O145),0)</f>
        <v>0</v>
      </c>
      <c r="N152" s="6">
        <f>MIN(O3:O145)</f>
        <v>0</v>
      </c>
      <c r="O152" s="7">
        <f>MAX(O3:O145)</f>
        <v>0</v>
      </c>
      <c r="P152" s="4"/>
      <c r="Q152"/>
      <c r="R152"/>
      <c r="S152" s="49"/>
      <c r="T152"/>
      <c r="U152" s="49"/>
      <c r="V152" s="44"/>
      <c r="W152" s="44"/>
      <c r="X152" s="44"/>
      <c r="Y152" s="44"/>
      <c r="Z152" s="44"/>
      <c r="AA152" s="44"/>
      <c r="AB152" s="45"/>
      <c r="AC152" s="45"/>
    </row>
    <row r="153" spans="1:29" s="2" customFormat="1" ht="15.75" thickBot="1" x14ac:dyDescent="0.3">
      <c r="B153" s="49"/>
      <c r="C153" s="49"/>
      <c r="D153" s="49"/>
      <c r="E153" s="14"/>
      <c r="F153" s="14"/>
      <c r="G153" s="36"/>
      <c r="H153" s="14"/>
      <c r="I153" s="30" t="s">
        <v>9</v>
      </c>
      <c r="J153" s="3">
        <f>COUNT(P3:P145)</f>
        <v>29</v>
      </c>
      <c r="K153" s="3"/>
      <c r="L153" s="3"/>
      <c r="M153" s="60" t="s">
        <v>15</v>
      </c>
      <c r="N153" s="6" t="s">
        <v>15</v>
      </c>
      <c r="O153" s="7" t="s">
        <v>15</v>
      </c>
      <c r="P153" s="4"/>
      <c r="Q153"/>
      <c r="R153"/>
      <c r="S153" s="49"/>
      <c r="T153"/>
      <c r="U153" s="49"/>
      <c r="V153" s="44"/>
      <c r="W153" s="44"/>
      <c r="X153" s="44"/>
      <c r="Y153" s="44"/>
      <c r="Z153" s="44"/>
      <c r="AA153" s="44"/>
      <c r="AB153" s="45"/>
      <c r="AC153" s="45"/>
    </row>
    <row r="154" spans="1:29" s="2" customFormat="1" ht="30.75" thickBot="1" x14ac:dyDescent="0.3">
      <c r="E154" s="27"/>
      <c r="F154" s="27"/>
      <c r="G154" s="35"/>
      <c r="H154" s="27"/>
      <c r="I154" s="28" t="s">
        <v>16</v>
      </c>
      <c r="J154" s="3">
        <f>COUNT(N3:O145)</f>
        <v>108</v>
      </c>
      <c r="K154" s="3"/>
      <c r="L154" s="3"/>
      <c r="M154" s="60">
        <f>AVERAGE(N3:P145)</f>
        <v>42.261070559290751</v>
      </c>
      <c r="N154" s="6">
        <f>MIN(N3:O145)</f>
        <v>36.333333329530433</v>
      </c>
      <c r="O154" s="7">
        <f>MAX(N3:O145)</f>
        <v>59.516666665440425</v>
      </c>
      <c r="P154" s="5"/>
      <c r="V154" s="46"/>
      <c r="W154" s="46"/>
      <c r="X154" s="46"/>
      <c r="Y154" s="46"/>
      <c r="Z154" s="46"/>
      <c r="AA154" s="46"/>
      <c r="AB154" s="47"/>
      <c r="AC154" s="47"/>
    </row>
    <row r="155" spans="1:29" s="2" customFormat="1" ht="30.75" thickBot="1" x14ac:dyDescent="0.3">
      <c r="B155" s="49"/>
      <c r="C155" s="49"/>
      <c r="D155" s="49"/>
      <c r="E155" s="14"/>
      <c r="F155" s="14"/>
      <c r="G155" s="36"/>
      <c r="H155" s="14"/>
      <c r="I155" s="28" t="s">
        <v>19</v>
      </c>
      <c r="J155" s="8">
        <f>J154/J150</f>
        <v>0.78832116788321172</v>
      </c>
      <c r="K155" s="8"/>
      <c r="L155" s="8"/>
      <c r="M155" s="1"/>
      <c r="N155" s="4"/>
      <c r="O155" s="4"/>
      <c r="P155" s="4"/>
      <c r="Q155"/>
      <c r="R155"/>
      <c r="S155" s="49"/>
      <c r="T155"/>
      <c r="U155" s="49"/>
      <c r="V155" s="44"/>
      <c r="W155" s="44"/>
      <c r="X155" s="44"/>
      <c r="Y155" s="44"/>
      <c r="Z155" s="44"/>
      <c r="AA155" s="44"/>
      <c r="AB155" s="45"/>
      <c r="AC155" s="45"/>
    </row>
    <row r="156" spans="1:29" s="2" customFormat="1" x14ac:dyDescent="0.25">
      <c r="B156" s="49"/>
      <c r="C156" s="49"/>
      <c r="D156" s="49"/>
      <c r="E156" s="14"/>
      <c r="F156" s="14"/>
      <c r="G156" s="36"/>
      <c r="H156" s="14"/>
      <c r="I156" s="14"/>
      <c r="J156" s="49"/>
      <c r="K156"/>
      <c r="L156" s="49"/>
      <c r="M156" s="1"/>
      <c r="N156" s="4"/>
      <c r="O156" s="4"/>
      <c r="P156" s="4"/>
      <c r="Q156"/>
      <c r="R156"/>
      <c r="S156" s="49"/>
      <c r="T156"/>
      <c r="U156" s="49"/>
      <c r="V156" s="44"/>
      <c r="W156" s="44"/>
      <c r="X156" s="44"/>
      <c r="Y156" s="44"/>
      <c r="Z156" s="44"/>
      <c r="AA156" s="44"/>
      <c r="AB156" s="45"/>
      <c r="AC156" s="45"/>
    </row>
    <row r="157" spans="1:29" s="2" customFormat="1" x14ac:dyDescent="0.25">
      <c r="B157" s="49"/>
      <c r="C157" s="49"/>
      <c r="D157" s="49"/>
      <c r="E157" s="14"/>
      <c r="F157" s="14"/>
      <c r="G157" s="36"/>
      <c r="H157" s="14"/>
      <c r="I157" s="14"/>
      <c r="J157" s="49"/>
      <c r="K157"/>
      <c r="L157" s="49"/>
      <c r="M157" s="1"/>
      <c r="N157" s="4"/>
      <c r="O157" s="4"/>
      <c r="P157" s="4"/>
      <c r="Q157"/>
      <c r="R157"/>
      <c r="S157" s="49"/>
      <c r="T157"/>
      <c r="U157" s="49"/>
      <c r="V157" s="44"/>
      <c r="W157" s="44"/>
      <c r="X157" s="44"/>
      <c r="Y157" s="44"/>
      <c r="Z157" s="44"/>
      <c r="AA157" s="44"/>
      <c r="AB157" s="45"/>
      <c r="AC157" s="45"/>
    </row>
    <row r="158" spans="1:29" s="2" customFormat="1" x14ac:dyDescent="0.25">
      <c r="B158" s="49"/>
      <c r="C158" s="49"/>
      <c r="D158" s="49"/>
      <c r="E158" s="14"/>
      <c r="F158" s="14"/>
      <c r="G158" s="36"/>
      <c r="H158" s="14"/>
      <c r="I158" s="14"/>
      <c r="J158" s="49"/>
      <c r="K158"/>
      <c r="L158" s="49"/>
      <c r="M158" s="1"/>
      <c r="N158" s="4"/>
      <c r="O158" s="4"/>
      <c r="P158" s="4"/>
      <c r="Q158"/>
      <c r="R158"/>
      <c r="S158" s="49"/>
      <c r="T158"/>
      <c r="U158" s="49"/>
      <c r="V158" s="44"/>
      <c r="W158" s="44"/>
      <c r="X158" s="44"/>
      <c r="Y158" s="44"/>
      <c r="Z158" s="44"/>
      <c r="AA158" s="44"/>
      <c r="AB158" s="45"/>
      <c r="AC158" s="45"/>
    </row>
    <row r="159" spans="1:29" s="2" customFormat="1" x14ac:dyDescent="0.25">
      <c r="B159" s="49"/>
      <c r="C159" s="49"/>
      <c r="D159" s="49"/>
      <c r="E159" s="14"/>
      <c r="F159" s="14"/>
      <c r="G159" s="36"/>
      <c r="H159" s="14"/>
      <c r="I159" s="14"/>
      <c r="J159" s="49"/>
      <c r="K159"/>
      <c r="L159" s="49"/>
      <c r="M159" s="1"/>
      <c r="N159" s="4"/>
      <c r="O159" s="4"/>
      <c r="P159" s="4"/>
      <c r="Q159"/>
      <c r="R159"/>
      <c r="S159" s="49"/>
      <c r="T159"/>
      <c r="U159" s="49"/>
      <c r="V159" s="44"/>
      <c r="W159" s="44"/>
      <c r="X159" s="44"/>
      <c r="Y159" s="44"/>
      <c r="Z159" s="44"/>
      <c r="AA159" s="44"/>
      <c r="AB159" s="45"/>
      <c r="AC159" s="45"/>
    </row>
    <row r="160" spans="1:29" s="2" customFormat="1" x14ac:dyDescent="0.25">
      <c r="B160" s="49"/>
      <c r="C160" s="49"/>
      <c r="D160" s="49"/>
      <c r="E160" s="14"/>
      <c r="F160" s="14"/>
      <c r="G160" s="36"/>
      <c r="H160" s="14"/>
      <c r="I160" s="14"/>
      <c r="J160" s="49"/>
      <c r="K160"/>
      <c r="L160" s="49"/>
      <c r="M160" s="1"/>
      <c r="N160" s="4"/>
      <c r="O160" s="4"/>
      <c r="P160" s="4"/>
      <c r="Q160"/>
      <c r="R160"/>
      <c r="S160" s="49"/>
      <c r="T160"/>
      <c r="U160" s="49"/>
      <c r="V160" s="44"/>
      <c r="W160" s="44"/>
      <c r="X160" s="44"/>
      <c r="Y160" s="44"/>
      <c r="Z160" s="44"/>
      <c r="AA160" s="44"/>
      <c r="AB160" s="45"/>
      <c r="AC160" s="45"/>
    </row>
    <row r="161" spans="1:29" x14ac:dyDescent="0.25">
      <c r="A161"/>
      <c r="B161" s="49"/>
      <c r="C161" s="49"/>
      <c r="D161" s="49"/>
      <c r="J161" s="49"/>
    </row>
    <row r="162" spans="1:29" x14ac:dyDescent="0.25">
      <c r="A162"/>
      <c r="B162" s="49"/>
      <c r="C162" s="49"/>
      <c r="D162" s="49"/>
      <c r="J162" s="49"/>
    </row>
    <row r="163" spans="1:29" s="2" customFormat="1" x14ac:dyDescent="0.25">
      <c r="B163" s="49"/>
      <c r="C163" s="49"/>
      <c r="D163" s="49"/>
      <c r="E163" s="14"/>
      <c r="F163" s="14"/>
      <c r="G163" s="36"/>
      <c r="H163" s="14"/>
      <c r="I163" s="14"/>
      <c r="J163" s="49"/>
      <c r="K163"/>
      <c r="L163" s="49"/>
      <c r="M163" s="1"/>
      <c r="N163" s="4"/>
      <c r="O163" s="4"/>
      <c r="P163" s="4"/>
      <c r="Q163"/>
      <c r="R163"/>
      <c r="S163" s="49"/>
      <c r="T163"/>
      <c r="U163" s="49"/>
      <c r="V163" s="44"/>
      <c r="W163" s="44"/>
      <c r="X163" s="44"/>
      <c r="Y163" s="44"/>
      <c r="Z163" s="44"/>
      <c r="AA163" s="44"/>
      <c r="AB163" s="45"/>
      <c r="AC163" s="45"/>
    </row>
  </sheetData>
  <autoFilter ref="A2:AC145">
    <sortState ref="A3:AC145">
      <sortCondition ref="A3:A145"/>
      <sortCondition ref="F3:F145"/>
    </sortState>
  </autoFilter>
  <sortState ref="A67:CM92">
    <sortCondition ref="A3:A150"/>
    <sortCondition ref="F3:F150"/>
  </sortState>
  <mergeCells count="4">
    <mergeCell ref="I148:J148"/>
    <mergeCell ref="M148:O148"/>
    <mergeCell ref="I149:J149"/>
    <mergeCell ref="A1:P1"/>
  </mergeCells>
  <conditionalFormatting sqref="W1:W2 W3:X1048576">
    <cfRule type="cellIs" dxfId="11" priority="69" operator="equal">
      <formula>"Y"</formula>
    </cfRule>
  </conditionalFormatting>
  <conditionalFormatting sqref="X3:X1048576">
    <cfRule type="cellIs" dxfId="10" priority="52" operator="greaterThan">
      <formula>1</formula>
    </cfRule>
  </conditionalFormatting>
  <conditionalFormatting sqref="X2:X1048576">
    <cfRule type="cellIs" dxfId="9" priority="49" operator="equal">
      <formula>0</formula>
    </cfRule>
  </conditionalFormatting>
  <conditionalFormatting sqref="B146:S146 A145:R145 B142:R144 S121:S145 A121:R141 A3:S120">
    <cfRule type="expression" dxfId="8" priority="44">
      <formula>$P3&gt;0</formula>
    </cfRule>
    <cfRule type="expression" dxfId="7" priority="45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3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B146:S146 A145:R145 B142:R144 S121:S145 A121:R141 A3:S120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showGridLines="0" topLeftCell="A25" zoomScale="85" zoomScaleNormal="85" workbookViewId="0">
      <selection activeCell="N19" sqref="N19"/>
    </sheetView>
  </sheetViews>
  <sheetFormatPr defaultRowHeight="15" x14ac:dyDescent="0.25"/>
  <cols>
    <col min="1" max="1" width="18.42578125" style="14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73" customWidth="1"/>
    <col min="16" max="16" width="9.140625" style="70"/>
  </cols>
  <sheetData>
    <row r="1" spans="1:17" s="22" customFormat="1" ht="15" customHeight="1" x14ac:dyDescent="0.25">
      <c r="A1" s="102" t="str">
        <f>"Eagle P3 Braking Events - "&amp;TEXT(Variables!$A$2,"YYYY-mm-dd")</f>
        <v>Eagle P3 Braking Events - 2016-06-21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23"/>
      <c r="P1" s="68"/>
    </row>
    <row r="2" spans="1:17" s="2" customFormat="1" ht="75" x14ac:dyDescent="0.25">
      <c r="A2" s="21" t="s">
        <v>38</v>
      </c>
      <c r="B2" s="20" t="s">
        <v>37</v>
      </c>
      <c r="C2" s="20" t="s">
        <v>36</v>
      </c>
      <c r="D2" s="20" t="s">
        <v>35</v>
      </c>
      <c r="E2" s="20" t="s">
        <v>34</v>
      </c>
      <c r="F2" s="20" t="s">
        <v>33</v>
      </c>
      <c r="G2" s="20" t="s">
        <v>32</v>
      </c>
      <c r="H2" s="20" t="s">
        <v>31</v>
      </c>
      <c r="I2" s="20" t="s">
        <v>30</v>
      </c>
      <c r="J2" s="20" t="s">
        <v>29</v>
      </c>
      <c r="K2" s="20" t="s">
        <v>28</v>
      </c>
      <c r="L2" s="20" t="s">
        <v>48</v>
      </c>
      <c r="M2" s="20" t="s">
        <v>27</v>
      </c>
      <c r="N2" s="20" t="s">
        <v>24</v>
      </c>
      <c r="P2" s="71" t="s">
        <v>74</v>
      </c>
    </row>
    <row r="3" spans="1:17" s="2" customFormat="1" x14ac:dyDescent="0.25">
      <c r="A3" s="19">
        <v>42542.249699074076</v>
      </c>
      <c r="B3" s="18" t="s">
        <v>125</v>
      </c>
      <c r="C3" s="18" t="s">
        <v>315</v>
      </c>
      <c r="D3" s="18" t="s">
        <v>50</v>
      </c>
      <c r="E3" s="18" t="s">
        <v>80</v>
      </c>
      <c r="F3" s="18">
        <v>150</v>
      </c>
      <c r="G3" s="18">
        <v>196</v>
      </c>
      <c r="H3" s="18">
        <v>62186</v>
      </c>
      <c r="I3" s="18" t="s">
        <v>81</v>
      </c>
      <c r="J3" s="18">
        <v>63068</v>
      </c>
      <c r="K3" s="17" t="s">
        <v>53</v>
      </c>
      <c r="L3" s="17" t="str">
        <f>VLOOKUP(C3,'Trips&amp;Operators'!$C$2:$E$10000,3,FALSE)</f>
        <v>STARKS</v>
      </c>
      <c r="M3" s="16" t="s">
        <v>500</v>
      </c>
      <c r="N3" s="17" t="s">
        <v>506</v>
      </c>
      <c r="P3" s="69" t="str">
        <f>VLOOKUP(C3,'Train Runs'!$A$3:$V$255,22,0)</f>
        <v>https://search-rtdc-monitor-bjffxe2xuh6vdkpspy63sjmuny.us-east-1.es.amazonaws.com/_plugin/kibana/#/discover/Steve-Slow-Train-Analysis-(2080s-and-2083s)?_g=(refreshInterval:(display:Off,section:0,value:0),time:(from:'2016-06-21 05:40:27-0600',mode:absolute,to:'2016-06-21 06:25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3" s="15" t="str">
        <f t="shared" ref="Q3:Q72" si="0">MID(B3,13,4)</f>
        <v>4042</v>
      </c>
    </row>
    <row r="4" spans="1:17" s="2" customFormat="1" x14ac:dyDescent="0.25">
      <c r="A4" s="19">
        <v>42542.56753472222</v>
      </c>
      <c r="B4" s="18" t="s">
        <v>482</v>
      </c>
      <c r="C4" s="18" t="s">
        <v>398</v>
      </c>
      <c r="D4" s="18" t="s">
        <v>50</v>
      </c>
      <c r="E4" s="18" t="s">
        <v>80</v>
      </c>
      <c r="F4" s="18">
        <v>0</v>
      </c>
      <c r="G4" s="18">
        <v>56</v>
      </c>
      <c r="H4" s="18">
        <v>59135</v>
      </c>
      <c r="I4" s="18" t="s">
        <v>81</v>
      </c>
      <c r="J4" s="18">
        <v>58904</v>
      </c>
      <c r="K4" s="17" t="s">
        <v>54</v>
      </c>
      <c r="L4" s="17" t="str">
        <f>VLOOKUP(C4,'Trips&amp;Operators'!$C$2:$E$10000,3,FALSE)</f>
        <v>RIVERA</v>
      </c>
      <c r="M4" s="16" t="s">
        <v>500</v>
      </c>
      <c r="N4" s="17" t="s">
        <v>506</v>
      </c>
      <c r="P4" s="69" t="str">
        <f>VLOOKUP(C4,'Train Runs'!$A$3:$V$255,22,0)</f>
        <v>https://search-rtdc-monitor-bjffxe2xuh6vdkpspy63sjmuny.us-east-1.es.amazonaws.com/_plugin/kibana/#/discover/Steve-Slow-Train-Analysis-(2080s-and-2083s)?_g=(refreshInterval:(display:Off,section:0,value:0),time:(from:'2016-06-21 12:51:58-0600',mode:absolute,to:'2016-06-21 13:51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4" s="15" t="str">
        <f t="shared" si="0"/>
        <v>4028</v>
      </c>
    </row>
    <row r="5" spans="1:17" s="2" customFormat="1" x14ac:dyDescent="0.25">
      <c r="A5" s="19">
        <v>42542.594189814816</v>
      </c>
      <c r="B5" s="18" t="s">
        <v>124</v>
      </c>
      <c r="C5" s="18" t="s">
        <v>409</v>
      </c>
      <c r="D5" s="18" t="s">
        <v>50</v>
      </c>
      <c r="E5" s="18" t="s">
        <v>80</v>
      </c>
      <c r="F5" s="18">
        <v>0</v>
      </c>
      <c r="G5" s="18">
        <v>133</v>
      </c>
      <c r="H5" s="18">
        <v>59420</v>
      </c>
      <c r="I5" s="18" t="s">
        <v>81</v>
      </c>
      <c r="J5" s="18">
        <v>58904</v>
      </c>
      <c r="K5" s="17" t="s">
        <v>54</v>
      </c>
      <c r="L5" s="17" t="str">
        <f>VLOOKUP(C5,'Trips&amp;Operators'!$C$2:$E$10000,3,FALSE)</f>
        <v>COOLAHAN</v>
      </c>
      <c r="M5" s="16" t="s">
        <v>500</v>
      </c>
      <c r="N5" s="17" t="s">
        <v>506</v>
      </c>
      <c r="P5" s="69" t="str">
        <f>VLOOKUP(C5,'Train Runs'!$A$3:$V$255,22,0)</f>
        <v>https://search-rtdc-monitor-bjffxe2xuh6vdkpspy63sjmuny.us-east-1.es.amazonaws.com/_plugin/kibana/#/discover/Steve-Slow-Train-Analysis-(2080s-and-2083s)?_g=(refreshInterval:(display:Off,section:0,value:0),time:(from:'2016-06-21 13:38:55-0600',mode:absolute,to:'2016-06-21 14:39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5" s="15" t="str">
        <f t="shared" si="0"/>
        <v>4041</v>
      </c>
    </row>
    <row r="6" spans="1:17" s="2" customFormat="1" x14ac:dyDescent="0.25">
      <c r="A6" s="19">
        <v>42542.596898148149</v>
      </c>
      <c r="B6" s="18" t="s">
        <v>124</v>
      </c>
      <c r="C6" s="18" t="s">
        <v>409</v>
      </c>
      <c r="D6" s="18" t="s">
        <v>50</v>
      </c>
      <c r="E6" s="18" t="s">
        <v>80</v>
      </c>
      <c r="F6" s="18">
        <v>0</v>
      </c>
      <c r="G6" s="18">
        <v>133</v>
      </c>
      <c r="H6" s="18">
        <v>53728</v>
      </c>
      <c r="I6" s="18" t="s">
        <v>81</v>
      </c>
      <c r="J6" s="18">
        <v>53277</v>
      </c>
      <c r="K6" s="17" t="s">
        <v>54</v>
      </c>
      <c r="L6" s="17" t="str">
        <f>VLOOKUP(C6,'Trips&amp;Operators'!$C$2:$E$10000,3,FALSE)</f>
        <v>COOLAHAN</v>
      </c>
      <c r="M6" s="16" t="s">
        <v>500</v>
      </c>
      <c r="N6" s="17" t="s">
        <v>506</v>
      </c>
      <c r="P6" s="69" t="str">
        <f>VLOOKUP(C6,'Train Runs'!$A$3:$V$255,22,0)</f>
        <v>https://search-rtdc-monitor-bjffxe2xuh6vdkpspy63sjmuny.us-east-1.es.amazonaws.com/_plugin/kibana/#/discover/Steve-Slow-Train-Analysis-(2080s-and-2083s)?_g=(refreshInterval:(display:Off,section:0,value:0),time:(from:'2016-06-21 13:38:55-0600',mode:absolute,to:'2016-06-21 14:39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6" s="15" t="str">
        <f t="shared" si="0"/>
        <v>4041</v>
      </c>
    </row>
    <row r="7" spans="1:17" s="2" customFormat="1" x14ac:dyDescent="0.25">
      <c r="A7" s="19">
        <v>42542.606539351851</v>
      </c>
      <c r="B7" s="18" t="s">
        <v>491</v>
      </c>
      <c r="C7" s="18" t="s">
        <v>424</v>
      </c>
      <c r="D7" s="18" t="s">
        <v>50</v>
      </c>
      <c r="E7" s="18" t="s">
        <v>80</v>
      </c>
      <c r="F7" s="18">
        <v>0</v>
      </c>
      <c r="G7" s="18">
        <v>39</v>
      </c>
      <c r="H7" s="18">
        <v>53096</v>
      </c>
      <c r="I7" s="18" t="s">
        <v>81</v>
      </c>
      <c r="J7" s="18">
        <v>53155</v>
      </c>
      <c r="K7" s="17" t="s">
        <v>53</v>
      </c>
      <c r="L7" s="17" t="str">
        <f>VLOOKUP(C7,'Trips&amp;Operators'!$C$2:$E$10000,3,FALSE)</f>
        <v>RIVERA</v>
      </c>
      <c r="M7" s="16" t="s">
        <v>500</v>
      </c>
      <c r="N7" s="17" t="s">
        <v>506</v>
      </c>
      <c r="P7" s="69" t="str">
        <f>VLOOKUP(C7,'Train Runs'!$A$3:$V$255,22,0)</f>
        <v>https://search-rtdc-monitor-bjffxe2xuh6vdkpspy63sjmuny.us-east-1.es.amazonaws.com/_plugin/kibana/#/discover/Steve-Slow-Train-Analysis-(2080s-and-2083s)?_g=(refreshInterval:(display:Off,section:0,value:0),time:(from:'2016-06-21 14:14:07-0600',mode:absolute,to:'2016-06-21 15:10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7" s="15" t="str">
        <f t="shared" si="0"/>
        <v>4027</v>
      </c>
    </row>
    <row r="8" spans="1:17" s="2" customFormat="1" x14ac:dyDescent="0.25">
      <c r="A8" s="19">
        <v>42542.686643518522</v>
      </c>
      <c r="B8" s="18" t="s">
        <v>491</v>
      </c>
      <c r="C8" s="18" t="s">
        <v>441</v>
      </c>
      <c r="D8" s="18" t="s">
        <v>50</v>
      </c>
      <c r="E8" s="18" t="s">
        <v>80</v>
      </c>
      <c r="F8" s="18">
        <v>0</v>
      </c>
      <c r="G8" s="18">
        <v>315</v>
      </c>
      <c r="H8" s="18">
        <v>61328</v>
      </c>
      <c r="I8" s="18" t="s">
        <v>81</v>
      </c>
      <c r="J8" s="18">
        <v>63068</v>
      </c>
      <c r="K8" s="17" t="s">
        <v>53</v>
      </c>
      <c r="L8" s="17" t="str">
        <f>VLOOKUP(C8,'Trips&amp;Operators'!$C$2:$E$10000,3,FALSE)</f>
        <v>RIVERA</v>
      </c>
      <c r="M8" s="16" t="s">
        <v>500</v>
      </c>
      <c r="N8" s="17" t="s">
        <v>506</v>
      </c>
      <c r="P8" s="69" t="str">
        <f>VLOOKUP(C8,'Train Runs'!$A$3:$V$255,22,0)</f>
        <v>https://search-rtdc-monitor-bjffxe2xuh6vdkpspy63sjmuny.us-east-1.es.amazonaws.com/_plugin/kibana/#/discover/Steve-Slow-Train-Analysis-(2080s-and-2083s)?_g=(refreshInterval:(display:Off,section:0,value:0),time:(from:'2016-06-21 16:12:09-0600',mode:absolute,to:'2016-06-21 17:02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8" s="15" t="str">
        <f t="shared" si="0"/>
        <v>4027</v>
      </c>
    </row>
    <row r="9" spans="1:17" s="2" customFormat="1" x14ac:dyDescent="0.25">
      <c r="A9" s="19">
        <v>42542.698310185187</v>
      </c>
      <c r="B9" s="18" t="s">
        <v>90</v>
      </c>
      <c r="C9" s="18" t="s">
        <v>442</v>
      </c>
      <c r="D9" s="18" t="s">
        <v>50</v>
      </c>
      <c r="E9" s="18" t="s">
        <v>80</v>
      </c>
      <c r="F9" s="18">
        <v>0</v>
      </c>
      <c r="G9" s="18">
        <v>338</v>
      </c>
      <c r="H9" s="18">
        <v>61090</v>
      </c>
      <c r="I9" s="18" t="s">
        <v>81</v>
      </c>
      <c r="J9" s="18">
        <v>63068</v>
      </c>
      <c r="K9" s="17" t="s">
        <v>53</v>
      </c>
      <c r="L9" s="17" t="str">
        <f>VLOOKUP(C9,'Trips&amp;Operators'!$C$2:$E$10000,3,FALSE)</f>
        <v>ALONZO</v>
      </c>
      <c r="M9" s="16" t="s">
        <v>500</v>
      </c>
      <c r="N9" s="17" t="s">
        <v>506</v>
      </c>
      <c r="P9" s="69" t="str">
        <f>VLOOKUP(C9,'Train Runs'!$A$3:$V$255,22,0)</f>
        <v>https://search-rtdc-monitor-bjffxe2xuh6vdkpspy63sjmuny.us-east-1.es.amazonaws.com/_plugin/kibana/#/discover/Steve-Slow-Train-Analysis-(2080s-and-2083s)?_g=(refreshInterval:(display:Off,section:0,value:0),time:(from:'2016-06-21 16:28:10-0600',mode:absolute,to:'2016-06-21 17:13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9" s="15" t="str">
        <f t="shared" ref="Q9:Q68" si="1">MID(B9,13,4)</f>
        <v>4018</v>
      </c>
    </row>
    <row r="10" spans="1:17" s="2" customFormat="1" x14ac:dyDescent="0.25">
      <c r="A10" s="19">
        <v>42542.780601851853</v>
      </c>
      <c r="B10" s="18" t="s">
        <v>92</v>
      </c>
      <c r="C10" s="18" t="s">
        <v>223</v>
      </c>
      <c r="D10" s="18" t="s">
        <v>50</v>
      </c>
      <c r="E10" s="18" t="s">
        <v>80</v>
      </c>
      <c r="F10" s="18">
        <v>0</v>
      </c>
      <c r="G10" s="18">
        <v>51</v>
      </c>
      <c r="H10" s="18">
        <v>103994</v>
      </c>
      <c r="I10" s="18" t="s">
        <v>81</v>
      </c>
      <c r="J10" s="18">
        <v>103800</v>
      </c>
      <c r="K10" s="17" t="s">
        <v>54</v>
      </c>
      <c r="L10" s="17" t="str">
        <f>VLOOKUP(C10,'Trips&amp;Operators'!$C$2:$E$10000,3,FALSE)</f>
        <v>LOCKLEAR</v>
      </c>
      <c r="M10" s="16" t="s">
        <v>500</v>
      </c>
      <c r="N10" s="17" t="s">
        <v>506</v>
      </c>
      <c r="P10" s="69" t="str">
        <f>VLOOKUP(C10,'Train Runs'!$A$3:$V$255,22,0)</f>
        <v>https://search-rtdc-monitor-bjffxe2xuh6vdkpspy63sjmuny.us-east-1.es.amazonaws.com/_plugin/kibana/#/discover/Steve-Slow-Train-Analysis-(2080s-and-2083s)?_g=(refreshInterval:(display:Off,section:0,value:0),time:(from:'2016-06-21 18:22:16-0600',mode:absolute,to:'2016-06-21 19:07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10" s="15" t="str">
        <f t="shared" si="1"/>
        <v>4023</v>
      </c>
    </row>
    <row r="11" spans="1:17" s="2" customFormat="1" x14ac:dyDescent="0.25">
      <c r="A11" s="19">
        <v>42542.792314814818</v>
      </c>
      <c r="B11" s="18" t="s">
        <v>100</v>
      </c>
      <c r="C11" s="18" t="s">
        <v>225</v>
      </c>
      <c r="D11" s="18" t="s">
        <v>50</v>
      </c>
      <c r="E11" s="18" t="s">
        <v>80</v>
      </c>
      <c r="F11" s="18">
        <v>0</v>
      </c>
      <c r="G11" s="18">
        <v>106</v>
      </c>
      <c r="H11" s="18">
        <v>104097</v>
      </c>
      <c r="I11" s="18" t="s">
        <v>81</v>
      </c>
      <c r="J11" s="18">
        <v>103800</v>
      </c>
      <c r="K11" s="17" t="s">
        <v>54</v>
      </c>
      <c r="L11" s="17" t="str">
        <f>VLOOKUP(C11,'Trips&amp;Operators'!$C$2:$E$10000,3,FALSE)</f>
        <v>MAELZER</v>
      </c>
      <c r="M11" s="16" t="s">
        <v>500</v>
      </c>
      <c r="N11" s="17" t="s">
        <v>506</v>
      </c>
      <c r="P11" s="69" t="str">
        <f>VLOOKUP(C11,'Train Runs'!$A$3:$V$255,22,0)</f>
        <v>https://search-rtdc-monitor-bjffxe2xuh6vdkpspy63sjmuny.us-east-1.es.amazonaws.com/_plugin/kibana/#/discover/Steve-Slow-Train-Analysis-(2080s-and-2083s)?_g=(refreshInterval:(display:Off,section:0,value:0),time:(from:'2016-06-21 18:35:25-0600',mode:absolute,to:'2016-06-21 19:22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11" s="15" t="str">
        <f t="shared" si="1"/>
        <v>4030</v>
      </c>
    </row>
    <row r="12" spans="1:17" s="2" customFormat="1" x14ac:dyDescent="0.25">
      <c r="A12" s="19">
        <v>42542.851493055554</v>
      </c>
      <c r="B12" s="18" t="s">
        <v>90</v>
      </c>
      <c r="C12" s="18" t="s">
        <v>247</v>
      </c>
      <c r="D12" s="18" t="s">
        <v>50</v>
      </c>
      <c r="E12" s="18" t="s">
        <v>80</v>
      </c>
      <c r="F12" s="18">
        <v>240</v>
      </c>
      <c r="G12" s="18">
        <v>406</v>
      </c>
      <c r="H12" s="18">
        <v>58178</v>
      </c>
      <c r="I12" s="18" t="s">
        <v>81</v>
      </c>
      <c r="J12" s="18">
        <v>58783</v>
      </c>
      <c r="K12" s="17" t="s">
        <v>53</v>
      </c>
      <c r="L12" s="17" t="str">
        <f>VLOOKUP(C12,'Trips&amp;Operators'!$C$2:$E$10000,3,FALSE)</f>
        <v>ADANE</v>
      </c>
      <c r="M12" s="16" t="s">
        <v>500</v>
      </c>
      <c r="N12" s="17" t="s">
        <v>507</v>
      </c>
      <c r="P12" s="69" t="str">
        <f>VLOOKUP(C12,'Train Runs'!$A$3:$V$255,22,0)</f>
        <v>https://search-rtdc-monitor-bjffxe2xuh6vdkpspy63sjmuny.us-east-1.es.amazonaws.com/_plugin/kibana/#/discover/Steve-Slow-Train-Analysis-(2080s-and-2083s)?_g=(refreshInterval:(display:Off,section:0,value:0),time:(from:'2016-06-21 20:01:41-0600',mode:absolute,to:'2016-06-21 20:54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12" s="15" t="str">
        <f t="shared" si="1"/>
        <v>4018</v>
      </c>
    </row>
    <row r="13" spans="1:17" s="2" customFormat="1" x14ac:dyDescent="0.25">
      <c r="A13" s="19">
        <v>42543.015011574076</v>
      </c>
      <c r="B13" s="18" t="s">
        <v>116</v>
      </c>
      <c r="C13" s="18" t="s">
        <v>270</v>
      </c>
      <c r="D13" s="18" t="s">
        <v>50</v>
      </c>
      <c r="E13" s="18" t="s">
        <v>80</v>
      </c>
      <c r="F13" s="18">
        <v>0</v>
      </c>
      <c r="G13" s="18">
        <v>502</v>
      </c>
      <c r="H13" s="18">
        <v>108088</v>
      </c>
      <c r="I13" s="18" t="s">
        <v>81</v>
      </c>
      <c r="J13" s="18">
        <v>108954</v>
      </c>
      <c r="K13" s="17" t="s">
        <v>53</v>
      </c>
      <c r="L13" s="17" t="str">
        <f>VLOOKUP(C13,'Trips&amp;Operators'!$C$2:$E$10000,3,FALSE)</f>
        <v>ADANE</v>
      </c>
      <c r="M13" s="16" t="s">
        <v>500</v>
      </c>
      <c r="N13" s="17" t="s">
        <v>507</v>
      </c>
      <c r="P13" s="69" t="str">
        <f>VLOOKUP(C13,'Train Runs'!$A$3:$V$255,22,0)</f>
        <v>https://search-rtdc-monitor-bjffxe2xuh6vdkpspy63sjmuny.us-east-1.es.amazonaws.com/_plugin/kibana/#/discover/Steve-Slow-Train-Analysis-(2080s-and-2083s)?_g=(refreshInterval:(display:Off,section:0,value:0),time:(from:'2016-06-21 23:53:46-0600',mode:absolute,to:'2016-06-22 00:40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13" s="15" t="str">
        <f t="shared" si="1"/>
        <v>4025</v>
      </c>
    </row>
    <row r="14" spans="1:17" s="2" customFormat="1" x14ac:dyDescent="0.25">
      <c r="A14" s="19">
        <v>42542.219004629631</v>
      </c>
      <c r="B14" s="18" t="s">
        <v>124</v>
      </c>
      <c r="C14" s="18" t="s">
        <v>291</v>
      </c>
      <c r="D14" s="18" t="s">
        <v>50</v>
      </c>
      <c r="E14" s="18" t="s">
        <v>58</v>
      </c>
      <c r="F14" s="18">
        <v>200</v>
      </c>
      <c r="G14" s="18">
        <v>328</v>
      </c>
      <c r="H14" s="18">
        <v>32125</v>
      </c>
      <c r="I14" s="18" t="s">
        <v>59</v>
      </c>
      <c r="J14" s="18">
        <v>30562</v>
      </c>
      <c r="K14" s="17" t="s">
        <v>54</v>
      </c>
      <c r="L14" s="17" t="str">
        <f>VLOOKUP(C14,'Trips&amp;Operators'!$C$2:$E$10000,3,FALSE)</f>
        <v>STARKS</v>
      </c>
      <c r="M14" s="16" t="s">
        <v>500</v>
      </c>
      <c r="N14" s="17"/>
      <c r="P14" s="69" t="str">
        <f>VLOOKUP(C14,'Train Runs'!$A$3:$V$255,22,0)</f>
        <v>https://search-rtdc-monitor-bjffxe2xuh6vdkpspy63sjmuny.us-east-1.es.amazonaws.com/_plugin/kibana/#/discover/Steve-Slow-Train-Analysis-(2080s-and-2083s)?_g=(refreshInterval:(display:Off,section:0,value:0),time:(from:'2016-06-21 04:51:13-0600',mode:absolute,to:'2016-06-21 05:26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14" s="15" t="str">
        <f t="shared" si="1"/>
        <v>4041</v>
      </c>
    </row>
    <row r="15" spans="1:17" s="2" customFormat="1" x14ac:dyDescent="0.25">
      <c r="A15" s="19">
        <v>42542.221076388887</v>
      </c>
      <c r="B15" s="18" t="s">
        <v>124</v>
      </c>
      <c r="C15" s="18" t="s">
        <v>291</v>
      </c>
      <c r="D15" s="18" t="s">
        <v>50</v>
      </c>
      <c r="E15" s="18" t="s">
        <v>58</v>
      </c>
      <c r="F15" s="18">
        <v>300</v>
      </c>
      <c r="G15" s="18">
        <v>306</v>
      </c>
      <c r="H15" s="18">
        <v>22025</v>
      </c>
      <c r="I15" s="18" t="s">
        <v>59</v>
      </c>
      <c r="J15" s="18">
        <v>21848</v>
      </c>
      <c r="K15" s="17" t="s">
        <v>54</v>
      </c>
      <c r="L15" s="17" t="str">
        <f>VLOOKUP(C15,'Trips&amp;Operators'!$C$2:$E$10000,3,FALSE)</f>
        <v>STARKS</v>
      </c>
      <c r="M15" s="16" t="s">
        <v>500</v>
      </c>
      <c r="N15" s="17"/>
      <c r="P15" s="69" t="str">
        <f>VLOOKUP(C15,'Train Runs'!$A$3:$V$255,22,0)</f>
        <v>https://search-rtdc-monitor-bjffxe2xuh6vdkpspy63sjmuny.us-east-1.es.amazonaws.com/_plugin/kibana/#/discover/Steve-Slow-Train-Analysis-(2080s-and-2083s)?_g=(refreshInterval:(display:Off,section:0,value:0),time:(from:'2016-06-21 04:51:13-0600',mode:absolute,to:'2016-06-21 05:26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15" s="15" t="str">
        <f t="shared" si="1"/>
        <v>4041</v>
      </c>
    </row>
    <row r="16" spans="1:17" s="2" customFormat="1" x14ac:dyDescent="0.25">
      <c r="A16" s="19">
        <v>42542.266192129631</v>
      </c>
      <c r="B16" s="18" t="s">
        <v>125</v>
      </c>
      <c r="C16" s="18" t="s">
        <v>315</v>
      </c>
      <c r="D16" s="18" t="s">
        <v>50</v>
      </c>
      <c r="E16" s="18" t="s">
        <v>58</v>
      </c>
      <c r="F16" s="18">
        <v>150</v>
      </c>
      <c r="G16" s="18">
        <v>113</v>
      </c>
      <c r="H16" s="18">
        <v>231782</v>
      </c>
      <c r="I16" s="18" t="s">
        <v>59</v>
      </c>
      <c r="J16" s="18">
        <v>232080</v>
      </c>
      <c r="K16" s="17" t="s">
        <v>53</v>
      </c>
      <c r="L16" s="17" t="str">
        <f>VLOOKUP(C16,'Trips&amp;Operators'!$C$2:$E$10000,3,FALSE)</f>
        <v>STARKS</v>
      </c>
      <c r="M16" s="16" t="s">
        <v>500</v>
      </c>
      <c r="N16" s="17"/>
      <c r="P16" s="69" t="str">
        <f>VLOOKUP(C16,'Train Runs'!$A$3:$V$255,22,0)</f>
        <v>https://search-rtdc-monitor-bjffxe2xuh6vdkpspy63sjmuny.us-east-1.es.amazonaws.com/_plugin/kibana/#/discover/Steve-Slow-Train-Analysis-(2080s-and-2083s)?_g=(refreshInterval:(display:Off,section:0,value:0),time:(from:'2016-06-21 05:40:27-0600',mode:absolute,to:'2016-06-21 06:25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16" s="15" t="str">
        <f t="shared" si="1"/>
        <v>4042</v>
      </c>
    </row>
    <row r="17" spans="1:17" s="2" customFormat="1" x14ac:dyDescent="0.25">
      <c r="A17" s="19">
        <v>42542.275381944448</v>
      </c>
      <c r="B17" s="18" t="s">
        <v>98</v>
      </c>
      <c r="C17" s="18" t="s">
        <v>317</v>
      </c>
      <c r="D17" s="18" t="s">
        <v>50</v>
      </c>
      <c r="E17" s="18" t="s">
        <v>58</v>
      </c>
      <c r="F17" s="18">
        <v>150</v>
      </c>
      <c r="G17" s="18">
        <v>193</v>
      </c>
      <c r="H17" s="18">
        <v>231865</v>
      </c>
      <c r="I17" s="18" t="s">
        <v>59</v>
      </c>
      <c r="J17" s="18">
        <v>232107</v>
      </c>
      <c r="K17" s="17" t="s">
        <v>53</v>
      </c>
      <c r="L17" s="17" t="str">
        <f>VLOOKUP(C17,'Trips&amp;Operators'!$C$2:$E$10000,3,FALSE)</f>
        <v>ROCHA</v>
      </c>
      <c r="M17" s="16" t="s">
        <v>500</v>
      </c>
      <c r="N17" s="17"/>
      <c r="P17" s="69" t="str">
        <f>VLOOKUP(C17,'Train Runs'!$A$3:$V$255,22,0)</f>
        <v>https://search-rtdc-monitor-bjffxe2xuh6vdkpspy63sjmuny.us-east-1.es.amazonaws.com/_plugin/kibana/#/discover/Steve-Slow-Train-Analysis-(2080s-and-2083s)?_g=(refreshInterval:(display:Off,section:0,value:0),time:(from:'2016-06-21 05:58:27-0600',mode:absolute,to:'2016-06-21 06:39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17" s="15" t="str">
        <f t="shared" si="1"/>
        <v>4024</v>
      </c>
    </row>
    <row r="18" spans="1:17" s="2" customFormat="1" x14ac:dyDescent="0.25">
      <c r="A18" s="19">
        <v>42542.307187500002</v>
      </c>
      <c r="B18" s="18" t="s">
        <v>491</v>
      </c>
      <c r="C18" s="18" t="s">
        <v>330</v>
      </c>
      <c r="D18" s="18" t="s">
        <v>50</v>
      </c>
      <c r="E18" s="18" t="s">
        <v>58</v>
      </c>
      <c r="F18" s="18">
        <v>150</v>
      </c>
      <c r="G18" s="18">
        <v>147</v>
      </c>
      <c r="H18" s="18">
        <v>228262</v>
      </c>
      <c r="I18" s="18" t="s">
        <v>59</v>
      </c>
      <c r="J18" s="18">
        <v>228668</v>
      </c>
      <c r="K18" s="17" t="s">
        <v>53</v>
      </c>
      <c r="L18" s="17" t="str">
        <f>VLOOKUP(C18,'Trips&amp;Operators'!$C$2:$E$10000,3,FALSE)</f>
        <v>GEBRETEKLE</v>
      </c>
      <c r="M18" s="16" t="s">
        <v>500</v>
      </c>
      <c r="N18" s="17"/>
      <c r="P18" s="69" t="str">
        <f>VLOOKUP(C18,'Train Runs'!$A$3:$V$255,22,0)</f>
        <v>https://search-rtdc-monitor-bjffxe2xuh6vdkpspy63sjmuny.us-east-1.es.amazonaws.com/_plugin/kibana/#/discover/Steve-Slow-Train-Analysis-(2080s-and-2083s)?_g=(refreshInterval:(display:Off,section:0,value:0),time:(from:'2016-06-21 06:37:56-0600',mode:absolute,to:'2016-06-21 07:27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18" s="15" t="str">
        <f t="shared" si="1"/>
        <v>4027</v>
      </c>
    </row>
    <row r="19" spans="1:17" s="2" customFormat="1" x14ac:dyDescent="0.25">
      <c r="A19" s="19">
        <v>42542.364629629628</v>
      </c>
      <c r="B19" s="18" t="s">
        <v>124</v>
      </c>
      <c r="C19" s="18" t="s">
        <v>341</v>
      </c>
      <c r="D19" s="18" t="s">
        <v>50</v>
      </c>
      <c r="E19" s="18" t="s">
        <v>58</v>
      </c>
      <c r="F19" s="18">
        <v>400</v>
      </c>
      <c r="G19" s="18">
        <v>411</v>
      </c>
      <c r="H19" s="18">
        <v>120397</v>
      </c>
      <c r="I19" s="18" t="s">
        <v>59</v>
      </c>
      <c r="J19" s="18">
        <v>119716</v>
      </c>
      <c r="K19" s="17" t="s">
        <v>54</v>
      </c>
      <c r="L19" s="17" t="str">
        <f>VLOOKUP(C19,'Trips&amp;Operators'!$C$2:$E$10000,3,FALSE)</f>
        <v>STARKS</v>
      </c>
      <c r="M19" s="16" t="s">
        <v>500</v>
      </c>
      <c r="N19" s="17"/>
      <c r="P19" s="69" t="str">
        <f>VLOOKUP(C19,'Train Runs'!$A$3:$V$255,22,0)</f>
        <v>https://search-rtdc-monitor-bjffxe2xuh6vdkpspy63sjmuny.us-east-1.es.amazonaws.com/_plugin/kibana/#/discover/Steve-Slow-Train-Analysis-(2080s-and-2083s)?_g=(refreshInterval:(display:Off,section:0,value:0),time:(from:'2016-06-21 08:21:46-0600',mode:absolute,to:'2016-06-21 09:12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19" s="15" t="str">
        <f t="shared" si="1"/>
        <v>4041</v>
      </c>
    </row>
    <row r="20" spans="1:17" s="2" customFormat="1" x14ac:dyDescent="0.25">
      <c r="A20" s="19">
        <v>42542.387499999997</v>
      </c>
      <c r="B20" s="18" t="s">
        <v>125</v>
      </c>
      <c r="C20" s="18" t="s">
        <v>364</v>
      </c>
      <c r="D20" s="18" t="s">
        <v>55</v>
      </c>
      <c r="E20" s="18" t="s">
        <v>58</v>
      </c>
      <c r="F20" s="18">
        <v>150</v>
      </c>
      <c r="G20" s="18">
        <v>206</v>
      </c>
      <c r="H20" s="18">
        <v>2263</v>
      </c>
      <c r="I20" s="18" t="s">
        <v>59</v>
      </c>
      <c r="J20" s="18">
        <v>0</v>
      </c>
      <c r="K20" s="17" t="s">
        <v>53</v>
      </c>
      <c r="L20" s="17" t="str">
        <f>VLOOKUP(C20,'Trips&amp;Operators'!$C$2:$E$10000,3,FALSE)</f>
        <v>STARKS</v>
      </c>
      <c r="M20" s="16" t="s">
        <v>500</v>
      </c>
      <c r="N20" s="17"/>
      <c r="P20" s="69" t="str">
        <f>VLOOKUP(C20,'Train Runs'!$A$3:$V$255,22,0)</f>
        <v>https://search-rtdc-monitor-bjffxe2xuh6vdkpspy63sjmuny.us-east-1.es.amazonaws.com/_plugin/kibana/#/discover/Steve-Slow-Train-Analysis-(2080s-and-2083s)?_g=(refreshInterval:(display:Off,section:0,value:0),time:(from:'2016-06-21 09:12:25-0600',mode:absolute,to:'2016-06-21 10:00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20" s="15" t="str">
        <f t="shared" si="1"/>
        <v>4042</v>
      </c>
    </row>
    <row r="21" spans="1:17" s="2" customFormat="1" x14ac:dyDescent="0.25">
      <c r="A21" s="19">
        <v>42542.414236111108</v>
      </c>
      <c r="B21" s="18" t="s">
        <v>125</v>
      </c>
      <c r="C21" s="18" t="s">
        <v>364</v>
      </c>
      <c r="D21" s="18" t="s">
        <v>50</v>
      </c>
      <c r="E21" s="18" t="s">
        <v>58</v>
      </c>
      <c r="F21" s="18">
        <v>150</v>
      </c>
      <c r="G21" s="18">
        <v>145</v>
      </c>
      <c r="H21" s="18">
        <v>230304</v>
      </c>
      <c r="I21" s="18" t="s">
        <v>59</v>
      </c>
      <c r="J21" s="18">
        <v>230436</v>
      </c>
      <c r="K21" s="17" t="s">
        <v>53</v>
      </c>
      <c r="L21" s="17" t="str">
        <f>VLOOKUP(C21,'Trips&amp;Operators'!$C$2:$E$10000,3,FALSE)</f>
        <v>STARKS</v>
      </c>
      <c r="M21" s="16" t="s">
        <v>500</v>
      </c>
      <c r="N21" s="17"/>
      <c r="P21" s="69" t="str">
        <f>VLOOKUP(C21,'Train Runs'!$A$3:$V$255,22,0)</f>
        <v>https://search-rtdc-monitor-bjffxe2xuh6vdkpspy63sjmuny.us-east-1.es.amazonaws.com/_plugin/kibana/#/discover/Steve-Slow-Train-Analysis-(2080s-and-2083s)?_g=(refreshInterval:(display:Off,section:0,value:0),time:(from:'2016-06-21 09:12:25-0600',mode:absolute,to:'2016-06-21 10:00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21" s="15" t="str">
        <f t="shared" si="1"/>
        <v>4042</v>
      </c>
    </row>
    <row r="22" spans="1:17" s="2" customFormat="1" x14ac:dyDescent="0.25">
      <c r="A22" s="19">
        <v>42542.576956018522</v>
      </c>
      <c r="B22" s="18" t="s">
        <v>124</v>
      </c>
      <c r="C22" s="18" t="s">
        <v>409</v>
      </c>
      <c r="D22" s="18" t="s">
        <v>55</v>
      </c>
      <c r="E22" s="18" t="s">
        <v>58</v>
      </c>
      <c r="F22" s="18">
        <v>700</v>
      </c>
      <c r="G22" s="18">
        <v>754</v>
      </c>
      <c r="H22" s="18">
        <v>179165</v>
      </c>
      <c r="I22" s="18" t="s">
        <v>59</v>
      </c>
      <c r="J22" s="18">
        <v>183829</v>
      </c>
      <c r="K22" s="17" t="s">
        <v>54</v>
      </c>
      <c r="L22" s="17" t="str">
        <f>VLOOKUP(C22,'Trips&amp;Operators'!$C$2:$E$10000,3,FALSE)</f>
        <v>COOLAHAN</v>
      </c>
      <c r="M22" s="16" t="s">
        <v>500</v>
      </c>
      <c r="N22" s="17"/>
      <c r="P22" s="69" t="str">
        <f>VLOOKUP(C22,'Train Runs'!$A$3:$V$255,22,0)</f>
        <v>https://search-rtdc-monitor-bjffxe2xuh6vdkpspy63sjmuny.us-east-1.es.amazonaws.com/_plugin/kibana/#/discover/Steve-Slow-Train-Analysis-(2080s-and-2083s)?_g=(refreshInterval:(display:Off,section:0,value:0),time:(from:'2016-06-21 13:38:55-0600',mode:absolute,to:'2016-06-21 14:39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22" s="15" t="str">
        <f t="shared" si="1"/>
        <v>4041</v>
      </c>
    </row>
    <row r="23" spans="1:17" s="2" customFormat="1" x14ac:dyDescent="0.25">
      <c r="A23" s="19">
        <v>42542.629189814812</v>
      </c>
      <c r="B23" s="18" t="s">
        <v>125</v>
      </c>
      <c r="C23" s="18" t="s">
        <v>431</v>
      </c>
      <c r="D23" s="18" t="s">
        <v>50</v>
      </c>
      <c r="E23" s="18" t="s">
        <v>58</v>
      </c>
      <c r="F23" s="18">
        <v>300</v>
      </c>
      <c r="G23" s="18">
        <v>257</v>
      </c>
      <c r="H23" s="18">
        <v>19930</v>
      </c>
      <c r="I23" s="18" t="s">
        <v>59</v>
      </c>
      <c r="J23" s="18">
        <v>20338</v>
      </c>
      <c r="K23" s="17" t="s">
        <v>53</v>
      </c>
      <c r="L23" s="17" t="str">
        <f>VLOOKUP(C23,'Trips&amp;Operators'!$C$2:$E$10000,3,FALSE)</f>
        <v>COOLAHAN</v>
      </c>
      <c r="M23" s="16" t="s">
        <v>500</v>
      </c>
      <c r="N23" s="17"/>
      <c r="P23" s="69" t="str">
        <f>VLOOKUP(C23,'Train Runs'!$A$3:$V$255,22,0)</f>
        <v>https://search-rtdc-monitor-bjffxe2xuh6vdkpspy63sjmuny.us-east-1.es.amazonaws.com/_plugin/kibana/#/discover/Steve-Slow-Train-Analysis-(2080s-and-2083s)?_g=(refreshInterval:(display:Off,section:0,value:0),time:(from:'2016-06-21 14:51:30-0600',mode:absolute,to:'2016-06-21 15:43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23" s="15" t="str">
        <f t="shared" si="1"/>
        <v>4042</v>
      </c>
    </row>
    <row r="24" spans="1:17" s="2" customFormat="1" x14ac:dyDescent="0.25">
      <c r="A24" s="19">
        <v>42542.653912037036</v>
      </c>
      <c r="B24" s="18" t="s">
        <v>125</v>
      </c>
      <c r="C24" s="18" t="s">
        <v>431</v>
      </c>
      <c r="D24" s="18" t="s">
        <v>50</v>
      </c>
      <c r="E24" s="18" t="s">
        <v>58</v>
      </c>
      <c r="F24" s="18">
        <v>150</v>
      </c>
      <c r="G24" s="18">
        <v>107</v>
      </c>
      <c r="H24" s="18">
        <v>231781</v>
      </c>
      <c r="I24" s="18" t="s">
        <v>59</v>
      </c>
      <c r="J24" s="18">
        <v>232080</v>
      </c>
      <c r="K24" s="17" t="s">
        <v>53</v>
      </c>
      <c r="L24" s="17" t="str">
        <f>VLOOKUP(C24,'Trips&amp;Operators'!$C$2:$E$10000,3,FALSE)</f>
        <v>COOLAHAN</v>
      </c>
      <c r="M24" s="16" t="s">
        <v>500</v>
      </c>
      <c r="N24" s="17"/>
      <c r="P24" s="69" t="str">
        <f>VLOOKUP(C24,'Train Runs'!$A$3:$V$255,22,0)</f>
        <v>https://search-rtdc-monitor-bjffxe2xuh6vdkpspy63sjmuny.us-east-1.es.amazonaws.com/_plugin/kibana/#/discover/Steve-Slow-Train-Analysis-(2080s-and-2083s)?_g=(refreshInterval:(display:Off,section:0,value:0),time:(from:'2016-06-21 14:51:30-0600',mode:absolute,to:'2016-06-21 15:43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24" s="15" t="str">
        <f t="shared" si="1"/>
        <v>4042</v>
      </c>
    </row>
    <row r="25" spans="1:17" s="2" customFormat="1" x14ac:dyDescent="0.25">
      <c r="A25" s="19">
        <v>42542.823449074072</v>
      </c>
      <c r="B25" s="18" t="s">
        <v>482</v>
      </c>
      <c r="C25" s="18" t="s">
        <v>229</v>
      </c>
      <c r="D25" s="18" t="s">
        <v>50</v>
      </c>
      <c r="E25" s="18" t="s">
        <v>58</v>
      </c>
      <c r="F25" s="18">
        <v>450</v>
      </c>
      <c r="G25" s="18">
        <v>437</v>
      </c>
      <c r="H25" s="18">
        <v>17682</v>
      </c>
      <c r="I25" s="18" t="s">
        <v>59</v>
      </c>
      <c r="J25" s="18">
        <v>15167</v>
      </c>
      <c r="K25" s="17" t="s">
        <v>54</v>
      </c>
      <c r="L25" s="17" t="str">
        <f>VLOOKUP(C25,'Trips&amp;Operators'!$C$2:$E$10000,3,FALSE)</f>
        <v>DE LA ROSA</v>
      </c>
      <c r="M25" s="16" t="s">
        <v>500</v>
      </c>
      <c r="N25" s="17"/>
      <c r="P25" s="69" t="str">
        <f>VLOOKUP(C25,'Train Runs'!$A$3:$V$255,22,0)</f>
        <v>https://search-rtdc-monitor-bjffxe2xuh6vdkpspy63sjmuny.us-east-1.es.amazonaws.com/_plugin/kibana/#/discover/Steve-Slow-Train-Analysis-(2080s-and-2083s)?_g=(refreshInterval:(display:Off,section:0,value:0),time:(from:'2016-06-21 18:50:36-0600',mode:absolute,to:'2016-06-21 19:53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25" s="15" t="str">
        <f t="shared" si="1"/>
        <v>4028</v>
      </c>
    </row>
    <row r="26" spans="1:17" s="2" customFormat="1" x14ac:dyDescent="0.25">
      <c r="A26" s="19">
        <v>42542.829837962963</v>
      </c>
      <c r="B26" s="18" t="s">
        <v>91</v>
      </c>
      <c r="C26" s="18" t="s">
        <v>233</v>
      </c>
      <c r="D26" s="18" t="s">
        <v>50</v>
      </c>
      <c r="E26" s="18" t="s">
        <v>58</v>
      </c>
      <c r="F26" s="18">
        <v>450</v>
      </c>
      <c r="G26" s="18">
        <v>445</v>
      </c>
      <c r="H26" s="18">
        <v>17557</v>
      </c>
      <c r="I26" s="18" t="s">
        <v>59</v>
      </c>
      <c r="J26" s="18">
        <v>15167</v>
      </c>
      <c r="K26" s="17" t="s">
        <v>54</v>
      </c>
      <c r="L26" s="17" t="str">
        <f>VLOOKUP(C26,'Trips&amp;Operators'!$C$2:$E$10000,3,FALSE)</f>
        <v>ADANE</v>
      </c>
      <c r="M26" s="16" t="s">
        <v>500</v>
      </c>
      <c r="N26" s="17"/>
      <c r="P26" s="69" t="str">
        <f>VLOOKUP(C26,'Train Runs'!$A$3:$V$255,22,0)</f>
        <v>https://search-rtdc-monitor-bjffxe2xuh6vdkpspy63sjmuny.us-east-1.es.amazonaws.com/_plugin/kibana/#/discover/Steve-Slow-Train-Analysis-(2080s-and-2083s)?_g=(refreshInterval:(display:Off,section:0,value:0),time:(from:'2016-06-21 19:11:32-0600',mode:absolute,to:'2016-06-21 19:15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26" s="15" t="str">
        <f t="shared" si="1"/>
        <v>4017</v>
      </c>
    </row>
    <row r="27" spans="1:17" s="2" customFormat="1" x14ac:dyDescent="0.25">
      <c r="A27" s="19">
        <v>42543.041307870371</v>
      </c>
      <c r="B27" s="18" t="s">
        <v>100</v>
      </c>
      <c r="C27" s="18" t="s">
        <v>269</v>
      </c>
      <c r="D27" s="18" t="s">
        <v>50</v>
      </c>
      <c r="E27" s="18" t="s">
        <v>58</v>
      </c>
      <c r="F27" s="18">
        <v>300</v>
      </c>
      <c r="G27" s="18">
        <v>465</v>
      </c>
      <c r="H27" s="18">
        <v>23640</v>
      </c>
      <c r="I27" s="18" t="s">
        <v>59</v>
      </c>
      <c r="J27" s="18">
        <v>21848</v>
      </c>
      <c r="K27" s="17" t="s">
        <v>54</v>
      </c>
      <c r="L27" s="17" t="str">
        <f>VLOOKUP(C27,'Trips&amp;Operators'!$C$2:$E$10000,3,FALSE)</f>
        <v>MAELZER</v>
      </c>
      <c r="M27" s="16" t="s">
        <v>500</v>
      </c>
      <c r="N27" s="17"/>
      <c r="P27" s="69" t="str">
        <f>VLOOKUP(C27,'Train Runs'!$A$3:$V$255,22,0)</f>
        <v>https://search-rtdc-monitor-bjffxe2xuh6vdkpspy63sjmuny.us-east-1.es.amazonaws.com/_plugin/kibana/#/discover/Steve-Slow-Train-Analysis-(2080s-and-2083s)?_g=(refreshInterval:(display:Off,section:0,value:0),time:(from:'2016-06-22 00:21:06-0600',mode:absolute,to:'2016-06-22 01:07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27" s="15" t="str">
        <f t="shared" si="1"/>
        <v>4030</v>
      </c>
    </row>
    <row r="28" spans="1:17" s="2" customFormat="1" x14ac:dyDescent="0.25">
      <c r="A28" s="19">
        <v>42543.044409722221</v>
      </c>
      <c r="B28" s="18" t="s">
        <v>117</v>
      </c>
      <c r="C28" s="18" t="s">
        <v>272</v>
      </c>
      <c r="D28" s="18" t="s">
        <v>55</v>
      </c>
      <c r="E28" s="18" t="s">
        <v>58</v>
      </c>
      <c r="F28" s="18">
        <v>600</v>
      </c>
      <c r="G28" s="18">
        <v>652</v>
      </c>
      <c r="H28" s="18">
        <v>184575</v>
      </c>
      <c r="I28" s="18" t="s">
        <v>59</v>
      </c>
      <c r="J28" s="18">
        <v>190834</v>
      </c>
      <c r="K28" s="17" t="s">
        <v>54</v>
      </c>
      <c r="L28" s="17" t="str">
        <f>VLOOKUP(C28,'Trips&amp;Operators'!$C$2:$E$10000,3,FALSE)</f>
        <v>ADANE</v>
      </c>
      <c r="M28" s="16" t="s">
        <v>500</v>
      </c>
      <c r="N28" s="17"/>
      <c r="P28" s="69" t="str">
        <f>VLOOKUP(C28,'Train Runs'!$A$3:$V$255,22,0)</f>
        <v>https://search-rtdc-monitor-bjffxe2xuh6vdkpspy63sjmuny.us-east-1.es.amazonaws.com/_plugin/kibana/#/discover/Steve-Slow-Train-Analysis-(2080s-and-2083s)?_g=(refreshInterval:(display:Off,section:0,value:0),time:(from:'2016-06-22 00:51:57-0600',mode:absolute,to:'2016-06-22 01:35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28" s="15" t="str">
        <f t="shared" si="1"/>
        <v>4026</v>
      </c>
    </row>
    <row r="29" spans="1:17" s="2" customFormat="1" x14ac:dyDescent="0.25">
      <c r="A29" s="19">
        <v>42542.259768518517</v>
      </c>
      <c r="B29" s="18" t="s">
        <v>103</v>
      </c>
      <c r="C29" s="18" t="s">
        <v>311</v>
      </c>
      <c r="D29" s="18" t="s">
        <v>50</v>
      </c>
      <c r="E29" s="18" t="s">
        <v>56</v>
      </c>
      <c r="F29" s="18">
        <v>0</v>
      </c>
      <c r="G29" s="18">
        <v>787</v>
      </c>
      <c r="H29" s="18">
        <v>207959</v>
      </c>
      <c r="I29" s="18" t="s">
        <v>57</v>
      </c>
      <c r="J29" s="18">
        <v>210929</v>
      </c>
      <c r="K29" s="17" t="s">
        <v>53</v>
      </c>
      <c r="L29" s="17" t="str">
        <f>VLOOKUP(C29,'Trips&amp;Operators'!$C$2:$E$10000,3,FALSE)</f>
        <v>SPECTOR</v>
      </c>
      <c r="M29" s="16" t="s">
        <v>499</v>
      </c>
      <c r="N29" s="17" t="s">
        <v>501</v>
      </c>
      <c r="P29" s="69" t="str">
        <f>VLOOKUP(C29,'Train Runs'!$A$3:$V$255,22,0)</f>
        <v>https://search-rtdc-monitor-bjffxe2xuh6vdkpspy63sjmuny.us-east-1.es.amazonaws.com/_plugin/kibana/#/discover/Steve-Slow-Train-Analysis-(2080s-and-2083s)?_g=(refreshInterval:(display:Off,section:0,value:0),time:(from:'2016-06-21 05:30:34-0600',mode:absolute,to:'2016-06-21 06:22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29" s="15" t="str">
        <f t="shared" si="1"/>
        <v>4031</v>
      </c>
    </row>
    <row r="30" spans="1:17" s="2" customFormat="1" x14ac:dyDescent="0.25">
      <c r="A30" s="19">
        <v>42542.383043981485</v>
      </c>
      <c r="B30" s="18" t="s">
        <v>87</v>
      </c>
      <c r="C30" s="18" t="s">
        <v>348</v>
      </c>
      <c r="D30" s="18" t="s">
        <v>50</v>
      </c>
      <c r="E30" s="18" t="s">
        <v>56</v>
      </c>
      <c r="F30" s="18">
        <v>0</v>
      </c>
      <c r="G30" s="18">
        <v>491</v>
      </c>
      <c r="H30" s="18">
        <v>122018</v>
      </c>
      <c r="I30" s="18" t="s">
        <v>57</v>
      </c>
      <c r="J30" s="18">
        <v>118741</v>
      </c>
      <c r="K30" s="17" t="s">
        <v>54</v>
      </c>
      <c r="L30" s="17" t="str">
        <f>VLOOKUP(C30,'Trips&amp;Operators'!$C$2:$E$10000,3,FALSE)</f>
        <v>KILLION</v>
      </c>
      <c r="M30" s="16" t="s">
        <v>499</v>
      </c>
      <c r="N30" s="17" t="s">
        <v>501</v>
      </c>
      <c r="P30" s="69" t="str">
        <f>VLOOKUP(C30,'Train Runs'!$A$3:$V$255,22,0)</f>
        <v>https://search-rtdc-monitor-bjffxe2xuh6vdkpspy63sjmuny.us-east-1.es.amazonaws.com/_plugin/kibana/#/discover/Steve-Slow-Train-Analysis-(2080s-and-2083s)?_g=(refreshInterval:(display:Off,section:0,value:0),time:(from:'2016-06-21 08:53:47-0600',mode:absolute,to:'2016-06-21 09:36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30" s="15" t="str">
        <f t="shared" si="1"/>
        <v>4019</v>
      </c>
    </row>
    <row r="31" spans="1:17" s="2" customFormat="1" x14ac:dyDescent="0.25">
      <c r="A31" s="19">
        <v>42542.517743055556</v>
      </c>
      <c r="B31" s="18" t="s">
        <v>491</v>
      </c>
      <c r="C31" s="18" t="s">
        <v>397</v>
      </c>
      <c r="D31" s="18" t="s">
        <v>50</v>
      </c>
      <c r="E31" s="18" t="s">
        <v>56</v>
      </c>
      <c r="F31" s="18">
        <v>0</v>
      </c>
      <c r="G31" s="18">
        <v>796</v>
      </c>
      <c r="H31" s="18">
        <v>143186</v>
      </c>
      <c r="I31" s="18" t="s">
        <v>57</v>
      </c>
      <c r="J31" s="18">
        <v>144300</v>
      </c>
      <c r="K31" s="17" t="s">
        <v>53</v>
      </c>
      <c r="L31" s="17" t="str">
        <f>VLOOKUP(C31,'Trips&amp;Operators'!$C$2:$E$10000,3,FALSE)</f>
        <v>RIVERA</v>
      </c>
      <c r="M31" s="16" t="s">
        <v>499</v>
      </c>
      <c r="N31" s="17" t="s">
        <v>501</v>
      </c>
      <c r="P31" s="69" t="str">
        <f>VLOOKUP(C31,'Train Runs'!$A$3:$V$255,22,0)</f>
        <v>https://search-rtdc-monitor-bjffxe2xuh6vdkpspy63sjmuny.us-east-1.es.amazonaws.com/_plugin/kibana/#/discover/Steve-Slow-Train-Analysis-(2080s-and-2083s)?_g=(refreshInterval:(display:Off,section:0,value:0),time:(from:'2016-06-21 11:51:21-0600',mode:absolute,to:'2016-06-21 12:39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31" s="15" t="str">
        <f t="shared" si="1"/>
        <v>4027</v>
      </c>
    </row>
    <row r="32" spans="1:17" s="2" customFormat="1" x14ac:dyDescent="0.25">
      <c r="A32" s="19">
        <v>42542.899328703701</v>
      </c>
      <c r="B32" s="18" t="s">
        <v>87</v>
      </c>
      <c r="C32" s="18" t="s">
        <v>251</v>
      </c>
      <c r="D32" s="18" t="s">
        <v>50</v>
      </c>
      <c r="E32" s="18" t="s">
        <v>56</v>
      </c>
      <c r="F32" s="18">
        <v>0</v>
      </c>
      <c r="G32" s="18">
        <v>688</v>
      </c>
      <c r="H32" s="18">
        <v>181246</v>
      </c>
      <c r="I32" s="18" t="s">
        <v>57</v>
      </c>
      <c r="J32" s="18">
        <v>175398</v>
      </c>
      <c r="K32" s="17" t="s">
        <v>54</v>
      </c>
      <c r="L32" s="17" t="str">
        <f>VLOOKUP(C32,'Trips&amp;Operators'!$C$2:$E$10000,3,FALSE)</f>
        <v>NEWELL</v>
      </c>
      <c r="M32" s="16" t="s">
        <v>499</v>
      </c>
      <c r="N32" s="17" t="s">
        <v>501</v>
      </c>
      <c r="P32" s="69" t="str">
        <f>VLOOKUP(C32,'Train Runs'!$A$3:$V$255,22,0)</f>
        <v>https://search-rtdc-monitor-bjffxe2xuh6vdkpspy63sjmuny.us-east-1.es.amazonaws.com/_plugin/kibana/#/discover/Steve-Slow-Train-Analysis-(2080s-and-2083s)?_g=(refreshInterval:(display:Off,section:0,value:0),time:(from:'2016-06-21 21:19:46-0600',mode:absolute,to:'2016-06-21 22:07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32" s="15" t="str">
        <f t="shared" si="1"/>
        <v>4019</v>
      </c>
    </row>
    <row r="33" spans="1:17" s="2" customFormat="1" x14ac:dyDescent="0.25">
      <c r="A33" s="19">
        <v>42542.151631944442</v>
      </c>
      <c r="B33" s="18" t="s">
        <v>491</v>
      </c>
      <c r="C33" s="18" t="s">
        <v>281</v>
      </c>
      <c r="D33" s="18" t="s">
        <v>55</v>
      </c>
      <c r="E33" s="18" t="s">
        <v>495</v>
      </c>
      <c r="F33" s="18">
        <v>0</v>
      </c>
      <c r="G33" s="18">
        <v>649</v>
      </c>
      <c r="H33" s="18">
        <v>108316</v>
      </c>
      <c r="I33" s="18" t="s">
        <v>496</v>
      </c>
      <c r="J33" s="18">
        <v>107939</v>
      </c>
      <c r="K33" s="17" t="s">
        <v>53</v>
      </c>
      <c r="L33" s="17" t="str">
        <f>VLOOKUP(C33,'Trips&amp;Operators'!$C$2:$E$10000,3,FALSE)</f>
        <v>STURGEON</v>
      </c>
      <c r="M33" s="16" t="s">
        <v>499</v>
      </c>
      <c r="N33" s="17" t="s">
        <v>501</v>
      </c>
      <c r="P33" s="69" t="str">
        <f>VLOOKUP(C33,'Train Runs'!$A$3:$V$255,22,0)</f>
        <v>https://search-rtdc-monitor-bjffxe2xuh6vdkpspy63sjmuny.us-east-1.es.amazonaws.com/_plugin/kibana/#/discover/Steve-Slow-Train-Analysis-(2080s-and-2083s)?_g=(refreshInterval:(display:Off,section:0,value:0),time:(from:'2016-06-21 03:02:23-0600',mode:absolute,to:'2016-06-21 03:53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33" s="15" t="str">
        <f t="shared" si="1"/>
        <v>4027</v>
      </c>
    </row>
    <row r="34" spans="1:17" s="2" customFormat="1" x14ac:dyDescent="0.25">
      <c r="A34" s="19">
        <v>42542.204710648148</v>
      </c>
      <c r="B34" s="18" t="s">
        <v>124</v>
      </c>
      <c r="C34" s="18" t="s">
        <v>291</v>
      </c>
      <c r="D34" s="18" t="s">
        <v>55</v>
      </c>
      <c r="E34" s="18" t="s">
        <v>56</v>
      </c>
      <c r="F34" s="18">
        <v>200</v>
      </c>
      <c r="G34" s="18">
        <v>260</v>
      </c>
      <c r="H34" s="18">
        <v>152015</v>
      </c>
      <c r="I34" s="18" t="s">
        <v>57</v>
      </c>
      <c r="J34" s="18">
        <v>157300</v>
      </c>
      <c r="K34" s="17" t="s">
        <v>54</v>
      </c>
      <c r="L34" s="17" t="str">
        <f>VLOOKUP(C34,'Trips&amp;Operators'!$C$2:$E$10000,3,FALSE)</f>
        <v>STARKS</v>
      </c>
      <c r="M34" s="16" t="s">
        <v>500</v>
      </c>
      <c r="N34" s="17" t="s">
        <v>508</v>
      </c>
      <c r="P34" s="69" t="str">
        <f>VLOOKUP(C34,'Train Runs'!$A$3:$V$255,22,0)</f>
        <v>https://search-rtdc-monitor-bjffxe2xuh6vdkpspy63sjmuny.us-east-1.es.amazonaws.com/_plugin/kibana/#/discover/Steve-Slow-Train-Analysis-(2080s-and-2083s)?_g=(refreshInterval:(display:Off,section:0,value:0),time:(from:'2016-06-21 04:51:13-0600',mode:absolute,to:'2016-06-21 05:26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34" s="15" t="str">
        <f t="shared" si="1"/>
        <v>4041</v>
      </c>
    </row>
    <row r="35" spans="1:17" s="2" customFormat="1" x14ac:dyDescent="0.25">
      <c r="A35" s="19">
        <v>42542.57472222222</v>
      </c>
      <c r="B35" s="18" t="s">
        <v>482</v>
      </c>
      <c r="C35" s="18" t="s">
        <v>398</v>
      </c>
      <c r="D35" s="18" t="s">
        <v>50</v>
      </c>
      <c r="E35" s="18" t="s">
        <v>56</v>
      </c>
      <c r="F35" s="18">
        <v>0</v>
      </c>
      <c r="G35" s="18">
        <v>77</v>
      </c>
      <c r="H35" s="18">
        <v>43975</v>
      </c>
      <c r="I35" s="18" t="s">
        <v>57</v>
      </c>
      <c r="J35" s="18">
        <v>43664</v>
      </c>
      <c r="K35" s="17" t="s">
        <v>54</v>
      </c>
      <c r="L35" s="17" t="str">
        <f>VLOOKUP(C35,'Trips&amp;Operators'!$C$2:$E$10000,3,FALSE)</f>
        <v>RIVERA</v>
      </c>
      <c r="M35" s="16" t="s">
        <v>499</v>
      </c>
      <c r="N35" s="17" t="s">
        <v>509</v>
      </c>
      <c r="P35" s="69" t="str">
        <f>VLOOKUP(C35,'Train Runs'!$A$3:$V$255,22,0)</f>
        <v>https://search-rtdc-monitor-bjffxe2xuh6vdkpspy63sjmuny.us-east-1.es.amazonaws.com/_plugin/kibana/#/discover/Steve-Slow-Train-Analysis-(2080s-and-2083s)?_g=(refreshInterval:(display:Off,section:0,value:0),time:(from:'2016-06-21 12:51:58-0600',mode:absolute,to:'2016-06-21 13:51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35" s="15" t="str">
        <f t="shared" si="1"/>
        <v>4028</v>
      </c>
    </row>
    <row r="36" spans="1:17" s="2" customFormat="1" x14ac:dyDescent="0.25">
      <c r="A36" s="19">
        <v>42542.593321759261</v>
      </c>
      <c r="B36" s="18" t="s">
        <v>71</v>
      </c>
      <c r="C36" s="18" t="s">
        <v>405</v>
      </c>
      <c r="D36" s="18" t="s">
        <v>50</v>
      </c>
      <c r="E36" s="18" t="s">
        <v>56</v>
      </c>
      <c r="F36" s="18">
        <v>0</v>
      </c>
      <c r="G36" s="18">
        <v>620</v>
      </c>
      <c r="H36" s="18">
        <v>43455</v>
      </c>
      <c r="I36" s="18" t="s">
        <v>57</v>
      </c>
      <c r="J36" s="18">
        <v>38656</v>
      </c>
      <c r="K36" s="17" t="s">
        <v>54</v>
      </c>
      <c r="L36" s="17" t="str">
        <f>VLOOKUP(C36,'Trips&amp;Operators'!$C$2:$E$10000,3,FALSE)</f>
        <v>BONDS</v>
      </c>
      <c r="M36" s="16" t="s">
        <v>499</v>
      </c>
      <c r="N36" s="17" t="s">
        <v>509</v>
      </c>
      <c r="P36" s="69" t="str">
        <f>VLOOKUP(C36,'Train Runs'!$A$3:$V$255,22,0)</f>
        <v>https://search-rtdc-monitor-bjffxe2xuh6vdkpspy63sjmuny.us-east-1.es.amazonaws.com/_plugin/kibana/#/discover/Steve-Slow-Train-Analysis-(2080s-and-2083s)?_g=(refreshInterval:(display:Off,section:0,value:0),time:(from:'2016-06-21 13:13:07-0600',mode:absolute,to:'2016-06-21 14:15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36" s="15" t="str">
        <f t="shared" si="1"/>
        <v>4032</v>
      </c>
    </row>
    <row r="37" spans="1:17" s="2" customFormat="1" x14ac:dyDescent="0.25">
      <c r="A37" s="19">
        <v>42542.20521990741</v>
      </c>
      <c r="B37" s="18" t="s">
        <v>91</v>
      </c>
      <c r="C37" s="18" t="s">
        <v>284</v>
      </c>
      <c r="D37" s="18" t="s">
        <v>50</v>
      </c>
      <c r="E37" s="18" t="s">
        <v>51</v>
      </c>
      <c r="F37" s="18">
        <v>0</v>
      </c>
      <c r="G37" s="18">
        <v>8</v>
      </c>
      <c r="H37" s="18">
        <v>138</v>
      </c>
      <c r="I37" s="18" t="s">
        <v>52</v>
      </c>
      <c r="J37" s="18">
        <v>1</v>
      </c>
      <c r="K37" s="17" t="s">
        <v>54</v>
      </c>
      <c r="L37" s="17" t="str">
        <f>VLOOKUP(C37,'Trips&amp;Operators'!$C$2:$E$10000,3,FALSE)</f>
        <v>STURGEON</v>
      </c>
      <c r="M37" s="16" t="s">
        <v>500</v>
      </c>
      <c r="N37" s="17"/>
      <c r="P37" s="69" t="str">
        <f>VLOOKUP(C37,'Train Runs'!$A$3:$V$255,22,0)</f>
        <v>https://search-rtdc-monitor-bjffxe2xuh6vdkpspy63sjmuny.us-east-1.es.amazonaws.com/_plugin/kibana/#/discover/Steve-Slow-Train-Analysis-(2080s-and-2083s)?_g=(refreshInterval:(display:Off,section:0,value:0),time:(from:'2016-06-21 04:05:52-0600',mode:absolute,to:'2016-06-21 04:14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37" s="15" t="str">
        <f t="shared" si="1"/>
        <v>4017</v>
      </c>
    </row>
    <row r="38" spans="1:17" s="2" customFormat="1" x14ac:dyDescent="0.25">
      <c r="A38" s="19">
        <v>42542.267187500001</v>
      </c>
      <c r="B38" s="18" t="s">
        <v>125</v>
      </c>
      <c r="C38" s="18" t="s">
        <v>315</v>
      </c>
      <c r="D38" s="18" t="s">
        <v>50</v>
      </c>
      <c r="E38" s="18" t="s">
        <v>51</v>
      </c>
      <c r="F38" s="18">
        <v>0</v>
      </c>
      <c r="G38" s="18">
        <v>40</v>
      </c>
      <c r="H38" s="18">
        <v>233297</v>
      </c>
      <c r="I38" s="18" t="s">
        <v>52</v>
      </c>
      <c r="J38" s="18">
        <v>233491</v>
      </c>
      <c r="K38" s="17" t="s">
        <v>53</v>
      </c>
      <c r="L38" s="17" t="str">
        <f>VLOOKUP(C38,'Trips&amp;Operators'!$C$2:$E$10000,3,FALSE)</f>
        <v>STARKS</v>
      </c>
      <c r="M38" s="16" t="s">
        <v>500</v>
      </c>
      <c r="N38" s="17"/>
      <c r="P38" s="69" t="str">
        <f>VLOOKUP(C38,'Train Runs'!$A$3:$V$255,22,0)</f>
        <v>https://search-rtdc-monitor-bjffxe2xuh6vdkpspy63sjmuny.us-east-1.es.amazonaws.com/_plugin/kibana/#/discover/Steve-Slow-Train-Analysis-(2080s-and-2083s)?_g=(refreshInterval:(display:Off,section:0,value:0),time:(from:'2016-06-21 05:40:27-0600',mode:absolute,to:'2016-06-21 06:25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38" s="15" t="str">
        <f t="shared" si="1"/>
        <v>4042</v>
      </c>
    </row>
    <row r="39" spans="1:17" s="2" customFormat="1" x14ac:dyDescent="0.25">
      <c r="A39" s="19">
        <v>42542.310196759259</v>
      </c>
      <c r="B39" s="18" t="s">
        <v>124</v>
      </c>
      <c r="C39" s="18" t="s">
        <v>316</v>
      </c>
      <c r="D39" s="18" t="s">
        <v>50</v>
      </c>
      <c r="E39" s="18" t="s">
        <v>51</v>
      </c>
      <c r="F39" s="18">
        <v>0</v>
      </c>
      <c r="G39" s="18">
        <v>7</v>
      </c>
      <c r="H39" s="18">
        <v>96</v>
      </c>
      <c r="I39" s="18" t="s">
        <v>52</v>
      </c>
      <c r="J39" s="18">
        <v>1</v>
      </c>
      <c r="K39" s="17" t="s">
        <v>54</v>
      </c>
      <c r="L39" s="17" t="str">
        <f>VLOOKUP(C39,'Trips&amp;Operators'!$C$2:$E$10000,3,FALSE)</f>
        <v>STARKS</v>
      </c>
      <c r="M39" s="16" t="s">
        <v>500</v>
      </c>
      <c r="N39" s="17"/>
      <c r="P39" s="69" t="str">
        <f>VLOOKUP(C39,'Train Runs'!$A$3:$V$255,22,0)</f>
        <v>https://search-rtdc-monitor-bjffxe2xuh6vdkpspy63sjmuny.us-east-1.es.amazonaws.com/_plugin/kibana/#/discover/Steve-Slow-Train-Analysis-(2080s-and-2083s)?_g=(refreshInterval:(display:Off,section:0,value:0),time:(from:'2016-06-21 06:37:54-0600',mode:absolute,to:'2016-06-21 07:27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39" s="15" t="str">
        <f t="shared" si="1"/>
        <v>4041</v>
      </c>
    </row>
    <row r="40" spans="1:17" s="2" customFormat="1" x14ac:dyDescent="0.25">
      <c r="A40" s="19">
        <v>42542.276342592595</v>
      </c>
      <c r="B40" s="18" t="s">
        <v>98</v>
      </c>
      <c r="C40" s="18" t="s">
        <v>317</v>
      </c>
      <c r="D40" s="18" t="s">
        <v>50</v>
      </c>
      <c r="E40" s="18" t="s">
        <v>51</v>
      </c>
      <c r="F40" s="18">
        <v>0</v>
      </c>
      <c r="G40" s="18">
        <v>3</v>
      </c>
      <c r="H40" s="18">
        <v>233340</v>
      </c>
      <c r="I40" s="18" t="s">
        <v>52</v>
      </c>
      <c r="J40" s="18">
        <v>233491</v>
      </c>
      <c r="K40" s="17" t="s">
        <v>53</v>
      </c>
      <c r="L40" s="17" t="str">
        <f>VLOOKUP(C40,'Trips&amp;Operators'!$C$2:$E$10000,3,FALSE)</f>
        <v>ROCHA</v>
      </c>
      <c r="M40" s="16" t="s">
        <v>500</v>
      </c>
      <c r="N40" s="17"/>
      <c r="P40" s="69" t="str">
        <f>VLOOKUP(C40,'Train Runs'!$A$3:$V$255,22,0)</f>
        <v>https://search-rtdc-monitor-bjffxe2xuh6vdkpspy63sjmuny.us-east-1.es.amazonaws.com/_plugin/kibana/#/discover/Steve-Slow-Train-Analysis-(2080s-and-2083s)?_g=(refreshInterval:(display:Off,section:0,value:0),time:(from:'2016-06-21 05:58:27-0600',mode:absolute,to:'2016-06-21 06:39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40" s="15" t="str">
        <f t="shared" si="1"/>
        <v>4024</v>
      </c>
    </row>
    <row r="41" spans="1:17" s="2" customFormat="1" x14ac:dyDescent="0.25">
      <c r="A41" s="19">
        <v>42542.314641203702</v>
      </c>
      <c r="B41" s="18" t="s">
        <v>92</v>
      </c>
      <c r="C41" s="18" t="s">
        <v>319</v>
      </c>
      <c r="D41" s="18" t="s">
        <v>50</v>
      </c>
      <c r="E41" s="18" t="s">
        <v>51</v>
      </c>
      <c r="F41" s="18">
        <v>0</v>
      </c>
      <c r="G41" s="18">
        <v>57</v>
      </c>
      <c r="H41" s="18">
        <v>198</v>
      </c>
      <c r="I41" s="18" t="s">
        <v>52</v>
      </c>
      <c r="J41" s="18">
        <v>1</v>
      </c>
      <c r="K41" s="17" t="s">
        <v>54</v>
      </c>
      <c r="L41" s="17" t="str">
        <f>VLOOKUP(C41,'Trips&amp;Operators'!$C$2:$E$10000,3,FALSE)</f>
        <v>ROCHA</v>
      </c>
      <c r="M41" s="16" t="s">
        <v>500</v>
      </c>
      <c r="N41" s="17"/>
      <c r="P41" s="69" t="str">
        <f>VLOOKUP(C41,'Train Runs'!$A$3:$V$255,22,0)</f>
        <v>https://search-rtdc-monitor-bjffxe2xuh6vdkpspy63sjmuny.us-east-1.es.amazonaws.com/_plugin/kibana/#/discover/Steve-Slow-Train-Analysis-(2080s-and-2083s)?_g=(refreshInterval:(display:Off,section:0,value:0),time:(from:'2016-06-21 06:51:57-0600',mode:absolute,to:'2016-06-21 07:34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41" s="15" t="str">
        <f t="shared" si="1"/>
        <v>4023</v>
      </c>
    </row>
    <row r="42" spans="1:17" s="2" customFormat="1" x14ac:dyDescent="0.25">
      <c r="A42" s="19">
        <v>42542.302291666667</v>
      </c>
      <c r="B42" s="18" t="s">
        <v>106</v>
      </c>
      <c r="C42" s="18" t="s">
        <v>325</v>
      </c>
      <c r="D42" s="18" t="s">
        <v>50</v>
      </c>
      <c r="E42" s="18" t="s">
        <v>51</v>
      </c>
      <c r="F42" s="18">
        <v>0</v>
      </c>
      <c r="G42" s="18">
        <v>62</v>
      </c>
      <c r="H42" s="18">
        <v>233287</v>
      </c>
      <c r="I42" s="18" t="s">
        <v>52</v>
      </c>
      <c r="J42" s="18">
        <v>233491</v>
      </c>
      <c r="K42" s="17" t="s">
        <v>53</v>
      </c>
      <c r="L42" s="17" t="str">
        <f>VLOOKUP(C42,'Trips&amp;Operators'!$C$2:$E$10000,3,FALSE)</f>
        <v>ACKERMAN</v>
      </c>
      <c r="M42" s="16" t="s">
        <v>500</v>
      </c>
      <c r="N42" s="17"/>
      <c r="P42" s="69" t="str">
        <f>VLOOKUP(C42,'Train Runs'!$A$3:$V$255,22,0)</f>
        <v>https://search-rtdc-monitor-bjffxe2xuh6vdkpspy63sjmuny.us-east-1.es.amazonaws.com/_plugin/kibana/#/discover/Steve-Slow-Train-Analysis-(2080s-and-2083s)?_g=(refreshInterval:(display:Off,section:0,value:0),time:(from:'2016-06-21 06:25:54-0600',mode:absolute,to:'2016-06-21 06:33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42" s="15" t="str">
        <f t="shared" si="1"/>
        <v>4029</v>
      </c>
    </row>
    <row r="43" spans="1:17" s="2" customFormat="1" x14ac:dyDescent="0.25">
      <c r="A43" s="19">
        <v>42542.30265046296</v>
      </c>
      <c r="B43" s="18" t="s">
        <v>106</v>
      </c>
      <c r="C43" s="18" t="s">
        <v>325</v>
      </c>
      <c r="D43" s="18" t="s">
        <v>50</v>
      </c>
      <c r="E43" s="18" t="s">
        <v>51</v>
      </c>
      <c r="F43" s="18">
        <v>0</v>
      </c>
      <c r="G43" s="18">
        <v>50</v>
      </c>
      <c r="H43" s="18">
        <v>233389</v>
      </c>
      <c r="I43" s="18" t="s">
        <v>52</v>
      </c>
      <c r="J43" s="18">
        <v>233491</v>
      </c>
      <c r="K43" s="17" t="s">
        <v>53</v>
      </c>
      <c r="L43" s="17" t="str">
        <f>VLOOKUP(C43,'Trips&amp;Operators'!$C$2:$E$10000,3,FALSE)</f>
        <v>ACKERMAN</v>
      </c>
      <c r="M43" s="16" t="s">
        <v>500</v>
      </c>
      <c r="N43" s="17"/>
      <c r="P43" s="69" t="str">
        <f>VLOOKUP(C43,'Train Runs'!$A$3:$V$255,22,0)</f>
        <v>https://search-rtdc-monitor-bjffxe2xuh6vdkpspy63sjmuny.us-east-1.es.amazonaws.com/_plugin/kibana/#/discover/Steve-Slow-Train-Analysis-(2080s-and-2083s)?_g=(refreshInterval:(display:Off,section:0,value:0),time:(from:'2016-06-21 06:25:54-0600',mode:absolute,to:'2016-06-21 06:33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43" s="15" t="str">
        <f t="shared" si="1"/>
        <v>4029</v>
      </c>
    </row>
    <row r="44" spans="1:17" s="2" customFormat="1" x14ac:dyDescent="0.25">
      <c r="A44" s="19">
        <v>42542.373217592591</v>
      </c>
      <c r="B44" s="18" t="s">
        <v>71</v>
      </c>
      <c r="C44" s="18" t="s">
        <v>337</v>
      </c>
      <c r="D44" s="18" t="s">
        <v>50</v>
      </c>
      <c r="E44" s="18" t="s">
        <v>51</v>
      </c>
      <c r="F44" s="18">
        <v>0</v>
      </c>
      <c r="G44" s="18">
        <v>45</v>
      </c>
      <c r="H44" s="18">
        <v>136</v>
      </c>
      <c r="I44" s="18" t="s">
        <v>52</v>
      </c>
      <c r="J44" s="18">
        <v>1</v>
      </c>
      <c r="K44" s="17" t="s">
        <v>54</v>
      </c>
      <c r="L44" s="17" t="str">
        <f>VLOOKUP(C44,'Trips&amp;Operators'!$C$2:$E$10000,3,FALSE)</f>
        <v>SPECTOR</v>
      </c>
      <c r="M44" s="16" t="s">
        <v>500</v>
      </c>
      <c r="N44" s="17"/>
      <c r="P44" s="69" t="str">
        <f>VLOOKUP(C44,'Train Runs'!$A$3:$V$255,22,0)</f>
        <v>https://search-rtdc-monitor-bjffxe2xuh6vdkpspy63sjmuny.us-east-1.es.amazonaws.com/_plugin/kibana/#/discover/Steve-Slow-Train-Analysis-(2080s-and-2083s)?_g=(refreshInterval:(display:Off,section:0,value:0),time:(from:'2016-06-21 08:02:09-0600',mode:absolute,to:'2016-06-21 08:58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44" s="15" t="str">
        <f t="shared" si="1"/>
        <v>4032</v>
      </c>
    </row>
    <row r="45" spans="1:17" s="2" customFormat="1" x14ac:dyDescent="0.25">
      <c r="A45" s="19">
        <v>42542.382905092592</v>
      </c>
      <c r="B45" s="18" t="s">
        <v>124</v>
      </c>
      <c r="C45" s="18" t="s">
        <v>341</v>
      </c>
      <c r="D45" s="18" t="s">
        <v>50</v>
      </c>
      <c r="E45" s="18" t="s">
        <v>51</v>
      </c>
      <c r="F45" s="18">
        <v>0</v>
      </c>
      <c r="G45" s="18">
        <v>27</v>
      </c>
      <c r="H45" s="18">
        <v>112</v>
      </c>
      <c r="I45" s="18" t="s">
        <v>52</v>
      </c>
      <c r="J45" s="18">
        <v>1</v>
      </c>
      <c r="K45" s="17" t="s">
        <v>54</v>
      </c>
      <c r="L45" s="17" t="str">
        <f>VLOOKUP(C45,'Trips&amp;Operators'!$C$2:$E$10000,3,FALSE)</f>
        <v>STARKS</v>
      </c>
      <c r="M45" s="16" t="s">
        <v>500</v>
      </c>
      <c r="N45" s="17"/>
      <c r="P45" s="69" t="str">
        <f>VLOOKUP(C45,'Train Runs'!$A$3:$V$255,22,0)</f>
        <v>https://search-rtdc-monitor-bjffxe2xuh6vdkpspy63sjmuny.us-east-1.es.amazonaws.com/_plugin/kibana/#/discover/Steve-Slow-Train-Analysis-(2080s-and-2083s)?_g=(refreshInterval:(display:Off,section:0,value:0),time:(from:'2016-06-21 08:21:46-0600',mode:absolute,to:'2016-06-21 09:12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45" s="15" t="str">
        <f t="shared" si="1"/>
        <v>4041</v>
      </c>
    </row>
    <row r="46" spans="1:17" s="2" customFormat="1" x14ac:dyDescent="0.25">
      <c r="A46" s="19">
        <v>42542.392048611109</v>
      </c>
      <c r="B46" s="18" t="s">
        <v>92</v>
      </c>
      <c r="C46" s="18" t="s">
        <v>346</v>
      </c>
      <c r="D46" s="18" t="s">
        <v>50</v>
      </c>
      <c r="E46" s="18" t="s">
        <v>51</v>
      </c>
      <c r="F46" s="18">
        <v>0</v>
      </c>
      <c r="G46" s="18">
        <v>9</v>
      </c>
      <c r="H46" s="18">
        <v>125</v>
      </c>
      <c r="I46" s="18" t="s">
        <v>52</v>
      </c>
      <c r="J46" s="18">
        <v>1</v>
      </c>
      <c r="K46" s="17" t="s">
        <v>54</v>
      </c>
      <c r="L46" s="17" t="str">
        <f>VLOOKUP(C46,'Trips&amp;Operators'!$C$2:$E$10000,3,FALSE)</f>
        <v>ROCHA</v>
      </c>
      <c r="M46" s="16" t="s">
        <v>500</v>
      </c>
      <c r="N46" s="17"/>
      <c r="P46" s="69" t="str">
        <f>VLOOKUP(C46,'Train Runs'!$A$3:$V$255,22,0)</f>
        <v>https://search-rtdc-monitor-bjffxe2xuh6vdkpspy63sjmuny.us-east-1.es.amazonaws.com/_plugin/kibana/#/discover/Steve-Slow-Train-Analysis-(2080s-and-2083s)?_g=(refreshInterval:(display:Off,section:0,value:0),time:(from:'2016-06-21 08:38:35-0600',mode:absolute,to:'2016-06-21 09:25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46" s="15" t="str">
        <f t="shared" si="1"/>
        <v>4023</v>
      </c>
    </row>
    <row r="47" spans="1:17" s="2" customFormat="1" x14ac:dyDescent="0.25">
      <c r="A47" s="19">
        <v>42542.365706018521</v>
      </c>
      <c r="B47" s="18" t="s">
        <v>88</v>
      </c>
      <c r="C47" s="18" t="s">
        <v>347</v>
      </c>
      <c r="D47" s="18" t="s">
        <v>50</v>
      </c>
      <c r="E47" s="18" t="s">
        <v>51</v>
      </c>
      <c r="F47" s="18">
        <v>0</v>
      </c>
      <c r="G47" s="18">
        <v>4</v>
      </c>
      <c r="H47" s="18">
        <v>233326</v>
      </c>
      <c r="I47" s="18" t="s">
        <v>52</v>
      </c>
      <c r="J47" s="18">
        <v>233491</v>
      </c>
      <c r="K47" s="17" t="s">
        <v>53</v>
      </c>
      <c r="L47" s="17" t="str">
        <f>VLOOKUP(C47,'Trips&amp;Operators'!$C$2:$E$10000,3,FALSE)</f>
        <v>KILLION</v>
      </c>
      <c r="M47" s="16" t="s">
        <v>500</v>
      </c>
      <c r="N47" s="17"/>
      <c r="P47" s="69" t="str">
        <f>VLOOKUP(C47,'Train Runs'!$A$3:$V$255,22,0)</f>
        <v>https://search-rtdc-monitor-bjffxe2xuh6vdkpspy63sjmuny.us-east-1.es.amazonaws.com/_plugin/kibana/#/discover/Steve-Slow-Train-Analysis-(2080s-and-2083s)?_g=(refreshInterval:(display:Off,section:0,value:0),time:(from:'2016-06-21 07:54:24-0600',mode:absolute,to:'2016-06-21 08:47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47" s="15" t="str">
        <f t="shared" si="1"/>
        <v>4020</v>
      </c>
    </row>
    <row r="48" spans="1:17" s="2" customFormat="1" x14ac:dyDescent="0.25">
      <c r="A48" s="19">
        <v>42542.378819444442</v>
      </c>
      <c r="B48" s="18" t="s">
        <v>106</v>
      </c>
      <c r="C48" s="18" t="s">
        <v>349</v>
      </c>
      <c r="D48" s="18" t="s">
        <v>50</v>
      </c>
      <c r="E48" s="18" t="s">
        <v>51</v>
      </c>
      <c r="F48" s="18">
        <v>0</v>
      </c>
      <c r="G48" s="18">
        <v>51</v>
      </c>
      <c r="H48" s="18">
        <v>233336</v>
      </c>
      <c r="I48" s="18" t="s">
        <v>52</v>
      </c>
      <c r="J48" s="18">
        <v>233491</v>
      </c>
      <c r="K48" s="17" t="s">
        <v>53</v>
      </c>
      <c r="L48" s="17" t="str">
        <f>VLOOKUP(C48,'Trips&amp;Operators'!$C$2:$E$10000,3,FALSE)</f>
        <v>ACKERMAN</v>
      </c>
      <c r="M48" s="16" t="s">
        <v>500</v>
      </c>
      <c r="N48" s="17"/>
      <c r="P48" s="69" t="str">
        <f>VLOOKUP(C48,'Train Runs'!$A$3:$V$255,22,0)</f>
        <v>https://search-rtdc-monitor-bjffxe2xuh6vdkpspy63sjmuny.us-east-1.es.amazonaws.com/_plugin/kibana/#/discover/Steve-Slow-Train-Analysis-(2080s-and-2083s)?_g=(refreshInterval:(display:Off,section:0,value:0),time:(from:'2016-06-21 08:12:57-0600',mode:absolute,to:'2016-06-21 09:06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48" s="15" t="str">
        <f t="shared" si="1"/>
        <v>4029</v>
      </c>
    </row>
    <row r="49" spans="1:17" s="2" customFormat="1" x14ac:dyDescent="0.25">
      <c r="A49" s="19">
        <v>42542.400787037041</v>
      </c>
      <c r="B49" s="18" t="s">
        <v>90</v>
      </c>
      <c r="C49" s="18" t="s">
        <v>357</v>
      </c>
      <c r="D49" s="18" t="s">
        <v>50</v>
      </c>
      <c r="E49" s="18" t="s">
        <v>51</v>
      </c>
      <c r="F49" s="18">
        <v>0</v>
      </c>
      <c r="G49" s="18">
        <v>5</v>
      </c>
      <c r="H49" s="18">
        <v>233329</v>
      </c>
      <c r="I49" s="18" t="s">
        <v>52</v>
      </c>
      <c r="J49" s="18">
        <v>233491</v>
      </c>
      <c r="K49" s="17" t="s">
        <v>53</v>
      </c>
      <c r="L49" s="17" t="str">
        <f>VLOOKUP(C49,'Trips&amp;Operators'!$C$2:$E$10000,3,FALSE)</f>
        <v>STAMBAUGH</v>
      </c>
      <c r="M49" s="16" t="s">
        <v>500</v>
      </c>
      <c r="N49" s="17"/>
      <c r="P49" s="69" t="str">
        <f>VLOOKUP(C49,'Train Runs'!$A$3:$V$255,22,0)</f>
        <v>https://search-rtdc-monitor-bjffxe2xuh6vdkpspy63sjmuny.us-east-1.es.amazonaws.com/_plugin/kibana/#/discover/Steve-Slow-Train-Analysis-(2080s-and-2083s)?_g=(refreshInterval:(display:Off,section:0,value:0),time:(from:'2016-06-21 08:43:30-0600',mode:absolute,to:'2016-06-21 09:38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49" s="15" t="str">
        <f t="shared" si="1"/>
        <v>4018</v>
      </c>
    </row>
    <row r="50" spans="1:17" s="2" customFormat="1" x14ac:dyDescent="0.25">
      <c r="A50" s="19">
        <v>42542.407349537039</v>
      </c>
      <c r="B50" s="18" t="s">
        <v>103</v>
      </c>
      <c r="C50" s="18" t="s">
        <v>361</v>
      </c>
      <c r="D50" s="18" t="s">
        <v>50</v>
      </c>
      <c r="E50" s="18" t="s">
        <v>51</v>
      </c>
      <c r="F50" s="18">
        <v>0</v>
      </c>
      <c r="G50" s="18">
        <v>7</v>
      </c>
      <c r="H50" s="18">
        <v>233341</v>
      </c>
      <c r="I50" s="18" t="s">
        <v>52</v>
      </c>
      <c r="J50" s="18">
        <v>233491</v>
      </c>
      <c r="K50" s="17" t="s">
        <v>53</v>
      </c>
      <c r="L50" s="17" t="str">
        <f>VLOOKUP(C50,'Trips&amp;Operators'!$C$2:$E$10000,3,FALSE)</f>
        <v>SPECTOR</v>
      </c>
      <c r="M50" s="16" t="s">
        <v>500</v>
      </c>
      <c r="N50" s="17"/>
      <c r="P50" s="69" t="str">
        <f>VLOOKUP(C50,'Train Runs'!$A$3:$V$255,22,0)</f>
        <v>https://search-rtdc-monitor-bjffxe2xuh6vdkpspy63sjmuny.us-east-1.es.amazonaws.com/_plugin/kibana/#/discover/Steve-Slow-Train-Analysis-(2080s-and-2083s)?_g=(refreshInterval:(display:Off,section:0,value:0),time:(from:'2016-06-21 09:02:26-0600',mode:absolute,to:'2016-06-21 09:47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50" s="15" t="str">
        <f t="shared" si="1"/>
        <v>4031</v>
      </c>
    </row>
    <row r="51" spans="1:17" s="2" customFormat="1" x14ac:dyDescent="0.25">
      <c r="A51" s="19">
        <v>42542.416064814817</v>
      </c>
      <c r="B51" s="18" t="s">
        <v>125</v>
      </c>
      <c r="C51" s="18" t="s">
        <v>364</v>
      </c>
      <c r="D51" s="18" t="s">
        <v>50</v>
      </c>
      <c r="E51" s="18" t="s">
        <v>51</v>
      </c>
      <c r="F51" s="18">
        <v>0</v>
      </c>
      <c r="G51" s="18">
        <v>42</v>
      </c>
      <c r="H51" s="18">
        <v>233208</v>
      </c>
      <c r="I51" s="18" t="s">
        <v>52</v>
      </c>
      <c r="J51" s="18">
        <v>233491</v>
      </c>
      <c r="K51" s="17" t="s">
        <v>53</v>
      </c>
      <c r="L51" s="17" t="str">
        <f>VLOOKUP(C51,'Trips&amp;Operators'!$C$2:$E$10000,3,FALSE)</f>
        <v>STARKS</v>
      </c>
      <c r="M51" s="16" t="s">
        <v>500</v>
      </c>
      <c r="N51" s="17"/>
      <c r="P51" s="69" t="str">
        <f>VLOOKUP(C51,'Train Runs'!$A$3:$V$255,22,0)</f>
        <v>https://search-rtdc-monitor-bjffxe2xuh6vdkpspy63sjmuny.us-east-1.es.amazonaws.com/_plugin/kibana/#/discover/Steve-Slow-Train-Analysis-(2080s-and-2083s)?_g=(refreshInterval:(display:Off,section:0,value:0),time:(from:'2016-06-21 09:12:25-0600',mode:absolute,to:'2016-06-21 10:00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51" s="15" t="str">
        <f t="shared" si="1"/>
        <v>4042</v>
      </c>
    </row>
    <row r="52" spans="1:17" s="2" customFormat="1" x14ac:dyDescent="0.25">
      <c r="A52" s="19">
        <v>42542.452361111114</v>
      </c>
      <c r="B52" s="18" t="s">
        <v>124</v>
      </c>
      <c r="C52" s="18" t="s">
        <v>366</v>
      </c>
      <c r="D52" s="18" t="s">
        <v>50</v>
      </c>
      <c r="E52" s="18" t="s">
        <v>51</v>
      </c>
      <c r="F52" s="18">
        <v>0</v>
      </c>
      <c r="G52" s="18">
        <v>30</v>
      </c>
      <c r="H52" s="18">
        <v>138</v>
      </c>
      <c r="I52" s="18" t="s">
        <v>52</v>
      </c>
      <c r="J52" s="18">
        <v>1</v>
      </c>
      <c r="K52" s="17" t="s">
        <v>54</v>
      </c>
      <c r="L52" s="17" t="str">
        <f>VLOOKUP(C52,'Trips&amp;Operators'!$C$2:$E$10000,3,FALSE)</f>
        <v>STARKS</v>
      </c>
      <c r="M52" s="16" t="s">
        <v>500</v>
      </c>
      <c r="N52" s="17"/>
      <c r="P52" s="69" t="str">
        <f>VLOOKUP(C52,'Train Runs'!$A$3:$V$255,22,0)</f>
        <v>https://search-rtdc-monitor-bjffxe2xuh6vdkpspy63sjmuny.us-east-1.es.amazonaws.com/_plugin/kibana/#/discover/Steve-Slow-Train-Analysis-(2080s-and-2083s)?_g=(refreshInterval:(display:Off,section:0,value:0),time:(from:'2016-06-21 10:07:34-0600',mode:absolute,to:'2016-06-21 10:52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52" s="15" t="str">
        <f t="shared" si="1"/>
        <v>4041</v>
      </c>
    </row>
    <row r="53" spans="1:17" s="2" customFormat="1" x14ac:dyDescent="0.25">
      <c r="A53" s="19">
        <v>42542.451840277776</v>
      </c>
      <c r="B53" s="18" t="s">
        <v>106</v>
      </c>
      <c r="C53" s="18" t="s">
        <v>371</v>
      </c>
      <c r="D53" s="18" t="s">
        <v>50</v>
      </c>
      <c r="E53" s="18" t="s">
        <v>51</v>
      </c>
      <c r="F53" s="18">
        <v>0</v>
      </c>
      <c r="G53" s="18">
        <v>34</v>
      </c>
      <c r="H53" s="18">
        <v>233398</v>
      </c>
      <c r="I53" s="18" t="s">
        <v>52</v>
      </c>
      <c r="J53" s="18">
        <v>233491</v>
      </c>
      <c r="K53" s="17" t="s">
        <v>53</v>
      </c>
      <c r="L53" s="17" t="str">
        <f>VLOOKUP(C53,'Trips&amp;Operators'!$C$2:$E$10000,3,FALSE)</f>
        <v>ACKERMAN</v>
      </c>
      <c r="M53" s="16" t="s">
        <v>500</v>
      </c>
      <c r="N53" s="17"/>
      <c r="P53" s="69" t="str">
        <f>VLOOKUP(C53,'Train Runs'!$A$3:$V$255,22,0)</f>
        <v>https://search-rtdc-monitor-bjffxe2xuh6vdkpspy63sjmuny.us-east-1.es.amazonaws.com/_plugin/kibana/#/discover/Steve-Slow-Train-Analysis-(2080s-and-2083s)?_g=(refreshInterval:(display:Off,section:0,value:0),time:(from:'2016-06-21 10:13:57-0600',mode:absolute,to:'2016-06-21 10:51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53" s="15" t="str">
        <f t="shared" si="1"/>
        <v>4029</v>
      </c>
    </row>
    <row r="54" spans="1:17" s="2" customFormat="1" x14ac:dyDescent="0.25">
      <c r="A54" s="19">
        <v>42542.482662037037</v>
      </c>
      <c r="B54" s="18" t="s">
        <v>100</v>
      </c>
      <c r="C54" s="18" t="s">
        <v>373</v>
      </c>
      <c r="D54" s="18" t="s">
        <v>50</v>
      </c>
      <c r="E54" s="18" t="s">
        <v>51</v>
      </c>
      <c r="F54" s="18">
        <v>0</v>
      </c>
      <c r="G54" s="18">
        <v>9</v>
      </c>
      <c r="H54" s="18">
        <v>316</v>
      </c>
      <c r="I54" s="18" t="s">
        <v>52</v>
      </c>
      <c r="J54" s="18">
        <v>1</v>
      </c>
      <c r="K54" s="17" t="s">
        <v>54</v>
      </c>
      <c r="L54" s="17" t="str">
        <f>VLOOKUP(C54,'Trips&amp;Operators'!$C$2:$E$10000,3,FALSE)</f>
        <v>ACKERMAN</v>
      </c>
      <c r="M54" s="16" t="s">
        <v>500</v>
      </c>
      <c r="N54" s="17"/>
      <c r="P54" s="69" t="str">
        <f>VLOOKUP(C54,'Train Runs'!$A$3:$V$255,22,0)</f>
        <v>https://search-rtdc-monitor-bjffxe2xuh6vdkpspy63sjmuny.us-east-1.es.amazonaws.com/_plugin/kibana/#/discover/Steve-Slow-Train-Analysis-(2080s-and-2083s)?_g=(refreshInterval:(display:Off,section:0,value:0),time:(from:'2016-06-21 10:51:26-0600',mode:absolute,to:'2016-06-21 11:36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54" s="15" t="str">
        <f t="shared" si="1"/>
        <v>4030</v>
      </c>
    </row>
    <row r="55" spans="1:17" s="2" customFormat="1" x14ac:dyDescent="0.25">
      <c r="A55" s="19">
        <v>42542.492430555554</v>
      </c>
      <c r="B55" s="18" t="s">
        <v>482</v>
      </c>
      <c r="C55" s="18" t="s">
        <v>377</v>
      </c>
      <c r="D55" s="18" t="s">
        <v>50</v>
      </c>
      <c r="E55" s="18" t="s">
        <v>51</v>
      </c>
      <c r="F55" s="18">
        <v>0</v>
      </c>
      <c r="G55" s="18">
        <v>7</v>
      </c>
      <c r="H55" s="18">
        <v>118</v>
      </c>
      <c r="I55" s="18" t="s">
        <v>52</v>
      </c>
      <c r="J55" s="18">
        <v>1</v>
      </c>
      <c r="K55" s="17" t="s">
        <v>54</v>
      </c>
      <c r="L55" s="17" t="str">
        <f>VLOOKUP(C55,'Trips&amp;Operators'!$C$2:$E$10000,3,FALSE)</f>
        <v>RIVERA</v>
      </c>
      <c r="M55" s="16" t="s">
        <v>500</v>
      </c>
      <c r="N55" s="17"/>
      <c r="P55" s="69" t="str">
        <f>VLOOKUP(C55,'Train Runs'!$A$3:$V$255,22,0)</f>
        <v>https://search-rtdc-monitor-bjffxe2xuh6vdkpspy63sjmuny.us-east-1.es.amazonaws.com/_plugin/kibana/#/discover/Steve-Slow-Train-Analysis-(2080s-and-2083s)?_g=(refreshInterval:(display:Off,section:0,value:0),time:(from:'2016-06-21 11:06:23-0600',mode:absolute,to:'2016-06-21 11:50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55" s="15" t="str">
        <f t="shared" si="1"/>
        <v>4028</v>
      </c>
    </row>
    <row r="56" spans="1:17" s="2" customFormat="1" x14ac:dyDescent="0.25">
      <c r="A56" s="19">
        <v>42542.472777777781</v>
      </c>
      <c r="B56" s="18" t="s">
        <v>103</v>
      </c>
      <c r="C56" s="18" t="s">
        <v>379</v>
      </c>
      <c r="D56" s="18" t="s">
        <v>50</v>
      </c>
      <c r="E56" s="18" t="s">
        <v>51</v>
      </c>
      <c r="F56" s="18">
        <v>0</v>
      </c>
      <c r="G56" s="18">
        <v>6</v>
      </c>
      <c r="H56" s="18">
        <v>231702</v>
      </c>
      <c r="I56" s="18" t="s">
        <v>52</v>
      </c>
      <c r="J56" s="18">
        <v>233491</v>
      </c>
      <c r="K56" s="17" t="s">
        <v>53</v>
      </c>
      <c r="L56" s="17" t="str">
        <f>VLOOKUP(C56,'Trips&amp;Operators'!$C$2:$E$10000,3,FALSE)</f>
        <v>REBOLETTI</v>
      </c>
      <c r="M56" s="16" t="s">
        <v>500</v>
      </c>
      <c r="N56" s="17"/>
      <c r="P56" s="69" t="str">
        <f>VLOOKUP(C56,'Train Runs'!$A$3:$V$255,22,0)</f>
        <v>https://search-rtdc-monitor-bjffxe2xuh6vdkpspy63sjmuny.us-east-1.es.amazonaws.com/_plugin/kibana/#/discover/Steve-Slow-Train-Analysis-(2080s-and-2083s)?_g=(refreshInterval:(display:Off,section:0,value:0),time:(from:'2016-06-21 10:42:25-0600',mode:absolute,to:'2016-06-21 11:22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56" s="15" t="str">
        <f t="shared" si="1"/>
        <v>4031</v>
      </c>
    </row>
    <row r="57" spans="1:17" s="2" customFormat="1" x14ac:dyDescent="0.25">
      <c r="A57" s="19">
        <v>42542.514999999999</v>
      </c>
      <c r="B57" s="18" t="s">
        <v>71</v>
      </c>
      <c r="C57" s="18" t="s">
        <v>381</v>
      </c>
      <c r="D57" s="18" t="s">
        <v>50</v>
      </c>
      <c r="E57" s="18" t="s">
        <v>51</v>
      </c>
      <c r="F57" s="18">
        <v>0</v>
      </c>
      <c r="G57" s="18">
        <v>56</v>
      </c>
      <c r="H57" s="18">
        <v>211</v>
      </c>
      <c r="I57" s="18" t="s">
        <v>52</v>
      </c>
      <c r="J57" s="18">
        <v>1</v>
      </c>
      <c r="K57" s="17" t="s">
        <v>54</v>
      </c>
      <c r="L57" s="17" t="str">
        <f>VLOOKUP(C57,'Trips&amp;Operators'!$C$2:$E$10000,3,FALSE)</f>
        <v>REBOLETTI</v>
      </c>
      <c r="M57" s="16" t="s">
        <v>500</v>
      </c>
      <c r="N57" s="17"/>
      <c r="P57" s="69" t="str">
        <f>VLOOKUP(C57,'Train Runs'!$A$3:$V$255,22,0)</f>
        <v>https://search-rtdc-monitor-bjffxe2xuh6vdkpspy63sjmuny.us-east-1.es.amazonaws.com/_plugin/kibana/#/discover/Steve-Slow-Train-Analysis-(2080s-and-2083s)?_g=(refreshInterval:(display:Off,section:0,value:0),time:(from:'2016-06-21 11:32:07-0600',mode:absolute,to:'2016-06-21 12:22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57" s="15" t="str">
        <f t="shared" si="1"/>
        <v>4032</v>
      </c>
    </row>
    <row r="58" spans="1:17" s="2" customFormat="1" x14ac:dyDescent="0.25">
      <c r="A58" s="19">
        <v>42542.504548611112</v>
      </c>
      <c r="B58" s="18" t="s">
        <v>88</v>
      </c>
      <c r="C58" s="18" t="s">
        <v>388</v>
      </c>
      <c r="D58" s="18" t="s">
        <v>50</v>
      </c>
      <c r="E58" s="18" t="s">
        <v>51</v>
      </c>
      <c r="F58" s="18">
        <v>0</v>
      </c>
      <c r="G58" s="18">
        <v>5</v>
      </c>
      <c r="H58" s="18">
        <v>233378</v>
      </c>
      <c r="I58" s="18" t="s">
        <v>52</v>
      </c>
      <c r="J58" s="18">
        <v>233491</v>
      </c>
      <c r="K58" s="17" t="s">
        <v>53</v>
      </c>
      <c r="L58" s="17" t="str">
        <f>VLOOKUP(C58,'Trips&amp;Operators'!$C$2:$E$10000,3,FALSE)</f>
        <v>LOCKLEAR</v>
      </c>
      <c r="M58" s="16" t="s">
        <v>500</v>
      </c>
      <c r="N58" s="17"/>
      <c r="P58" s="69" t="str">
        <f>VLOOKUP(C58,'Train Runs'!$A$3:$V$255,22,0)</f>
        <v>https://search-rtdc-monitor-bjffxe2xuh6vdkpspy63sjmuny.us-east-1.es.amazonaws.com/_plugin/kibana/#/discover/Steve-Slow-Train-Analysis-(2080s-and-2083s)?_g=(refreshInterval:(display:Off,section:0,value:0),time:(from:'2016-06-21 11:21:54-0600',mode:absolute,to:'2016-06-21 12:07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58" s="15" t="str">
        <f t="shared" si="1"/>
        <v>4020</v>
      </c>
    </row>
    <row r="59" spans="1:17" s="2" customFormat="1" x14ac:dyDescent="0.25">
      <c r="A59" s="19">
        <v>42542.568333333336</v>
      </c>
      <c r="B59" s="18" t="s">
        <v>100</v>
      </c>
      <c r="C59" s="18" t="s">
        <v>395</v>
      </c>
      <c r="D59" s="18" t="s">
        <v>50</v>
      </c>
      <c r="E59" s="18" t="s">
        <v>51</v>
      </c>
      <c r="F59" s="18">
        <v>0</v>
      </c>
      <c r="G59" s="18">
        <v>4</v>
      </c>
      <c r="H59" s="18">
        <v>125</v>
      </c>
      <c r="I59" s="18" t="s">
        <v>52</v>
      </c>
      <c r="J59" s="18">
        <v>1</v>
      </c>
      <c r="K59" s="17" t="s">
        <v>54</v>
      </c>
      <c r="L59" s="17" t="str">
        <f>VLOOKUP(C59,'Trips&amp;Operators'!$C$2:$E$10000,3,FALSE)</f>
        <v>MOSES</v>
      </c>
      <c r="M59" s="16" t="s">
        <v>500</v>
      </c>
      <c r="N59" s="17"/>
      <c r="P59" s="69" t="str">
        <f>VLOOKUP(C59,'Train Runs'!$A$3:$V$255,22,0)</f>
        <v>https://search-rtdc-monitor-bjffxe2xuh6vdkpspy63sjmuny.us-east-1.es.amazonaws.com/_plugin/kibana/#/discover/Steve-Slow-Train-Analysis-(2080s-and-2083s)?_g=(refreshInterval:(display:Off,section:0,value:0),time:(from:'2016-06-21 12:35:11-0600',mode:absolute,to:'2016-06-21 13:39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59" s="15" t="str">
        <f t="shared" si="1"/>
        <v>4030</v>
      </c>
    </row>
    <row r="60" spans="1:17" s="2" customFormat="1" x14ac:dyDescent="0.25">
      <c r="A60" s="19">
        <v>42542.634062500001</v>
      </c>
      <c r="B60" s="18" t="s">
        <v>92</v>
      </c>
      <c r="C60" s="18" t="s">
        <v>416</v>
      </c>
      <c r="D60" s="18" t="s">
        <v>50</v>
      </c>
      <c r="E60" s="18" t="s">
        <v>51</v>
      </c>
      <c r="F60" s="18">
        <v>0</v>
      </c>
      <c r="G60" s="18">
        <v>8</v>
      </c>
      <c r="H60" s="18">
        <v>132</v>
      </c>
      <c r="I60" s="18" t="s">
        <v>52</v>
      </c>
      <c r="J60" s="18">
        <v>1</v>
      </c>
      <c r="K60" s="17" t="s">
        <v>54</v>
      </c>
      <c r="L60" s="17" t="str">
        <f>VLOOKUP(C60,'Trips&amp;Operators'!$C$2:$E$10000,3,FALSE)</f>
        <v>LOCKLEAR</v>
      </c>
      <c r="M60" s="16" t="s">
        <v>500</v>
      </c>
      <c r="N60" s="17"/>
      <c r="P60" s="69" t="str">
        <f>VLOOKUP(C60,'Train Runs'!$A$3:$V$255,22,0)</f>
        <v>https://search-rtdc-monitor-bjffxe2xuh6vdkpspy63sjmuny.us-east-1.es.amazonaws.com/_plugin/kibana/#/discover/Steve-Slow-Train-Analysis-(2080s-and-2083s)?_g=(refreshInterval:(display:Off,section:0,value:0),time:(from:'2016-06-21 14:26:23-0600',mode:absolute,to:'2016-06-21 15:14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60" s="15" t="str">
        <f t="shared" si="1"/>
        <v>4023</v>
      </c>
    </row>
    <row r="61" spans="1:17" s="2" customFormat="1" x14ac:dyDescent="0.25">
      <c r="A61" s="19">
        <v>42542.637476851851</v>
      </c>
      <c r="B61" s="18" t="s">
        <v>90</v>
      </c>
      <c r="C61" s="18" t="s">
        <v>422</v>
      </c>
      <c r="D61" s="18" t="s">
        <v>50</v>
      </c>
      <c r="E61" s="18" t="s">
        <v>51</v>
      </c>
      <c r="F61" s="18">
        <v>0</v>
      </c>
      <c r="G61" s="18">
        <v>6</v>
      </c>
      <c r="H61" s="18">
        <v>233332</v>
      </c>
      <c r="I61" s="18" t="s">
        <v>52</v>
      </c>
      <c r="J61" s="18">
        <v>233491</v>
      </c>
      <c r="K61" s="17" t="s">
        <v>53</v>
      </c>
      <c r="L61" s="17" t="str">
        <f>VLOOKUP(C61,'Trips&amp;Operators'!$C$2:$E$10000,3,FALSE)</f>
        <v>YOUNG</v>
      </c>
      <c r="M61" s="16" t="s">
        <v>500</v>
      </c>
      <c r="N61" s="17"/>
      <c r="P61" s="69" t="str">
        <f>VLOOKUP(C61,'Train Runs'!$A$3:$V$255,22,0)</f>
        <v>https://search-rtdc-monitor-bjffxe2xuh6vdkpspy63sjmuny.us-east-1.es.amazonaws.com/_plugin/kibana/#/discover/Steve-Slow-Train-Analysis-(2080s-and-2083s)?_g=(refreshInterval:(display:Off,section:0,value:0),time:(from:'2016-06-21 14:18:43-0600',mode:absolute,to:'2016-06-21 15:19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61" s="15" t="str">
        <f t="shared" si="1"/>
        <v>4018</v>
      </c>
    </row>
    <row r="62" spans="1:17" s="2" customFormat="1" x14ac:dyDescent="0.25">
      <c r="A62" s="19">
        <v>42542.65457175926</v>
      </c>
      <c r="B62" s="18" t="s">
        <v>125</v>
      </c>
      <c r="C62" s="18" t="s">
        <v>431</v>
      </c>
      <c r="D62" s="18" t="s">
        <v>50</v>
      </c>
      <c r="E62" s="18" t="s">
        <v>51</v>
      </c>
      <c r="F62" s="18">
        <v>0</v>
      </c>
      <c r="G62" s="18">
        <v>7</v>
      </c>
      <c r="H62" s="18">
        <v>232015</v>
      </c>
      <c r="I62" s="18" t="s">
        <v>52</v>
      </c>
      <c r="J62" s="18">
        <v>233491</v>
      </c>
      <c r="K62" s="17" t="s">
        <v>53</v>
      </c>
      <c r="L62" s="17" t="str">
        <f>VLOOKUP(C62,'Trips&amp;Operators'!$C$2:$E$10000,3,FALSE)</f>
        <v>COOLAHAN</v>
      </c>
      <c r="M62" s="16" t="s">
        <v>500</v>
      </c>
      <c r="N62" s="17"/>
      <c r="P62" s="69" t="str">
        <f>VLOOKUP(C62,'Train Runs'!$A$3:$V$255,22,0)</f>
        <v>https://search-rtdc-monitor-bjffxe2xuh6vdkpspy63sjmuny.us-east-1.es.amazonaws.com/_plugin/kibana/#/discover/Steve-Slow-Train-Analysis-(2080s-and-2083s)?_g=(refreshInterval:(display:Off,section:0,value:0),time:(from:'2016-06-21 14:51:30-0600',mode:absolute,to:'2016-06-21 15:43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62" s="15" t="str">
        <f t="shared" si="1"/>
        <v>4042</v>
      </c>
    </row>
    <row r="63" spans="1:17" s="2" customFormat="1" x14ac:dyDescent="0.25">
      <c r="A63" s="19">
        <v>42542.696030092593</v>
      </c>
      <c r="B63" s="18" t="s">
        <v>124</v>
      </c>
      <c r="C63" s="18" t="s">
        <v>433</v>
      </c>
      <c r="D63" s="18" t="s">
        <v>50</v>
      </c>
      <c r="E63" s="18" t="s">
        <v>51</v>
      </c>
      <c r="F63" s="18">
        <v>0</v>
      </c>
      <c r="G63" s="18">
        <v>62</v>
      </c>
      <c r="H63" s="18">
        <v>245</v>
      </c>
      <c r="I63" s="18" t="s">
        <v>52</v>
      </c>
      <c r="J63" s="18">
        <v>1</v>
      </c>
      <c r="K63" s="17" t="s">
        <v>54</v>
      </c>
      <c r="L63" s="17" t="str">
        <f>VLOOKUP(C63,'Trips&amp;Operators'!$C$2:$E$10000,3,FALSE)</f>
        <v>COOLAHAN</v>
      </c>
      <c r="M63" s="16" t="s">
        <v>500</v>
      </c>
      <c r="N63" s="17"/>
      <c r="P63" s="69" t="str">
        <f>VLOOKUP(C63,'Train Runs'!$A$3:$V$255,22,0)</f>
        <v>https://search-rtdc-monitor-bjffxe2xuh6vdkpspy63sjmuny.us-east-1.es.amazonaws.com/_plugin/kibana/#/discover/Steve-Slow-Train-Analysis-(2080s-and-2083s)?_g=(refreshInterval:(display:Off,section:0,value:0),time:(from:'2016-06-21 15:51:42-0600',mode:absolute,to:'2016-06-21 16:44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63" s="15" t="str">
        <f t="shared" si="1"/>
        <v>4041</v>
      </c>
    </row>
    <row r="64" spans="1:17" s="2" customFormat="1" x14ac:dyDescent="0.25">
      <c r="A64" s="19">
        <v>42542.766111111108</v>
      </c>
      <c r="B64" s="18" t="s">
        <v>106</v>
      </c>
      <c r="C64" s="18" t="s">
        <v>224</v>
      </c>
      <c r="D64" s="18" t="s">
        <v>50</v>
      </c>
      <c r="E64" s="18" t="s">
        <v>51</v>
      </c>
      <c r="F64" s="18">
        <v>0</v>
      </c>
      <c r="G64" s="18">
        <v>8</v>
      </c>
      <c r="H64" s="18">
        <v>233334</v>
      </c>
      <c r="I64" s="18" t="s">
        <v>52</v>
      </c>
      <c r="J64" s="18">
        <v>233491</v>
      </c>
      <c r="K64" s="17" t="s">
        <v>53</v>
      </c>
      <c r="L64" s="17" t="str">
        <f>VLOOKUP(C64,'Trips&amp;Operators'!$C$2:$E$10000,3,FALSE)</f>
        <v>MAELZER</v>
      </c>
      <c r="M64" s="16" t="s">
        <v>500</v>
      </c>
      <c r="N64" s="17"/>
      <c r="P64" s="69" t="str">
        <f>VLOOKUP(C64,'Train Runs'!$A$3:$V$255,22,0)</f>
        <v>https://search-rtdc-monitor-bjffxe2xuh6vdkpspy63sjmuny.us-east-1.es.amazonaws.com/_plugin/kibana/#/discover/Steve-Slow-Train-Analysis-(2080s-and-2083s)?_g=(refreshInterval:(display:Off,section:0,value:0),time:(from:'2016-06-21 17:34:06-0600',mode:absolute,to:'2016-06-21 18:24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64" s="15" t="str">
        <f t="shared" si="1"/>
        <v>4029</v>
      </c>
    </row>
    <row r="65" spans="1:17" s="2" customFormat="1" x14ac:dyDescent="0.25">
      <c r="A65" s="19">
        <v>42542.792256944442</v>
      </c>
      <c r="B65" s="18" t="s">
        <v>90</v>
      </c>
      <c r="C65" s="18" t="s">
        <v>230</v>
      </c>
      <c r="D65" s="18" t="s">
        <v>50</v>
      </c>
      <c r="E65" s="18" t="s">
        <v>51</v>
      </c>
      <c r="F65" s="18">
        <v>0</v>
      </c>
      <c r="G65" s="18">
        <v>8</v>
      </c>
      <c r="H65" s="18">
        <v>232358</v>
      </c>
      <c r="I65" s="18" t="s">
        <v>52</v>
      </c>
      <c r="J65" s="18">
        <v>233491</v>
      </c>
      <c r="K65" s="17" t="s">
        <v>53</v>
      </c>
      <c r="L65" s="17" t="str">
        <f>VLOOKUP(C65,'Trips&amp;Operators'!$C$2:$E$10000,3,FALSE)</f>
        <v>ADANE</v>
      </c>
      <c r="M65" s="16" t="s">
        <v>500</v>
      </c>
      <c r="N65" s="17"/>
      <c r="P65" s="69" t="str">
        <f>VLOOKUP(C65,'Train Runs'!$A$3:$V$255,22,0)</f>
        <v>https://search-rtdc-monitor-bjffxe2xuh6vdkpspy63sjmuny.us-east-1.es.amazonaws.com/_plugin/kibana/#/discover/Steve-Slow-Train-Analysis-(2080s-and-2083s)?_g=(refreshInterval:(display:Off,section:0,value:0),time:(from:'2016-06-21 18:25:42-0600',mode:absolute,to:'2016-06-21 19:02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65" s="15" t="str">
        <f t="shared" si="1"/>
        <v>4018</v>
      </c>
    </row>
    <row r="66" spans="1:17" s="2" customFormat="1" x14ac:dyDescent="0.25">
      <c r="A66" s="19">
        <v>42542.792708333334</v>
      </c>
      <c r="B66" s="18" t="s">
        <v>90</v>
      </c>
      <c r="C66" s="18" t="s">
        <v>230</v>
      </c>
      <c r="D66" s="18" t="s">
        <v>50</v>
      </c>
      <c r="E66" s="18" t="s">
        <v>51</v>
      </c>
      <c r="F66" s="18">
        <v>0</v>
      </c>
      <c r="G66" s="18">
        <v>82</v>
      </c>
      <c r="H66" s="18">
        <v>232434</v>
      </c>
      <c r="I66" s="18" t="s">
        <v>52</v>
      </c>
      <c r="J66" s="18">
        <v>233491</v>
      </c>
      <c r="K66" s="17" t="s">
        <v>53</v>
      </c>
      <c r="L66" s="17" t="str">
        <f>VLOOKUP(C66,'Trips&amp;Operators'!$C$2:$E$10000,3,FALSE)</f>
        <v>ADANE</v>
      </c>
      <c r="M66" s="16" t="s">
        <v>500</v>
      </c>
      <c r="N66" s="17"/>
      <c r="P66" s="69" t="str">
        <f>VLOOKUP(C66,'Train Runs'!$A$3:$V$255,22,0)</f>
        <v>https://search-rtdc-monitor-bjffxe2xuh6vdkpspy63sjmuny.us-east-1.es.amazonaws.com/_plugin/kibana/#/discover/Steve-Slow-Train-Analysis-(2080s-and-2083s)?_g=(refreshInterval:(display:Off,section:0,value:0),time:(from:'2016-06-21 18:25:42-0600',mode:absolute,to:'2016-06-21 19:02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66" s="15" t="str">
        <f t="shared" si="1"/>
        <v>4018</v>
      </c>
    </row>
    <row r="67" spans="1:17" s="2" customFormat="1" x14ac:dyDescent="0.25">
      <c r="A67" s="19">
        <v>42542.798773148148</v>
      </c>
      <c r="B67" s="18" t="s">
        <v>88</v>
      </c>
      <c r="C67" s="18" t="s">
        <v>237</v>
      </c>
      <c r="D67" s="18" t="s">
        <v>50</v>
      </c>
      <c r="E67" s="18" t="s">
        <v>51</v>
      </c>
      <c r="F67" s="18">
        <v>0</v>
      </c>
      <c r="G67" s="18">
        <v>8</v>
      </c>
      <c r="H67" s="18">
        <v>233332</v>
      </c>
      <c r="I67" s="18" t="s">
        <v>52</v>
      </c>
      <c r="J67" s="18">
        <v>233491</v>
      </c>
      <c r="K67" s="17" t="s">
        <v>53</v>
      </c>
      <c r="L67" s="17" t="str">
        <f>VLOOKUP(C67,'Trips&amp;Operators'!$C$2:$E$10000,3,FALSE)</f>
        <v>NEWELL</v>
      </c>
      <c r="M67" s="16" t="s">
        <v>500</v>
      </c>
      <c r="N67" s="17"/>
      <c r="P67" s="69" t="str">
        <f>VLOOKUP(C67,'Train Runs'!$A$3:$V$255,22,0)</f>
        <v>https://search-rtdc-monitor-bjffxe2xuh6vdkpspy63sjmuny.us-east-1.es.amazonaws.com/_plugin/kibana/#/discover/Steve-Slow-Train-Analysis-(2080s-and-2083s)?_g=(refreshInterval:(display:Off,section:0,value:0),time:(from:'2016-06-21 18:24:26-0600',mode:absolute,to:'2016-06-21 19:11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67" s="15" t="str">
        <f t="shared" si="1"/>
        <v>4020</v>
      </c>
    </row>
    <row r="68" spans="1:17" s="2" customFormat="1" x14ac:dyDescent="0.25">
      <c r="A68" s="19">
        <v>42542.843229166669</v>
      </c>
      <c r="B68" s="18" t="s">
        <v>87</v>
      </c>
      <c r="C68" s="18" t="s">
        <v>238</v>
      </c>
      <c r="D68" s="18" t="s">
        <v>50</v>
      </c>
      <c r="E68" s="18" t="s">
        <v>51</v>
      </c>
      <c r="F68" s="18">
        <v>0</v>
      </c>
      <c r="G68" s="18">
        <v>7</v>
      </c>
      <c r="H68" s="18">
        <v>116</v>
      </c>
      <c r="I68" s="18" t="s">
        <v>52</v>
      </c>
      <c r="J68" s="18">
        <v>1</v>
      </c>
      <c r="K68" s="17" t="s">
        <v>54</v>
      </c>
      <c r="L68" s="17" t="str">
        <f>VLOOKUP(C68,'Trips&amp;Operators'!$C$2:$E$10000,3,FALSE)</f>
        <v>NEWELL</v>
      </c>
      <c r="M68" s="16" t="s">
        <v>500</v>
      </c>
      <c r="N68" s="17"/>
      <c r="P68" s="69" t="str">
        <f>VLOOKUP(C68,'Train Runs'!$A$3:$V$255,22,0)</f>
        <v>https://search-rtdc-monitor-bjffxe2xuh6vdkpspy63sjmuny.us-east-1.es.amazonaws.com/_plugin/kibana/#/discover/Steve-Slow-Train-Analysis-(2080s-and-2083s)?_g=(refreshInterval:(display:Off,section:0,value:0),time:(from:'2016-06-21 19:14:37-0600',mode:absolute,to:'2016-06-21 20:15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68" s="15" t="str">
        <f t="shared" si="1"/>
        <v>4019</v>
      </c>
    </row>
    <row r="69" spans="1:17" s="2" customFormat="1" x14ac:dyDescent="0.25">
      <c r="A69" s="19">
        <v>42542.923298611109</v>
      </c>
      <c r="B69" s="18" t="s">
        <v>106</v>
      </c>
      <c r="C69" s="18" t="s">
        <v>255</v>
      </c>
      <c r="D69" s="18" t="s">
        <v>50</v>
      </c>
      <c r="E69" s="18" t="s">
        <v>51</v>
      </c>
      <c r="F69" s="18">
        <v>0</v>
      </c>
      <c r="G69" s="18">
        <v>3</v>
      </c>
      <c r="H69" s="18">
        <v>233321</v>
      </c>
      <c r="I69" s="18" t="s">
        <v>52</v>
      </c>
      <c r="J69" s="18">
        <v>233491</v>
      </c>
      <c r="K69" s="17" t="s">
        <v>53</v>
      </c>
      <c r="L69" s="17" t="str">
        <f>VLOOKUP(C69,'Trips&amp;Operators'!$C$2:$E$10000,3,FALSE)</f>
        <v>MAELZER</v>
      </c>
      <c r="M69" s="16" t="s">
        <v>500</v>
      </c>
      <c r="N69" s="17"/>
      <c r="P69" s="69" t="str">
        <f>VLOOKUP(C69,'Train Runs'!$A$3:$V$255,22,0)</f>
        <v>https://search-rtdc-monitor-bjffxe2xuh6vdkpspy63sjmuny.us-east-1.es.amazonaws.com/_plugin/kibana/#/discover/Steve-Slow-Train-Analysis-(2080s-and-2083s)?_g=(refreshInterval:(display:Off,section:0,value:0),time:(from:'2016-06-21 21:22:12-0600',mode:absolute,to:'2016-06-21 22:10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69" s="15" t="str">
        <f t="shared" ref="Q69:Q70" si="2">MID(B69,13,4)</f>
        <v>4029</v>
      </c>
    </row>
    <row r="70" spans="1:17" s="2" customFormat="1" x14ac:dyDescent="0.25">
      <c r="A70" s="19">
        <v>42542.963877314818</v>
      </c>
      <c r="B70" s="18" t="s">
        <v>88</v>
      </c>
      <c r="C70" s="18" t="s">
        <v>260</v>
      </c>
      <c r="D70" s="18" t="s">
        <v>50</v>
      </c>
      <c r="E70" s="18" t="s">
        <v>51</v>
      </c>
      <c r="F70" s="18">
        <v>0</v>
      </c>
      <c r="G70" s="18">
        <v>9</v>
      </c>
      <c r="H70" s="18">
        <v>233324</v>
      </c>
      <c r="I70" s="18" t="s">
        <v>52</v>
      </c>
      <c r="J70" s="18">
        <v>233491</v>
      </c>
      <c r="K70" s="17" t="s">
        <v>53</v>
      </c>
      <c r="L70" s="17" t="str">
        <f>VLOOKUP(C70,'Trips&amp;Operators'!$C$2:$E$10000,3,FALSE)</f>
        <v>NEWELL</v>
      </c>
      <c r="M70" s="16" t="s">
        <v>500</v>
      </c>
      <c r="N70" s="17"/>
      <c r="P70" s="69" t="str">
        <f>VLOOKUP(C70,'Train Runs'!$A$3:$V$255,22,0)</f>
        <v>https://search-rtdc-monitor-bjffxe2xuh6vdkpspy63sjmuny.us-east-1.es.amazonaws.com/_plugin/kibana/#/discover/Steve-Slow-Train-Analysis-(2080s-and-2083s)?_g=(refreshInterval:(display:Off,section:0,value:0),time:(from:'2016-06-21 22:08:19-0600',mode:absolute,to:'2016-06-21 23:09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70" s="15" t="str">
        <f t="shared" si="2"/>
        <v>4020</v>
      </c>
    </row>
    <row r="71" spans="1:17" s="2" customFormat="1" x14ac:dyDescent="0.25">
      <c r="A71" s="19">
        <v>42542.984351851854</v>
      </c>
      <c r="B71" s="18" t="s">
        <v>125</v>
      </c>
      <c r="C71" s="18" t="s">
        <v>262</v>
      </c>
      <c r="D71" s="18" t="s">
        <v>50</v>
      </c>
      <c r="E71" s="18" t="s">
        <v>51</v>
      </c>
      <c r="F71" s="18">
        <v>0</v>
      </c>
      <c r="G71" s="18">
        <v>7</v>
      </c>
      <c r="H71" s="18">
        <v>232879</v>
      </c>
      <c r="I71" s="18" t="s">
        <v>52</v>
      </c>
      <c r="J71" s="18">
        <v>233491</v>
      </c>
      <c r="K71" s="17" t="s">
        <v>53</v>
      </c>
      <c r="L71" s="17" t="str">
        <f>VLOOKUP(C71,'Trips&amp;Operators'!$C$2:$E$10000,3,FALSE)</f>
        <v>LEVERE</v>
      </c>
      <c r="M71" s="16" t="s">
        <v>500</v>
      </c>
      <c r="N71" s="17"/>
      <c r="P71" s="69" t="str">
        <f>VLOOKUP(C71,'Train Runs'!$A$3:$V$255,22,0)</f>
        <v>https://search-rtdc-monitor-bjffxe2xuh6vdkpspy63sjmuny.us-east-1.es.amazonaws.com/_plugin/kibana/#/discover/Steve-Slow-Train-Analysis-(2080s-and-2083s)?_g=(refreshInterval:(display:Off,section:0,value:0),time:(from:'2016-06-21 22:55:12-0600',mode:absolute,to:'2016-06-21 23:39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71" s="15" t="str">
        <f t="shared" si="0"/>
        <v>4042</v>
      </c>
    </row>
    <row r="72" spans="1:17" s="2" customFormat="1" x14ac:dyDescent="0.25">
      <c r="A72" s="19">
        <v>42542.240879629629</v>
      </c>
      <c r="B72" s="18" t="s">
        <v>103</v>
      </c>
      <c r="C72" s="18" t="s">
        <v>311</v>
      </c>
      <c r="D72" s="18" t="s">
        <v>50</v>
      </c>
      <c r="E72" s="18" t="s">
        <v>497</v>
      </c>
      <c r="F72" s="18">
        <v>690</v>
      </c>
      <c r="G72" s="18">
        <v>734</v>
      </c>
      <c r="H72" s="18">
        <v>47098</v>
      </c>
      <c r="I72" s="18" t="s">
        <v>498</v>
      </c>
      <c r="J72" s="18">
        <v>47866</v>
      </c>
      <c r="K72" s="17" t="s">
        <v>53</v>
      </c>
      <c r="L72" s="17" t="str">
        <f>VLOOKUP(C72,'Trips&amp;Operators'!$C$2:$E$10000,3,FALSE)</f>
        <v>SPECTOR</v>
      </c>
      <c r="M72" s="16" t="s">
        <v>500</v>
      </c>
      <c r="N72" s="17"/>
      <c r="P72" s="69" t="str">
        <f>VLOOKUP(C72,'Train Runs'!$A$3:$V$255,22,0)</f>
        <v>https://search-rtdc-monitor-bjffxe2xuh6vdkpspy63sjmuny.us-east-1.es.amazonaws.com/_plugin/kibana/#/discover/Steve-Slow-Train-Analysis-(2080s-and-2083s)?_g=(refreshInterval:(display:Off,section:0,value:0),time:(from:'2016-06-21 05:30:34-0600',mode:absolute,to:'2016-06-21 06:22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72" s="15" t="str">
        <f t="shared" si="0"/>
        <v>4031</v>
      </c>
    </row>
    <row r="75" spans="1:17" ht="15.75" thickBot="1" x14ac:dyDescent="0.3"/>
    <row r="76" spans="1:17" ht="30" x14ac:dyDescent="0.25">
      <c r="K76" s="88" t="s">
        <v>511</v>
      </c>
      <c r="L76" s="89"/>
      <c r="M76" s="90">
        <f>COUNTIF(M12:M72,"=Y")</f>
        <v>7</v>
      </c>
    </row>
    <row r="77" spans="1:17" ht="15.75" thickBot="1" x14ac:dyDescent="0.3">
      <c r="K77" s="91" t="s">
        <v>512</v>
      </c>
      <c r="L77" s="92"/>
      <c r="M77" s="93">
        <f>COUNTA(M12:M74)-M76</f>
        <v>54</v>
      </c>
    </row>
  </sheetData>
  <autoFilter ref="A2:N72">
    <sortState ref="A3:N73">
      <sortCondition ref="E2:E73"/>
    </sortState>
  </autoFilter>
  <sortState ref="A29:N36">
    <sortCondition ref="N29:N36"/>
  </sortState>
  <mergeCells count="1">
    <mergeCell ref="A1:M1"/>
  </mergeCells>
  <conditionalFormatting sqref="P2 M2:N2 M78:M1048576 M3:M75">
    <cfRule type="cellIs" dxfId="5" priority="9" operator="equal">
      <formula>"Y"</formula>
    </cfRule>
  </conditionalFormatting>
  <conditionalFormatting sqref="A3:N72">
    <cfRule type="expression" dxfId="4" priority="2">
      <formula>$M3="Y"</formula>
    </cfRule>
  </conditionalFormatting>
  <conditionalFormatting sqref="M76:M77">
    <cfRule type="cellIs" dxfId="3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3"/>
  <sheetViews>
    <sheetView workbookViewId="0">
      <selection activeCell="A3" sqref="A3:A10"/>
    </sheetView>
  </sheetViews>
  <sheetFormatPr defaultRowHeight="15" x14ac:dyDescent="0.25"/>
  <cols>
    <col min="1" max="1" width="9.140625" customWidth="1"/>
    <col min="2" max="2" width="8" style="75" bestFit="1" customWidth="1"/>
    <col min="3" max="3" width="7.85546875" style="77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49" customFormat="1" x14ac:dyDescent="0.25">
      <c r="A1" s="103" t="str">
        <f>"Trips that did not appear in PTC Data "&amp;TEXT(Variables!$A$2,"YYYY-mm-dd")</f>
        <v>Trips that did not appear in PTC Data 2016-06-21</v>
      </c>
      <c r="B1" s="103"/>
      <c r="C1" s="103"/>
      <c r="D1" s="103"/>
      <c r="E1" s="103"/>
    </row>
    <row r="2" spans="1:10" s="67" customFormat="1" ht="45" x14ac:dyDescent="0.25">
      <c r="A2" s="66" t="s">
        <v>110</v>
      </c>
      <c r="B2" s="78" t="s">
        <v>111</v>
      </c>
      <c r="C2" s="76" t="s">
        <v>112</v>
      </c>
      <c r="D2" s="67" t="s">
        <v>108</v>
      </c>
      <c r="E2" s="67" t="s">
        <v>109</v>
      </c>
      <c r="F2" s="67" t="s">
        <v>139</v>
      </c>
      <c r="G2" s="79" t="s">
        <v>140</v>
      </c>
    </row>
    <row r="3" spans="1:10" x14ac:dyDescent="0.25">
      <c r="A3" s="81" t="s">
        <v>471</v>
      </c>
      <c r="B3" s="81"/>
      <c r="C3" s="81"/>
      <c r="D3" s="81"/>
      <c r="E3" s="50" t="e">
        <f>VLOOKUP(A3,'Trips&amp;Operators'!$C$2:$E$10000,3,FALSE)</f>
        <v>#N/A</v>
      </c>
      <c r="F3" s="50" t="e">
        <f>VLOOKUP(A3,'Trips&amp;Operators'!$C$1:$F$10000,4,FALSE)</f>
        <v>#N/A</v>
      </c>
      <c r="G3" s="80" t="e">
        <f>VLOOKUP(A3,'Trips&amp;Operators'!$C$1:$H$10000,5,FALSE)</f>
        <v>#N/A</v>
      </c>
      <c r="H3" s="49"/>
      <c r="I3" s="49"/>
      <c r="J3" s="49"/>
    </row>
    <row r="4" spans="1:10" x14ac:dyDescent="0.25">
      <c r="A4" s="81" t="s">
        <v>473</v>
      </c>
      <c r="B4" s="81"/>
      <c r="C4" s="81"/>
      <c r="D4" s="81"/>
      <c r="E4" s="50" t="e">
        <f>VLOOKUP(A4,'Trips&amp;Operators'!$C$2:$E$10000,3,FALSE)</f>
        <v>#N/A</v>
      </c>
      <c r="F4" s="50" t="e">
        <f>VLOOKUP(A4,'Trips&amp;Operators'!$C$1:$F$10000,4,FALSE)</f>
        <v>#N/A</v>
      </c>
      <c r="G4" s="80" t="e">
        <f>VLOOKUP(A4,'Trips&amp;Operators'!$C$1:$H$10000,5,FALSE)</f>
        <v>#N/A</v>
      </c>
      <c r="H4" s="49"/>
      <c r="I4" s="49"/>
      <c r="J4" s="49"/>
    </row>
    <row r="5" spans="1:10" x14ac:dyDescent="0.25">
      <c r="A5" s="81" t="s">
        <v>474</v>
      </c>
      <c r="B5" s="81"/>
      <c r="C5" s="81"/>
      <c r="D5" s="81"/>
      <c r="E5" s="50" t="e">
        <f>VLOOKUP(A5,'Trips&amp;Operators'!$C$2:$E$10000,3,FALSE)</f>
        <v>#N/A</v>
      </c>
      <c r="F5" s="50" t="e">
        <f>VLOOKUP(A5,'Trips&amp;Operators'!$C$1:$F$10000,4,FALSE)</f>
        <v>#N/A</v>
      </c>
      <c r="G5" s="80" t="e">
        <f>VLOOKUP(A5,'Trips&amp;Operators'!$C$1:$H$10000,5,FALSE)</f>
        <v>#N/A</v>
      </c>
      <c r="H5" s="49"/>
      <c r="I5" s="49"/>
      <c r="J5" s="49"/>
    </row>
    <row r="6" spans="1:10" x14ac:dyDescent="0.25">
      <c r="A6" s="81" t="s">
        <v>475</v>
      </c>
      <c r="B6" s="81"/>
      <c r="C6" s="81"/>
      <c r="D6" s="81"/>
      <c r="E6" s="50" t="e">
        <f>VLOOKUP(A6,'Trips&amp;Operators'!$C$2:$E$10000,3,FALSE)</f>
        <v>#N/A</v>
      </c>
      <c r="F6" s="50" t="e">
        <f>VLOOKUP(A6,'Trips&amp;Operators'!$C$1:$F$10000,4,FALSE)</f>
        <v>#N/A</v>
      </c>
      <c r="G6" s="80" t="e">
        <f>VLOOKUP(A6,'Trips&amp;Operators'!$C$1:$H$10000,5,FALSE)</f>
        <v>#N/A</v>
      </c>
      <c r="H6" s="49"/>
      <c r="I6" s="49"/>
      <c r="J6" s="49"/>
    </row>
    <row r="7" spans="1:10" x14ac:dyDescent="0.25">
      <c r="A7" s="81" t="s">
        <v>476</v>
      </c>
      <c r="B7" s="81"/>
      <c r="C7" s="81"/>
      <c r="D7" s="81"/>
      <c r="E7" s="50" t="e">
        <f>VLOOKUP(A7,'Trips&amp;Operators'!$C$2:$E$10000,3,FALSE)</f>
        <v>#N/A</v>
      </c>
      <c r="F7" s="50" t="e">
        <f>VLOOKUP(A7,'Trips&amp;Operators'!$C$1:$F$10000,4,FALSE)</f>
        <v>#N/A</v>
      </c>
      <c r="G7" s="80" t="e">
        <f>VLOOKUP(A7,'Trips&amp;Operators'!$C$1:$H$10000,5,FALSE)</f>
        <v>#N/A</v>
      </c>
      <c r="H7" s="49"/>
      <c r="I7" s="49"/>
      <c r="J7" s="49"/>
    </row>
    <row r="8" spans="1:10" x14ac:dyDescent="0.25">
      <c r="A8" s="81" t="s">
        <v>477</v>
      </c>
      <c r="B8" s="81"/>
      <c r="C8" s="81"/>
      <c r="D8" s="81"/>
      <c r="E8" s="50" t="e">
        <f>VLOOKUP(A8,'Trips&amp;Operators'!$C$2:$E$10000,3,FALSE)</f>
        <v>#N/A</v>
      </c>
      <c r="F8" s="50" t="e">
        <f>VLOOKUP(A8,'Trips&amp;Operators'!$C$1:$F$10000,4,FALSE)</f>
        <v>#N/A</v>
      </c>
      <c r="G8" s="80" t="e">
        <f>VLOOKUP(A8,'Trips&amp;Operators'!$C$1:$H$10000,5,FALSE)</f>
        <v>#N/A</v>
      </c>
      <c r="H8" s="49"/>
      <c r="I8" s="49"/>
      <c r="J8" s="49"/>
    </row>
    <row r="9" spans="1:10" x14ac:dyDescent="0.25">
      <c r="A9" s="81" t="s">
        <v>479</v>
      </c>
      <c r="B9" s="81"/>
      <c r="C9" s="81"/>
      <c r="D9" s="81"/>
      <c r="E9" s="50" t="e">
        <f>VLOOKUP(A9,'Trips&amp;Operators'!$C$2:$E$10000,3,FALSE)</f>
        <v>#N/A</v>
      </c>
      <c r="F9" s="50" t="e">
        <f>VLOOKUP(A9,'Trips&amp;Operators'!$C$1:$F$10000,4,FALSE)</f>
        <v>#N/A</v>
      </c>
      <c r="G9" s="80" t="e">
        <f>VLOOKUP(A9,'Trips&amp;Operators'!$C$1:$H$10000,5,FALSE)</f>
        <v>#N/A</v>
      </c>
      <c r="H9" s="49"/>
      <c r="I9" s="49"/>
      <c r="J9" s="49"/>
    </row>
    <row r="10" spans="1:10" x14ac:dyDescent="0.25">
      <c r="A10" s="81" t="s">
        <v>480</v>
      </c>
      <c r="B10" s="81"/>
      <c r="C10" s="81"/>
      <c r="D10" s="81"/>
      <c r="E10" s="50" t="e">
        <f>VLOOKUP(A10,'Trips&amp;Operators'!$C$2:$E$10000,3,FALSE)</f>
        <v>#N/A</v>
      </c>
      <c r="F10" s="50" t="e">
        <f>VLOOKUP(A10,'Trips&amp;Operators'!$C$1:$F$10000,4,FALSE)</f>
        <v>#N/A</v>
      </c>
      <c r="G10" s="80" t="e">
        <f>VLOOKUP(A10,'Trips&amp;Operators'!$C$1:$H$10000,5,FALSE)</f>
        <v>#N/A</v>
      </c>
      <c r="H10" s="49"/>
      <c r="I10" s="49"/>
      <c r="J10" s="49"/>
    </row>
    <row r="11" spans="1:10" x14ac:dyDescent="0.25">
      <c r="A11" s="67"/>
      <c r="B11" s="86"/>
      <c r="C11" s="52"/>
      <c r="D11" s="57"/>
      <c r="E11" s="52"/>
      <c r="F11" s="52"/>
      <c r="G11" s="87"/>
      <c r="H11" s="49"/>
      <c r="I11" s="49"/>
      <c r="J11" s="49"/>
    </row>
    <row r="12" spans="1:10" x14ac:dyDescent="0.25">
      <c r="A12" s="67"/>
      <c r="B12" s="86"/>
      <c r="C12" s="52"/>
      <c r="D12" s="57"/>
      <c r="E12" s="52"/>
      <c r="F12" s="52"/>
      <c r="G12" s="87"/>
      <c r="H12" s="49"/>
      <c r="I12" s="49"/>
      <c r="J12" s="49"/>
    </row>
    <row r="13" spans="1:10" x14ac:dyDescent="0.25">
      <c r="A13" s="67"/>
      <c r="B13" s="86"/>
      <c r="C13" s="52"/>
      <c r="D13" s="57"/>
      <c r="E13" s="52"/>
      <c r="F13" s="52"/>
      <c r="G13" s="87"/>
      <c r="H13" s="49"/>
      <c r="I13" s="49"/>
      <c r="J13" s="49"/>
    </row>
    <row r="14" spans="1:10" x14ac:dyDescent="0.25">
      <c r="A14" s="67"/>
      <c r="B14" s="86"/>
      <c r="C14" s="52"/>
      <c r="D14" s="57"/>
      <c r="E14" s="52"/>
      <c r="F14" s="52"/>
      <c r="G14" s="87"/>
      <c r="H14" s="49"/>
      <c r="I14" s="49"/>
      <c r="J14" s="49"/>
    </row>
    <row r="15" spans="1:10" x14ac:dyDescent="0.25">
      <c r="B15"/>
      <c r="C15"/>
      <c r="H15" s="49"/>
      <c r="I15" s="49"/>
      <c r="J15" s="49"/>
    </row>
    <row r="16" spans="1:10" x14ac:dyDescent="0.25">
      <c r="B16"/>
      <c r="C16"/>
      <c r="H16" s="49"/>
      <c r="I16" s="49"/>
      <c r="J16" s="49"/>
    </row>
    <row r="17" spans="2:10" x14ac:dyDescent="0.25">
      <c r="B17"/>
      <c r="C17"/>
      <c r="H17" s="49"/>
      <c r="I17" s="49"/>
      <c r="J17" s="49"/>
    </row>
    <row r="18" spans="2:10" x14ac:dyDescent="0.25">
      <c r="B18"/>
      <c r="C18"/>
      <c r="H18" s="49"/>
      <c r="I18" s="49"/>
      <c r="J18" s="49"/>
    </row>
    <row r="19" spans="2:10" x14ac:dyDescent="0.25">
      <c r="B19"/>
      <c r="C19"/>
      <c r="H19" s="49"/>
      <c r="I19" s="49"/>
      <c r="J19" s="49"/>
    </row>
    <row r="20" spans="2:10" x14ac:dyDescent="0.25">
      <c r="B20"/>
      <c r="C20"/>
      <c r="H20" s="49"/>
      <c r="I20" s="49"/>
      <c r="J20" s="49"/>
    </row>
    <row r="21" spans="2:10" x14ac:dyDescent="0.25">
      <c r="B21"/>
      <c r="C21"/>
      <c r="H21" s="49"/>
      <c r="I21" s="49"/>
      <c r="J21" s="49"/>
    </row>
    <row r="22" spans="2:10" x14ac:dyDescent="0.25">
      <c r="B22"/>
      <c r="C22"/>
      <c r="H22" s="49"/>
      <c r="I22" s="49"/>
      <c r="J22" s="49"/>
    </row>
    <row r="23" spans="2:10" x14ac:dyDescent="0.25">
      <c r="B23"/>
      <c r="C23"/>
      <c r="H23" s="49"/>
      <c r="I23" s="49"/>
      <c r="J23" s="49"/>
    </row>
    <row r="24" spans="2:10" x14ac:dyDescent="0.25">
      <c r="B24"/>
      <c r="C24"/>
      <c r="H24" s="49"/>
      <c r="I24" s="49"/>
      <c r="J24" s="49"/>
    </row>
    <row r="25" spans="2:10" x14ac:dyDescent="0.25">
      <c r="B25"/>
      <c r="C25"/>
      <c r="H25" s="49"/>
      <c r="I25" s="49"/>
      <c r="J25" s="49"/>
    </row>
    <row r="26" spans="2:10" x14ac:dyDescent="0.25">
      <c r="B26"/>
      <c r="C26"/>
      <c r="H26" s="49"/>
      <c r="I26" s="49"/>
      <c r="J26" s="49"/>
    </row>
    <row r="27" spans="2:10" x14ac:dyDescent="0.25">
      <c r="B27"/>
      <c r="C27"/>
      <c r="H27" s="49"/>
      <c r="I27" s="49"/>
      <c r="J27" s="49"/>
    </row>
    <row r="28" spans="2:10" x14ac:dyDescent="0.25">
      <c r="B28"/>
      <c r="C28"/>
      <c r="H28" s="49"/>
      <c r="I28" s="49"/>
      <c r="J28" s="49"/>
    </row>
    <row r="29" spans="2:10" x14ac:dyDescent="0.25">
      <c r="B29"/>
      <c r="C29"/>
      <c r="H29" s="49"/>
      <c r="I29" s="49"/>
      <c r="J29" s="49"/>
    </row>
    <row r="30" spans="2:10" x14ac:dyDescent="0.25">
      <c r="B30"/>
      <c r="C30"/>
      <c r="H30" s="49"/>
      <c r="I30" s="49"/>
      <c r="J30" s="49"/>
    </row>
    <row r="31" spans="2:10" x14ac:dyDescent="0.25">
      <c r="B31"/>
      <c r="C31"/>
      <c r="H31" s="49"/>
      <c r="I31" s="49"/>
      <c r="J31" s="49"/>
    </row>
    <row r="32" spans="2:10" x14ac:dyDescent="0.25">
      <c r="B32"/>
      <c r="C32"/>
      <c r="H32" s="49"/>
      <c r="I32" s="49"/>
      <c r="J32" s="49"/>
    </row>
    <row r="33" spans="2:10" x14ac:dyDescent="0.25">
      <c r="B33"/>
      <c r="C33"/>
      <c r="H33" s="49"/>
      <c r="I33" s="49"/>
      <c r="J33" s="49"/>
    </row>
    <row r="34" spans="2:10" x14ac:dyDescent="0.25">
      <c r="B34"/>
      <c r="C34"/>
      <c r="H34" s="49"/>
      <c r="I34" s="49"/>
      <c r="J34" s="49"/>
    </row>
    <row r="35" spans="2:10" x14ac:dyDescent="0.25">
      <c r="B35"/>
      <c r="C35"/>
      <c r="H35" s="49"/>
      <c r="I35" s="49"/>
      <c r="J35" s="49"/>
    </row>
    <row r="36" spans="2:10" x14ac:dyDescent="0.25">
      <c r="B36"/>
      <c r="C36"/>
      <c r="H36" s="49"/>
      <c r="I36" s="49"/>
      <c r="J36" s="49"/>
    </row>
    <row r="37" spans="2:10" x14ac:dyDescent="0.25">
      <c r="B37"/>
      <c r="C37"/>
      <c r="H37" s="49"/>
      <c r="I37" s="49"/>
      <c r="J37" s="49"/>
    </row>
    <row r="38" spans="2:10" x14ac:dyDescent="0.25">
      <c r="B38"/>
      <c r="C38"/>
      <c r="H38" s="49"/>
      <c r="I38" s="49"/>
      <c r="J38" s="49"/>
    </row>
    <row r="39" spans="2:10" x14ac:dyDescent="0.25">
      <c r="B39"/>
      <c r="C39"/>
      <c r="H39" s="49"/>
      <c r="I39" s="49"/>
      <c r="J39" s="49"/>
    </row>
    <row r="40" spans="2:10" x14ac:dyDescent="0.25">
      <c r="B40"/>
      <c r="C40"/>
      <c r="H40" s="49"/>
      <c r="I40" s="49"/>
      <c r="J40" s="49"/>
    </row>
    <row r="41" spans="2:10" x14ac:dyDescent="0.25">
      <c r="B41"/>
      <c r="C41"/>
      <c r="H41" s="49"/>
      <c r="I41" s="49"/>
      <c r="J41" s="49"/>
    </row>
    <row r="42" spans="2:10" x14ac:dyDescent="0.25">
      <c r="B42"/>
      <c r="C42"/>
      <c r="H42" s="49"/>
      <c r="I42" s="49"/>
      <c r="J42" s="49"/>
    </row>
    <row r="43" spans="2:10" x14ac:dyDescent="0.25">
      <c r="B43"/>
      <c r="C43"/>
      <c r="H43" s="49"/>
      <c r="I43" s="49"/>
      <c r="J43" s="49"/>
    </row>
    <row r="44" spans="2:10" x14ac:dyDescent="0.25">
      <c r="B44"/>
      <c r="C44"/>
      <c r="H44" s="49"/>
      <c r="I44" s="49"/>
      <c r="J44" s="49"/>
    </row>
    <row r="45" spans="2:10" x14ac:dyDescent="0.25">
      <c r="B45"/>
      <c r="C45"/>
      <c r="H45" s="49"/>
      <c r="I45" s="49"/>
      <c r="J45" s="49"/>
    </row>
    <row r="46" spans="2:10" x14ac:dyDescent="0.25">
      <c r="B46"/>
      <c r="C46"/>
      <c r="H46" s="49"/>
      <c r="I46" s="49"/>
      <c r="J46" s="49"/>
    </row>
    <row r="47" spans="2:10" x14ac:dyDescent="0.25">
      <c r="B47"/>
      <c r="C47"/>
      <c r="H47" s="49"/>
      <c r="I47" s="49"/>
      <c r="J47" s="49"/>
    </row>
    <row r="48" spans="2:10" x14ac:dyDescent="0.25">
      <c r="B48"/>
      <c r="C48"/>
      <c r="H48" s="49"/>
      <c r="I48" s="49"/>
      <c r="J48" s="49"/>
    </row>
    <row r="49" spans="2:10" x14ac:dyDescent="0.25">
      <c r="B49"/>
      <c r="C49"/>
      <c r="H49" s="49"/>
      <c r="I49" s="49"/>
      <c r="J49" s="49"/>
    </row>
    <row r="50" spans="2:10" x14ac:dyDescent="0.25">
      <c r="B50"/>
      <c r="C50"/>
      <c r="H50" s="49"/>
      <c r="I50" s="49"/>
      <c r="J50" s="49"/>
    </row>
    <row r="51" spans="2:10" x14ac:dyDescent="0.25">
      <c r="B51"/>
      <c r="C51"/>
      <c r="H51" s="49"/>
      <c r="I51" s="49"/>
      <c r="J51" s="49"/>
    </row>
    <row r="52" spans="2:10" x14ac:dyDescent="0.25">
      <c r="B52"/>
      <c r="C52"/>
      <c r="H52" s="49"/>
      <c r="I52" s="49"/>
      <c r="J52" s="49"/>
    </row>
    <row r="53" spans="2:10" x14ac:dyDescent="0.25">
      <c r="B53"/>
      <c r="C53"/>
      <c r="H53" s="49"/>
      <c r="I53" s="49"/>
      <c r="J53" s="49"/>
    </row>
    <row r="54" spans="2:10" x14ac:dyDescent="0.25">
      <c r="B54"/>
      <c r="C54"/>
      <c r="H54" s="49"/>
      <c r="I54" s="49"/>
      <c r="J54" s="49"/>
    </row>
    <row r="55" spans="2:10" x14ac:dyDescent="0.25">
      <c r="B55"/>
      <c r="C55"/>
      <c r="H55" s="49"/>
      <c r="I55" s="49"/>
      <c r="J55" s="49"/>
    </row>
    <row r="56" spans="2:10" x14ac:dyDescent="0.25">
      <c r="B56"/>
      <c r="C56"/>
      <c r="H56" s="49"/>
      <c r="I56" s="49"/>
      <c r="J56" s="49"/>
    </row>
    <row r="57" spans="2:10" x14ac:dyDescent="0.25">
      <c r="B57"/>
      <c r="C57"/>
      <c r="H57" s="49"/>
      <c r="I57" s="49"/>
      <c r="J57" s="49"/>
    </row>
    <row r="58" spans="2:10" x14ac:dyDescent="0.25">
      <c r="B58"/>
      <c r="C58"/>
      <c r="H58" s="49"/>
      <c r="I58" s="49"/>
      <c r="J58" s="49"/>
    </row>
    <row r="59" spans="2:10" x14ac:dyDescent="0.25">
      <c r="B59"/>
      <c r="C59"/>
      <c r="H59" s="49"/>
      <c r="I59" s="49"/>
      <c r="J59" s="49"/>
    </row>
    <row r="60" spans="2:10" x14ac:dyDescent="0.25">
      <c r="B60"/>
      <c r="C60"/>
      <c r="H60" s="49"/>
      <c r="I60" s="49"/>
      <c r="J60" s="49"/>
    </row>
    <row r="61" spans="2:10" x14ac:dyDescent="0.25">
      <c r="B61"/>
      <c r="C61"/>
      <c r="H61" s="49"/>
      <c r="I61" s="49"/>
      <c r="J61" s="49"/>
    </row>
    <row r="62" spans="2:10" x14ac:dyDescent="0.25">
      <c r="B62"/>
      <c r="C62"/>
      <c r="H62" s="49"/>
      <c r="I62" s="49"/>
      <c r="J62" s="49"/>
    </row>
    <row r="63" spans="2:10" x14ac:dyDescent="0.25">
      <c r="B63"/>
      <c r="C63"/>
      <c r="H63" s="49"/>
      <c r="I63" s="49"/>
      <c r="J63" s="49"/>
    </row>
    <row r="64" spans="2:10" x14ac:dyDescent="0.25">
      <c r="B64"/>
      <c r="C64"/>
      <c r="H64" s="49"/>
      <c r="I64" s="49"/>
      <c r="J64" s="49"/>
    </row>
    <row r="65" spans="2:10" x14ac:dyDescent="0.25">
      <c r="B65"/>
      <c r="C65"/>
      <c r="H65" s="49"/>
      <c r="I65" s="49"/>
      <c r="J65" s="49"/>
    </row>
    <row r="66" spans="2:10" x14ac:dyDescent="0.25">
      <c r="B66"/>
      <c r="C66"/>
      <c r="H66" s="49"/>
      <c r="I66" s="49"/>
      <c r="J66" s="49"/>
    </row>
    <row r="67" spans="2:10" x14ac:dyDescent="0.25">
      <c r="B67"/>
      <c r="C67"/>
      <c r="H67" s="49"/>
      <c r="I67" s="49"/>
      <c r="J67" s="49"/>
    </row>
    <row r="68" spans="2:10" x14ac:dyDescent="0.25">
      <c r="B68"/>
      <c r="C68"/>
      <c r="H68" s="49"/>
      <c r="I68" s="49"/>
      <c r="J68" s="49"/>
    </row>
    <row r="69" spans="2:10" x14ac:dyDescent="0.25">
      <c r="B69"/>
      <c r="C69"/>
      <c r="H69" s="49"/>
      <c r="I69" s="49"/>
      <c r="J69" s="49"/>
    </row>
    <row r="70" spans="2:10" x14ac:dyDescent="0.25">
      <c r="B70"/>
      <c r="C70"/>
      <c r="H70" s="49"/>
      <c r="I70" s="49"/>
      <c r="J70" s="49"/>
    </row>
    <row r="71" spans="2:10" x14ac:dyDescent="0.25">
      <c r="B71"/>
      <c r="C71"/>
      <c r="H71" s="49"/>
      <c r="I71" s="49"/>
      <c r="J71" s="49"/>
    </row>
    <row r="72" spans="2:10" x14ac:dyDescent="0.25">
      <c r="B72"/>
      <c r="C72"/>
      <c r="H72" s="49"/>
      <c r="I72" s="49"/>
      <c r="J72" s="49"/>
    </row>
    <row r="73" spans="2:10" x14ac:dyDescent="0.25">
      <c r="B73"/>
      <c r="C73"/>
      <c r="H73" s="49"/>
      <c r="I73" s="49"/>
      <c r="J73" s="49"/>
    </row>
    <row r="74" spans="2:10" x14ac:dyDescent="0.25">
      <c r="B74"/>
      <c r="C74"/>
      <c r="H74" s="49"/>
      <c r="I74" s="49"/>
      <c r="J74" s="49"/>
    </row>
    <row r="75" spans="2:10" x14ac:dyDescent="0.25">
      <c r="B75"/>
      <c r="C75"/>
      <c r="H75" s="49"/>
      <c r="I75" s="49"/>
      <c r="J75" s="49"/>
    </row>
    <row r="76" spans="2:10" x14ac:dyDescent="0.25">
      <c r="B76"/>
      <c r="C76"/>
      <c r="H76" s="49"/>
      <c r="I76" s="49"/>
      <c r="J76" s="49"/>
    </row>
    <row r="77" spans="2:10" x14ac:dyDescent="0.25">
      <c r="B77"/>
      <c r="C77"/>
      <c r="H77" s="49"/>
      <c r="I77" s="49"/>
      <c r="J77" s="49"/>
    </row>
    <row r="78" spans="2:10" x14ac:dyDescent="0.25">
      <c r="B78"/>
      <c r="C78"/>
      <c r="H78" s="49"/>
      <c r="I78" s="49"/>
      <c r="J78" s="49"/>
    </row>
    <row r="79" spans="2:10" x14ac:dyDescent="0.25">
      <c r="B79"/>
      <c r="C79"/>
      <c r="H79" s="49"/>
      <c r="I79" s="49"/>
      <c r="J79" s="49"/>
    </row>
    <row r="80" spans="2:10" x14ac:dyDescent="0.25">
      <c r="B80"/>
      <c r="C80"/>
      <c r="H80" s="49"/>
      <c r="I80" s="49"/>
      <c r="J80" s="49"/>
    </row>
    <row r="81" spans="2:10" x14ac:dyDescent="0.25">
      <c r="B81"/>
      <c r="C81"/>
      <c r="H81" s="49"/>
      <c r="I81" s="49"/>
      <c r="J81" s="49"/>
    </row>
    <row r="82" spans="2:10" x14ac:dyDescent="0.25">
      <c r="B82"/>
      <c r="C82"/>
      <c r="H82" s="49"/>
      <c r="I82" s="49"/>
      <c r="J82" s="49"/>
    </row>
    <row r="83" spans="2:10" x14ac:dyDescent="0.25">
      <c r="B83"/>
      <c r="C83"/>
      <c r="H83" s="49"/>
      <c r="I83" s="49"/>
      <c r="J83" s="49"/>
    </row>
    <row r="84" spans="2:10" x14ac:dyDescent="0.25">
      <c r="B84"/>
      <c r="C84"/>
      <c r="H84" s="49"/>
      <c r="I84" s="49"/>
      <c r="J84" s="49"/>
    </row>
    <row r="85" spans="2:10" x14ac:dyDescent="0.25">
      <c r="B85"/>
      <c r="C85"/>
      <c r="H85" s="49"/>
      <c r="I85" s="49"/>
      <c r="J85" s="49"/>
    </row>
    <row r="86" spans="2:10" x14ac:dyDescent="0.25">
      <c r="B86"/>
      <c r="C86"/>
      <c r="H86" s="49"/>
      <c r="I86" s="49"/>
      <c r="J86" s="49"/>
    </row>
    <row r="87" spans="2:10" x14ac:dyDescent="0.25">
      <c r="B87"/>
      <c r="C87"/>
      <c r="H87" s="49"/>
      <c r="I87" s="49"/>
      <c r="J87" s="49"/>
    </row>
    <row r="88" spans="2:10" x14ac:dyDescent="0.25">
      <c r="B88"/>
      <c r="C88"/>
      <c r="H88" s="49"/>
      <c r="I88" s="49"/>
      <c r="J88" s="49"/>
    </row>
    <row r="89" spans="2:10" x14ac:dyDescent="0.25">
      <c r="B89"/>
      <c r="C89"/>
      <c r="H89" s="49"/>
      <c r="I89" s="49"/>
      <c r="J89" s="49"/>
    </row>
    <row r="90" spans="2:10" x14ac:dyDescent="0.25">
      <c r="B90"/>
      <c r="C90"/>
      <c r="H90" s="49"/>
      <c r="I90" s="49"/>
      <c r="J90" s="49"/>
    </row>
    <row r="91" spans="2:10" x14ac:dyDescent="0.25">
      <c r="B91"/>
      <c r="C91"/>
      <c r="H91" s="49"/>
      <c r="I91" s="49"/>
      <c r="J91" s="49"/>
    </row>
    <row r="92" spans="2:10" x14ac:dyDescent="0.25">
      <c r="B92"/>
      <c r="C92"/>
      <c r="H92" s="49"/>
      <c r="I92" s="49"/>
      <c r="J92" s="49"/>
    </row>
    <row r="93" spans="2:10" x14ac:dyDescent="0.25">
      <c r="B93"/>
      <c r="C93"/>
      <c r="H93" s="49"/>
      <c r="I93" s="49"/>
      <c r="J93" s="49"/>
    </row>
    <row r="94" spans="2:10" x14ac:dyDescent="0.25">
      <c r="B94"/>
      <c r="C94"/>
      <c r="H94" s="49"/>
      <c r="I94" s="49"/>
      <c r="J94" s="49"/>
    </row>
    <row r="95" spans="2:10" x14ac:dyDescent="0.25">
      <c r="B95"/>
      <c r="C95"/>
      <c r="H95" s="49"/>
      <c r="I95" s="49"/>
      <c r="J95" s="49"/>
    </row>
    <row r="96" spans="2:10" x14ac:dyDescent="0.25">
      <c r="B96"/>
      <c r="C96"/>
      <c r="H96" s="49"/>
      <c r="I96" s="49"/>
      <c r="J96" s="49"/>
    </row>
    <row r="97" spans="2:10" x14ac:dyDescent="0.25">
      <c r="B97"/>
      <c r="C97"/>
      <c r="H97" s="49"/>
      <c r="I97" s="49"/>
      <c r="J97" s="49"/>
    </row>
    <row r="98" spans="2:10" x14ac:dyDescent="0.25">
      <c r="B98"/>
      <c r="C98"/>
      <c r="H98" s="49"/>
      <c r="I98" s="49"/>
      <c r="J98" s="49"/>
    </row>
    <row r="99" spans="2:10" x14ac:dyDescent="0.25">
      <c r="B99"/>
      <c r="C99"/>
      <c r="H99" s="49"/>
      <c r="I99" s="49"/>
      <c r="J99" s="49"/>
    </row>
    <row r="100" spans="2:10" x14ac:dyDescent="0.25">
      <c r="B100"/>
      <c r="C100"/>
      <c r="H100" s="49"/>
      <c r="I100" s="49"/>
      <c r="J100" s="49"/>
    </row>
    <row r="101" spans="2:10" x14ac:dyDescent="0.25">
      <c r="B101"/>
      <c r="C101"/>
      <c r="H101" s="49"/>
      <c r="I101" s="49"/>
      <c r="J101" s="49"/>
    </row>
    <row r="102" spans="2:10" x14ac:dyDescent="0.25">
      <c r="B102"/>
      <c r="C102"/>
      <c r="H102" s="49"/>
      <c r="I102" s="49"/>
      <c r="J102" s="49"/>
    </row>
    <row r="103" spans="2:10" x14ac:dyDescent="0.25">
      <c r="B103"/>
      <c r="C103"/>
      <c r="H103" s="49"/>
      <c r="I103" s="49"/>
      <c r="J103" s="49"/>
    </row>
    <row r="104" spans="2:10" x14ac:dyDescent="0.25">
      <c r="B104"/>
      <c r="C104"/>
      <c r="H104" s="49"/>
      <c r="I104" s="49"/>
      <c r="J104" s="49"/>
    </row>
    <row r="105" spans="2:10" x14ac:dyDescent="0.25">
      <c r="B105"/>
      <c r="C105"/>
      <c r="H105" s="49"/>
      <c r="I105" s="49"/>
      <c r="J105" s="49"/>
    </row>
    <row r="106" spans="2:10" x14ac:dyDescent="0.25">
      <c r="B106"/>
      <c r="C106"/>
      <c r="H106" s="49"/>
      <c r="I106" s="49"/>
      <c r="J106" s="49"/>
    </row>
    <row r="107" spans="2:10" x14ac:dyDescent="0.25">
      <c r="B107"/>
      <c r="C107"/>
      <c r="H107" s="49"/>
      <c r="I107" s="49"/>
      <c r="J107" s="49"/>
    </row>
    <row r="108" spans="2:10" x14ac:dyDescent="0.25">
      <c r="B108"/>
      <c r="C108"/>
      <c r="H108" s="49"/>
      <c r="I108" s="49"/>
      <c r="J108" s="49"/>
    </row>
    <row r="109" spans="2:10" x14ac:dyDescent="0.25">
      <c r="B109"/>
      <c r="C109"/>
      <c r="H109" s="49"/>
      <c r="I109" s="49"/>
      <c r="J109" s="49"/>
    </row>
    <row r="110" spans="2:10" x14ac:dyDescent="0.25">
      <c r="B110"/>
      <c r="C110"/>
      <c r="H110" s="49"/>
      <c r="I110" s="49"/>
      <c r="J110" s="49"/>
    </row>
    <row r="111" spans="2:10" x14ac:dyDescent="0.25">
      <c r="B111"/>
      <c r="C111"/>
      <c r="H111" s="49"/>
      <c r="I111" s="49"/>
      <c r="J111" s="49"/>
    </row>
    <row r="112" spans="2:10" x14ac:dyDescent="0.25">
      <c r="B112"/>
      <c r="C112"/>
      <c r="H112" s="49"/>
      <c r="I112" s="49"/>
      <c r="J112" s="49"/>
    </row>
    <row r="113" spans="2:10" x14ac:dyDescent="0.25">
      <c r="B113"/>
      <c r="C113"/>
      <c r="H113" s="49"/>
      <c r="I113" s="49"/>
      <c r="J113" s="49"/>
    </row>
    <row r="114" spans="2:10" x14ac:dyDescent="0.25">
      <c r="B114"/>
      <c r="C114"/>
      <c r="H114" s="49"/>
      <c r="I114" s="49"/>
      <c r="J114" s="49"/>
    </row>
    <row r="115" spans="2:10" x14ac:dyDescent="0.25">
      <c r="B115"/>
      <c r="C115"/>
      <c r="H115" s="49"/>
      <c r="I115" s="49"/>
      <c r="J115" s="49"/>
    </row>
    <row r="116" spans="2:10" x14ac:dyDescent="0.25">
      <c r="B116"/>
      <c r="C116"/>
      <c r="H116" s="49"/>
      <c r="I116" s="49"/>
      <c r="J116" s="49"/>
    </row>
    <row r="117" spans="2:10" x14ac:dyDescent="0.25">
      <c r="B117"/>
      <c r="C117"/>
      <c r="H117" s="49"/>
      <c r="I117" s="49"/>
      <c r="J117" s="49"/>
    </row>
    <row r="118" spans="2:10" x14ac:dyDescent="0.25">
      <c r="B118"/>
      <c r="C118"/>
      <c r="H118" s="49"/>
      <c r="I118" s="49"/>
      <c r="J118" s="49"/>
    </row>
    <row r="119" spans="2:10" x14ac:dyDescent="0.25">
      <c r="B119"/>
      <c r="C119"/>
      <c r="H119" s="49"/>
      <c r="I119" s="49"/>
      <c r="J119" s="49"/>
    </row>
    <row r="120" spans="2:10" x14ac:dyDescent="0.25">
      <c r="B120"/>
      <c r="C120"/>
      <c r="H120" s="49"/>
      <c r="I120" s="49"/>
      <c r="J120" s="49"/>
    </row>
    <row r="121" spans="2:10" x14ac:dyDescent="0.25">
      <c r="B121"/>
      <c r="C121"/>
      <c r="H121" s="49"/>
      <c r="I121" s="49"/>
      <c r="J121" s="49"/>
    </row>
    <row r="122" spans="2:10" x14ac:dyDescent="0.25">
      <c r="B122"/>
      <c r="C122"/>
      <c r="H122" s="49"/>
      <c r="I122" s="49"/>
      <c r="J122" s="49"/>
    </row>
    <row r="123" spans="2:10" x14ac:dyDescent="0.25">
      <c r="B123"/>
      <c r="C123"/>
      <c r="H123" s="49"/>
      <c r="I123" s="49"/>
      <c r="J123" s="49"/>
    </row>
    <row r="124" spans="2:10" x14ac:dyDescent="0.25">
      <c r="B124"/>
      <c r="C124"/>
      <c r="H124" s="49"/>
      <c r="I124" s="49"/>
      <c r="J124" s="49"/>
    </row>
    <row r="125" spans="2:10" x14ac:dyDescent="0.25">
      <c r="B125"/>
      <c r="C125"/>
      <c r="H125" s="49"/>
      <c r="I125" s="49"/>
      <c r="J125" s="49"/>
    </row>
    <row r="126" spans="2:10" x14ac:dyDescent="0.25">
      <c r="B126"/>
      <c r="C126"/>
      <c r="H126" s="49"/>
      <c r="I126" s="49"/>
      <c r="J126" s="49"/>
    </row>
    <row r="127" spans="2:10" x14ac:dyDescent="0.25">
      <c r="B127"/>
      <c r="C127"/>
      <c r="H127" s="49"/>
      <c r="I127" s="49"/>
      <c r="J127" s="49"/>
    </row>
    <row r="128" spans="2:10" x14ac:dyDescent="0.25">
      <c r="B128"/>
      <c r="C128"/>
      <c r="H128" s="49"/>
      <c r="I128" s="49"/>
      <c r="J128" s="49"/>
    </row>
    <row r="129" spans="2:10" x14ac:dyDescent="0.25">
      <c r="B129"/>
      <c r="C129"/>
      <c r="H129" s="49"/>
      <c r="I129" s="49"/>
      <c r="J129" s="49"/>
    </row>
    <row r="130" spans="2:10" x14ac:dyDescent="0.25">
      <c r="B130"/>
      <c r="C130"/>
      <c r="H130" s="49"/>
      <c r="I130" s="49"/>
      <c r="J130" s="49"/>
    </row>
    <row r="131" spans="2:10" x14ac:dyDescent="0.25">
      <c r="B131"/>
      <c r="C131"/>
      <c r="H131" s="49"/>
      <c r="I131" s="49"/>
      <c r="J131" s="49"/>
    </row>
    <row r="132" spans="2:10" x14ac:dyDescent="0.25">
      <c r="B132"/>
      <c r="C132"/>
      <c r="H132" s="49"/>
      <c r="I132" s="49"/>
      <c r="J132" s="49"/>
    </row>
    <row r="133" spans="2:10" x14ac:dyDescent="0.25">
      <c r="B133"/>
      <c r="C133"/>
      <c r="H133" s="49"/>
      <c r="I133" s="49"/>
      <c r="J133" s="49"/>
    </row>
    <row r="134" spans="2:10" x14ac:dyDescent="0.25">
      <c r="B134"/>
      <c r="C134"/>
      <c r="H134" s="49"/>
      <c r="I134" s="49"/>
      <c r="J134" s="49"/>
    </row>
    <row r="135" spans="2:10" x14ac:dyDescent="0.25">
      <c r="B135"/>
      <c r="C135"/>
      <c r="H135" s="49"/>
      <c r="I135" s="49"/>
      <c r="J135" s="49"/>
    </row>
    <row r="136" spans="2:10" x14ac:dyDescent="0.25">
      <c r="B136"/>
      <c r="C136"/>
      <c r="H136" s="49"/>
      <c r="I136" s="49"/>
      <c r="J136" s="49"/>
    </row>
    <row r="137" spans="2:10" x14ac:dyDescent="0.25">
      <c r="B137"/>
      <c r="C137"/>
      <c r="H137" s="49"/>
      <c r="I137" s="49"/>
      <c r="J137" s="49"/>
    </row>
    <row r="138" spans="2:10" x14ac:dyDescent="0.25">
      <c r="B138"/>
      <c r="C138"/>
      <c r="H138" s="49"/>
      <c r="I138" s="49"/>
      <c r="J138" s="49"/>
    </row>
    <row r="139" spans="2:10" x14ac:dyDescent="0.25">
      <c r="B139"/>
      <c r="C139"/>
      <c r="H139" s="49"/>
      <c r="I139" s="49"/>
      <c r="J139" s="49"/>
    </row>
    <row r="140" spans="2:10" x14ac:dyDescent="0.25">
      <c r="B140"/>
      <c r="C140"/>
      <c r="H140" s="49"/>
      <c r="I140" s="49"/>
      <c r="J140" s="49"/>
    </row>
    <row r="141" spans="2:10" x14ac:dyDescent="0.25">
      <c r="B141"/>
      <c r="C141"/>
      <c r="H141" s="49"/>
      <c r="I141" s="49"/>
      <c r="J141" s="49"/>
    </row>
    <row r="142" spans="2:10" x14ac:dyDescent="0.25">
      <c r="B142"/>
      <c r="C142"/>
      <c r="H142" s="49"/>
      <c r="I142" s="49"/>
      <c r="J142" s="49"/>
    </row>
    <row r="143" spans="2:10" x14ac:dyDescent="0.25">
      <c r="H143" s="49"/>
      <c r="I143" s="49"/>
      <c r="J143" s="49"/>
    </row>
  </sheetData>
  <autoFilter ref="A2:G2">
    <sortState ref="A3:G13">
      <sortCondition ref="E2"/>
    </sortState>
  </autoFilter>
  <mergeCells count="1">
    <mergeCell ref="A1:E1"/>
  </mergeCells>
  <conditionalFormatting sqref="B3:D3">
    <cfRule type="expression" dxfId="2" priority="82">
      <formula>$H139&gt;0</formula>
    </cfRule>
    <cfRule type="expression" dxfId="1" priority="83">
      <formula>$G139&gt;0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6" id="{EB016D9B-668F-4EEA-859B-63F0F621CEF6}">
            <xm:f>$F139&gt;Variables!$C$2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B3:D3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223"/>
  <sheetViews>
    <sheetView workbookViewId="0">
      <selection activeCell="G1" sqref="G1:G1048576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49" bestFit="1" customWidth="1"/>
    <col min="7" max="7" width="18.28515625" style="14" bestFit="1" customWidth="1"/>
  </cols>
  <sheetData>
    <row r="1" spans="1:7" s="49" customFormat="1" x14ac:dyDescent="0.25">
      <c r="A1" s="14">
        <v>42542.427395833336</v>
      </c>
      <c r="B1" s="49" t="s">
        <v>106</v>
      </c>
      <c r="C1" s="49" t="s">
        <v>371</v>
      </c>
      <c r="D1" s="49">
        <v>1260000</v>
      </c>
      <c r="E1" s="49" t="s">
        <v>143</v>
      </c>
      <c r="F1" s="49" t="s">
        <v>106</v>
      </c>
      <c r="G1" s="14">
        <v>42542.427395833336</v>
      </c>
    </row>
    <row r="2" spans="1:7" x14ac:dyDescent="0.25">
      <c r="A2" s="14">
        <v>42542.464444444442</v>
      </c>
      <c r="B2" t="s">
        <v>482</v>
      </c>
      <c r="C2" t="s">
        <v>377</v>
      </c>
      <c r="D2">
        <v>1470000</v>
      </c>
      <c r="E2" t="s">
        <v>483</v>
      </c>
      <c r="F2" s="49" t="s">
        <v>482</v>
      </c>
      <c r="G2" s="14">
        <v>42542.464444444442</v>
      </c>
    </row>
    <row r="3" spans="1:7" x14ac:dyDescent="0.25">
      <c r="A3" s="14">
        <v>42542.587812500002</v>
      </c>
      <c r="B3" t="s">
        <v>126</v>
      </c>
      <c r="C3" t="s">
        <v>413</v>
      </c>
      <c r="D3">
        <v>1990000</v>
      </c>
      <c r="E3" t="s">
        <v>484</v>
      </c>
      <c r="F3" s="49" t="s">
        <v>126</v>
      </c>
      <c r="G3" s="14">
        <v>42542.587812500002</v>
      </c>
    </row>
    <row r="4" spans="1:7" x14ac:dyDescent="0.25">
      <c r="A4" s="14">
        <v>42542.632650462961</v>
      </c>
      <c r="B4" t="s">
        <v>123</v>
      </c>
      <c r="C4" t="s">
        <v>434</v>
      </c>
      <c r="D4">
        <v>1990000</v>
      </c>
      <c r="E4" t="s">
        <v>484</v>
      </c>
      <c r="F4" s="49" t="s">
        <v>123</v>
      </c>
      <c r="G4" s="14">
        <v>42542.632650462961</v>
      </c>
    </row>
    <row r="5" spans="1:7" x14ac:dyDescent="0.25">
      <c r="A5" s="14">
        <v>42542.443541666667</v>
      </c>
      <c r="B5" t="s">
        <v>99</v>
      </c>
      <c r="C5" t="s">
        <v>461</v>
      </c>
      <c r="D5">
        <v>1540000</v>
      </c>
      <c r="E5" t="s">
        <v>187</v>
      </c>
      <c r="F5" s="49" t="s">
        <v>99</v>
      </c>
      <c r="G5" s="14">
        <v>42542.443541666667</v>
      </c>
    </row>
    <row r="6" spans="1:7" x14ac:dyDescent="0.25">
      <c r="A6" s="14">
        <v>42542.296064814815</v>
      </c>
      <c r="B6" t="s">
        <v>126</v>
      </c>
      <c r="C6" t="s">
        <v>323</v>
      </c>
      <c r="D6">
        <v>2030000</v>
      </c>
      <c r="E6" t="s">
        <v>485</v>
      </c>
      <c r="F6" s="49" t="s">
        <v>126</v>
      </c>
      <c r="G6" s="14">
        <v>42542.296064814815</v>
      </c>
    </row>
    <row r="7" spans="1:7" x14ac:dyDescent="0.25">
      <c r="A7" s="14">
        <v>42542.528506944444</v>
      </c>
      <c r="B7" t="s">
        <v>125</v>
      </c>
      <c r="C7" t="s">
        <v>408</v>
      </c>
      <c r="D7">
        <v>1290000</v>
      </c>
      <c r="E7" t="s">
        <v>142</v>
      </c>
      <c r="F7" s="49" t="s">
        <v>125</v>
      </c>
      <c r="G7" s="14">
        <v>42542.528506944444</v>
      </c>
    </row>
    <row r="8" spans="1:7" x14ac:dyDescent="0.25">
      <c r="A8" s="14">
        <v>42542.540983796294</v>
      </c>
      <c r="B8" t="s">
        <v>123</v>
      </c>
      <c r="C8" t="s">
        <v>410</v>
      </c>
      <c r="D8">
        <v>1990000</v>
      </c>
      <c r="E8" t="s">
        <v>484</v>
      </c>
      <c r="F8" s="49" t="s">
        <v>123</v>
      </c>
      <c r="G8" s="14">
        <v>42542.540983796294</v>
      </c>
    </row>
    <row r="9" spans="1:7" ht="15.75" thickBot="1" x14ac:dyDescent="0.3">
      <c r="A9" s="72">
        <v>42542.551215277781</v>
      </c>
      <c r="B9" t="s">
        <v>123</v>
      </c>
      <c r="C9" t="s">
        <v>410</v>
      </c>
      <c r="D9">
        <v>1990000</v>
      </c>
      <c r="E9" t="s">
        <v>484</v>
      </c>
      <c r="F9" s="49" t="s">
        <v>123</v>
      </c>
      <c r="G9" s="72">
        <v>42542.551215277781</v>
      </c>
    </row>
    <row r="10" spans="1:7" x14ac:dyDescent="0.25">
      <c r="A10" s="14">
        <v>42542.567048611112</v>
      </c>
      <c r="B10" t="s">
        <v>99</v>
      </c>
      <c r="C10" t="s">
        <v>465</v>
      </c>
      <c r="D10">
        <v>1540000</v>
      </c>
      <c r="E10" t="s">
        <v>187</v>
      </c>
      <c r="F10" s="49" t="s">
        <v>99</v>
      </c>
      <c r="G10" s="14">
        <v>42542.567048611112</v>
      </c>
    </row>
    <row r="11" spans="1:7" x14ac:dyDescent="0.25">
      <c r="A11" s="14">
        <v>42542.433877314812</v>
      </c>
      <c r="B11" t="s">
        <v>92</v>
      </c>
      <c r="C11" t="s">
        <v>472</v>
      </c>
      <c r="D11">
        <v>900000</v>
      </c>
      <c r="E11" t="s">
        <v>104</v>
      </c>
      <c r="F11" s="49" t="s">
        <v>92</v>
      </c>
      <c r="G11" s="14">
        <v>42542.433877314812</v>
      </c>
    </row>
    <row r="12" spans="1:7" x14ac:dyDescent="0.25">
      <c r="A12" s="14">
        <v>42542.602673611109</v>
      </c>
      <c r="B12" t="s">
        <v>92</v>
      </c>
      <c r="C12" t="s">
        <v>416</v>
      </c>
      <c r="D12">
        <v>1120000</v>
      </c>
      <c r="E12" t="s">
        <v>141</v>
      </c>
      <c r="F12" s="49" t="s">
        <v>92</v>
      </c>
      <c r="G12" s="14">
        <v>42542.602673611109</v>
      </c>
    </row>
    <row r="13" spans="1:7" x14ac:dyDescent="0.25">
      <c r="A13" s="14">
        <v>42542.427916666667</v>
      </c>
      <c r="B13" t="s">
        <v>101</v>
      </c>
      <c r="C13" t="s">
        <v>460</v>
      </c>
      <c r="D13">
        <v>1540000</v>
      </c>
      <c r="E13" t="s">
        <v>187</v>
      </c>
      <c r="F13" s="49" t="s">
        <v>101</v>
      </c>
      <c r="G13" s="14">
        <v>42542.427916666667</v>
      </c>
    </row>
    <row r="14" spans="1:7" x14ac:dyDescent="0.25">
      <c r="A14" s="14">
        <v>42542.673668981479</v>
      </c>
      <c r="B14" t="s">
        <v>126</v>
      </c>
      <c r="C14" t="s">
        <v>435</v>
      </c>
      <c r="D14">
        <v>1990000</v>
      </c>
      <c r="E14" t="s">
        <v>484</v>
      </c>
      <c r="F14" s="49" t="s">
        <v>126</v>
      </c>
      <c r="G14" s="14">
        <v>42542.673668981479</v>
      </c>
    </row>
    <row r="15" spans="1:7" x14ac:dyDescent="0.25">
      <c r="A15" s="14">
        <v>42542.404409722221</v>
      </c>
      <c r="B15" t="s">
        <v>91</v>
      </c>
      <c r="C15" t="s">
        <v>359</v>
      </c>
      <c r="D15">
        <v>2000000</v>
      </c>
      <c r="E15" t="s">
        <v>189</v>
      </c>
      <c r="F15" s="49" t="s">
        <v>91</v>
      </c>
      <c r="G15" s="14">
        <v>42542.404409722221</v>
      </c>
    </row>
    <row r="16" spans="1:7" x14ac:dyDescent="0.25">
      <c r="A16" s="14">
        <v>42542.683715277781</v>
      </c>
      <c r="B16" t="s">
        <v>92</v>
      </c>
      <c r="C16" t="s">
        <v>437</v>
      </c>
      <c r="D16">
        <v>1120000</v>
      </c>
      <c r="E16" t="s">
        <v>141</v>
      </c>
      <c r="F16" s="49" t="s">
        <v>92</v>
      </c>
      <c r="G16" s="14">
        <v>42542.683715277781</v>
      </c>
    </row>
    <row r="17" spans="1:7" x14ac:dyDescent="0.25">
      <c r="A17" s="14">
        <v>42542.371006944442</v>
      </c>
      <c r="B17" s="49" t="s">
        <v>87</v>
      </c>
      <c r="C17" t="s">
        <v>348</v>
      </c>
      <c r="D17">
        <v>2030000</v>
      </c>
      <c r="E17" t="s">
        <v>485</v>
      </c>
      <c r="F17" s="49" t="s">
        <v>87</v>
      </c>
      <c r="G17" s="14">
        <v>42542.371006944442</v>
      </c>
    </row>
    <row r="18" spans="1:7" x14ac:dyDescent="0.25">
      <c r="A18" s="14">
        <v>42542.317881944444</v>
      </c>
      <c r="B18" t="s">
        <v>98</v>
      </c>
      <c r="C18" t="s">
        <v>343</v>
      </c>
      <c r="D18">
        <v>900000</v>
      </c>
      <c r="E18" t="s">
        <v>104</v>
      </c>
      <c r="F18" s="49" t="s">
        <v>98</v>
      </c>
      <c r="G18" s="14">
        <v>42542.317881944444</v>
      </c>
    </row>
    <row r="19" spans="1:7" x14ac:dyDescent="0.25">
      <c r="A19" s="14">
        <v>42542.277858796297</v>
      </c>
      <c r="B19" t="s">
        <v>106</v>
      </c>
      <c r="C19" t="s">
        <v>325</v>
      </c>
      <c r="D19">
        <v>1260000</v>
      </c>
      <c r="E19" t="s">
        <v>143</v>
      </c>
      <c r="F19" s="49" t="s">
        <v>106</v>
      </c>
      <c r="G19" s="14">
        <v>42542.277858796297</v>
      </c>
    </row>
    <row r="20" spans="1:7" x14ac:dyDescent="0.25">
      <c r="A20" s="14">
        <v>42542.359733796293</v>
      </c>
      <c r="B20" t="s">
        <v>99</v>
      </c>
      <c r="C20" t="s">
        <v>457</v>
      </c>
      <c r="D20">
        <v>1540000</v>
      </c>
      <c r="E20" t="s">
        <v>187</v>
      </c>
      <c r="F20" s="49" t="s">
        <v>99</v>
      </c>
      <c r="G20" s="14">
        <v>42542.359733796293</v>
      </c>
    </row>
    <row r="21" spans="1:7" x14ac:dyDescent="0.25">
      <c r="A21" s="14">
        <v>42542.275879629633</v>
      </c>
      <c r="B21" t="s">
        <v>99</v>
      </c>
      <c r="C21" t="s">
        <v>449</v>
      </c>
      <c r="D21">
        <v>1540000</v>
      </c>
      <c r="E21" t="s">
        <v>187</v>
      </c>
      <c r="F21" s="49" t="s">
        <v>99</v>
      </c>
      <c r="G21" s="14">
        <v>42542.275879629633</v>
      </c>
    </row>
    <row r="22" spans="1:7" x14ac:dyDescent="0.25">
      <c r="A22" s="74">
        <v>42542.36478009259</v>
      </c>
      <c r="B22" t="s">
        <v>90</v>
      </c>
      <c r="C22" t="s">
        <v>357</v>
      </c>
      <c r="D22">
        <v>2000000</v>
      </c>
      <c r="E22" t="s">
        <v>189</v>
      </c>
      <c r="F22" s="49" t="s">
        <v>90</v>
      </c>
      <c r="G22" s="74">
        <v>42542.36478009259</v>
      </c>
    </row>
    <row r="23" spans="1:7" x14ac:dyDescent="0.25">
      <c r="A23" s="14">
        <v>42542.256168981483</v>
      </c>
      <c r="B23" t="s">
        <v>91</v>
      </c>
      <c r="C23" t="s">
        <v>310</v>
      </c>
      <c r="D23">
        <v>2000000</v>
      </c>
      <c r="E23" t="s">
        <v>189</v>
      </c>
      <c r="F23" s="49" t="s">
        <v>91</v>
      </c>
      <c r="G23" s="14">
        <v>42542.256168981483</v>
      </c>
    </row>
    <row r="24" spans="1:7" x14ac:dyDescent="0.25">
      <c r="A24" s="14">
        <v>42542.404826388891</v>
      </c>
      <c r="B24" t="s">
        <v>88</v>
      </c>
      <c r="C24" t="s">
        <v>369</v>
      </c>
      <c r="D24">
        <v>2030000</v>
      </c>
      <c r="E24" t="s">
        <v>485</v>
      </c>
      <c r="F24" s="49" t="s">
        <v>88</v>
      </c>
      <c r="G24" s="14">
        <v>42542.404826388891</v>
      </c>
    </row>
    <row r="25" spans="1:7" x14ac:dyDescent="0.25">
      <c r="A25" s="14">
        <v>42542.233587962961</v>
      </c>
      <c r="B25" t="s">
        <v>100</v>
      </c>
      <c r="C25" t="s">
        <v>306</v>
      </c>
      <c r="D25">
        <v>1260000</v>
      </c>
      <c r="E25" t="s">
        <v>143</v>
      </c>
      <c r="F25" s="49" t="s">
        <v>100</v>
      </c>
      <c r="G25" s="14">
        <v>42542.233587962961</v>
      </c>
    </row>
    <row r="26" spans="1:7" x14ac:dyDescent="0.25">
      <c r="A26" s="14">
        <v>42542.413217592592</v>
      </c>
      <c r="B26" t="s">
        <v>71</v>
      </c>
      <c r="C26" t="s">
        <v>362</v>
      </c>
      <c r="D26">
        <v>1090000</v>
      </c>
      <c r="E26" t="s">
        <v>188</v>
      </c>
      <c r="F26" s="49" t="s">
        <v>71</v>
      </c>
      <c r="G26" s="14">
        <v>42542.413217592592</v>
      </c>
    </row>
    <row r="27" spans="1:7" x14ac:dyDescent="0.25">
      <c r="A27" s="14">
        <v>42542.170844907407</v>
      </c>
      <c r="B27" t="s">
        <v>98</v>
      </c>
      <c r="C27" t="s">
        <v>293</v>
      </c>
      <c r="D27">
        <v>900000</v>
      </c>
      <c r="E27" t="s">
        <v>104</v>
      </c>
      <c r="F27" s="49" t="s">
        <v>98</v>
      </c>
      <c r="G27" s="14">
        <v>42542.170844907407</v>
      </c>
    </row>
    <row r="28" spans="1:7" x14ac:dyDescent="0.25">
      <c r="A28" s="14">
        <v>42542.420694444445</v>
      </c>
      <c r="B28" s="49" t="s">
        <v>106</v>
      </c>
      <c r="C28" t="s">
        <v>352</v>
      </c>
      <c r="D28">
        <v>1260000</v>
      </c>
      <c r="E28" t="s">
        <v>143</v>
      </c>
      <c r="F28" s="49" t="s">
        <v>106</v>
      </c>
      <c r="G28" s="14">
        <v>42542.420694444445</v>
      </c>
    </row>
    <row r="29" spans="1:7" x14ac:dyDescent="0.25">
      <c r="A29" s="14">
        <v>42542.209502314814</v>
      </c>
      <c r="B29" t="s">
        <v>83</v>
      </c>
      <c r="C29" t="s">
        <v>445</v>
      </c>
      <c r="D29">
        <v>1500000</v>
      </c>
      <c r="E29" t="s">
        <v>105</v>
      </c>
      <c r="F29" s="49" t="s">
        <v>83</v>
      </c>
      <c r="G29" s="14">
        <v>42542.209502314814</v>
      </c>
    </row>
    <row r="30" spans="1:7" x14ac:dyDescent="0.25">
      <c r="A30" s="14">
        <v>42542.45349537037</v>
      </c>
      <c r="B30" t="s">
        <v>100</v>
      </c>
      <c r="C30" t="s">
        <v>373</v>
      </c>
      <c r="D30">
        <v>1260000</v>
      </c>
      <c r="E30" t="s">
        <v>143</v>
      </c>
      <c r="F30" s="49" t="s">
        <v>100</v>
      </c>
      <c r="G30" s="14">
        <v>42542.45349537037</v>
      </c>
    </row>
    <row r="31" spans="1:7" x14ac:dyDescent="0.25">
      <c r="A31" s="14">
        <v>42542.183333333334</v>
      </c>
      <c r="B31" t="s">
        <v>91</v>
      </c>
      <c r="C31" t="s">
        <v>284</v>
      </c>
      <c r="D31">
        <v>1480000</v>
      </c>
      <c r="E31" t="s">
        <v>144</v>
      </c>
      <c r="F31" s="49" t="s">
        <v>91</v>
      </c>
      <c r="G31" s="14">
        <v>42542.183333333334</v>
      </c>
    </row>
    <row r="32" spans="1:7" x14ac:dyDescent="0.25">
      <c r="A32" s="14">
        <v>42542.481886574074</v>
      </c>
      <c r="B32" t="s">
        <v>71</v>
      </c>
      <c r="C32" t="s">
        <v>381</v>
      </c>
      <c r="D32">
        <v>1750000</v>
      </c>
      <c r="E32" t="s">
        <v>185</v>
      </c>
      <c r="F32" s="49" t="s">
        <v>71</v>
      </c>
      <c r="G32" s="14">
        <v>42542.481886574074</v>
      </c>
    </row>
    <row r="33" spans="1:7" x14ac:dyDescent="0.25">
      <c r="A33" s="14">
        <v>42542.149224537039</v>
      </c>
      <c r="B33" t="s">
        <v>103</v>
      </c>
      <c r="C33" t="s">
        <v>288</v>
      </c>
      <c r="D33">
        <v>1110000</v>
      </c>
      <c r="E33" t="s">
        <v>486</v>
      </c>
      <c r="F33" s="49" t="s">
        <v>103</v>
      </c>
      <c r="G33" s="14">
        <v>42542.149224537039</v>
      </c>
    </row>
    <row r="34" spans="1:7" x14ac:dyDescent="0.25">
      <c r="A34" s="14">
        <v>42542.539814814816</v>
      </c>
      <c r="B34" t="s">
        <v>123</v>
      </c>
      <c r="C34" t="s">
        <v>410</v>
      </c>
      <c r="D34">
        <v>1990000</v>
      </c>
      <c r="E34" t="s">
        <v>484</v>
      </c>
      <c r="F34" s="49" t="s">
        <v>123</v>
      </c>
      <c r="G34" s="14">
        <v>42542.539814814816</v>
      </c>
    </row>
    <row r="35" spans="1:7" x14ac:dyDescent="0.25">
      <c r="A35" s="14">
        <v>42542.802893518521</v>
      </c>
      <c r="B35" t="s">
        <v>87</v>
      </c>
      <c r="C35" t="s">
        <v>238</v>
      </c>
      <c r="D35">
        <v>1810000</v>
      </c>
      <c r="E35" t="s">
        <v>487</v>
      </c>
      <c r="F35" s="49" t="s">
        <v>87</v>
      </c>
      <c r="G35" s="14">
        <v>42542.802893518521</v>
      </c>
    </row>
    <row r="36" spans="1:7" x14ac:dyDescent="0.25">
      <c r="A36" s="14">
        <v>42542.7421412037</v>
      </c>
      <c r="B36" t="s">
        <v>99</v>
      </c>
      <c r="C36" t="s">
        <v>278</v>
      </c>
      <c r="D36">
        <v>1740000</v>
      </c>
      <c r="E36" t="s">
        <v>97</v>
      </c>
      <c r="F36" s="49" t="s">
        <v>99</v>
      </c>
      <c r="G36" s="14">
        <v>42542.7421412037</v>
      </c>
    </row>
    <row r="37" spans="1:7" x14ac:dyDescent="0.25">
      <c r="A37" s="14">
        <v>42542.786597222221</v>
      </c>
      <c r="B37" t="s">
        <v>482</v>
      </c>
      <c r="C37" t="s">
        <v>229</v>
      </c>
      <c r="D37">
        <v>1780000</v>
      </c>
      <c r="E37" t="s">
        <v>186</v>
      </c>
      <c r="F37" s="49" t="s">
        <v>482</v>
      </c>
      <c r="G37" s="14">
        <v>42542.786597222221</v>
      </c>
    </row>
    <row r="38" spans="1:7" x14ac:dyDescent="0.25">
      <c r="A38" s="14">
        <v>42542.762511574074</v>
      </c>
      <c r="B38" t="s">
        <v>101</v>
      </c>
      <c r="C38" t="s">
        <v>279</v>
      </c>
      <c r="D38">
        <v>1740000</v>
      </c>
      <c r="E38" t="s">
        <v>97</v>
      </c>
      <c r="F38" s="49" t="s">
        <v>101</v>
      </c>
      <c r="G38" s="14">
        <v>42542.762511574074</v>
      </c>
    </row>
    <row r="39" spans="1:7" x14ac:dyDescent="0.25">
      <c r="A39" s="14">
        <v>42542.956388888888</v>
      </c>
      <c r="B39" t="s">
        <v>117</v>
      </c>
      <c r="C39" t="s">
        <v>259</v>
      </c>
      <c r="D39">
        <v>1820000</v>
      </c>
      <c r="E39" t="s">
        <v>488</v>
      </c>
      <c r="F39" s="49" t="s">
        <v>117</v>
      </c>
      <c r="G39" s="14">
        <v>42542.956388888888</v>
      </c>
    </row>
    <row r="40" spans="1:7" x14ac:dyDescent="0.25">
      <c r="A40" s="14">
        <v>42542.765763888892</v>
      </c>
      <c r="B40" s="73" t="s">
        <v>92</v>
      </c>
      <c r="C40" t="s">
        <v>223</v>
      </c>
      <c r="D40">
        <v>1120000</v>
      </c>
      <c r="E40" t="s">
        <v>141</v>
      </c>
      <c r="F40" s="73" t="s">
        <v>92</v>
      </c>
      <c r="G40" s="14">
        <v>42542.765763888892</v>
      </c>
    </row>
    <row r="41" spans="1:7" x14ac:dyDescent="0.25">
      <c r="A41" s="14">
        <v>42542.761030092595</v>
      </c>
      <c r="B41" t="s">
        <v>90</v>
      </c>
      <c r="C41" t="s">
        <v>230</v>
      </c>
      <c r="D41">
        <v>1820000</v>
      </c>
      <c r="E41" t="s">
        <v>488</v>
      </c>
      <c r="F41" s="49" t="s">
        <v>90</v>
      </c>
      <c r="G41" s="14">
        <v>42542.761030092595</v>
      </c>
    </row>
    <row r="42" spans="1:7" x14ac:dyDescent="0.25">
      <c r="A42" s="14">
        <v>42542.767106481479</v>
      </c>
      <c r="B42" t="s">
        <v>90</v>
      </c>
      <c r="C42" t="s">
        <v>230</v>
      </c>
      <c r="D42">
        <v>1820000</v>
      </c>
      <c r="E42" t="s">
        <v>488</v>
      </c>
      <c r="F42" s="49" t="s">
        <v>90</v>
      </c>
      <c r="G42" s="14">
        <v>42542.767106481479</v>
      </c>
    </row>
    <row r="43" spans="1:7" x14ac:dyDescent="0.25">
      <c r="A43" s="14">
        <v>42542.824629629627</v>
      </c>
      <c r="B43" s="49" t="s">
        <v>124</v>
      </c>
      <c r="C43" t="s">
        <v>242</v>
      </c>
      <c r="D43">
        <v>1180000</v>
      </c>
      <c r="E43" t="s">
        <v>489</v>
      </c>
      <c r="F43" s="49" t="s">
        <v>124</v>
      </c>
      <c r="G43" s="14">
        <v>42542.824629629627</v>
      </c>
    </row>
    <row r="44" spans="1:7" x14ac:dyDescent="0.25">
      <c r="A44" s="14">
        <v>42542.78402777778</v>
      </c>
      <c r="B44" t="s">
        <v>125</v>
      </c>
      <c r="C44" t="s">
        <v>240</v>
      </c>
      <c r="D44">
        <v>1180000</v>
      </c>
      <c r="E44" t="s">
        <v>489</v>
      </c>
      <c r="F44" s="49" t="s">
        <v>125</v>
      </c>
      <c r="G44" s="14">
        <v>42542.78402777778</v>
      </c>
    </row>
    <row r="45" spans="1:7" x14ac:dyDescent="0.25">
      <c r="A45" s="14">
        <v>42542.777939814812</v>
      </c>
      <c r="B45" t="s">
        <v>99</v>
      </c>
      <c r="C45" t="s">
        <v>280</v>
      </c>
      <c r="D45">
        <v>1740000</v>
      </c>
      <c r="E45" t="s">
        <v>97</v>
      </c>
      <c r="F45" s="49" t="s">
        <v>99</v>
      </c>
      <c r="G45" s="14">
        <v>42542.777939814812</v>
      </c>
    </row>
    <row r="46" spans="1:7" x14ac:dyDescent="0.25">
      <c r="A46" s="14">
        <v>42542.800717592596</v>
      </c>
      <c r="B46" t="s">
        <v>91</v>
      </c>
      <c r="C46" t="s">
        <v>233</v>
      </c>
      <c r="D46">
        <v>1820000</v>
      </c>
      <c r="E46" t="s">
        <v>488</v>
      </c>
      <c r="F46" s="49" t="s">
        <v>91</v>
      </c>
      <c r="G46" s="14">
        <v>42542.800717592596</v>
      </c>
    </row>
    <row r="47" spans="1:7" x14ac:dyDescent="0.25">
      <c r="A47" s="14">
        <v>42542.733275462961</v>
      </c>
      <c r="B47" s="49" t="s">
        <v>106</v>
      </c>
      <c r="C47" t="s">
        <v>224</v>
      </c>
      <c r="D47">
        <v>2010000</v>
      </c>
      <c r="E47" t="s">
        <v>134</v>
      </c>
      <c r="F47" s="49" t="s">
        <v>106</v>
      </c>
      <c r="G47" s="14">
        <v>42542.733275462961</v>
      </c>
    </row>
    <row r="48" spans="1:7" x14ac:dyDescent="0.25">
      <c r="A48" s="14">
        <v>42542.850231481483</v>
      </c>
      <c r="B48" t="s">
        <v>100</v>
      </c>
      <c r="C48" t="s">
        <v>245</v>
      </c>
      <c r="D48">
        <v>2010000</v>
      </c>
      <c r="E48" t="s">
        <v>134</v>
      </c>
      <c r="F48" s="49" t="s">
        <v>100</v>
      </c>
      <c r="G48" s="14">
        <v>42542.850231481483</v>
      </c>
    </row>
    <row r="49" spans="1:7" x14ac:dyDescent="0.25">
      <c r="A49" s="14">
        <v>42542.708229166667</v>
      </c>
      <c r="B49" t="s">
        <v>125</v>
      </c>
      <c r="C49" t="s">
        <v>212</v>
      </c>
      <c r="D49">
        <v>750000</v>
      </c>
      <c r="E49" t="s">
        <v>490</v>
      </c>
      <c r="F49" s="49" t="s">
        <v>125</v>
      </c>
      <c r="G49" s="14">
        <v>42542.708229166667</v>
      </c>
    </row>
    <row r="50" spans="1:7" x14ac:dyDescent="0.25">
      <c r="A50" s="14">
        <v>42542.953263888892</v>
      </c>
      <c r="B50" t="s">
        <v>117</v>
      </c>
      <c r="C50" t="s">
        <v>259</v>
      </c>
      <c r="D50">
        <v>1820000</v>
      </c>
      <c r="E50" t="s">
        <v>488</v>
      </c>
      <c r="F50" s="49" t="s">
        <v>117</v>
      </c>
      <c r="G50" s="14">
        <v>42542.953263888892</v>
      </c>
    </row>
    <row r="51" spans="1:7" x14ac:dyDescent="0.25">
      <c r="A51" s="14">
        <v>42542.688344907408</v>
      </c>
      <c r="B51" t="s">
        <v>88</v>
      </c>
      <c r="C51" t="s">
        <v>443</v>
      </c>
      <c r="D51">
        <v>1750000</v>
      </c>
      <c r="E51" t="s">
        <v>185</v>
      </c>
      <c r="F51" s="49" t="s">
        <v>88</v>
      </c>
      <c r="G51" s="14">
        <v>42542.688344907408</v>
      </c>
    </row>
    <row r="52" spans="1:7" x14ac:dyDescent="0.25">
      <c r="A52" s="14">
        <v>42542.756689814814</v>
      </c>
      <c r="B52" t="s">
        <v>126</v>
      </c>
      <c r="C52" t="s">
        <v>219</v>
      </c>
      <c r="D52">
        <v>1990000</v>
      </c>
      <c r="E52" t="s">
        <v>484</v>
      </c>
      <c r="F52" s="49" t="s">
        <v>126</v>
      </c>
      <c r="G52" s="14">
        <v>42542.756689814814</v>
      </c>
    </row>
    <row r="53" spans="1:7" x14ac:dyDescent="0.25">
      <c r="A53" s="14">
        <v>42542.679537037038</v>
      </c>
      <c r="B53" t="s">
        <v>101</v>
      </c>
      <c r="C53" t="s">
        <v>470</v>
      </c>
      <c r="D53">
        <v>1740000</v>
      </c>
      <c r="E53" t="s">
        <v>97</v>
      </c>
      <c r="F53" s="49" t="s">
        <v>101</v>
      </c>
      <c r="G53" s="14">
        <v>42542.679537037038</v>
      </c>
    </row>
    <row r="54" spans="1:7" x14ac:dyDescent="0.25">
      <c r="A54" s="14">
        <v>42542.835648148146</v>
      </c>
      <c r="B54" t="s">
        <v>90</v>
      </c>
      <c r="C54" t="s">
        <v>247</v>
      </c>
      <c r="D54">
        <v>1820000</v>
      </c>
      <c r="E54" t="s">
        <v>488</v>
      </c>
      <c r="F54" s="49" t="s">
        <v>90</v>
      </c>
      <c r="G54" s="14">
        <v>42542.835648148146</v>
      </c>
    </row>
    <row r="55" spans="1:7" x14ac:dyDescent="0.25">
      <c r="A55" s="14">
        <v>42542.89166666667</v>
      </c>
      <c r="B55" t="s">
        <v>106</v>
      </c>
      <c r="C55" t="s">
        <v>255</v>
      </c>
      <c r="D55">
        <v>2010000</v>
      </c>
      <c r="E55" t="s">
        <v>134</v>
      </c>
      <c r="F55" s="49" t="s">
        <v>106</v>
      </c>
      <c r="G55" s="14">
        <v>42542.89166666667</v>
      </c>
    </row>
    <row r="56" spans="1:7" x14ac:dyDescent="0.25">
      <c r="A56" s="14">
        <v>42542.967395833337</v>
      </c>
      <c r="B56" t="s">
        <v>87</v>
      </c>
      <c r="C56" t="s">
        <v>261</v>
      </c>
      <c r="D56">
        <v>1810000</v>
      </c>
      <c r="E56" t="s">
        <v>487</v>
      </c>
      <c r="F56" s="49" t="s">
        <v>87</v>
      </c>
      <c r="G56" s="14">
        <v>42542.967395833337</v>
      </c>
    </row>
    <row r="57" spans="1:7" x14ac:dyDescent="0.25">
      <c r="A57" s="14">
        <v>42542.932303240741</v>
      </c>
      <c r="B57" t="s">
        <v>100</v>
      </c>
      <c r="C57" t="s">
        <v>481</v>
      </c>
      <c r="D57">
        <v>2010000</v>
      </c>
      <c r="E57" t="s">
        <v>134</v>
      </c>
      <c r="F57" s="49" t="s">
        <v>100</v>
      </c>
      <c r="G57" s="14">
        <v>42542.932303240741</v>
      </c>
    </row>
    <row r="58" spans="1:7" x14ac:dyDescent="0.25">
      <c r="A58" s="14">
        <v>42542.128576388888</v>
      </c>
      <c r="B58" t="s">
        <v>491</v>
      </c>
      <c r="C58" t="s">
        <v>281</v>
      </c>
      <c r="D58">
        <v>1480000</v>
      </c>
      <c r="E58" t="s">
        <v>144</v>
      </c>
      <c r="F58" s="49" t="s">
        <v>491</v>
      </c>
      <c r="G58" s="14">
        <v>42542.128576388888</v>
      </c>
    </row>
    <row r="59" spans="1:7" x14ac:dyDescent="0.25">
      <c r="A59" s="14">
        <v>42542.768854166665</v>
      </c>
      <c r="B59" t="s">
        <v>90</v>
      </c>
      <c r="C59" t="s">
        <v>230</v>
      </c>
      <c r="D59">
        <v>1820000</v>
      </c>
      <c r="E59" t="s">
        <v>488</v>
      </c>
      <c r="F59" s="49" t="s">
        <v>90</v>
      </c>
      <c r="G59" s="14">
        <v>42542.768854166665</v>
      </c>
    </row>
    <row r="60" spans="1:7" x14ac:dyDescent="0.25">
      <c r="A60" s="14">
        <v>42542.193194444444</v>
      </c>
      <c r="B60" t="s">
        <v>106</v>
      </c>
      <c r="C60" t="s">
        <v>304</v>
      </c>
      <c r="D60">
        <v>1260000</v>
      </c>
      <c r="E60" t="s">
        <v>143</v>
      </c>
      <c r="F60" s="49" t="s">
        <v>106</v>
      </c>
      <c r="G60" s="14">
        <v>42542.193194444444</v>
      </c>
    </row>
    <row r="61" spans="1:7" x14ac:dyDescent="0.25">
      <c r="A61" s="14">
        <v>42542.956099537034</v>
      </c>
      <c r="B61" t="s">
        <v>125</v>
      </c>
      <c r="C61" t="s">
        <v>262</v>
      </c>
      <c r="D61">
        <v>1180000</v>
      </c>
      <c r="E61" t="s">
        <v>489</v>
      </c>
      <c r="F61" s="49" t="s">
        <v>125</v>
      </c>
      <c r="G61" s="14">
        <v>42542.956099537034</v>
      </c>
    </row>
    <row r="62" spans="1:7" x14ac:dyDescent="0.25">
      <c r="A62" s="14">
        <v>42542.194456018522</v>
      </c>
      <c r="B62" t="s">
        <v>106</v>
      </c>
      <c r="C62" t="s">
        <v>304</v>
      </c>
      <c r="D62">
        <v>1260000</v>
      </c>
      <c r="E62" t="s">
        <v>143</v>
      </c>
      <c r="F62" s="49" t="s">
        <v>106</v>
      </c>
      <c r="G62" s="14">
        <v>42542.194456018522</v>
      </c>
    </row>
    <row r="63" spans="1:7" x14ac:dyDescent="0.25">
      <c r="A63" s="14">
        <v>42542.717083333337</v>
      </c>
      <c r="B63" t="s">
        <v>482</v>
      </c>
      <c r="C63" t="s">
        <v>207</v>
      </c>
      <c r="D63">
        <v>1470000</v>
      </c>
      <c r="E63" t="s">
        <v>483</v>
      </c>
      <c r="F63" s="49" t="s">
        <v>482</v>
      </c>
      <c r="G63" s="14">
        <v>42542.717083333337</v>
      </c>
    </row>
    <row r="64" spans="1:7" x14ac:dyDescent="0.25">
      <c r="A64" s="74">
        <v>42542.203402777777</v>
      </c>
      <c r="B64" t="s">
        <v>124</v>
      </c>
      <c r="C64" t="s">
        <v>291</v>
      </c>
      <c r="D64">
        <v>1110000</v>
      </c>
      <c r="E64" t="s">
        <v>486</v>
      </c>
      <c r="F64" s="49" t="s">
        <v>124</v>
      </c>
      <c r="G64" s="74">
        <v>42542.203402777777</v>
      </c>
    </row>
    <row r="65" spans="1:7" x14ac:dyDescent="0.25">
      <c r="A65" s="14">
        <v>42542.582662037035</v>
      </c>
      <c r="B65" t="s">
        <v>106</v>
      </c>
      <c r="C65" t="s">
        <v>417</v>
      </c>
      <c r="D65">
        <v>2040000</v>
      </c>
      <c r="E65" t="s">
        <v>184</v>
      </c>
      <c r="F65" s="49" t="s">
        <v>106</v>
      </c>
      <c r="G65" s="14">
        <v>42542.582662037035</v>
      </c>
    </row>
    <row r="66" spans="1:7" x14ac:dyDescent="0.25">
      <c r="A66" s="14">
        <v>42542.228807870371</v>
      </c>
      <c r="B66" t="s">
        <v>126</v>
      </c>
      <c r="C66" t="s">
        <v>296</v>
      </c>
      <c r="D66">
        <v>900000</v>
      </c>
      <c r="E66" t="s">
        <v>104</v>
      </c>
      <c r="F66" s="49" t="s">
        <v>126</v>
      </c>
      <c r="G66" s="14">
        <v>42542.228807870371</v>
      </c>
    </row>
    <row r="67" spans="1:7" x14ac:dyDescent="0.25">
      <c r="A67" s="14">
        <v>42542.553854166668</v>
      </c>
      <c r="B67" t="s">
        <v>98</v>
      </c>
      <c r="C67" t="s">
        <v>414</v>
      </c>
      <c r="D67">
        <v>1120000</v>
      </c>
      <c r="E67" t="s">
        <v>141</v>
      </c>
      <c r="F67" s="49" t="s">
        <v>98</v>
      </c>
      <c r="G67" s="14">
        <v>42542.553854166668</v>
      </c>
    </row>
    <row r="68" spans="1:7" x14ac:dyDescent="0.25">
      <c r="A68" s="14">
        <v>42542.256874999999</v>
      </c>
      <c r="B68" t="s">
        <v>101</v>
      </c>
      <c r="C68" t="s">
        <v>448</v>
      </c>
      <c r="D68">
        <v>1540000</v>
      </c>
      <c r="E68" t="s">
        <v>187</v>
      </c>
      <c r="F68" s="49" t="s">
        <v>101</v>
      </c>
      <c r="G68" s="14">
        <v>42542.256874999999</v>
      </c>
    </row>
    <row r="69" spans="1:7" x14ac:dyDescent="0.25">
      <c r="A69" s="14">
        <v>42542.552476851852</v>
      </c>
      <c r="B69" t="s">
        <v>101</v>
      </c>
      <c r="C69" t="s">
        <v>464</v>
      </c>
      <c r="D69">
        <v>1540000</v>
      </c>
      <c r="E69" t="s">
        <v>187</v>
      </c>
      <c r="F69" s="49" t="s">
        <v>101</v>
      </c>
      <c r="G69" s="14">
        <v>42542.552476851852</v>
      </c>
    </row>
    <row r="70" spans="1:7" x14ac:dyDescent="0.25">
      <c r="A70" s="14">
        <v>42542.277349537035</v>
      </c>
      <c r="B70" t="s">
        <v>124</v>
      </c>
      <c r="C70" t="s">
        <v>316</v>
      </c>
      <c r="D70">
        <v>1110000</v>
      </c>
      <c r="E70" t="s">
        <v>486</v>
      </c>
      <c r="F70" s="49" t="s">
        <v>124</v>
      </c>
      <c r="G70" s="14">
        <v>42542.277349537035</v>
      </c>
    </row>
    <row r="71" spans="1:7" x14ac:dyDescent="0.25">
      <c r="A71" s="14">
        <v>42542.547430555554</v>
      </c>
      <c r="B71" t="s">
        <v>91</v>
      </c>
      <c r="C71" t="s">
        <v>401</v>
      </c>
      <c r="D71">
        <v>1140000</v>
      </c>
      <c r="E71" t="s">
        <v>93</v>
      </c>
      <c r="F71" s="49" t="s">
        <v>91</v>
      </c>
      <c r="G71" s="14">
        <v>42542.547430555554</v>
      </c>
    </row>
    <row r="72" spans="1:7" x14ac:dyDescent="0.25">
      <c r="A72" s="14">
        <v>42542.282685185186</v>
      </c>
      <c r="B72" t="s">
        <v>102</v>
      </c>
      <c r="C72" t="s">
        <v>450</v>
      </c>
      <c r="D72">
        <v>1500000</v>
      </c>
      <c r="E72" t="s">
        <v>105</v>
      </c>
      <c r="F72" s="49" t="s">
        <v>102</v>
      </c>
      <c r="G72" s="14">
        <v>42542.282685185186</v>
      </c>
    </row>
    <row r="73" spans="1:7" x14ac:dyDescent="0.25">
      <c r="A73" s="14">
        <v>42542.537199074075</v>
      </c>
      <c r="B73" t="s">
        <v>482</v>
      </c>
      <c r="C73" t="s">
        <v>398</v>
      </c>
      <c r="D73">
        <v>1470000</v>
      </c>
      <c r="E73" t="s">
        <v>483</v>
      </c>
      <c r="F73" s="49" t="s">
        <v>482</v>
      </c>
      <c r="G73" s="14">
        <v>42542.537199074075</v>
      </c>
    </row>
    <row r="74" spans="1:7" x14ac:dyDescent="0.25">
      <c r="A74" s="14">
        <v>42542.287418981483</v>
      </c>
      <c r="B74" t="s">
        <v>92</v>
      </c>
      <c r="C74" t="s">
        <v>319</v>
      </c>
      <c r="D74">
        <v>900000</v>
      </c>
      <c r="E74" t="s">
        <v>104</v>
      </c>
      <c r="F74" s="49" t="s">
        <v>92</v>
      </c>
      <c r="G74" s="14">
        <v>42542.287418981483</v>
      </c>
    </row>
    <row r="75" spans="1:7" x14ac:dyDescent="0.25">
      <c r="A75" s="14">
        <v>42542.529861111114</v>
      </c>
      <c r="B75" t="s">
        <v>99</v>
      </c>
      <c r="C75" t="s">
        <v>463</v>
      </c>
      <c r="D75">
        <v>1540000</v>
      </c>
      <c r="E75" t="s">
        <v>187</v>
      </c>
      <c r="F75" s="49" t="s">
        <v>99</v>
      </c>
      <c r="G75" s="14">
        <v>42542.529861111114</v>
      </c>
    </row>
    <row r="76" spans="1:7" x14ac:dyDescent="0.25">
      <c r="A76" s="14">
        <v>42542.289143518516</v>
      </c>
      <c r="B76" t="s">
        <v>90</v>
      </c>
      <c r="C76" t="s">
        <v>334</v>
      </c>
      <c r="D76">
        <v>2000000</v>
      </c>
      <c r="E76" t="s">
        <v>189</v>
      </c>
      <c r="F76" s="49" t="s">
        <v>90</v>
      </c>
      <c r="G76" s="14">
        <v>42542.289143518516</v>
      </c>
    </row>
    <row r="77" spans="1:7" x14ac:dyDescent="0.25">
      <c r="A77" s="14">
        <v>42542.518877314818</v>
      </c>
      <c r="B77" t="s">
        <v>87</v>
      </c>
      <c r="C77" t="s">
        <v>389</v>
      </c>
      <c r="D77">
        <v>1120000</v>
      </c>
      <c r="E77" t="s">
        <v>141</v>
      </c>
      <c r="F77" s="49" t="s">
        <v>87</v>
      </c>
      <c r="G77" s="14">
        <v>42542.518877314818</v>
      </c>
    </row>
    <row r="78" spans="1:7" x14ac:dyDescent="0.25">
      <c r="A78" s="14">
        <v>42542.343402777777</v>
      </c>
      <c r="B78" t="s">
        <v>106</v>
      </c>
      <c r="C78" t="s">
        <v>349</v>
      </c>
      <c r="D78">
        <v>1260000</v>
      </c>
      <c r="E78" t="s">
        <v>143</v>
      </c>
      <c r="F78" s="49" t="s">
        <v>106</v>
      </c>
      <c r="G78" s="14">
        <v>42542.343402777777</v>
      </c>
    </row>
    <row r="79" spans="1:7" x14ac:dyDescent="0.25">
      <c r="A79" s="14">
        <v>42542.491979166669</v>
      </c>
      <c r="B79" t="s">
        <v>124</v>
      </c>
      <c r="C79" t="s">
        <v>384</v>
      </c>
      <c r="D79">
        <v>1090000</v>
      </c>
      <c r="E79" t="s">
        <v>188</v>
      </c>
      <c r="F79" s="49" t="s">
        <v>124</v>
      </c>
      <c r="G79" s="14">
        <v>42542.491979166669</v>
      </c>
    </row>
    <row r="80" spans="1:7" x14ac:dyDescent="0.25">
      <c r="A80" s="14">
        <v>42542.384791666664</v>
      </c>
      <c r="B80" t="s">
        <v>125</v>
      </c>
      <c r="C80" t="s">
        <v>364</v>
      </c>
      <c r="D80">
        <v>1110000</v>
      </c>
      <c r="E80" t="s">
        <v>486</v>
      </c>
      <c r="F80" s="49" t="s">
        <v>125</v>
      </c>
      <c r="G80" s="14">
        <v>42542.384791666664</v>
      </c>
    </row>
    <row r="81" spans="1:7" x14ac:dyDescent="0.25">
      <c r="A81" s="14">
        <v>42542.474641203706</v>
      </c>
      <c r="B81" t="s">
        <v>88</v>
      </c>
      <c r="C81" t="s">
        <v>388</v>
      </c>
      <c r="D81">
        <v>1120000</v>
      </c>
      <c r="E81" t="s">
        <v>141</v>
      </c>
      <c r="F81" s="49" t="s">
        <v>88</v>
      </c>
      <c r="G81" s="14">
        <v>42542.474641203706</v>
      </c>
    </row>
    <row r="82" spans="1:7" x14ac:dyDescent="0.25">
      <c r="A82" s="14">
        <v>42542.423101851855</v>
      </c>
      <c r="B82" t="s">
        <v>106</v>
      </c>
      <c r="C82" t="s">
        <v>371</v>
      </c>
      <c r="D82">
        <v>1260000</v>
      </c>
      <c r="E82" t="s">
        <v>143</v>
      </c>
      <c r="F82" s="49" t="s">
        <v>106</v>
      </c>
      <c r="G82" s="14">
        <v>42542.423101851855</v>
      </c>
    </row>
    <row r="83" spans="1:7" x14ac:dyDescent="0.25">
      <c r="A83" s="14">
        <v>42542.469155092593</v>
      </c>
      <c r="B83" t="s">
        <v>123</v>
      </c>
      <c r="C83" t="s">
        <v>385</v>
      </c>
      <c r="D83">
        <v>1990000</v>
      </c>
      <c r="E83" t="s">
        <v>484</v>
      </c>
      <c r="F83" s="49" t="s">
        <v>123</v>
      </c>
      <c r="G83" s="14">
        <v>42542.469155092593</v>
      </c>
    </row>
    <row r="84" spans="1:7" x14ac:dyDescent="0.25">
      <c r="A84" s="14">
        <v>42542.443182870367</v>
      </c>
      <c r="B84" t="s">
        <v>87</v>
      </c>
      <c r="C84" t="s">
        <v>370</v>
      </c>
      <c r="D84">
        <v>2030000</v>
      </c>
      <c r="E84" t="s">
        <v>485</v>
      </c>
      <c r="F84" s="49" t="s">
        <v>87</v>
      </c>
      <c r="G84" s="14">
        <v>42542.443182870367</v>
      </c>
    </row>
    <row r="85" spans="1:7" x14ac:dyDescent="0.25">
      <c r="A85" s="14">
        <v>42542.377754629626</v>
      </c>
      <c r="B85" t="s">
        <v>103</v>
      </c>
      <c r="C85" t="s">
        <v>361</v>
      </c>
      <c r="D85">
        <v>1090000</v>
      </c>
      <c r="E85" t="s">
        <v>188</v>
      </c>
      <c r="F85" s="49" t="s">
        <v>103</v>
      </c>
      <c r="G85" s="14">
        <v>42542.377754629626</v>
      </c>
    </row>
    <row r="86" spans="1:7" x14ac:dyDescent="0.25">
      <c r="A86" s="14">
        <v>42542.516944444447</v>
      </c>
      <c r="B86" t="s">
        <v>87</v>
      </c>
      <c r="C86" t="s">
        <v>389</v>
      </c>
      <c r="D86">
        <v>1120000</v>
      </c>
      <c r="E86" t="s">
        <v>141</v>
      </c>
      <c r="F86" s="49" t="s">
        <v>87</v>
      </c>
      <c r="G86" s="14">
        <v>42542.516944444447</v>
      </c>
    </row>
    <row r="87" spans="1:7" x14ac:dyDescent="0.25">
      <c r="A87" s="14">
        <v>42542.349502314813</v>
      </c>
      <c r="B87" t="s">
        <v>124</v>
      </c>
      <c r="C87" t="s">
        <v>341</v>
      </c>
      <c r="D87">
        <v>1110000</v>
      </c>
      <c r="E87" t="s">
        <v>486</v>
      </c>
      <c r="F87" s="49" t="s">
        <v>124</v>
      </c>
      <c r="G87" s="14">
        <v>42542.349502314813</v>
      </c>
    </row>
    <row r="88" spans="1:7" x14ac:dyDescent="0.25">
      <c r="A88" s="14">
        <v>42542.51767361111</v>
      </c>
      <c r="B88" t="s">
        <v>87</v>
      </c>
      <c r="C88" t="s">
        <v>389</v>
      </c>
      <c r="D88">
        <v>1120000</v>
      </c>
      <c r="E88" t="s">
        <v>141</v>
      </c>
      <c r="F88" s="49" t="s">
        <v>87</v>
      </c>
      <c r="G88" s="14">
        <v>42542.51767361111</v>
      </c>
    </row>
    <row r="89" spans="1:7" x14ac:dyDescent="0.25">
      <c r="A89" s="14">
        <v>42542.342847222222</v>
      </c>
      <c r="B89" t="s">
        <v>101</v>
      </c>
      <c r="C89" t="s">
        <v>456</v>
      </c>
      <c r="D89">
        <v>1540000</v>
      </c>
      <c r="E89" t="s">
        <v>187</v>
      </c>
      <c r="F89" s="49" t="s">
        <v>101</v>
      </c>
      <c r="G89" s="14">
        <v>42542.342847222222</v>
      </c>
    </row>
    <row r="90" spans="1:7" x14ac:dyDescent="0.25">
      <c r="A90" s="14">
        <v>42542.526909722219</v>
      </c>
      <c r="B90" t="s">
        <v>100</v>
      </c>
      <c r="C90" t="s">
        <v>395</v>
      </c>
      <c r="D90">
        <v>2040000</v>
      </c>
      <c r="E90" t="s">
        <v>184</v>
      </c>
      <c r="F90" s="49" t="s">
        <v>100</v>
      </c>
      <c r="G90" s="14">
        <v>42542.526909722219</v>
      </c>
    </row>
    <row r="91" spans="1:7" x14ac:dyDescent="0.25">
      <c r="A91" s="14">
        <v>42542.316724537035</v>
      </c>
      <c r="B91" t="s">
        <v>99</v>
      </c>
      <c r="C91" t="s">
        <v>453</v>
      </c>
      <c r="D91">
        <v>1540000</v>
      </c>
      <c r="E91" t="s">
        <v>187</v>
      </c>
      <c r="F91" s="49" t="s">
        <v>99</v>
      </c>
      <c r="G91" s="14">
        <v>42542.316724537035</v>
      </c>
    </row>
    <row r="92" spans="1:7" x14ac:dyDescent="0.25">
      <c r="A92" s="14">
        <v>42542.552430555559</v>
      </c>
      <c r="B92" t="s">
        <v>71</v>
      </c>
      <c r="C92" t="s">
        <v>405</v>
      </c>
      <c r="D92">
        <v>940000</v>
      </c>
      <c r="E92" t="s">
        <v>492</v>
      </c>
      <c r="F92" s="49" t="s">
        <v>71</v>
      </c>
      <c r="G92" s="14">
        <v>42542.552430555559</v>
      </c>
    </row>
    <row r="93" spans="1:7" x14ac:dyDescent="0.25">
      <c r="A93" s="14">
        <v>42542.300162037034</v>
      </c>
      <c r="B93" t="s">
        <v>101</v>
      </c>
      <c r="C93" t="s">
        <v>452</v>
      </c>
      <c r="D93">
        <v>1540000</v>
      </c>
      <c r="E93" t="s">
        <v>187</v>
      </c>
      <c r="F93" s="49" t="s">
        <v>101</v>
      </c>
      <c r="G93" s="14">
        <v>42542.300162037034</v>
      </c>
    </row>
    <row r="94" spans="1:7" x14ac:dyDescent="0.25">
      <c r="A94" s="14">
        <v>42542.616388888891</v>
      </c>
      <c r="B94" t="s">
        <v>99</v>
      </c>
      <c r="C94" t="s">
        <v>467</v>
      </c>
      <c r="D94">
        <v>1740000</v>
      </c>
      <c r="E94" t="s">
        <v>97</v>
      </c>
      <c r="F94" s="49" t="s">
        <v>99</v>
      </c>
      <c r="G94" s="14">
        <v>42542.616388888891</v>
      </c>
    </row>
    <row r="95" spans="1:7" x14ac:dyDescent="0.25">
      <c r="A95" s="14">
        <v>42542.298576388886</v>
      </c>
      <c r="B95" t="s">
        <v>103</v>
      </c>
      <c r="C95" t="s">
        <v>336</v>
      </c>
      <c r="D95">
        <v>1090000</v>
      </c>
      <c r="E95" t="s">
        <v>188</v>
      </c>
      <c r="F95" s="49" t="s">
        <v>103</v>
      </c>
      <c r="G95" s="14">
        <v>42542.298576388886</v>
      </c>
    </row>
    <row r="96" spans="1:7" x14ac:dyDescent="0.25">
      <c r="A96" s="14">
        <v>42542.620196759257</v>
      </c>
      <c r="B96" t="s">
        <v>103</v>
      </c>
      <c r="C96" t="s">
        <v>428</v>
      </c>
      <c r="D96">
        <v>940000</v>
      </c>
      <c r="E96" t="s">
        <v>492</v>
      </c>
      <c r="F96" s="49" t="s">
        <v>103</v>
      </c>
      <c r="G96" s="14">
        <v>42542.620196759257</v>
      </c>
    </row>
    <row r="97" spans="1:7" x14ac:dyDescent="0.25">
      <c r="A97" s="14">
        <v>42542.296168981484</v>
      </c>
      <c r="B97" t="s">
        <v>83</v>
      </c>
      <c r="C97" t="s">
        <v>451</v>
      </c>
      <c r="D97">
        <v>1500000</v>
      </c>
      <c r="E97" t="s">
        <v>105</v>
      </c>
      <c r="F97" s="49" t="s">
        <v>83</v>
      </c>
      <c r="G97" s="14">
        <v>42542.296168981484</v>
      </c>
    </row>
    <row r="98" spans="1:7" x14ac:dyDescent="0.25">
      <c r="A98" s="14">
        <v>42542.636342592596</v>
      </c>
      <c r="B98" t="s">
        <v>482</v>
      </c>
      <c r="C98" t="s">
        <v>426</v>
      </c>
      <c r="D98">
        <v>1470000</v>
      </c>
      <c r="E98" t="s">
        <v>483</v>
      </c>
      <c r="F98" s="49" t="s">
        <v>482</v>
      </c>
      <c r="G98" s="14">
        <v>42542.636342592596</v>
      </c>
    </row>
    <row r="99" spans="1:7" x14ac:dyDescent="0.25">
      <c r="A99" s="14">
        <v>42542.276805555557</v>
      </c>
      <c r="B99" t="s">
        <v>124</v>
      </c>
      <c r="C99" t="s">
        <v>338</v>
      </c>
      <c r="D99">
        <v>1110000</v>
      </c>
      <c r="E99" t="s">
        <v>486</v>
      </c>
      <c r="F99" s="49" t="s">
        <v>124</v>
      </c>
      <c r="G99" s="14">
        <v>42542.276805555557</v>
      </c>
    </row>
    <row r="100" spans="1:7" x14ac:dyDescent="0.25">
      <c r="A100" s="14">
        <v>42542.644270833334</v>
      </c>
      <c r="B100" t="s">
        <v>98</v>
      </c>
      <c r="C100" t="s">
        <v>436</v>
      </c>
      <c r="D100">
        <v>1120000</v>
      </c>
      <c r="E100" t="s">
        <v>141</v>
      </c>
      <c r="F100" s="49" t="s">
        <v>98</v>
      </c>
      <c r="G100" s="14">
        <v>42542.644270833334</v>
      </c>
    </row>
    <row r="101" spans="1:7" x14ac:dyDescent="0.25">
      <c r="A101" s="14">
        <v>42542.269189814811</v>
      </c>
      <c r="B101" t="s">
        <v>106</v>
      </c>
      <c r="C101" t="s">
        <v>325</v>
      </c>
      <c r="D101">
        <v>1260000</v>
      </c>
      <c r="E101" t="s">
        <v>143</v>
      </c>
      <c r="F101" s="49" t="s">
        <v>106</v>
      </c>
      <c r="G101" s="14">
        <v>42542.269189814811</v>
      </c>
    </row>
    <row r="102" spans="1:7" x14ac:dyDescent="0.25">
      <c r="A102" s="14">
        <v>42542.646041666667</v>
      </c>
      <c r="B102" t="s">
        <v>91</v>
      </c>
      <c r="C102" t="s">
        <v>427</v>
      </c>
      <c r="D102">
        <v>1140000</v>
      </c>
      <c r="E102" t="s">
        <v>93</v>
      </c>
      <c r="F102" s="49" t="s">
        <v>91</v>
      </c>
      <c r="G102" s="14">
        <v>42542.646041666667</v>
      </c>
    </row>
    <row r="103" spans="1:7" x14ac:dyDescent="0.25">
      <c r="A103" s="14">
        <v>42542.26803240741</v>
      </c>
      <c r="B103" t="s">
        <v>106</v>
      </c>
      <c r="C103" t="s">
        <v>325</v>
      </c>
      <c r="D103">
        <v>1260000</v>
      </c>
      <c r="E103" t="s">
        <v>143</v>
      </c>
      <c r="F103" s="49" t="s">
        <v>106</v>
      </c>
      <c r="G103" s="14">
        <v>42542.26803240741</v>
      </c>
    </row>
    <row r="104" spans="1:7" x14ac:dyDescent="0.25">
      <c r="A104" s="14">
        <v>42542.65552083333</v>
      </c>
      <c r="B104" t="s">
        <v>106</v>
      </c>
      <c r="C104" t="s">
        <v>438</v>
      </c>
      <c r="D104">
        <v>2040000</v>
      </c>
      <c r="E104" t="s">
        <v>184</v>
      </c>
      <c r="F104" s="49" t="s">
        <v>106</v>
      </c>
      <c r="G104" s="14">
        <v>42542.65552083333</v>
      </c>
    </row>
    <row r="105" spans="1:7" x14ac:dyDescent="0.25">
      <c r="A105" s="14">
        <v>42542.266724537039</v>
      </c>
      <c r="B105" t="s">
        <v>71</v>
      </c>
      <c r="C105" t="s">
        <v>314</v>
      </c>
      <c r="D105">
        <v>1090000</v>
      </c>
      <c r="E105" t="s">
        <v>188</v>
      </c>
      <c r="F105" s="49" t="s">
        <v>71</v>
      </c>
      <c r="G105" s="14">
        <v>42542.266724537039</v>
      </c>
    </row>
    <row r="106" spans="1:7" x14ac:dyDescent="0.25">
      <c r="A106" s="14">
        <v>42542.657673611109</v>
      </c>
      <c r="B106" t="s">
        <v>99</v>
      </c>
      <c r="C106" t="s">
        <v>469</v>
      </c>
      <c r="D106">
        <v>1740000</v>
      </c>
      <c r="E106" t="s">
        <v>97</v>
      </c>
      <c r="F106" s="49" t="s">
        <v>99</v>
      </c>
      <c r="G106" s="14">
        <v>42542.657673611109</v>
      </c>
    </row>
    <row r="107" spans="1:7" x14ac:dyDescent="0.25">
      <c r="A107" s="14">
        <v>42542.257974537039</v>
      </c>
      <c r="B107" t="s">
        <v>123</v>
      </c>
      <c r="C107" t="s">
        <v>320</v>
      </c>
      <c r="D107">
        <v>2030000</v>
      </c>
      <c r="E107" t="s">
        <v>485</v>
      </c>
      <c r="F107" s="49" t="s">
        <v>123</v>
      </c>
      <c r="G107" s="14">
        <v>42542.257974537039</v>
      </c>
    </row>
    <row r="108" spans="1:7" x14ac:dyDescent="0.25">
      <c r="A108" s="14">
        <v>42542.696261574078</v>
      </c>
      <c r="B108" t="s">
        <v>101</v>
      </c>
      <c r="C108" t="s">
        <v>470</v>
      </c>
      <c r="D108">
        <v>1740000</v>
      </c>
      <c r="E108" t="s">
        <v>97</v>
      </c>
      <c r="F108" s="49" t="s">
        <v>101</v>
      </c>
      <c r="G108" s="14">
        <v>42542.696261574078</v>
      </c>
    </row>
    <row r="109" spans="1:7" x14ac:dyDescent="0.25">
      <c r="A109" s="14">
        <v>42542.257071759261</v>
      </c>
      <c r="B109" t="s">
        <v>123</v>
      </c>
      <c r="C109" t="s">
        <v>320</v>
      </c>
      <c r="D109">
        <v>2030000</v>
      </c>
      <c r="E109" t="s">
        <v>485</v>
      </c>
      <c r="F109" s="49" t="s">
        <v>123</v>
      </c>
      <c r="G109" s="14">
        <v>42542.257071759261</v>
      </c>
    </row>
    <row r="110" spans="1:7" x14ac:dyDescent="0.25">
      <c r="A110" s="14">
        <v>42542.712673611109</v>
      </c>
      <c r="B110" t="s">
        <v>99</v>
      </c>
      <c r="C110" t="s">
        <v>276</v>
      </c>
      <c r="D110">
        <v>1740000</v>
      </c>
      <c r="E110" t="s">
        <v>97</v>
      </c>
      <c r="F110" s="49" t="s">
        <v>99</v>
      </c>
      <c r="G110" s="14">
        <v>42542.712673611109</v>
      </c>
    </row>
    <row r="111" spans="1:7" x14ac:dyDescent="0.25">
      <c r="A111" s="14">
        <v>42542.24795138889</v>
      </c>
      <c r="B111" t="s">
        <v>482</v>
      </c>
      <c r="C111" t="s">
        <v>307</v>
      </c>
      <c r="D111">
        <v>1100000</v>
      </c>
      <c r="E111" t="s">
        <v>493</v>
      </c>
      <c r="F111" s="49" t="s">
        <v>482</v>
      </c>
      <c r="G111" s="14">
        <v>42542.24795138889</v>
      </c>
    </row>
    <row r="112" spans="1:7" x14ac:dyDescent="0.25">
      <c r="A112" s="14">
        <v>42542.71466435185</v>
      </c>
      <c r="B112" t="s">
        <v>99</v>
      </c>
      <c r="C112" t="s">
        <v>276</v>
      </c>
      <c r="D112">
        <v>1740000</v>
      </c>
      <c r="E112" t="s">
        <v>97</v>
      </c>
      <c r="F112" s="49" t="s">
        <v>99</v>
      </c>
      <c r="G112" s="14">
        <v>42542.71466435185</v>
      </c>
    </row>
    <row r="113" spans="1:7" x14ac:dyDescent="0.25">
      <c r="A113" s="14">
        <v>42542.241493055553</v>
      </c>
      <c r="B113" t="s">
        <v>102</v>
      </c>
      <c r="C113" t="s">
        <v>446</v>
      </c>
      <c r="D113">
        <v>1500000</v>
      </c>
      <c r="E113" t="s">
        <v>105</v>
      </c>
      <c r="F113" s="49" t="s">
        <v>102</v>
      </c>
      <c r="G113" s="14">
        <v>42542.241493055553</v>
      </c>
    </row>
    <row r="114" spans="1:7" x14ac:dyDescent="0.25">
      <c r="A114" s="14">
        <v>42542.715891203705</v>
      </c>
      <c r="B114" t="s">
        <v>482</v>
      </c>
      <c r="C114" t="s">
        <v>207</v>
      </c>
      <c r="D114">
        <v>1470000</v>
      </c>
      <c r="E114" t="s">
        <v>483</v>
      </c>
      <c r="F114" s="49" t="s">
        <v>482</v>
      </c>
      <c r="G114" s="14">
        <v>42542.715891203705</v>
      </c>
    </row>
    <row r="115" spans="1:7" x14ac:dyDescent="0.25">
      <c r="A115" s="14">
        <v>42542.23369212963</v>
      </c>
      <c r="B115" t="s">
        <v>87</v>
      </c>
      <c r="C115" t="s">
        <v>301</v>
      </c>
      <c r="D115">
        <v>2030000</v>
      </c>
      <c r="E115" t="s">
        <v>485</v>
      </c>
      <c r="F115" s="49" t="s">
        <v>87</v>
      </c>
      <c r="G115" s="14">
        <v>42542.23369212963</v>
      </c>
    </row>
    <row r="116" spans="1:7" x14ac:dyDescent="0.25">
      <c r="A116" s="14">
        <v>42542.718136574076</v>
      </c>
      <c r="B116" t="s">
        <v>125</v>
      </c>
      <c r="C116" t="s">
        <v>212</v>
      </c>
      <c r="D116">
        <v>1180000</v>
      </c>
      <c r="E116" t="s">
        <v>489</v>
      </c>
      <c r="F116" s="49" t="s">
        <v>125</v>
      </c>
      <c r="G116" s="14">
        <v>42542.718136574076</v>
      </c>
    </row>
    <row r="117" spans="1:7" x14ac:dyDescent="0.25">
      <c r="A117" s="14">
        <v>42542.224166666667</v>
      </c>
      <c r="B117" t="s">
        <v>87</v>
      </c>
      <c r="C117" t="s">
        <v>301</v>
      </c>
      <c r="D117">
        <v>2030000</v>
      </c>
      <c r="E117" t="s">
        <v>485</v>
      </c>
      <c r="F117" s="49" t="s">
        <v>87</v>
      </c>
      <c r="G117" s="14">
        <v>42542.224166666667</v>
      </c>
    </row>
    <row r="118" spans="1:7" x14ac:dyDescent="0.25">
      <c r="A118" s="14">
        <v>42542.726030092592</v>
      </c>
      <c r="B118" t="s">
        <v>91</v>
      </c>
      <c r="C118" t="s">
        <v>208</v>
      </c>
      <c r="D118">
        <v>740000</v>
      </c>
      <c r="E118" t="s">
        <v>494</v>
      </c>
      <c r="F118" s="49" t="s">
        <v>91</v>
      </c>
      <c r="G118" s="14">
        <v>42542.726030092592</v>
      </c>
    </row>
    <row r="119" spans="1:7" x14ac:dyDescent="0.25">
      <c r="A119" s="14">
        <v>42542.177951388891</v>
      </c>
      <c r="B119" t="s">
        <v>88</v>
      </c>
      <c r="C119" t="s">
        <v>299</v>
      </c>
      <c r="D119">
        <v>2030000</v>
      </c>
      <c r="E119" t="s">
        <v>485</v>
      </c>
      <c r="F119" s="49" t="s">
        <v>88</v>
      </c>
      <c r="G119" s="14">
        <v>42542.177951388891</v>
      </c>
    </row>
    <row r="120" spans="1:7" x14ac:dyDescent="0.25">
      <c r="A120" s="14">
        <v>42542.751701388886</v>
      </c>
      <c r="B120" t="s">
        <v>491</v>
      </c>
      <c r="C120" t="s">
        <v>226</v>
      </c>
      <c r="D120">
        <v>1780000</v>
      </c>
      <c r="E120" t="s">
        <v>186</v>
      </c>
      <c r="F120" s="49" t="s">
        <v>491</v>
      </c>
      <c r="G120" s="14">
        <v>42542.751701388886</v>
      </c>
    </row>
    <row r="121" spans="1:7" x14ac:dyDescent="0.25">
      <c r="A121" s="14">
        <v>42542.171956018516</v>
      </c>
      <c r="B121" t="s">
        <v>91</v>
      </c>
      <c r="C121" t="s">
        <v>284</v>
      </c>
      <c r="D121">
        <v>1480000</v>
      </c>
      <c r="E121" t="s">
        <v>144</v>
      </c>
      <c r="F121" s="49" t="s">
        <v>91</v>
      </c>
      <c r="G121" s="14">
        <v>42542.171956018516</v>
      </c>
    </row>
    <row r="122" spans="1:7" x14ac:dyDescent="0.25">
      <c r="A122" s="14">
        <v>42542.762962962966</v>
      </c>
      <c r="B122" s="73" t="s">
        <v>90</v>
      </c>
      <c r="C122" t="s">
        <v>230</v>
      </c>
      <c r="D122">
        <v>1820000</v>
      </c>
      <c r="E122" t="s">
        <v>488</v>
      </c>
      <c r="F122" s="73" t="s">
        <v>90</v>
      </c>
      <c r="G122" s="14">
        <v>42542.762962962966</v>
      </c>
    </row>
    <row r="123" spans="1:7" x14ac:dyDescent="0.25">
      <c r="A123" s="14">
        <v>42542.869837962964</v>
      </c>
      <c r="B123" t="s">
        <v>125</v>
      </c>
      <c r="C123" t="s">
        <v>253</v>
      </c>
      <c r="D123">
        <v>1180000</v>
      </c>
      <c r="E123" t="s">
        <v>489</v>
      </c>
      <c r="F123" s="49" t="s">
        <v>125</v>
      </c>
      <c r="G123" s="14">
        <v>42542.869837962964</v>
      </c>
    </row>
    <row r="124" spans="1:7" x14ac:dyDescent="0.25">
      <c r="A124" s="14">
        <v>42542.766550925924</v>
      </c>
      <c r="B124" t="s">
        <v>92</v>
      </c>
      <c r="C124" t="s">
        <v>223</v>
      </c>
      <c r="D124">
        <v>1120000</v>
      </c>
      <c r="E124" t="s">
        <v>141</v>
      </c>
      <c r="F124" s="49" t="s">
        <v>92</v>
      </c>
      <c r="G124" s="14">
        <v>42542.766550925924</v>
      </c>
    </row>
    <row r="125" spans="1:7" x14ac:dyDescent="0.25">
      <c r="A125" s="14">
        <v>42542.851574074077</v>
      </c>
      <c r="B125" t="s">
        <v>100</v>
      </c>
      <c r="C125" t="s">
        <v>245</v>
      </c>
      <c r="D125">
        <v>2010000</v>
      </c>
      <c r="E125" t="s">
        <v>134</v>
      </c>
      <c r="F125" s="49" t="s">
        <v>100</v>
      </c>
      <c r="G125" s="14">
        <v>42542.851574074077</v>
      </c>
    </row>
    <row r="126" spans="1:7" x14ac:dyDescent="0.25">
      <c r="A126" s="14">
        <v>42542.849641203706</v>
      </c>
      <c r="B126" t="s">
        <v>88</v>
      </c>
      <c r="C126" t="s">
        <v>250</v>
      </c>
      <c r="D126">
        <v>1810000</v>
      </c>
      <c r="E126" t="s">
        <v>487</v>
      </c>
      <c r="F126" s="49" t="s">
        <v>88</v>
      </c>
      <c r="G126" s="14">
        <v>42542.849641203706</v>
      </c>
    </row>
    <row r="127" spans="1:7" x14ac:dyDescent="0.25">
      <c r="A127" s="14">
        <v>42542.79960648148</v>
      </c>
      <c r="B127" t="s">
        <v>91</v>
      </c>
      <c r="C127" t="s">
        <v>233</v>
      </c>
      <c r="D127">
        <v>1820000</v>
      </c>
      <c r="E127" t="s">
        <v>488</v>
      </c>
      <c r="F127" s="49" t="s">
        <v>91</v>
      </c>
      <c r="G127" s="14">
        <v>42542.79960648148</v>
      </c>
    </row>
    <row r="128" spans="1:7" x14ac:dyDescent="0.25">
      <c r="A128" s="14">
        <v>42542.874039351853</v>
      </c>
      <c r="B128" t="s">
        <v>91</v>
      </c>
      <c r="C128" t="s">
        <v>248</v>
      </c>
      <c r="D128">
        <v>1820000</v>
      </c>
      <c r="E128" t="s">
        <v>488</v>
      </c>
      <c r="F128" s="49" t="s">
        <v>91</v>
      </c>
      <c r="G128" s="14">
        <v>42542.874039351853</v>
      </c>
    </row>
    <row r="129" spans="1:7" x14ac:dyDescent="0.25">
      <c r="A129" s="14">
        <v>42542.716956018521</v>
      </c>
      <c r="B129" t="s">
        <v>123</v>
      </c>
      <c r="C129" t="s">
        <v>218</v>
      </c>
      <c r="D129">
        <v>1990000</v>
      </c>
      <c r="E129" t="s">
        <v>484</v>
      </c>
      <c r="F129" s="49" t="s">
        <v>123</v>
      </c>
      <c r="G129" s="14">
        <v>42542.716956018521</v>
      </c>
    </row>
    <row r="130" spans="1:7" x14ac:dyDescent="0.25">
      <c r="A130" s="14">
        <v>42542.875092592592</v>
      </c>
      <c r="B130" t="s">
        <v>91</v>
      </c>
      <c r="C130" t="s">
        <v>248</v>
      </c>
      <c r="D130">
        <v>1820000</v>
      </c>
      <c r="E130" t="s">
        <v>488</v>
      </c>
      <c r="F130" s="49" t="s">
        <v>91</v>
      </c>
      <c r="G130" s="14">
        <v>42542.875092592592</v>
      </c>
    </row>
    <row r="131" spans="1:7" x14ac:dyDescent="0.25">
      <c r="A131" s="14">
        <v>42543.015208333331</v>
      </c>
      <c r="B131" t="s">
        <v>88</v>
      </c>
      <c r="C131" t="s">
        <v>274</v>
      </c>
      <c r="D131">
        <v>1810000</v>
      </c>
      <c r="E131" t="s">
        <v>487</v>
      </c>
      <c r="F131" s="49" t="s">
        <v>88</v>
      </c>
      <c r="G131" s="14">
        <v>42543.015208333331</v>
      </c>
    </row>
    <row r="132" spans="1:7" x14ac:dyDescent="0.25">
      <c r="A132" s="14">
        <v>42542.90766203704</v>
      </c>
      <c r="B132" t="s">
        <v>124</v>
      </c>
      <c r="C132" t="s">
        <v>254</v>
      </c>
      <c r="D132">
        <v>1180000</v>
      </c>
      <c r="E132" t="s">
        <v>489</v>
      </c>
      <c r="F132" s="49" t="s">
        <v>124</v>
      </c>
      <c r="G132" s="14">
        <v>42542.90766203704</v>
      </c>
    </row>
    <row r="133" spans="1:7" x14ac:dyDescent="0.25">
      <c r="A133" s="14">
        <v>42542.93310185185</v>
      </c>
      <c r="B133" t="s">
        <v>100</v>
      </c>
      <c r="C133" t="s">
        <v>481</v>
      </c>
      <c r="D133">
        <v>2010000</v>
      </c>
      <c r="E133" t="s">
        <v>134</v>
      </c>
      <c r="F133" s="49" t="s">
        <v>100</v>
      </c>
      <c r="G133" s="14">
        <v>42542.93310185185</v>
      </c>
    </row>
    <row r="134" spans="1:7" x14ac:dyDescent="0.25">
      <c r="A134" s="14">
        <v>42542.909189814818</v>
      </c>
      <c r="B134" t="s">
        <v>124</v>
      </c>
      <c r="C134" t="s">
        <v>254</v>
      </c>
      <c r="D134">
        <v>1180000</v>
      </c>
      <c r="E134" t="s">
        <v>489</v>
      </c>
      <c r="F134" s="49" t="s">
        <v>124</v>
      </c>
      <c r="G134" s="14">
        <v>42542.909189814818</v>
      </c>
    </row>
    <row r="135" spans="1:7" x14ac:dyDescent="0.25">
      <c r="A135" s="14">
        <v>42542.774895833332</v>
      </c>
      <c r="B135" t="s">
        <v>100</v>
      </c>
      <c r="C135" t="s">
        <v>225</v>
      </c>
      <c r="D135">
        <v>2010000</v>
      </c>
      <c r="E135" t="s">
        <v>134</v>
      </c>
      <c r="F135" s="49" t="s">
        <v>100</v>
      </c>
      <c r="G135" s="14">
        <v>42542.774895833332</v>
      </c>
    </row>
    <row r="136" spans="1:7" x14ac:dyDescent="0.25">
      <c r="A136" s="14">
        <v>42542.914652777778</v>
      </c>
      <c r="B136" t="s">
        <v>116</v>
      </c>
      <c r="C136" t="s">
        <v>256</v>
      </c>
      <c r="D136">
        <v>1820000</v>
      </c>
      <c r="E136" t="s">
        <v>488</v>
      </c>
      <c r="F136" s="49" t="s">
        <v>116</v>
      </c>
      <c r="G136" s="14">
        <v>42542.914652777778</v>
      </c>
    </row>
    <row r="137" spans="1:7" x14ac:dyDescent="0.25">
      <c r="A137" s="14">
        <v>42542.728715277779</v>
      </c>
      <c r="B137" t="s">
        <v>101</v>
      </c>
      <c r="C137" t="s">
        <v>277</v>
      </c>
      <c r="D137">
        <v>1740000</v>
      </c>
      <c r="E137" t="s">
        <v>97</v>
      </c>
      <c r="F137" s="49" t="s">
        <v>101</v>
      </c>
      <c r="G137" s="14">
        <v>42542.728715277779</v>
      </c>
    </row>
    <row r="138" spans="1:7" x14ac:dyDescent="0.25">
      <c r="A138" s="14">
        <v>42542.991331018522</v>
      </c>
      <c r="B138" t="s">
        <v>124</v>
      </c>
      <c r="C138" t="s">
        <v>265</v>
      </c>
      <c r="D138">
        <v>1180000</v>
      </c>
      <c r="E138" t="s">
        <v>489</v>
      </c>
      <c r="F138" s="49" t="s">
        <v>124</v>
      </c>
      <c r="G138" s="14">
        <v>42542.991331018522</v>
      </c>
    </row>
    <row r="139" spans="1:7" x14ac:dyDescent="0.25">
      <c r="A139" s="14">
        <v>42542.71197916667</v>
      </c>
      <c r="B139" t="s">
        <v>125</v>
      </c>
      <c r="C139" t="s">
        <v>212</v>
      </c>
      <c r="D139">
        <v>1180000</v>
      </c>
      <c r="E139" t="s">
        <v>489</v>
      </c>
      <c r="F139" s="49" t="s">
        <v>125</v>
      </c>
      <c r="G139" s="14">
        <v>42542.71197916667</v>
      </c>
    </row>
    <row r="140" spans="1:7" x14ac:dyDescent="0.25">
      <c r="A140" s="14">
        <v>42543.016180555554</v>
      </c>
      <c r="B140" t="s">
        <v>100</v>
      </c>
      <c r="C140" t="s">
        <v>269</v>
      </c>
      <c r="D140">
        <v>2010000</v>
      </c>
      <c r="E140" t="s">
        <v>134</v>
      </c>
      <c r="F140" s="49" t="s">
        <v>100</v>
      </c>
      <c r="G140" s="14">
        <v>42543.016180555554</v>
      </c>
    </row>
    <row r="141" spans="1:7" x14ac:dyDescent="0.25">
      <c r="A141" s="14">
        <v>42543.055833333332</v>
      </c>
      <c r="B141" s="49" t="s">
        <v>87</v>
      </c>
      <c r="C141" t="s">
        <v>275</v>
      </c>
      <c r="D141">
        <v>1810000</v>
      </c>
      <c r="E141" t="s">
        <v>487</v>
      </c>
      <c r="F141" s="49" t="s">
        <v>87</v>
      </c>
      <c r="G141" s="14">
        <v>42543.055833333332</v>
      </c>
    </row>
    <row r="142" spans="1:7" x14ac:dyDescent="0.25">
      <c r="A142" s="14">
        <v>42542.307638888888</v>
      </c>
      <c r="B142" s="49" t="s">
        <v>100</v>
      </c>
      <c r="C142" t="s">
        <v>328</v>
      </c>
      <c r="D142">
        <v>1260000</v>
      </c>
      <c r="E142" t="s">
        <v>143</v>
      </c>
      <c r="F142" s="49" t="s">
        <v>100</v>
      </c>
      <c r="G142" s="14">
        <v>42542.307638888888</v>
      </c>
    </row>
    <row r="143" spans="1:7" x14ac:dyDescent="0.25">
      <c r="A143" s="14">
        <v>42542.710289351853</v>
      </c>
      <c r="B143" t="s">
        <v>99</v>
      </c>
      <c r="C143" t="s">
        <v>276</v>
      </c>
      <c r="D143">
        <v>1740000</v>
      </c>
      <c r="E143" t="s">
        <v>97</v>
      </c>
      <c r="F143" s="49" t="s">
        <v>99</v>
      </c>
      <c r="G143" s="14">
        <v>42542.710289351853</v>
      </c>
    </row>
    <row r="144" spans="1:7" x14ac:dyDescent="0.25">
      <c r="A144" s="14">
        <v>42542.510057870371</v>
      </c>
      <c r="B144" t="s">
        <v>90</v>
      </c>
      <c r="C144" t="s">
        <v>400</v>
      </c>
      <c r="D144">
        <v>1140000</v>
      </c>
      <c r="E144" t="s">
        <v>93</v>
      </c>
      <c r="F144" s="49" t="s">
        <v>90</v>
      </c>
      <c r="G144" s="14">
        <v>42542.510057870371</v>
      </c>
    </row>
    <row r="145" spans="1:7" x14ac:dyDescent="0.25">
      <c r="A145" s="14">
        <v>42542.775891203702</v>
      </c>
      <c r="B145" t="s">
        <v>100</v>
      </c>
      <c r="C145" t="s">
        <v>225</v>
      </c>
      <c r="D145">
        <v>2010000</v>
      </c>
      <c r="E145" t="s">
        <v>134</v>
      </c>
      <c r="F145" s="49" t="s">
        <v>100</v>
      </c>
      <c r="G145" s="14">
        <v>42542.775891203702</v>
      </c>
    </row>
    <row r="146" spans="1:7" x14ac:dyDescent="0.25">
      <c r="A146" s="14">
        <v>42542.572893518518</v>
      </c>
      <c r="B146" t="s">
        <v>106</v>
      </c>
      <c r="C146" t="s">
        <v>417</v>
      </c>
      <c r="D146">
        <v>2040000</v>
      </c>
      <c r="E146" t="s">
        <v>184</v>
      </c>
      <c r="F146" s="49" t="s">
        <v>106</v>
      </c>
      <c r="G146" s="14">
        <v>42542.572893518518</v>
      </c>
    </row>
    <row r="147" spans="1:7" x14ac:dyDescent="0.25">
      <c r="A147" s="14">
        <v>42542.848449074074</v>
      </c>
      <c r="B147" t="s">
        <v>100</v>
      </c>
      <c r="C147" t="s">
        <v>245</v>
      </c>
      <c r="D147">
        <v>2010000</v>
      </c>
      <c r="E147" t="s">
        <v>134</v>
      </c>
      <c r="F147" s="49" t="s">
        <v>100</v>
      </c>
      <c r="G147" s="14">
        <v>42542.848449074074</v>
      </c>
    </row>
    <row r="148" spans="1:7" x14ac:dyDescent="0.25">
      <c r="A148" s="14">
        <v>42542.888483796298</v>
      </c>
      <c r="B148" t="s">
        <v>87</v>
      </c>
      <c r="C148" t="s">
        <v>251</v>
      </c>
      <c r="D148">
        <v>1810000</v>
      </c>
      <c r="E148" t="s">
        <v>487</v>
      </c>
      <c r="F148" s="49" t="s">
        <v>87</v>
      </c>
      <c r="G148" s="14">
        <v>42542.888483796298</v>
      </c>
    </row>
    <row r="149" spans="1:7" x14ac:dyDescent="0.25">
      <c r="A149" s="14">
        <v>42542.809224537035</v>
      </c>
      <c r="B149" t="s">
        <v>106</v>
      </c>
      <c r="C149" t="s">
        <v>244</v>
      </c>
      <c r="D149">
        <v>2010000</v>
      </c>
      <c r="E149" t="s">
        <v>134</v>
      </c>
      <c r="F149" s="49" t="s">
        <v>106</v>
      </c>
      <c r="G149" s="14">
        <v>42542.809224537035</v>
      </c>
    </row>
    <row r="150" spans="1:7" x14ac:dyDescent="0.25">
      <c r="A150" s="14">
        <v>42542.258564814816</v>
      </c>
      <c r="B150" t="s">
        <v>123</v>
      </c>
      <c r="C150" t="s">
        <v>320</v>
      </c>
      <c r="D150">
        <v>2030000</v>
      </c>
      <c r="E150" t="s">
        <v>485</v>
      </c>
      <c r="F150" s="49" t="s">
        <v>123</v>
      </c>
      <c r="G150" s="14">
        <v>42542.258564814816</v>
      </c>
    </row>
    <row r="151" spans="1:7" x14ac:dyDescent="0.25">
      <c r="A151" s="14">
        <v>42542.798402777778</v>
      </c>
      <c r="B151" t="s">
        <v>91</v>
      </c>
      <c r="C151" t="s">
        <v>233</v>
      </c>
      <c r="D151">
        <v>1820000</v>
      </c>
      <c r="E151" t="s">
        <v>488</v>
      </c>
      <c r="F151" s="49" t="s">
        <v>91</v>
      </c>
      <c r="G151" s="14">
        <v>42542.798402777778</v>
      </c>
    </row>
    <row r="152" spans="1:7" x14ac:dyDescent="0.25">
      <c r="A152" s="14">
        <v>42542.381840277776</v>
      </c>
      <c r="B152" t="s">
        <v>100</v>
      </c>
      <c r="C152" t="s">
        <v>349</v>
      </c>
      <c r="D152">
        <v>1260000</v>
      </c>
      <c r="E152" t="s">
        <v>143</v>
      </c>
      <c r="F152" s="49" t="s">
        <v>100</v>
      </c>
      <c r="G152" s="14">
        <v>42542.381840277776</v>
      </c>
    </row>
    <row r="153" spans="1:7" x14ac:dyDescent="0.25">
      <c r="A153" s="14">
        <v>42542.681076388886</v>
      </c>
      <c r="B153" t="s">
        <v>101</v>
      </c>
      <c r="C153" t="s">
        <v>470</v>
      </c>
      <c r="D153">
        <v>1740000</v>
      </c>
      <c r="E153" t="s">
        <v>97</v>
      </c>
      <c r="F153" s="49" t="s">
        <v>101</v>
      </c>
      <c r="G153" s="14">
        <v>42542.681076388886</v>
      </c>
    </row>
    <row r="154" spans="1:7" x14ac:dyDescent="0.25">
      <c r="A154" s="14">
        <v>42542.389733796299</v>
      </c>
      <c r="B154" t="s">
        <v>491</v>
      </c>
      <c r="C154" t="s">
        <v>354</v>
      </c>
      <c r="D154">
        <v>1100000</v>
      </c>
      <c r="E154" t="s">
        <v>493</v>
      </c>
      <c r="F154" s="49" t="s">
        <v>491</v>
      </c>
      <c r="G154" s="14">
        <v>42542.389733796299</v>
      </c>
    </row>
    <row r="155" spans="1:7" x14ac:dyDescent="0.25">
      <c r="A155" s="14">
        <v>42542.976331018515</v>
      </c>
      <c r="B155" t="s">
        <v>106</v>
      </c>
      <c r="C155" t="s">
        <v>267</v>
      </c>
      <c r="D155">
        <v>2010000</v>
      </c>
      <c r="E155" t="s">
        <v>134</v>
      </c>
      <c r="F155" s="49" t="s">
        <v>106</v>
      </c>
      <c r="G155" s="14">
        <v>42542.976331018515</v>
      </c>
    </row>
    <row r="156" spans="1:7" x14ac:dyDescent="0.25">
      <c r="A156" s="14">
        <v>42542.447476851848</v>
      </c>
      <c r="B156" t="s">
        <v>103</v>
      </c>
      <c r="C156" t="s">
        <v>379</v>
      </c>
      <c r="D156">
        <v>1750000</v>
      </c>
      <c r="E156" t="s">
        <v>185</v>
      </c>
      <c r="F156" s="49" t="s">
        <v>103</v>
      </c>
      <c r="G156" s="14">
        <v>42542.447476851848</v>
      </c>
    </row>
    <row r="157" spans="1:7" x14ac:dyDescent="0.25">
      <c r="A157" s="14">
        <v>42542.954687500001</v>
      </c>
      <c r="B157" t="s">
        <v>125</v>
      </c>
      <c r="C157" t="s">
        <v>262</v>
      </c>
      <c r="D157">
        <v>1180000</v>
      </c>
      <c r="E157" t="s">
        <v>489</v>
      </c>
      <c r="F157" s="49" t="s">
        <v>125</v>
      </c>
      <c r="G157" s="14">
        <v>42542.954687500001</v>
      </c>
    </row>
    <row r="158" spans="1:7" x14ac:dyDescent="0.25">
      <c r="A158" s="14">
        <v>42542.635138888887</v>
      </c>
      <c r="B158" t="s">
        <v>482</v>
      </c>
      <c r="C158" t="s">
        <v>426</v>
      </c>
      <c r="D158">
        <v>1470000</v>
      </c>
      <c r="E158" t="s">
        <v>483</v>
      </c>
      <c r="F158" s="49" t="s">
        <v>482</v>
      </c>
      <c r="G158" s="14">
        <v>42542.635138888887</v>
      </c>
    </row>
    <row r="159" spans="1:7" x14ac:dyDescent="0.25">
      <c r="A159" s="14">
        <v>42542.92355324074</v>
      </c>
      <c r="B159" t="s">
        <v>88</v>
      </c>
      <c r="C159" t="s">
        <v>260</v>
      </c>
      <c r="D159">
        <v>1810000</v>
      </c>
      <c r="E159" t="s">
        <v>487</v>
      </c>
      <c r="F159" s="49" t="s">
        <v>88</v>
      </c>
      <c r="G159" s="14">
        <v>42542.92355324074</v>
      </c>
    </row>
    <row r="160" spans="1:7" x14ac:dyDescent="0.25">
      <c r="A160" s="14">
        <v>42542.67627314815</v>
      </c>
      <c r="B160" t="s">
        <v>491</v>
      </c>
      <c r="C160" t="s">
        <v>441</v>
      </c>
      <c r="D160">
        <v>1470000</v>
      </c>
      <c r="E160" t="s">
        <v>483</v>
      </c>
      <c r="F160" s="49" t="s">
        <v>491</v>
      </c>
      <c r="G160" s="14">
        <v>42542.67627314815</v>
      </c>
    </row>
    <row r="161" spans="1:7" x14ac:dyDescent="0.25">
      <c r="A161" s="14">
        <v>42542.889826388891</v>
      </c>
      <c r="B161" t="s">
        <v>87</v>
      </c>
      <c r="C161" t="s">
        <v>251</v>
      </c>
      <c r="D161">
        <v>1810000</v>
      </c>
      <c r="E161" t="s">
        <v>487</v>
      </c>
      <c r="F161" s="49" t="s">
        <v>87</v>
      </c>
      <c r="G161" s="14">
        <v>42542.889826388891</v>
      </c>
    </row>
    <row r="162" spans="1:7" x14ac:dyDescent="0.25">
      <c r="A162" s="14">
        <v>42542.725462962961</v>
      </c>
      <c r="B162" t="s">
        <v>98</v>
      </c>
      <c r="C162" t="s">
        <v>220</v>
      </c>
      <c r="D162">
        <v>1120000</v>
      </c>
      <c r="E162" t="s">
        <v>141</v>
      </c>
      <c r="F162" s="49" t="s">
        <v>98</v>
      </c>
      <c r="G162" s="14">
        <v>42542.725462962961</v>
      </c>
    </row>
    <row r="163" spans="1:7" x14ac:dyDescent="0.25">
      <c r="A163" s="14">
        <v>42542.687615740739</v>
      </c>
      <c r="B163" t="s">
        <v>90</v>
      </c>
      <c r="C163" t="s">
        <v>442</v>
      </c>
      <c r="D163">
        <v>740000</v>
      </c>
      <c r="E163" t="s">
        <v>494</v>
      </c>
      <c r="F163" s="49" t="s">
        <v>90</v>
      </c>
      <c r="G163" s="14">
        <v>42542.687615740739</v>
      </c>
    </row>
    <row r="164" spans="1:7" x14ac:dyDescent="0.25">
      <c r="A164" s="14">
        <v>42542.237662037034</v>
      </c>
      <c r="B164" t="s">
        <v>125</v>
      </c>
      <c r="C164" t="s">
        <v>315</v>
      </c>
      <c r="D164">
        <v>1110000</v>
      </c>
      <c r="E164" t="s">
        <v>486</v>
      </c>
      <c r="F164" s="49" t="s">
        <v>125</v>
      </c>
      <c r="G164" s="14">
        <v>42542.237662037034</v>
      </c>
    </row>
    <row r="165" spans="1:7" x14ac:dyDescent="0.25">
      <c r="A165" s="14">
        <v>42542.431979166664</v>
      </c>
      <c r="B165" t="s">
        <v>491</v>
      </c>
      <c r="C165" t="s">
        <v>376</v>
      </c>
      <c r="D165">
        <v>1470000</v>
      </c>
      <c r="E165" t="s">
        <v>483</v>
      </c>
      <c r="F165" s="49" t="s">
        <v>491</v>
      </c>
      <c r="G165" s="14">
        <v>42542.431979166664</v>
      </c>
    </row>
    <row r="166" spans="1:7" x14ac:dyDescent="0.25">
      <c r="A166" s="14">
        <v>42542.249942129631</v>
      </c>
      <c r="B166" t="s">
        <v>98</v>
      </c>
      <c r="C166" t="s">
        <v>317</v>
      </c>
      <c r="D166">
        <v>900000</v>
      </c>
      <c r="E166" t="s">
        <v>104</v>
      </c>
      <c r="F166" s="49" t="s">
        <v>98</v>
      </c>
      <c r="G166" s="14">
        <v>42542.249942129631</v>
      </c>
    </row>
    <row r="167" spans="1:7" x14ac:dyDescent="0.25">
      <c r="A167" s="14">
        <v>42542.371759259258</v>
      </c>
      <c r="B167" t="s">
        <v>87</v>
      </c>
      <c r="C167" t="s">
        <v>348</v>
      </c>
      <c r="D167">
        <v>2030000</v>
      </c>
      <c r="E167" t="s">
        <v>485</v>
      </c>
      <c r="F167" s="49" t="s">
        <v>87</v>
      </c>
      <c r="G167" s="14">
        <v>42542.371759259258</v>
      </c>
    </row>
    <row r="168" spans="1:7" x14ac:dyDescent="0.25">
      <c r="A168" s="14">
        <v>42542.326990740738</v>
      </c>
      <c r="B168" t="s">
        <v>91</v>
      </c>
      <c r="C168" t="s">
        <v>335</v>
      </c>
      <c r="D168">
        <v>2000000</v>
      </c>
      <c r="E168" t="s">
        <v>189</v>
      </c>
      <c r="F168" s="49" t="s">
        <v>91</v>
      </c>
      <c r="G168" s="14">
        <v>42542.326990740738</v>
      </c>
    </row>
    <row r="169" spans="1:7" x14ac:dyDescent="0.25">
      <c r="A169" s="14">
        <v>42542.341331018521</v>
      </c>
      <c r="B169" t="s">
        <v>106</v>
      </c>
      <c r="C169" t="s">
        <v>349</v>
      </c>
      <c r="D169">
        <v>1260000</v>
      </c>
      <c r="E169" t="s">
        <v>143</v>
      </c>
      <c r="F169" s="49" t="s">
        <v>106</v>
      </c>
      <c r="G169" s="14">
        <v>42542.341331018521</v>
      </c>
    </row>
    <row r="170" spans="1:7" x14ac:dyDescent="0.25">
      <c r="A170" s="14">
        <v>42542.570173611108</v>
      </c>
      <c r="B170" t="s">
        <v>124</v>
      </c>
      <c r="C170" t="s">
        <v>409</v>
      </c>
      <c r="D170">
        <v>1290000</v>
      </c>
      <c r="E170" t="s">
        <v>142</v>
      </c>
      <c r="F170" s="49" t="s">
        <v>124</v>
      </c>
      <c r="G170" s="14">
        <v>42542.570173611108</v>
      </c>
    </row>
    <row r="171" spans="1:7" x14ac:dyDescent="0.25">
      <c r="A171" s="14">
        <v>42542.324918981481</v>
      </c>
      <c r="B171" t="s">
        <v>102</v>
      </c>
      <c r="C171" t="s">
        <v>454</v>
      </c>
      <c r="D171">
        <v>1500000</v>
      </c>
      <c r="E171" t="s">
        <v>105</v>
      </c>
      <c r="F171" s="49" t="s">
        <v>102</v>
      </c>
      <c r="G171" s="14">
        <v>42542.324918981481</v>
      </c>
    </row>
    <row r="172" spans="1:7" x14ac:dyDescent="0.25">
      <c r="A172" s="14">
        <v>42542.954976851855</v>
      </c>
      <c r="B172" t="s">
        <v>117</v>
      </c>
      <c r="C172" t="s">
        <v>259</v>
      </c>
      <c r="D172">
        <v>1820000</v>
      </c>
      <c r="E172" t="s">
        <v>488</v>
      </c>
      <c r="F172" s="49" t="s">
        <v>117</v>
      </c>
      <c r="G172" s="14">
        <v>42542.954976851855</v>
      </c>
    </row>
    <row r="173" spans="1:7" x14ac:dyDescent="0.25">
      <c r="A173" s="14">
        <v>42542.230798611112</v>
      </c>
      <c r="B173" t="s">
        <v>103</v>
      </c>
      <c r="C173" t="s">
        <v>311</v>
      </c>
      <c r="D173">
        <v>1090000</v>
      </c>
      <c r="E173" t="s">
        <v>188</v>
      </c>
      <c r="F173" s="49" t="s">
        <v>103</v>
      </c>
      <c r="G173" s="14">
        <v>42542.230798611112</v>
      </c>
    </row>
    <row r="174" spans="1:7" x14ac:dyDescent="0.25">
      <c r="A174" s="14">
        <v>42542.3359375</v>
      </c>
      <c r="B174" t="s">
        <v>71</v>
      </c>
      <c r="C174" t="s">
        <v>337</v>
      </c>
      <c r="D174">
        <v>1090000</v>
      </c>
      <c r="E174" t="s">
        <v>188</v>
      </c>
      <c r="F174" s="49" t="s">
        <v>71</v>
      </c>
      <c r="G174" s="14">
        <v>42542.3359375</v>
      </c>
    </row>
    <row r="175" spans="1:7" x14ac:dyDescent="0.25">
      <c r="A175" s="14">
        <v>42542.225185185183</v>
      </c>
      <c r="B175" t="s">
        <v>126</v>
      </c>
      <c r="C175" t="s">
        <v>296</v>
      </c>
      <c r="D175">
        <v>900000</v>
      </c>
      <c r="E175" t="s">
        <v>104</v>
      </c>
      <c r="F175" s="49" t="s">
        <v>126</v>
      </c>
      <c r="G175" s="14">
        <v>42542.225185185183</v>
      </c>
    </row>
    <row r="176" spans="1:7" x14ac:dyDescent="0.25">
      <c r="A176" s="14">
        <v>42542.337766203702</v>
      </c>
      <c r="B176" t="s">
        <v>83</v>
      </c>
      <c r="C176" t="s">
        <v>455</v>
      </c>
      <c r="D176">
        <v>1500000</v>
      </c>
      <c r="E176" t="s">
        <v>105</v>
      </c>
      <c r="F176" s="49" t="s">
        <v>83</v>
      </c>
      <c r="G176" s="14">
        <v>42542.337766203702</v>
      </c>
    </row>
    <row r="177" spans="1:7" x14ac:dyDescent="0.25">
      <c r="A177" s="14">
        <v>42542.455416666664</v>
      </c>
      <c r="B177" t="s">
        <v>125</v>
      </c>
      <c r="C177" t="s">
        <v>382</v>
      </c>
      <c r="D177">
        <v>1090000</v>
      </c>
      <c r="E177" t="s">
        <v>188</v>
      </c>
      <c r="F177" s="49" t="s">
        <v>125</v>
      </c>
      <c r="G177" s="14">
        <v>42542.455416666664</v>
      </c>
    </row>
    <row r="178" spans="1:7" x14ac:dyDescent="0.25">
      <c r="A178" s="14">
        <v>42542.352581018517</v>
      </c>
      <c r="B178" t="s">
        <v>491</v>
      </c>
      <c r="C178" t="s">
        <v>354</v>
      </c>
      <c r="D178">
        <v>1100000</v>
      </c>
      <c r="E178" t="s">
        <v>493</v>
      </c>
      <c r="F178" s="49" t="s">
        <v>491</v>
      </c>
      <c r="G178" s="14">
        <v>42542.352581018517</v>
      </c>
    </row>
    <row r="179" spans="1:7" x14ac:dyDescent="0.25">
      <c r="A179" s="14">
        <v>42542.384722222225</v>
      </c>
      <c r="B179" t="s">
        <v>101</v>
      </c>
      <c r="C179" t="s">
        <v>458</v>
      </c>
      <c r="D179">
        <v>1540000</v>
      </c>
      <c r="E179" t="s">
        <v>187</v>
      </c>
      <c r="F179" s="49" t="s">
        <v>101</v>
      </c>
      <c r="G179" s="14">
        <v>42542.384722222225</v>
      </c>
    </row>
    <row r="180" spans="1:7" x14ac:dyDescent="0.25">
      <c r="A180" s="14">
        <v>42542.59302083333</v>
      </c>
      <c r="B180" t="s">
        <v>491</v>
      </c>
      <c r="C180" t="s">
        <v>424</v>
      </c>
      <c r="D180">
        <v>1470000</v>
      </c>
      <c r="E180" t="s">
        <v>483</v>
      </c>
      <c r="F180" s="49" t="s">
        <v>491</v>
      </c>
      <c r="G180" s="14">
        <v>42542.59302083333</v>
      </c>
    </row>
    <row r="181" spans="1:7" x14ac:dyDescent="0.25">
      <c r="A181" s="14">
        <v>42542.361273148148</v>
      </c>
      <c r="B181" t="s">
        <v>92</v>
      </c>
      <c r="C181" t="s">
        <v>346</v>
      </c>
      <c r="D181">
        <v>900000</v>
      </c>
      <c r="E181" t="s">
        <v>104</v>
      </c>
      <c r="F181" s="49" t="s">
        <v>92</v>
      </c>
      <c r="G181" s="14">
        <v>42542.361273148148</v>
      </c>
    </row>
    <row r="182" spans="1:7" x14ac:dyDescent="0.25">
      <c r="A182" s="14">
        <v>42542.65347222222</v>
      </c>
      <c r="B182" t="s">
        <v>71</v>
      </c>
      <c r="C182" t="s">
        <v>478</v>
      </c>
      <c r="D182">
        <v>940000</v>
      </c>
      <c r="E182" t="s">
        <v>492</v>
      </c>
      <c r="F182" s="49" t="s">
        <v>71</v>
      </c>
      <c r="G182" s="14">
        <v>42542.65347222222</v>
      </c>
    </row>
    <row r="183" spans="1:7" x14ac:dyDescent="0.25">
      <c r="A183" s="14">
        <v>42542.518182870372</v>
      </c>
      <c r="B183" t="s">
        <v>101</v>
      </c>
      <c r="C183" t="s">
        <v>462</v>
      </c>
      <c r="D183">
        <v>1540000</v>
      </c>
      <c r="E183" t="s">
        <v>187</v>
      </c>
      <c r="F183" s="49" t="s">
        <v>101</v>
      </c>
      <c r="G183" s="14">
        <v>42542.518182870372</v>
      </c>
    </row>
    <row r="184" spans="1:7" x14ac:dyDescent="0.25">
      <c r="A184" s="14">
        <v>42542.730856481481</v>
      </c>
      <c r="B184" t="s">
        <v>87</v>
      </c>
      <c r="C184" t="s">
        <v>210</v>
      </c>
      <c r="D184">
        <v>1750000</v>
      </c>
      <c r="E184" t="s">
        <v>185</v>
      </c>
      <c r="F184" s="49" t="s">
        <v>87</v>
      </c>
      <c r="G184" s="14">
        <v>42542.730856481481</v>
      </c>
    </row>
    <row r="185" spans="1:7" x14ac:dyDescent="0.25">
      <c r="A185" s="14">
        <v>42542.315949074073</v>
      </c>
      <c r="B185" t="s">
        <v>482</v>
      </c>
      <c r="C185" t="s">
        <v>332</v>
      </c>
      <c r="D185">
        <v>1100000</v>
      </c>
      <c r="E185" t="s">
        <v>493</v>
      </c>
      <c r="F185" s="49" t="s">
        <v>482</v>
      </c>
      <c r="G185" s="14">
        <v>42542.315949074073</v>
      </c>
    </row>
    <row r="186" spans="1:7" x14ac:dyDescent="0.25">
      <c r="A186" s="14">
        <v>42542.74627314815</v>
      </c>
      <c r="B186" t="s">
        <v>124</v>
      </c>
      <c r="C186" t="s">
        <v>216</v>
      </c>
      <c r="D186">
        <v>1180000</v>
      </c>
      <c r="E186" t="s">
        <v>489</v>
      </c>
      <c r="F186" s="49" t="s">
        <v>124</v>
      </c>
      <c r="G186" s="14">
        <v>42542.74627314815</v>
      </c>
    </row>
    <row r="187" spans="1:7" x14ac:dyDescent="0.25">
      <c r="A187" s="14">
        <v>42542.48846064815</v>
      </c>
      <c r="B187" t="s">
        <v>106</v>
      </c>
      <c r="C187" t="s">
        <v>392</v>
      </c>
      <c r="D187">
        <v>2040000</v>
      </c>
      <c r="E187" t="s">
        <v>184</v>
      </c>
      <c r="F187" s="49" t="s">
        <v>106</v>
      </c>
      <c r="G187" s="14">
        <v>42542.48846064815</v>
      </c>
    </row>
    <row r="188" spans="1:7" x14ac:dyDescent="0.25">
      <c r="A188" s="14">
        <v>42543.037407407406</v>
      </c>
      <c r="B188" t="s">
        <v>117</v>
      </c>
      <c r="C188" t="s">
        <v>272</v>
      </c>
      <c r="D188">
        <v>1820000</v>
      </c>
      <c r="E188" t="s">
        <v>488</v>
      </c>
      <c r="F188" s="49" t="s">
        <v>117</v>
      </c>
      <c r="G188" s="14">
        <v>42543.037407407406</v>
      </c>
    </row>
    <row r="189" spans="1:7" x14ac:dyDescent="0.25">
      <c r="A189" s="14">
        <v>42542.383090277777</v>
      </c>
      <c r="B189" t="s">
        <v>100</v>
      </c>
      <c r="C189" t="s">
        <v>352</v>
      </c>
      <c r="D189">
        <v>1260000</v>
      </c>
      <c r="E189" t="s">
        <v>143</v>
      </c>
      <c r="F189" s="49" t="s">
        <v>100</v>
      </c>
      <c r="G189" s="14">
        <v>42542.383090277777</v>
      </c>
    </row>
    <row r="190" spans="1:7" x14ac:dyDescent="0.25">
      <c r="A190" s="14">
        <v>42542.210486111115</v>
      </c>
      <c r="B190" t="s">
        <v>90</v>
      </c>
      <c r="C190" t="s">
        <v>308</v>
      </c>
      <c r="D190">
        <v>2000000</v>
      </c>
      <c r="E190" t="s">
        <v>189</v>
      </c>
      <c r="F190" s="49" t="s">
        <v>90</v>
      </c>
      <c r="G190" s="14">
        <v>42542.210486111115</v>
      </c>
    </row>
    <row r="191" spans="1:7" x14ac:dyDescent="0.25">
      <c r="A191" s="14">
        <v>42542.33090277778</v>
      </c>
      <c r="B191" t="s">
        <v>88</v>
      </c>
      <c r="C191" t="s">
        <v>347</v>
      </c>
      <c r="D191">
        <v>2030000</v>
      </c>
      <c r="E191" t="s">
        <v>485</v>
      </c>
      <c r="F191" s="49" t="s">
        <v>88</v>
      </c>
      <c r="G191" s="14">
        <v>42542.33090277778</v>
      </c>
    </row>
    <row r="192" spans="1:7" x14ac:dyDescent="0.25">
      <c r="A192" s="14">
        <v>42542.312013888892</v>
      </c>
      <c r="B192" t="s">
        <v>125</v>
      </c>
      <c r="C192" t="s">
        <v>338</v>
      </c>
      <c r="D192">
        <v>1110000</v>
      </c>
      <c r="E192" t="s">
        <v>486</v>
      </c>
      <c r="F192" s="49" t="s">
        <v>125</v>
      </c>
      <c r="G192" s="14">
        <v>42542.312013888892</v>
      </c>
    </row>
    <row r="193" spans="1:7" x14ac:dyDescent="0.25">
      <c r="A193" s="14">
        <v>42542.254884259259</v>
      </c>
      <c r="B193" t="s">
        <v>83</v>
      </c>
      <c r="C193" t="s">
        <v>447</v>
      </c>
      <c r="D193">
        <v>1500000</v>
      </c>
      <c r="E193" t="s">
        <v>105</v>
      </c>
      <c r="F193" s="49" t="s">
        <v>83</v>
      </c>
      <c r="G193" s="14">
        <v>42542.254884259259</v>
      </c>
    </row>
    <row r="194" spans="1:7" x14ac:dyDescent="0.25">
      <c r="A194" s="14">
        <v>42542.487511574072</v>
      </c>
      <c r="B194" t="s">
        <v>106</v>
      </c>
      <c r="C194" t="s">
        <v>392</v>
      </c>
      <c r="D194">
        <v>2040000</v>
      </c>
      <c r="E194" t="s">
        <v>184</v>
      </c>
      <c r="F194" s="49" t="s">
        <v>106</v>
      </c>
      <c r="G194" s="14">
        <v>42542.487511574072</v>
      </c>
    </row>
    <row r="195" spans="1:7" x14ac:dyDescent="0.25">
      <c r="A195" s="14">
        <v>42542.65215277778</v>
      </c>
      <c r="B195" t="s">
        <v>71</v>
      </c>
      <c r="C195" t="s">
        <v>478</v>
      </c>
      <c r="D195">
        <v>940000</v>
      </c>
      <c r="E195" t="s">
        <v>492</v>
      </c>
      <c r="F195" s="49" t="s">
        <v>71</v>
      </c>
      <c r="G195" s="14">
        <v>42542.65215277778</v>
      </c>
    </row>
    <row r="196" spans="1:7" x14ac:dyDescent="0.25">
      <c r="A196" s="14">
        <v>42542.507523148146</v>
      </c>
      <c r="B196" t="s">
        <v>126</v>
      </c>
      <c r="C196" t="s">
        <v>387</v>
      </c>
      <c r="D196">
        <v>1990000</v>
      </c>
      <c r="E196" t="s">
        <v>484</v>
      </c>
      <c r="F196" s="49" t="s">
        <v>126</v>
      </c>
      <c r="G196" s="14">
        <v>42542.507523148146</v>
      </c>
    </row>
    <row r="197" spans="1:7" x14ac:dyDescent="0.25">
      <c r="A197" s="14">
        <v>42542.644618055558</v>
      </c>
      <c r="B197" t="s">
        <v>91</v>
      </c>
      <c r="C197" t="s">
        <v>427</v>
      </c>
      <c r="D197">
        <v>1140000</v>
      </c>
      <c r="E197" t="s">
        <v>93</v>
      </c>
      <c r="F197" s="49" t="s">
        <v>91</v>
      </c>
      <c r="G197" s="14">
        <v>42542.644618055558</v>
      </c>
    </row>
    <row r="198" spans="1:7" x14ac:dyDescent="0.25">
      <c r="A198" s="14">
        <v>42542.601817129631</v>
      </c>
      <c r="B198" t="s">
        <v>92</v>
      </c>
      <c r="C198" t="s">
        <v>416</v>
      </c>
      <c r="D198">
        <v>1120000</v>
      </c>
      <c r="E198" t="s">
        <v>141</v>
      </c>
      <c r="F198" s="49" t="s">
        <v>92</v>
      </c>
      <c r="G198" s="14">
        <v>42542.601817129631</v>
      </c>
    </row>
    <row r="199" spans="1:7" x14ac:dyDescent="0.25">
      <c r="A199" s="14">
        <v>42542.633263888885</v>
      </c>
      <c r="B199" t="s">
        <v>101</v>
      </c>
      <c r="C199" t="s">
        <v>468</v>
      </c>
      <c r="D199">
        <v>1740000</v>
      </c>
      <c r="E199" t="s">
        <v>97</v>
      </c>
      <c r="F199" s="49" t="s">
        <v>101</v>
      </c>
      <c r="G199" s="14">
        <v>42542.633263888885</v>
      </c>
    </row>
    <row r="200" spans="1:7" x14ac:dyDescent="0.25">
      <c r="A200" s="14">
        <v>42542.662581018521</v>
      </c>
      <c r="B200" t="s">
        <v>124</v>
      </c>
      <c r="C200" t="s">
        <v>433</v>
      </c>
      <c r="D200">
        <v>1290000</v>
      </c>
      <c r="E200" t="s">
        <v>142</v>
      </c>
      <c r="F200" s="49" t="s">
        <v>124</v>
      </c>
      <c r="G200" s="14">
        <v>42542.662581018521</v>
      </c>
    </row>
    <row r="201" spans="1:7" x14ac:dyDescent="0.25">
      <c r="A201" s="14">
        <v>42542.621145833335</v>
      </c>
      <c r="B201" t="s">
        <v>125</v>
      </c>
      <c r="C201" t="s">
        <v>431</v>
      </c>
      <c r="D201">
        <v>1290000</v>
      </c>
      <c r="E201" t="s">
        <v>142</v>
      </c>
      <c r="F201" s="49" t="s">
        <v>125</v>
      </c>
      <c r="G201" s="14">
        <v>42542.621145833335</v>
      </c>
    </row>
    <row r="202" spans="1:7" x14ac:dyDescent="0.25">
      <c r="A202" s="74">
        <v>42542.678599537037</v>
      </c>
      <c r="B202" t="s">
        <v>101</v>
      </c>
      <c r="C202" t="s">
        <v>470</v>
      </c>
      <c r="D202">
        <v>1740000</v>
      </c>
      <c r="E202" t="s">
        <v>97</v>
      </c>
      <c r="F202" s="49" t="s">
        <v>101</v>
      </c>
      <c r="G202" s="74">
        <v>42542.678599537037</v>
      </c>
    </row>
    <row r="203" spans="1:7" x14ac:dyDescent="0.25">
      <c r="A203" s="14">
        <v>42542.613229166665</v>
      </c>
      <c r="B203" t="s">
        <v>100</v>
      </c>
      <c r="C203" t="s">
        <v>421</v>
      </c>
      <c r="D203">
        <v>2040000</v>
      </c>
      <c r="E203" t="s">
        <v>184</v>
      </c>
      <c r="F203" s="49" t="s">
        <v>100</v>
      </c>
      <c r="G203" s="14">
        <v>42542.613229166665</v>
      </c>
    </row>
    <row r="204" spans="1:7" x14ac:dyDescent="0.25">
      <c r="A204" s="14">
        <v>42542.768877314818</v>
      </c>
      <c r="B204" t="s">
        <v>88</v>
      </c>
      <c r="C204" t="s">
        <v>237</v>
      </c>
      <c r="D204">
        <v>1810000</v>
      </c>
      <c r="E204" t="s">
        <v>487</v>
      </c>
      <c r="F204" s="49" t="s">
        <v>88</v>
      </c>
      <c r="G204" s="14">
        <v>42542.768877314818</v>
      </c>
    </row>
    <row r="205" spans="1:7" x14ac:dyDescent="0.25">
      <c r="A205" s="14">
        <v>42542.607870370368</v>
      </c>
      <c r="B205" t="s">
        <v>103</v>
      </c>
      <c r="C205" t="s">
        <v>428</v>
      </c>
      <c r="D205">
        <v>940000</v>
      </c>
      <c r="E205" t="s">
        <v>492</v>
      </c>
      <c r="F205" s="49" t="s">
        <v>103</v>
      </c>
      <c r="G205" s="14">
        <v>42542.607870370368</v>
      </c>
    </row>
    <row r="206" spans="1:7" x14ac:dyDescent="0.25">
      <c r="A206" s="14">
        <v>42542.801747685182</v>
      </c>
      <c r="B206" t="s">
        <v>87</v>
      </c>
      <c r="C206" t="s">
        <v>238</v>
      </c>
      <c r="D206">
        <v>1810000</v>
      </c>
      <c r="E206" t="s">
        <v>487</v>
      </c>
      <c r="F206" s="49" t="s">
        <v>87</v>
      </c>
      <c r="G206" s="14">
        <v>42542.801747685182</v>
      </c>
    </row>
    <row r="207" spans="1:7" x14ac:dyDescent="0.25">
      <c r="A207" s="14">
        <v>42542.59547453704</v>
      </c>
      <c r="B207" t="s">
        <v>491</v>
      </c>
      <c r="C207" t="s">
        <v>424</v>
      </c>
      <c r="D207">
        <v>1470000</v>
      </c>
      <c r="E207" t="s">
        <v>483</v>
      </c>
      <c r="F207" s="49" t="s">
        <v>491</v>
      </c>
      <c r="G207" s="14">
        <v>42542.59547453704</v>
      </c>
    </row>
    <row r="208" spans="1:7" x14ac:dyDescent="0.25">
      <c r="A208" s="14">
        <v>42542.996886574074</v>
      </c>
      <c r="B208" t="s">
        <v>116</v>
      </c>
      <c r="C208" t="s">
        <v>270</v>
      </c>
      <c r="D208">
        <v>1820000</v>
      </c>
      <c r="E208" t="s">
        <v>488</v>
      </c>
      <c r="F208" s="49" t="s">
        <v>116</v>
      </c>
      <c r="G208" s="14">
        <v>42542.996886574074</v>
      </c>
    </row>
    <row r="209" spans="1:7" x14ac:dyDescent="0.25">
      <c r="A209" s="14">
        <v>42542.593414351853</v>
      </c>
      <c r="B209" t="s">
        <v>101</v>
      </c>
      <c r="C209" t="s">
        <v>466</v>
      </c>
      <c r="D209">
        <v>1740000</v>
      </c>
      <c r="E209" t="s">
        <v>97</v>
      </c>
      <c r="F209" s="49" t="s">
        <v>101</v>
      </c>
      <c r="G209" s="14">
        <v>42542.593414351853</v>
      </c>
    </row>
    <row r="210" spans="1:7" x14ac:dyDescent="0.25">
      <c r="A210" s="14">
        <v>42542.192337962966</v>
      </c>
      <c r="B210" t="s">
        <v>106</v>
      </c>
      <c r="C210" t="s">
        <v>304</v>
      </c>
      <c r="D210">
        <v>1260000</v>
      </c>
      <c r="E210" t="s">
        <v>143</v>
      </c>
      <c r="F210" s="49" t="s">
        <v>106</v>
      </c>
      <c r="G210" s="14">
        <v>42542.192337962966</v>
      </c>
    </row>
    <row r="211" spans="1:7" x14ac:dyDescent="0.25">
      <c r="A211" s="14">
        <v>42542.571956018517</v>
      </c>
      <c r="B211" t="s">
        <v>106</v>
      </c>
      <c r="C211" t="s">
        <v>417</v>
      </c>
      <c r="D211">
        <v>2040000</v>
      </c>
      <c r="E211" t="s">
        <v>184</v>
      </c>
      <c r="F211" s="49" t="s">
        <v>106</v>
      </c>
      <c r="G211" s="14">
        <v>42542.571956018517</v>
      </c>
    </row>
    <row r="212" spans="1:7" x14ac:dyDescent="0.25">
      <c r="A212" s="14">
        <v>42542.399884259263</v>
      </c>
      <c r="B212" t="s">
        <v>99</v>
      </c>
      <c r="C212" t="s">
        <v>459</v>
      </c>
      <c r="D212">
        <v>1540000</v>
      </c>
      <c r="E212" t="s">
        <v>187</v>
      </c>
      <c r="F212" s="49" t="s">
        <v>99</v>
      </c>
      <c r="G212" s="14">
        <v>42542.399884259263</v>
      </c>
    </row>
    <row r="213" spans="1:7" x14ac:dyDescent="0.25">
      <c r="A213" s="14">
        <v>42542.495127314818</v>
      </c>
      <c r="B213" t="s">
        <v>491</v>
      </c>
      <c r="C213" t="s">
        <v>397</v>
      </c>
      <c r="D213">
        <v>1470000</v>
      </c>
      <c r="E213" t="s">
        <v>483</v>
      </c>
      <c r="F213" s="49" t="s">
        <v>491</v>
      </c>
      <c r="G213" s="14">
        <v>42542.495127314818</v>
      </c>
    </row>
    <row r="214" spans="1:7" x14ac:dyDescent="0.25">
      <c r="A214" s="14">
        <v>42542.423252314817</v>
      </c>
      <c r="B214" t="s">
        <v>124</v>
      </c>
      <c r="C214" t="s">
        <v>366</v>
      </c>
      <c r="D214">
        <v>1110000</v>
      </c>
      <c r="E214" t="s">
        <v>486</v>
      </c>
      <c r="F214" s="49" t="s">
        <v>124</v>
      </c>
      <c r="G214" s="14">
        <v>42542.423252314817</v>
      </c>
    </row>
    <row r="215" spans="1:7" x14ac:dyDescent="0.25">
      <c r="A215" s="14">
        <v>42542.473101851851</v>
      </c>
      <c r="B215" t="s">
        <v>91</v>
      </c>
      <c r="C215" t="s">
        <v>378</v>
      </c>
      <c r="D215">
        <v>1100000</v>
      </c>
      <c r="E215" t="s">
        <v>493</v>
      </c>
      <c r="F215" s="49" t="s">
        <v>91</v>
      </c>
      <c r="G215" s="14">
        <v>42542.473101851851</v>
      </c>
    </row>
    <row r="216" spans="1:7" x14ac:dyDescent="0.25">
      <c r="A216" s="14">
        <v>42542.517488425925</v>
      </c>
      <c r="B216" t="s">
        <v>103</v>
      </c>
      <c r="C216" t="s">
        <v>403</v>
      </c>
      <c r="D216">
        <v>940000</v>
      </c>
      <c r="E216" t="s">
        <v>492</v>
      </c>
      <c r="F216" s="49" t="s">
        <v>103</v>
      </c>
      <c r="G216" s="14">
        <v>42542.517488425925</v>
      </c>
    </row>
    <row r="217" spans="1:7" x14ac:dyDescent="0.25">
      <c r="A217" s="14">
        <v>42542.443831018521</v>
      </c>
      <c r="B217" t="s">
        <v>87</v>
      </c>
      <c r="C217" t="s">
        <v>370</v>
      </c>
      <c r="D217">
        <v>2030000</v>
      </c>
      <c r="E217" t="s">
        <v>485</v>
      </c>
      <c r="F217" s="49" t="s">
        <v>87</v>
      </c>
      <c r="G217" s="14">
        <v>42542.443831018521</v>
      </c>
    </row>
    <row r="218" spans="1:7" x14ac:dyDescent="0.25">
      <c r="A218" s="14">
        <v>42542.59746527778</v>
      </c>
      <c r="B218" t="s">
        <v>90</v>
      </c>
      <c r="C218" t="s">
        <v>422</v>
      </c>
      <c r="D218">
        <v>1140000</v>
      </c>
      <c r="E218" t="s">
        <v>93</v>
      </c>
      <c r="F218" s="49" t="s">
        <v>90</v>
      </c>
      <c r="G218" s="14">
        <v>42542.59746527778</v>
      </c>
    </row>
    <row r="219" spans="1:7" x14ac:dyDescent="0.25">
      <c r="A219" s="14">
        <v>42542.394502314812</v>
      </c>
      <c r="B219" t="s">
        <v>98</v>
      </c>
      <c r="C219" t="s">
        <v>368</v>
      </c>
      <c r="D219">
        <v>900000</v>
      </c>
      <c r="E219" t="s">
        <v>104</v>
      </c>
      <c r="F219" s="49" t="s">
        <v>98</v>
      </c>
      <c r="G219" s="14">
        <v>42542.394502314812</v>
      </c>
    </row>
    <row r="220" spans="1:7" x14ac:dyDescent="0.25">
      <c r="A220" s="14">
        <v>42542.694560185184</v>
      </c>
      <c r="B220" t="s">
        <v>100</v>
      </c>
      <c r="C220" t="s">
        <v>439</v>
      </c>
      <c r="D220">
        <v>2040000</v>
      </c>
      <c r="E220" t="s">
        <v>184</v>
      </c>
      <c r="F220" s="49" t="s">
        <v>100</v>
      </c>
      <c r="G220" s="14">
        <v>42542.694560185184</v>
      </c>
    </row>
    <row r="221" spans="1:7" x14ac:dyDescent="0.25">
      <c r="A221" s="14">
        <v>42542.390706018516</v>
      </c>
      <c r="B221" t="s">
        <v>482</v>
      </c>
      <c r="C221" t="s">
        <v>355</v>
      </c>
      <c r="D221">
        <v>1100000</v>
      </c>
      <c r="E221" t="s">
        <v>493</v>
      </c>
      <c r="F221" s="49" t="s">
        <v>482</v>
      </c>
      <c r="G221" s="14">
        <v>42542.390706018516</v>
      </c>
    </row>
    <row r="222" spans="1:7" x14ac:dyDescent="0.25">
      <c r="A222" s="14">
        <v>42542.80976851852</v>
      </c>
      <c r="B222" t="s">
        <v>91</v>
      </c>
      <c r="C222" t="s">
        <v>233</v>
      </c>
      <c r="D222">
        <v>1820000</v>
      </c>
      <c r="E222" t="s">
        <v>488</v>
      </c>
      <c r="F222" s="49" t="s">
        <v>91</v>
      </c>
      <c r="G222" s="14">
        <v>42542.80976851852</v>
      </c>
    </row>
    <row r="223" spans="1:7" x14ac:dyDescent="0.25">
      <c r="A223" s="14">
        <v>42542.278032407405</v>
      </c>
      <c r="B223" t="s">
        <v>491</v>
      </c>
      <c r="C223" t="s">
        <v>330</v>
      </c>
      <c r="D223">
        <v>1100000</v>
      </c>
      <c r="E223" t="s">
        <v>493</v>
      </c>
      <c r="F223" s="49" t="s">
        <v>491</v>
      </c>
      <c r="G223" s="14">
        <v>42542.278032407405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19"/>
  <sheetViews>
    <sheetView workbookViewId="0">
      <selection activeCell="P10" sqref="P10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24" t="s">
        <v>25</v>
      </c>
      <c r="C1" s="32" t="s">
        <v>46</v>
      </c>
      <c r="J1" s="82" t="s">
        <v>192</v>
      </c>
      <c r="K1" s="82" t="s">
        <v>193</v>
      </c>
      <c r="L1" s="82" t="s">
        <v>194</v>
      </c>
      <c r="M1" s="49"/>
    </row>
    <row r="2" spans="1:13" ht="15.75" thickBot="1" x14ac:dyDescent="0.3">
      <c r="A2" s="25">
        <v>42542</v>
      </c>
      <c r="B2" s="10"/>
      <c r="C2" s="33">
        <v>50</v>
      </c>
      <c r="F2" t="s">
        <v>63</v>
      </c>
      <c r="J2" s="82" t="s">
        <v>192</v>
      </c>
      <c r="K2" s="82" t="s">
        <v>193</v>
      </c>
      <c r="L2" s="82" t="s">
        <v>194</v>
      </c>
      <c r="M2" s="49"/>
    </row>
    <row r="3" spans="1:13" x14ac:dyDescent="0.25">
      <c r="F3" t="s">
        <v>64</v>
      </c>
      <c r="J3" s="83" t="s">
        <v>195</v>
      </c>
      <c r="K3" s="84">
        <v>2.7052</v>
      </c>
      <c r="L3" s="84">
        <v>2.7349999999999999</v>
      </c>
      <c r="M3" s="49">
        <f t="shared" ref="M3:M14" si="0">AVERAGE(K3:L3)</f>
        <v>2.7201</v>
      </c>
    </row>
    <row r="4" spans="1:13" x14ac:dyDescent="0.25">
      <c r="F4" t="s">
        <v>65</v>
      </c>
      <c r="J4" s="83" t="s">
        <v>196</v>
      </c>
      <c r="K4" s="84">
        <v>3.0830000000000002</v>
      </c>
      <c r="L4" s="84">
        <v>3.097</v>
      </c>
      <c r="M4" s="49">
        <f t="shared" si="0"/>
        <v>3.09</v>
      </c>
    </row>
    <row r="5" spans="1:13" x14ac:dyDescent="0.25">
      <c r="J5" s="83" t="s">
        <v>197</v>
      </c>
      <c r="K5" s="84">
        <v>3.3136000000000001</v>
      </c>
      <c r="L5" s="84">
        <v>3.3256999999999999</v>
      </c>
      <c r="M5" s="49">
        <f t="shared" si="0"/>
        <v>3.3196500000000002</v>
      </c>
    </row>
    <row r="6" spans="1:13" x14ac:dyDescent="0.25">
      <c r="J6" s="83" t="s">
        <v>198</v>
      </c>
      <c r="K6" s="84">
        <v>4.2778999999999998</v>
      </c>
      <c r="L6" s="84">
        <v>4.2961</v>
      </c>
      <c r="M6" s="49">
        <f t="shared" si="0"/>
        <v>4.2869999999999999</v>
      </c>
    </row>
    <row r="7" spans="1:13" x14ac:dyDescent="0.25">
      <c r="J7" s="83" t="s">
        <v>199</v>
      </c>
      <c r="K7" s="84">
        <v>4.7865000000000002</v>
      </c>
      <c r="L7" s="84">
        <v>4.8048000000000002</v>
      </c>
      <c r="M7" s="49">
        <f t="shared" si="0"/>
        <v>4.7956500000000002</v>
      </c>
    </row>
    <row r="8" spans="1:13" x14ac:dyDescent="0.25">
      <c r="J8" s="83" t="s">
        <v>200</v>
      </c>
      <c r="K8" s="84">
        <v>5.3155000000000001</v>
      </c>
      <c r="L8" s="84">
        <v>5.3277000000000001</v>
      </c>
      <c r="M8" s="49">
        <f t="shared" si="0"/>
        <v>5.3216000000000001</v>
      </c>
    </row>
    <row r="9" spans="1:13" x14ac:dyDescent="0.25">
      <c r="J9" s="83" t="s">
        <v>201</v>
      </c>
      <c r="K9" s="84">
        <v>5.8117000000000001</v>
      </c>
      <c r="L9" s="84">
        <v>5.8300999999999998</v>
      </c>
      <c r="M9" s="49">
        <f t="shared" si="0"/>
        <v>5.8209</v>
      </c>
    </row>
    <row r="10" spans="1:13" x14ac:dyDescent="0.25">
      <c r="J10" s="83" t="s">
        <v>202</v>
      </c>
      <c r="K10" s="84">
        <v>5.8783000000000003</v>
      </c>
      <c r="L10" s="84">
        <v>5.8903999999999996</v>
      </c>
      <c r="M10" s="49">
        <f t="shared" si="0"/>
        <v>5.8843499999999995</v>
      </c>
    </row>
    <row r="11" spans="1:13" x14ac:dyDescent="0.25">
      <c r="J11" s="83" t="s">
        <v>203</v>
      </c>
      <c r="K11" s="84">
        <v>6.3068</v>
      </c>
      <c r="L11" s="84">
        <v>6.3308999999999997</v>
      </c>
      <c r="M11" s="49">
        <f t="shared" si="0"/>
        <v>6.3188499999999994</v>
      </c>
    </row>
    <row r="12" spans="1:13" x14ac:dyDescent="0.25">
      <c r="J12" s="83" t="s">
        <v>204</v>
      </c>
      <c r="K12" s="84">
        <v>7.8349000000000002</v>
      </c>
      <c r="L12" s="84">
        <v>7.8468999999999998</v>
      </c>
      <c r="M12" s="49">
        <f t="shared" si="0"/>
        <v>7.8408999999999995</v>
      </c>
    </row>
    <row r="13" spans="1:13" x14ac:dyDescent="0.25">
      <c r="J13" s="83" t="s">
        <v>205</v>
      </c>
      <c r="K13" s="84">
        <v>10.373799999999999</v>
      </c>
      <c r="L13" s="84">
        <v>10.38</v>
      </c>
      <c r="M13" s="49">
        <f t="shared" si="0"/>
        <v>10.376899999999999</v>
      </c>
    </row>
    <row r="14" spans="1:13" x14ac:dyDescent="0.25">
      <c r="J14" s="83" t="s">
        <v>206</v>
      </c>
      <c r="K14" s="84">
        <v>10.8954</v>
      </c>
      <c r="L14" s="84">
        <v>10.913500000000001</v>
      </c>
      <c r="M14" s="49">
        <f t="shared" si="0"/>
        <v>10.904450000000001</v>
      </c>
    </row>
    <row r="15" spans="1:13" x14ac:dyDescent="0.25">
      <c r="J15" s="83"/>
      <c r="K15" s="84"/>
      <c r="L15" s="84"/>
      <c r="M15" s="49"/>
    </row>
    <row r="16" spans="1:13" x14ac:dyDescent="0.25">
      <c r="J16" s="83"/>
      <c r="K16" s="84"/>
      <c r="L16" s="84"/>
      <c r="M16" s="49"/>
    </row>
    <row r="17" spans="10:13" x14ac:dyDescent="0.25">
      <c r="J17" s="83"/>
      <c r="K17" s="84"/>
      <c r="L17" s="84"/>
      <c r="M17" s="49"/>
    </row>
    <row r="18" spans="10:13" x14ac:dyDescent="0.25">
      <c r="J18" s="83"/>
      <c r="K18" s="84"/>
      <c r="L18" s="84"/>
      <c r="M18" s="49"/>
    </row>
    <row r="19" spans="10:13" x14ac:dyDescent="0.25">
      <c r="J19" s="83"/>
      <c r="K19" s="84"/>
      <c r="L19" s="84"/>
      <c r="M19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Wabtec</cp:lastModifiedBy>
  <dcterms:created xsi:type="dcterms:W3CDTF">2016-04-12T13:52:23Z</dcterms:created>
  <dcterms:modified xsi:type="dcterms:W3CDTF">2016-06-23T15:20:31Z</dcterms:modified>
</cp:coreProperties>
</file>